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760" windowWidth="15285" xWindow="13515" yWindow="-15"/>
  </bookViews>
  <sheets>
    <sheet name="BO_DM0002" r:id="rId1" sheetId="8"/>
  </sheets>
  <definedNames>
    <definedName localSheetId="0" name="_xlnm.Print_Titles">BO_DM0002!$1:$6</definedName>
  </definedNames>
  <calcPr calcId="145621"/>
</workbook>
</file>

<file path=xl/sharedStrings.xml><?xml version="1.0" encoding="utf-8"?>
<sst xmlns="http://schemas.openxmlformats.org/spreadsheetml/2006/main" count="24619" uniqueCount="915">
  <si>
    <t>年月</t>
  </si>
  <si>
    <t>限月取引</t>
  </si>
  <si>
    <t>取引高（単位）</t>
  </si>
  <si>
    <t>値付日数</t>
  </si>
  <si>
    <t xml:space="preserve"> </t>
  </si>
  <si>
    <t>　</t>
  </si>
  <si>
    <t>Contract Month</t>
  </si>
  <si>
    <t>Trading Volume(unit)</t>
    <phoneticPr fontId="5"/>
  </si>
  <si>
    <t>J-NET(unit)</t>
    <phoneticPr fontId="5"/>
  </si>
  <si>
    <t>権利行使数量
（単位）</t>
    <phoneticPr fontId="5"/>
  </si>
  <si>
    <t>取引最終日</t>
    <phoneticPr fontId="5"/>
  </si>
  <si>
    <t>Trading Value(￥)</t>
    <phoneticPr fontId="5"/>
  </si>
  <si>
    <t>J-NET(￥)</t>
    <phoneticPr fontId="5"/>
  </si>
  <si>
    <t>取引金額（円）</t>
    <phoneticPr fontId="5"/>
  </si>
  <si>
    <t>終　値
（円/ポイント）</t>
    <phoneticPr fontId="5"/>
  </si>
  <si>
    <t>うちJ-NET取引
（円/ポイント）</t>
    <phoneticPr fontId="5"/>
  </si>
  <si>
    <t>安　値
（円/ポイント）</t>
    <phoneticPr fontId="5"/>
  </si>
  <si>
    <t>高　値
（円/ポイント）</t>
    <phoneticPr fontId="5"/>
  </si>
  <si>
    <t>始　値
（円/ポイント）</t>
    <phoneticPr fontId="5"/>
  </si>
  <si>
    <t>終値平均
（円/ポイント）</t>
    <rPh eb="7" sb="6">
      <t>エン</t>
    </rPh>
    <phoneticPr fontId="5"/>
  </si>
  <si>
    <t>指数オプション相場表</t>
    <rPh eb="2" sb="0">
      <t>シスウ</t>
    </rPh>
    <phoneticPr fontId="5"/>
  </si>
  <si>
    <t>Index Options Quotations</t>
    <phoneticPr fontId="5"/>
  </si>
  <si>
    <t>権利行使価格
（円/ポイント）</t>
    <phoneticPr fontId="5"/>
  </si>
  <si>
    <t>うちJ-NET取引
（単位）</t>
    <phoneticPr fontId="5"/>
  </si>
  <si>
    <t>うちJ-NET取引
（円）</t>
    <phoneticPr fontId="5"/>
  </si>
  <si>
    <t>Contracts
Exercised(unit)</t>
    <phoneticPr fontId="5"/>
  </si>
  <si>
    <t>Open Interest
(unit)</t>
    <phoneticPr fontId="5"/>
  </si>
  <si>
    <t>建玉現在高
（単位）</t>
    <phoneticPr fontId="5"/>
  </si>
  <si>
    <t>Exercise
Price(￥/point)</t>
    <phoneticPr fontId="5"/>
  </si>
  <si>
    <t>Open(￥/point)</t>
    <phoneticPr fontId="5"/>
  </si>
  <si>
    <t>High(￥/point)</t>
    <phoneticPr fontId="5"/>
  </si>
  <si>
    <t>J-NET(￥/point)</t>
    <phoneticPr fontId="5"/>
  </si>
  <si>
    <t>Low(￥/point)</t>
    <phoneticPr fontId="5"/>
  </si>
  <si>
    <t>Close(￥/point)</t>
    <phoneticPr fontId="5"/>
  </si>
  <si>
    <t>Average
Closing
Price(￥/point)</t>
    <phoneticPr fontId="5"/>
  </si>
  <si>
    <t>日</t>
    <rPh eb="1" sb="0">
      <t>ヒ</t>
    </rPh>
    <phoneticPr fontId="5"/>
  </si>
  <si>
    <t>日</t>
    <phoneticPr fontId="5"/>
  </si>
  <si>
    <t>Days
Traded</t>
    <phoneticPr fontId="5"/>
  </si>
  <si>
    <t>Last
Trading Day</t>
    <phoneticPr fontId="5"/>
  </si>
  <si>
    <t>Year/Month</t>
  </si>
  <si>
    <t>プット
コール
区分</t>
    <rPh eb="10" sb="8">
      <t>クブン</t>
    </rPh>
    <phoneticPr fontId="5"/>
  </si>
  <si>
    <t>商品等</t>
    <phoneticPr fontId="5"/>
  </si>
  <si>
    <t>Products</t>
    <phoneticPr fontId="5"/>
  </si>
  <si>
    <t>値  段  Price</t>
    <phoneticPr fontId="5"/>
  </si>
  <si>
    <t>Put/Call
Type</t>
    <phoneticPr fontId="5"/>
  </si>
  <si>
    <t>Date</t>
    <phoneticPr fontId="5"/>
  </si>
  <si>
    <t>2021/02</t>
  </si>
  <si>
    <t>日経225オプション</t>
  </si>
  <si>
    <t>Nikkei 225 Options</t>
  </si>
  <si>
    <t>P</t>
  </si>
  <si>
    <t>01</t>
  </si>
  <si>
    <t>1.0000</t>
  </si>
  <si>
    <t>09</t>
  </si>
  <si>
    <t>*</t>
  </si>
  <si>
    <t>2021/02/10</t>
  </si>
  <si>
    <t>02</t>
  </si>
  <si>
    <t>10</t>
  </si>
  <si>
    <t>－</t>
  </si>
  <si>
    <t>05</t>
  </si>
  <si>
    <t>2.0000</t>
  </si>
  <si>
    <t>04</t>
  </si>
  <si>
    <t>08</t>
  </si>
  <si>
    <t>3.0000</t>
  </si>
  <si>
    <t>03</t>
  </si>
  <si>
    <t>4.0000</t>
  </si>
  <si>
    <t>5.0000</t>
  </si>
  <si>
    <t>6.0000</t>
  </si>
  <si>
    <t>7.0000</t>
  </si>
  <si>
    <t>8.0000</t>
  </si>
  <si>
    <t>9.0000</t>
  </si>
  <si>
    <t>11.0000</t>
  </si>
  <si>
    <t>10.0000</t>
  </si>
  <si>
    <t>12.0000</t>
  </si>
  <si>
    <t>14.0000</t>
  </si>
  <si>
    <t>20.0000</t>
  </si>
  <si>
    <t>18.0000</t>
  </si>
  <si>
    <t>23.0000</t>
  </si>
  <si>
    <t>15.0000</t>
  </si>
  <si>
    <t>17.0000</t>
  </si>
  <si>
    <t>25.0000</t>
  </si>
  <si>
    <t>27.0000</t>
  </si>
  <si>
    <t>22.0000</t>
  </si>
  <si>
    <t>28.0000</t>
  </si>
  <si>
    <t>24.0000</t>
  </si>
  <si>
    <t>34.0000</t>
  </si>
  <si>
    <t>30.0000</t>
  </si>
  <si>
    <t>39.0000</t>
  </si>
  <si>
    <t>29.0000</t>
  </si>
  <si>
    <t>42.0000</t>
  </si>
  <si>
    <t>35.0000</t>
  </si>
  <si>
    <t>36.0000</t>
  </si>
  <si>
    <t>37.0000</t>
  </si>
  <si>
    <t>38.0000</t>
  </si>
  <si>
    <t>33.0000</t>
  </si>
  <si>
    <t>47.0000</t>
  </si>
  <si>
    <t>40.0000</t>
  </si>
  <si>
    <t>44.0000</t>
  </si>
  <si>
    <t>55.0000</t>
  </si>
  <si>
    <t>53.0000</t>
  </si>
  <si>
    <t>43.0000</t>
  </si>
  <si>
    <t>54.0000</t>
  </si>
  <si>
    <t>57.0000</t>
  </si>
  <si>
    <t>46.0000</t>
  </si>
  <si>
    <t>69.0000</t>
  </si>
  <si>
    <t>64.0000</t>
  </si>
  <si>
    <t>62.0000</t>
  </si>
  <si>
    <t>70.0000</t>
  </si>
  <si>
    <t>51.0000</t>
  </si>
  <si>
    <t>79.0000</t>
  </si>
  <si>
    <t>80.0000</t>
  </si>
  <si>
    <t>73.0000</t>
  </si>
  <si>
    <t>75.0000</t>
  </si>
  <si>
    <t>85.0000</t>
  </si>
  <si>
    <t>50.0000</t>
  </si>
  <si>
    <t>90.0000</t>
  </si>
  <si>
    <t>100.0000</t>
  </si>
  <si>
    <t>105.0000</t>
  </si>
  <si>
    <t>110.0000</t>
  </si>
  <si>
    <t>115.0000</t>
  </si>
  <si>
    <t>120.0000</t>
  </si>
  <si>
    <t>135.0000</t>
  </si>
  <si>
    <t>130.0000</t>
  </si>
  <si>
    <t>125.0000</t>
  </si>
  <si>
    <t>150.0000</t>
  </si>
  <si>
    <t>160.0000</t>
  </si>
  <si>
    <t>165.0000</t>
  </si>
  <si>
    <t>145.0000</t>
  </si>
  <si>
    <t>180.0000</t>
  </si>
  <si>
    <t>175.0000</t>
  </si>
  <si>
    <t>170.0000</t>
  </si>
  <si>
    <t>210.0000</t>
  </si>
  <si>
    <t>225.0000</t>
  </si>
  <si>
    <t>215.0000</t>
  </si>
  <si>
    <t>240.0000</t>
  </si>
  <si>
    <t>245.0000</t>
  </si>
  <si>
    <t>220.0000</t>
  </si>
  <si>
    <t>255.0000</t>
  </si>
  <si>
    <t>265.0000</t>
  </si>
  <si>
    <t>275.0000</t>
  </si>
  <si>
    <t>320.0000</t>
  </si>
  <si>
    <t>300.0000</t>
  </si>
  <si>
    <t>325.0000</t>
  </si>
  <si>
    <t>305.0000</t>
  </si>
  <si>
    <t>335.0000</t>
  </si>
  <si>
    <t>290.0000</t>
  </si>
  <si>
    <t>380.0000</t>
  </si>
  <si>
    <t>370.0000</t>
  </si>
  <si>
    <t>405.0000</t>
  </si>
  <si>
    <t>435.0000</t>
  </si>
  <si>
    <t>470.0000</t>
  </si>
  <si>
    <t>515.0000</t>
  </si>
  <si>
    <t>400.0000</t>
  </si>
  <si>
    <t>530.0000</t>
  </si>
  <si>
    <t>570.0000</t>
  </si>
  <si>
    <t>495.0000</t>
  </si>
  <si>
    <t>505.0000</t>
  </si>
  <si>
    <t>585.0000</t>
  </si>
  <si>
    <t>535.0000</t>
  </si>
  <si>
    <t>670.0000</t>
  </si>
  <si>
    <t>680.0000</t>
  </si>
  <si>
    <t>650.0000</t>
  </si>
  <si>
    <t>625.0000</t>
  </si>
  <si>
    <t>660.0000</t>
  </si>
  <si>
    <t>385.0000</t>
  </si>
  <si>
    <t>780.0000</t>
  </si>
  <si>
    <t>840.0000</t>
  </si>
  <si>
    <t>665.0000</t>
  </si>
  <si>
    <t>700.0000</t>
  </si>
  <si>
    <t>835.0000</t>
  </si>
  <si>
    <t>1,000.0000</t>
  </si>
  <si>
    <t>820.0000</t>
  </si>
  <si>
    <t>940.0000</t>
  </si>
  <si>
    <t>980.0000</t>
  </si>
  <si>
    <t>1,110.0000</t>
  </si>
  <si>
    <t>610.0000</t>
  </si>
  <si>
    <t>460.0000</t>
  </si>
  <si>
    <t>620.0000</t>
  </si>
  <si>
    <t>450.0000</t>
  </si>
  <si>
    <t>1,100.0000</t>
  </si>
  <si>
    <t>1,210.0000</t>
  </si>
  <si>
    <t>365.0000</t>
  </si>
  <si>
    <t>13.0000</t>
  </si>
  <si>
    <t>390.0000</t>
  </si>
  <si>
    <t>425.0000</t>
  </si>
  <si>
    <t>31.0000</t>
  </si>
  <si>
    <t>260.0000</t>
  </si>
  <si>
    <t>550.0000</t>
  </si>
  <si>
    <t>350.0000</t>
  </si>
  <si>
    <t>60.0000</t>
  </si>
  <si>
    <t>45.0000</t>
  </si>
  <si>
    <t>345.0000</t>
  </si>
  <si>
    <t>95.0000</t>
  </si>
  <si>
    <t>420.0000</t>
  </si>
  <si>
    <t>410.0000</t>
  </si>
  <si>
    <t>990.0000</t>
  </si>
  <si>
    <t>250.0000</t>
  </si>
  <si>
    <t>430.0000</t>
  </si>
  <si>
    <t>480.0000</t>
  </si>
  <si>
    <t>1,270.0000</t>
  </si>
  <si>
    <t>1,200.0000</t>
  </si>
  <si>
    <t>2,040.0000</t>
  </si>
  <si>
    <t>2021/03</t>
  </si>
  <si>
    <t>16</t>
  </si>
  <si>
    <t>2021/03/11</t>
  </si>
  <si>
    <t>26</t>
  </si>
  <si>
    <t>15</t>
  </si>
  <si>
    <t>12</t>
  </si>
  <si>
    <t>18</t>
  </si>
  <si>
    <t>19</t>
  </si>
  <si>
    <t>0.1900</t>
  </si>
  <si>
    <t>24</t>
  </si>
  <si>
    <t>22</t>
  </si>
  <si>
    <t>0.6000</t>
  </si>
  <si>
    <t>19.0000</t>
  </si>
  <si>
    <t>21.0000</t>
  </si>
  <si>
    <t>25</t>
  </si>
  <si>
    <t>16.0000</t>
  </si>
  <si>
    <t>48.0000</t>
  </si>
  <si>
    <t>61.0000</t>
  </si>
  <si>
    <t>68.0000</t>
  </si>
  <si>
    <t>58.0000</t>
  </si>
  <si>
    <t>65.0000</t>
  </si>
  <si>
    <t>66.0000</t>
  </si>
  <si>
    <t>83.0000</t>
  </si>
  <si>
    <t>92.0000</t>
  </si>
  <si>
    <t>87.0000</t>
  </si>
  <si>
    <t>93.0000</t>
  </si>
  <si>
    <t>94.0000</t>
  </si>
  <si>
    <t>97.0000</t>
  </si>
  <si>
    <t>99.0000</t>
  </si>
  <si>
    <t>195.0000</t>
  </si>
  <si>
    <t>190.0000</t>
  </si>
  <si>
    <t>200.0000</t>
  </si>
  <si>
    <t>185.0000</t>
  </si>
  <si>
    <t>280.0000</t>
  </si>
  <si>
    <t>96.0000</t>
  </si>
  <si>
    <t>32.0000</t>
  </si>
  <si>
    <t>310.0000</t>
  </si>
  <si>
    <t>340.0000</t>
  </si>
  <si>
    <t>295.0000</t>
  </si>
  <si>
    <t>385.7900</t>
  </si>
  <si>
    <t>330.0000</t>
  </si>
  <si>
    <t>338.0000</t>
  </si>
  <si>
    <t>455.0000</t>
  </si>
  <si>
    <t>520.0000</t>
  </si>
  <si>
    <t>500.0000</t>
  </si>
  <si>
    <t>453.0000</t>
  </si>
  <si>
    <t>98.0000</t>
  </si>
  <si>
    <t>510.0000</t>
  </si>
  <si>
    <t>545.0000</t>
  </si>
  <si>
    <t>640.0000</t>
  </si>
  <si>
    <t>450.8902</t>
  </si>
  <si>
    <t>675.0000</t>
  </si>
  <si>
    <t>600.0000</t>
  </si>
  <si>
    <t>685.0000</t>
  </si>
  <si>
    <t>605.0000</t>
  </si>
  <si>
    <t>615.0000</t>
  </si>
  <si>
    <t>375.0000</t>
  </si>
  <si>
    <t>785.0000</t>
  </si>
  <si>
    <t>609.0000</t>
  </si>
  <si>
    <t>49.0000</t>
  </si>
  <si>
    <t>155.0000</t>
  </si>
  <si>
    <t>765.0000</t>
  </si>
  <si>
    <t>800.0000</t>
  </si>
  <si>
    <t>56.0000</t>
  </si>
  <si>
    <t>235.0000</t>
  </si>
  <si>
    <t>770.0000</t>
  </si>
  <si>
    <t>59.0000</t>
  </si>
  <si>
    <t>865.0000</t>
  </si>
  <si>
    <t>63.0000</t>
  </si>
  <si>
    <t>71.0000</t>
  </si>
  <si>
    <t>995.0000</t>
  </si>
  <si>
    <t>1,020.0000</t>
  </si>
  <si>
    <t>875.0000</t>
  </si>
  <si>
    <t>230.0000</t>
  </si>
  <si>
    <t>910.0000</t>
  </si>
  <si>
    <t>77.0000</t>
  </si>
  <si>
    <t>84.0000</t>
  </si>
  <si>
    <t>970.0000</t>
  </si>
  <si>
    <t>870.0000</t>
  </si>
  <si>
    <t>1,010.0000</t>
  </si>
  <si>
    <t>655.0000</t>
  </si>
  <si>
    <t>360.0000</t>
  </si>
  <si>
    <t>815.0000</t>
  </si>
  <si>
    <t>810.0000</t>
  </si>
  <si>
    <t>1,390.0000</t>
  </si>
  <si>
    <t>140.0000</t>
  </si>
  <si>
    <t>880.0000</t>
  </si>
  <si>
    <t>17</t>
  </si>
  <si>
    <t>465.0000</t>
  </si>
  <si>
    <t>565.0000</t>
  </si>
  <si>
    <t>705.0000</t>
  </si>
  <si>
    <t>715.0000</t>
  </si>
  <si>
    <t>205.0000</t>
  </si>
  <si>
    <t>790.0000</t>
  </si>
  <si>
    <t>795.0000</t>
  </si>
  <si>
    <t>740.0000</t>
  </si>
  <si>
    <t>745.0000</t>
  </si>
  <si>
    <t>920.0000</t>
  </si>
  <si>
    <t>885.0000</t>
  </si>
  <si>
    <t>985.0000</t>
  </si>
  <si>
    <t>1,090.0000</t>
  </si>
  <si>
    <t>850.0000</t>
  </si>
  <si>
    <t>1,180.0000</t>
  </si>
  <si>
    <t>1,140.0000</t>
  </si>
  <si>
    <t>1,060.0000</t>
  </si>
  <si>
    <t>755.0000</t>
  </si>
  <si>
    <t>1,280.0000</t>
  </si>
  <si>
    <t>1,260.0000</t>
  </si>
  <si>
    <t>445.0000</t>
  </si>
  <si>
    <t>760.0000</t>
  </si>
  <si>
    <t>1,240.0000</t>
  </si>
  <si>
    <t>475.0000</t>
  </si>
  <si>
    <t>1,230.0000</t>
  </si>
  <si>
    <t>1,420.0000</t>
  </si>
  <si>
    <t>540.0000</t>
  </si>
  <si>
    <t>1,470.0000</t>
  </si>
  <si>
    <t>720.0000</t>
  </si>
  <si>
    <t>645.0000</t>
  </si>
  <si>
    <t>1,220.0000</t>
  </si>
  <si>
    <t>1,520.0000</t>
  </si>
  <si>
    <t>1,600.0000</t>
  </si>
  <si>
    <t>1,050.0000</t>
  </si>
  <si>
    <t>2,690.0000</t>
  </si>
  <si>
    <t>1,248.0000</t>
  </si>
  <si>
    <t>2,390.0000</t>
  </si>
  <si>
    <t>930.0000</t>
  </si>
  <si>
    <t>1,290.0000</t>
  </si>
  <si>
    <t>3,460.0000</t>
  </si>
  <si>
    <t>3,290.0000</t>
  </si>
  <si>
    <t>5,550.0000</t>
  </si>
  <si>
    <t>2021/04</t>
  </si>
  <si>
    <t>2021/04/08</t>
  </si>
  <si>
    <t>67.0000</t>
  </si>
  <si>
    <t>26.0000</t>
  </si>
  <si>
    <t>41.0000</t>
  </si>
  <si>
    <t>74.0000</t>
  </si>
  <si>
    <t>72.0000</t>
  </si>
  <si>
    <t>76.0000</t>
  </si>
  <si>
    <t>86.0000</t>
  </si>
  <si>
    <t>184.0000</t>
  </si>
  <si>
    <t>88.0000</t>
  </si>
  <si>
    <t>270.0000</t>
  </si>
  <si>
    <t>117.0000</t>
  </si>
  <si>
    <t>52.0000</t>
  </si>
  <si>
    <t>285.0000</t>
  </si>
  <si>
    <t>247.0000</t>
  </si>
  <si>
    <t>374.0000</t>
  </si>
  <si>
    <t>91.0000</t>
  </si>
  <si>
    <t>396.1000</t>
  </si>
  <si>
    <t>316.0000</t>
  </si>
  <si>
    <t>580.0000</t>
  </si>
  <si>
    <t>394.0000</t>
  </si>
  <si>
    <t>114.0000</t>
  </si>
  <si>
    <t>525.0000</t>
  </si>
  <si>
    <t>113.0000</t>
  </si>
  <si>
    <t>630.0000</t>
  </si>
  <si>
    <t>157.0000</t>
  </si>
  <si>
    <t>559.2980</t>
  </si>
  <si>
    <t>830.0000</t>
  </si>
  <si>
    <t>805.0000</t>
  </si>
  <si>
    <t>166.0000</t>
  </si>
  <si>
    <t>355.0000</t>
  </si>
  <si>
    <t>613.0000</t>
  </si>
  <si>
    <t>573.0000</t>
  </si>
  <si>
    <t>945.0000</t>
  </si>
  <si>
    <t>1,040.0000</t>
  </si>
  <si>
    <t>750.0000</t>
  </si>
  <si>
    <t>222.0000</t>
  </si>
  <si>
    <t>485.0000</t>
  </si>
  <si>
    <t>1,130.0000</t>
  </si>
  <si>
    <t>725.8400</t>
  </si>
  <si>
    <t>440.0000</t>
  </si>
  <si>
    <t>353.0064</t>
  </si>
  <si>
    <t>709.0000</t>
  </si>
  <si>
    <t>264.0000</t>
  </si>
  <si>
    <t>590.0000</t>
  </si>
  <si>
    <t>383.0400</t>
  </si>
  <si>
    <t>315.0000</t>
  </si>
  <si>
    <t>624.8660</t>
  </si>
  <si>
    <t>306.0000</t>
  </si>
  <si>
    <t>595.0000</t>
  </si>
  <si>
    <t>925.0000</t>
  </si>
  <si>
    <t>821.0000</t>
  </si>
  <si>
    <t>890.0000</t>
  </si>
  <si>
    <t>528.0000</t>
  </si>
  <si>
    <t>1,030.0000</t>
  </si>
  <si>
    <t>1,006.0000</t>
  </si>
  <si>
    <t>339.0000</t>
  </si>
  <si>
    <t>588.0000</t>
  </si>
  <si>
    <t>1,245.0000</t>
  </si>
  <si>
    <t>498.0000</t>
  </si>
  <si>
    <t>1,120.0000</t>
  </si>
  <si>
    <t>1,300.0000</t>
  </si>
  <si>
    <t>1,310.0000</t>
  </si>
  <si>
    <t>629.0000</t>
  </si>
  <si>
    <t>735.0000</t>
  </si>
  <si>
    <t>1,450.0000</t>
  </si>
  <si>
    <t>669.0000</t>
  </si>
  <si>
    <t>1,510.0000</t>
  </si>
  <si>
    <t>1,400.0000</t>
  </si>
  <si>
    <t>955.0000</t>
  </si>
  <si>
    <t>1,080.0000</t>
  </si>
  <si>
    <t>1,049.4700</t>
  </si>
  <si>
    <t>961.6400</t>
  </si>
  <si>
    <t>965.0000</t>
  </si>
  <si>
    <t>3,030.0000</t>
  </si>
  <si>
    <t>3,840.0000</t>
  </si>
  <si>
    <t>2021/05</t>
  </si>
  <si>
    <t>36.1500</t>
  </si>
  <si>
    <t>2021/05/13</t>
  </si>
  <si>
    <t>51.7000</t>
  </si>
  <si>
    <t>78.0000</t>
  </si>
  <si>
    <t>152.0000</t>
  </si>
  <si>
    <t>127.0000</t>
  </si>
  <si>
    <t>395.0000</t>
  </si>
  <si>
    <t>273.0000</t>
  </si>
  <si>
    <t>682.0000</t>
  </si>
  <si>
    <t>775.0000</t>
  </si>
  <si>
    <t>710.0000</t>
  </si>
  <si>
    <t>725.0000</t>
  </si>
  <si>
    <t>447.5000</t>
  </si>
  <si>
    <t>560.0000</t>
  </si>
  <si>
    <t>1,070.0000</t>
  </si>
  <si>
    <t>387.0500</t>
  </si>
  <si>
    <t>1,150.0000</t>
  </si>
  <si>
    <t>415.0000</t>
  </si>
  <si>
    <t>551.0000</t>
  </si>
  <si>
    <t>950.0000</t>
  </si>
  <si>
    <t>975.0000</t>
  </si>
  <si>
    <t>834.5900</t>
  </si>
  <si>
    <t>895.0000</t>
  </si>
  <si>
    <t>915.0000</t>
  </si>
  <si>
    <t>950.8200</t>
  </si>
  <si>
    <t>900.0000</t>
  </si>
  <si>
    <t>1,170.0000</t>
  </si>
  <si>
    <t>874.0000</t>
  </si>
  <si>
    <t>924.1038</t>
  </si>
  <si>
    <t>1,250.0000</t>
  </si>
  <si>
    <t>1,320.0000</t>
  </si>
  <si>
    <t>1,457.0000</t>
  </si>
  <si>
    <t>1,086.0000</t>
  </si>
  <si>
    <t>1,160.0000</t>
  </si>
  <si>
    <t>1,190.0000</t>
  </si>
  <si>
    <t>1,750.0000</t>
  </si>
  <si>
    <t>1,830.0000</t>
  </si>
  <si>
    <t>3,150.0000</t>
  </si>
  <si>
    <t>2021/06</t>
  </si>
  <si>
    <t>2021/06/10</t>
  </si>
  <si>
    <t>81.0000</t>
  </si>
  <si>
    <t>183.0000</t>
  </si>
  <si>
    <t>119.0000</t>
  </si>
  <si>
    <t>147.5000</t>
  </si>
  <si>
    <t>272.0000</t>
  </si>
  <si>
    <t>168.0000</t>
  </si>
  <si>
    <t>356.0000</t>
  </si>
  <si>
    <t>217.0000</t>
  </si>
  <si>
    <t>249.0000</t>
  </si>
  <si>
    <t>683.0000</t>
  </si>
  <si>
    <t>312.0000</t>
  </si>
  <si>
    <t>555.0000</t>
  </si>
  <si>
    <t>831.0000</t>
  </si>
  <si>
    <t>722.0000</t>
  </si>
  <si>
    <t>456.0000</t>
  </si>
  <si>
    <t>991.0000</t>
  </si>
  <si>
    <t>680.2250</t>
  </si>
  <si>
    <t>643.0000</t>
  </si>
  <si>
    <t>690.0000</t>
  </si>
  <si>
    <t>695.0000</t>
  </si>
  <si>
    <t>1,385.0000</t>
  </si>
  <si>
    <t>888.0000</t>
  </si>
  <si>
    <t>1,440.0000</t>
  </si>
  <si>
    <t>1,333.0000</t>
  </si>
  <si>
    <t>786.0000</t>
  </si>
  <si>
    <t>1,410.0000</t>
  </si>
  <si>
    <t>1,195.0000</t>
  </si>
  <si>
    <t>1,380.0000</t>
  </si>
  <si>
    <t>1,540.0000</t>
  </si>
  <si>
    <t>1,340.0000</t>
  </si>
  <si>
    <t>1,880.0000</t>
  </si>
  <si>
    <t>1,263.1100</t>
  </si>
  <si>
    <t>1,610.0000</t>
  </si>
  <si>
    <t>1,580.0000</t>
  </si>
  <si>
    <t>1,350.0000</t>
  </si>
  <si>
    <t>1,500.0000</t>
  </si>
  <si>
    <t>1,590.0000</t>
  </si>
  <si>
    <t>1,670.0000</t>
  </si>
  <si>
    <t>2,463.0000</t>
  </si>
  <si>
    <t>6,305.0000</t>
  </si>
  <si>
    <t>2021/07</t>
  </si>
  <si>
    <t>2021/07/08</t>
  </si>
  <si>
    <t>431.2000</t>
  </si>
  <si>
    <t>556.0000</t>
  </si>
  <si>
    <t>648.6000</t>
  </si>
  <si>
    <t>2021/08</t>
  </si>
  <si>
    <t>2021/08/12</t>
  </si>
  <si>
    <t>1,642.0000</t>
  </si>
  <si>
    <t>2,065.0000</t>
  </si>
  <si>
    <t>1,916.0000</t>
  </si>
  <si>
    <t>2021/09</t>
  </si>
  <si>
    <t>2021/09/09</t>
  </si>
  <si>
    <t>278.0000</t>
  </si>
  <si>
    <t>423.0550</t>
  </si>
  <si>
    <t>533.0000</t>
  </si>
  <si>
    <t>841.0000</t>
  </si>
  <si>
    <t>953.0000</t>
  </si>
  <si>
    <t>935.0000</t>
  </si>
  <si>
    <t>858.0000</t>
  </si>
  <si>
    <t>872.0000</t>
  </si>
  <si>
    <t>1,314.0000</t>
  </si>
  <si>
    <t>903.0000</t>
  </si>
  <si>
    <t>1,796.0000</t>
  </si>
  <si>
    <t>1,052.0000</t>
  </si>
  <si>
    <t>1,605.0000</t>
  </si>
  <si>
    <t>1,136.0000</t>
  </si>
  <si>
    <t>1,460.0000</t>
  </si>
  <si>
    <t>1,480.0000</t>
  </si>
  <si>
    <t>1,204.0000</t>
  </si>
  <si>
    <t>1,650.0000</t>
  </si>
  <si>
    <t>1,660.0000</t>
  </si>
  <si>
    <t>1,752.0000</t>
  </si>
  <si>
    <t>1,651.0000</t>
  </si>
  <si>
    <t>2,100.0000</t>
  </si>
  <si>
    <t>1,869.0000</t>
  </si>
  <si>
    <t>2021/10</t>
  </si>
  <si>
    <t>2021/10/07</t>
  </si>
  <si>
    <t>2021/12</t>
  </si>
  <si>
    <t>2021/12/09</t>
  </si>
  <si>
    <t>364.0000</t>
  </si>
  <si>
    <t>387.0000</t>
  </si>
  <si>
    <t>298.0000</t>
  </si>
  <si>
    <t>427.0000</t>
  </si>
  <si>
    <t>366.0000</t>
  </si>
  <si>
    <t>419.0000</t>
  </si>
  <si>
    <t>490.0000</t>
  </si>
  <si>
    <t>534.0000</t>
  </si>
  <si>
    <t>684.7400</t>
  </si>
  <si>
    <t>624.0000</t>
  </si>
  <si>
    <t>788.0000</t>
  </si>
  <si>
    <t>635.0000</t>
  </si>
  <si>
    <t>798.0000</t>
  </si>
  <si>
    <t>845.4700</t>
  </si>
  <si>
    <t>744.0000</t>
  </si>
  <si>
    <t>1,504.0000</t>
  </si>
  <si>
    <t>1,282.0000</t>
  </si>
  <si>
    <t>1,148.0000</t>
  </si>
  <si>
    <t>1,483.0000</t>
  </si>
  <si>
    <t>1,935.0000</t>
  </si>
  <si>
    <t>1,337.0000</t>
  </si>
  <si>
    <t>2,555.0000</t>
  </si>
  <si>
    <t>2,600.0000</t>
  </si>
  <si>
    <t>452.5000</t>
  </si>
  <si>
    <t>1,730.0000</t>
  </si>
  <si>
    <t>1,740.0000</t>
  </si>
  <si>
    <t>2,075.0000</t>
  </si>
  <si>
    <t>1,810.0000</t>
  </si>
  <si>
    <t>2,220.0000</t>
  </si>
  <si>
    <t>2,250.0000</t>
  </si>
  <si>
    <t>2,279.0000</t>
  </si>
  <si>
    <t>2,010.0000</t>
  </si>
  <si>
    <t>2,140.0000</t>
  </si>
  <si>
    <t>2,708.0000</t>
  </si>
  <si>
    <t>2,130.0000</t>
  </si>
  <si>
    <t>567.0000</t>
  </si>
  <si>
    <t>2,190.0000</t>
  </si>
  <si>
    <t>2,420.0000</t>
  </si>
  <si>
    <t>2,430.0000</t>
  </si>
  <si>
    <t>2,865.0000</t>
  </si>
  <si>
    <t>2,400.0000</t>
  </si>
  <si>
    <t>2,530.0000</t>
  </si>
  <si>
    <t>5,580.0000</t>
  </si>
  <si>
    <t>5,092.0000</t>
  </si>
  <si>
    <t>2022/03</t>
  </si>
  <si>
    <t>436.0000</t>
  </si>
  <si>
    <t>2022/03/10</t>
  </si>
  <si>
    <t>1,155.0000</t>
  </si>
  <si>
    <t>1,764.0000</t>
  </si>
  <si>
    <t>2,170.4000</t>
  </si>
  <si>
    <t>2,635.0000</t>
  </si>
  <si>
    <t>2,701.0000</t>
  </si>
  <si>
    <t>2022/06</t>
  </si>
  <si>
    <t>2022/06/09</t>
  </si>
  <si>
    <t>523.6400</t>
  </si>
  <si>
    <t>1,489.6880</t>
  </si>
  <si>
    <t>1,125.0000</t>
  </si>
  <si>
    <t>1,542.0000</t>
  </si>
  <si>
    <t>1,701.0000</t>
  </si>
  <si>
    <t>1,597.0000</t>
  </si>
  <si>
    <t>2,765.0000</t>
  </si>
  <si>
    <t>2,515.0000</t>
  </si>
  <si>
    <t>2,360.0000</t>
  </si>
  <si>
    <t>3,205.0000</t>
  </si>
  <si>
    <t>3,200.0000</t>
  </si>
  <si>
    <t>2022/12</t>
  </si>
  <si>
    <t>2022/12/08</t>
  </si>
  <si>
    <t>337.0000</t>
  </si>
  <si>
    <t>474.0000</t>
  </si>
  <si>
    <t>697.0000</t>
  </si>
  <si>
    <t>871.0000</t>
  </si>
  <si>
    <t>796.0000</t>
  </si>
  <si>
    <t>1,330.0000</t>
  </si>
  <si>
    <t>1,098.0000</t>
  </si>
  <si>
    <t>1,488.0000</t>
  </si>
  <si>
    <t>1,645.0000</t>
  </si>
  <si>
    <t>1,575.0000</t>
  </si>
  <si>
    <t>1,720.0000</t>
  </si>
  <si>
    <t>1,396.0000</t>
  </si>
  <si>
    <t>1,840.0000</t>
  </si>
  <si>
    <t>2,283.0000</t>
  </si>
  <si>
    <t>2,516.0000</t>
  </si>
  <si>
    <t>2,000.0000</t>
  </si>
  <si>
    <t>2,412.0000</t>
  </si>
  <si>
    <t>2,569.0000</t>
  </si>
  <si>
    <t>3,050.0000</t>
  </si>
  <si>
    <t>2,800.0000</t>
  </si>
  <si>
    <t>3,500.0000</t>
  </si>
  <si>
    <t>3,400.0000</t>
  </si>
  <si>
    <t>3,980.0000</t>
  </si>
  <si>
    <t>3,235.0000</t>
  </si>
  <si>
    <t>3,853.0000</t>
  </si>
  <si>
    <t>3,760.0000</t>
  </si>
  <si>
    <t>3,730.0000</t>
  </si>
  <si>
    <t>6,600.0000</t>
  </si>
  <si>
    <t>2023/06</t>
  </si>
  <si>
    <t>2023/06/08</t>
  </si>
  <si>
    <t>4,290.0000</t>
  </si>
  <si>
    <t>2023/12</t>
  </si>
  <si>
    <t>2023/12/07</t>
  </si>
  <si>
    <t>536.0000</t>
  </si>
  <si>
    <t>909.0000</t>
  </si>
  <si>
    <t>2,815.0000</t>
  </si>
  <si>
    <t>2,200.0000</t>
  </si>
  <si>
    <t>2,975.0000</t>
  </si>
  <si>
    <t>3,665.0000</t>
  </si>
  <si>
    <t>3,237.0000</t>
  </si>
  <si>
    <t>4,800.0000</t>
  </si>
  <si>
    <t>3,785.0000</t>
  </si>
  <si>
    <t>4,818.0000</t>
  </si>
  <si>
    <t>2024/06</t>
  </si>
  <si>
    <t>2024/06/13</t>
  </si>
  <si>
    <t>2024/12</t>
  </si>
  <si>
    <t>2024/12/12</t>
  </si>
  <si>
    <t>1,178.0000</t>
  </si>
  <si>
    <t>2,700.0000</t>
  </si>
  <si>
    <t>4,028.0000</t>
  </si>
  <si>
    <t>4,555.0000</t>
  </si>
  <si>
    <t>5,345.0000</t>
  </si>
  <si>
    <t>2025/12</t>
  </si>
  <si>
    <t>2025/12/11</t>
  </si>
  <si>
    <t>3,300.0000</t>
  </si>
  <si>
    <t>5,830.0000</t>
  </si>
  <si>
    <t>C</t>
  </si>
  <si>
    <t>10,100.0000</t>
  </si>
  <si>
    <t>10,240.0000</t>
  </si>
  <si>
    <t>9,520.0000</t>
  </si>
  <si>
    <t>8,630.0000</t>
  </si>
  <si>
    <t>8,720.0000</t>
  </si>
  <si>
    <t>7,630.0000</t>
  </si>
  <si>
    <t>7,150.0000</t>
  </si>
  <si>
    <t>5,250.0000</t>
  </si>
  <si>
    <t>5,700.0000</t>
  </si>
  <si>
    <t>4,910.0000</t>
  </si>
  <si>
    <t>5,320.0000</t>
  </si>
  <si>
    <t>5,500.0000</t>
  </si>
  <si>
    <t>4,890.0000</t>
  </si>
  <si>
    <t>4,920.0000</t>
  </si>
  <si>
    <t>4,900.0000</t>
  </si>
  <si>
    <t>4,750.0000</t>
  </si>
  <si>
    <t>4,660.0000</t>
  </si>
  <si>
    <t>4,350.0000</t>
  </si>
  <si>
    <t>4,390.0000</t>
  </si>
  <si>
    <t>4,400.0000</t>
  </si>
  <si>
    <t>3,450.0000</t>
  </si>
  <si>
    <t>3,880.0000</t>
  </si>
  <si>
    <t>4,000.0000</t>
  </si>
  <si>
    <t>3,950.0000</t>
  </si>
  <si>
    <t>3,970.0000</t>
  </si>
  <si>
    <t>3,390.0000</t>
  </si>
  <si>
    <t>3,530.0000</t>
  </si>
  <si>
    <t>2,960.0000</t>
  </si>
  <si>
    <t>1,430.0000</t>
  </si>
  <si>
    <t>2,520.0000</t>
  </si>
  <si>
    <t>2,460.0000</t>
  </si>
  <si>
    <t>2,550.0000</t>
  </si>
  <si>
    <t>2,312.0000</t>
  </si>
  <si>
    <t>201.0000</t>
  </si>
  <si>
    <t>855.0000</t>
  </si>
  <si>
    <t>1,920.0000</t>
  </si>
  <si>
    <t>2,300.0000</t>
  </si>
  <si>
    <t>2,227.0000</t>
  </si>
  <si>
    <t>730.0000</t>
  </si>
  <si>
    <t>2,030.0000</t>
  </si>
  <si>
    <t>1,950.0000</t>
  </si>
  <si>
    <t>1,780.0000</t>
  </si>
  <si>
    <t>1,687.0000</t>
  </si>
  <si>
    <t>1,620.0000</t>
  </si>
  <si>
    <t>1,550.0000</t>
  </si>
  <si>
    <t>845.0000</t>
  </si>
  <si>
    <t>676.0000</t>
  </si>
  <si>
    <t>283.4600</t>
  </si>
  <si>
    <t>9,700.0000</t>
  </si>
  <si>
    <t>10,070.0000</t>
  </si>
  <si>
    <t>10,200.0000</t>
  </si>
  <si>
    <t>9,480.0000</t>
  </si>
  <si>
    <t>9,450.0000</t>
  </si>
  <si>
    <t>7,160.0000</t>
  </si>
  <si>
    <t>6,730.0000</t>
  </si>
  <si>
    <t>6,570.0000</t>
  </si>
  <si>
    <t>5,380.0000</t>
  </si>
  <si>
    <t>6,680.0000</t>
  </si>
  <si>
    <t>5,710.0000</t>
  </si>
  <si>
    <t>5,150.0000</t>
  </si>
  <si>
    <t>5,400.0000</t>
  </si>
  <si>
    <t>5,110.0000</t>
  </si>
  <si>
    <t>5,140.0000</t>
  </si>
  <si>
    <t>4,780.0000</t>
  </si>
  <si>
    <t>4,880.0000</t>
  </si>
  <si>
    <t>4,630.0000</t>
  </si>
  <si>
    <t>5,240.0000</t>
  </si>
  <si>
    <t>5,021.0000</t>
  </si>
  <si>
    <t>4,090.0000</t>
  </si>
  <si>
    <t>5,100.0000</t>
  </si>
  <si>
    <t>3,770.0000</t>
  </si>
  <si>
    <t>4,450.0000</t>
  </si>
  <si>
    <t>3,410.0000</t>
  </si>
  <si>
    <t>3,570.0000</t>
  </si>
  <si>
    <t>4,232.0000</t>
  </si>
  <si>
    <t>3,507.8000</t>
  </si>
  <si>
    <t>4,380.0000</t>
  </si>
  <si>
    <t>2,980.0000</t>
  </si>
  <si>
    <t>3,180.0000</t>
  </si>
  <si>
    <t>2,970.0000</t>
  </si>
  <si>
    <t>2,850.0000</t>
  </si>
  <si>
    <t>3,630.0000</t>
  </si>
  <si>
    <t>1,745.0000</t>
  </si>
  <si>
    <t>3,520.0000</t>
  </si>
  <si>
    <t>2,510.0000</t>
  </si>
  <si>
    <t>3,210.0000</t>
  </si>
  <si>
    <t>3,060.0000</t>
  </si>
  <si>
    <t>3,160.0000</t>
  </si>
  <si>
    <t>1,659.0000</t>
  </si>
  <si>
    <t>2,440.0000</t>
  </si>
  <si>
    <t>2,920.0000</t>
  </si>
  <si>
    <t>1,770.0000</t>
  </si>
  <si>
    <t>2,790.0000</t>
  </si>
  <si>
    <t>2,680.0000</t>
  </si>
  <si>
    <t>2,120.0000</t>
  </si>
  <si>
    <t>960.0000</t>
  </si>
  <si>
    <t>2,320.0000</t>
  </si>
  <si>
    <t>836.0000</t>
  </si>
  <si>
    <t>2,170.0000</t>
  </si>
  <si>
    <t>2,020.0000</t>
  </si>
  <si>
    <t>2,280.0000</t>
  </si>
  <si>
    <t>2,288.4000</t>
  </si>
  <si>
    <t>1,490.0000</t>
  </si>
  <si>
    <t>1,760.0000</t>
  </si>
  <si>
    <t>2,110.0000</t>
  </si>
  <si>
    <t>372.0000</t>
  </si>
  <si>
    <t>1,990.0000</t>
  </si>
  <si>
    <t>1,870.0000</t>
  </si>
  <si>
    <t>248.0000</t>
  </si>
  <si>
    <t>1,630.0000</t>
  </si>
  <si>
    <t>108.2000</t>
  </si>
  <si>
    <t>89.0000</t>
  </si>
  <si>
    <t>874.8000</t>
  </si>
  <si>
    <t>9,970.0000</t>
  </si>
  <si>
    <t>6,270.0000</t>
  </si>
  <si>
    <t>3,040.0000</t>
  </si>
  <si>
    <t>3,620.0000</t>
  </si>
  <si>
    <t>3,420.0000</t>
  </si>
  <si>
    <t>2,500.0000</t>
  </si>
  <si>
    <t>928.0000</t>
  </si>
  <si>
    <t>2,290.0000</t>
  </si>
  <si>
    <t>772.0000</t>
  </si>
  <si>
    <t>1,690.0000</t>
  </si>
  <si>
    <t>1,680.0000</t>
  </si>
  <si>
    <t>1,360.0000</t>
  </si>
  <si>
    <t>494.0000</t>
  </si>
  <si>
    <t>229.0000</t>
  </si>
  <si>
    <t>1,000.6400</t>
  </si>
  <si>
    <t>343.3200</t>
  </si>
  <si>
    <t>519.6000</t>
  </si>
  <si>
    <t>281.0200</t>
  </si>
  <si>
    <t>922.0000</t>
  </si>
  <si>
    <t>825.0000</t>
  </si>
  <si>
    <t>905.0000</t>
  </si>
  <si>
    <t>1,065.0000</t>
  </si>
  <si>
    <t>917.0000</t>
  </si>
  <si>
    <t>534.9200</t>
  </si>
  <si>
    <t>700.2600</t>
  </si>
  <si>
    <t>575.0000</t>
  </si>
  <si>
    <t>14,778.0000</t>
  </si>
  <si>
    <t>8,313.5500</t>
  </si>
  <si>
    <t>4,691.0980</t>
  </si>
  <si>
    <t>4,037.5200</t>
  </si>
  <si>
    <t>4,670.0000</t>
  </si>
  <si>
    <t>3,018.2590</t>
  </si>
  <si>
    <t>2,282.0000</t>
  </si>
  <si>
    <t>1,335.0000</t>
  </si>
  <si>
    <t>1,066.0000</t>
  </si>
  <si>
    <t>1,454.7200</t>
  </si>
  <si>
    <t>1,530.0000</t>
  </si>
  <si>
    <t>1,764.1700</t>
  </si>
  <si>
    <t>1,408.0000</t>
  </si>
  <si>
    <t>761.0000</t>
  </si>
  <si>
    <t>179.0000</t>
  </si>
  <si>
    <t>342.0000</t>
  </si>
  <si>
    <t>101.0000</t>
  </si>
  <si>
    <t>218.0000</t>
  </si>
  <si>
    <t>1,015.5000</t>
  </si>
  <si>
    <t>1,263.0000</t>
  </si>
  <si>
    <t>782.0000</t>
  </si>
  <si>
    <t>2,055.0000</t>
  </si>
  <si>
    <t>1,725.0000</t>
  </si>
  <si>
    <t>1,359.0000</t>
  </si>
  <si>
    <t>1,265.0000</t>
  </si>
  <si>
    <t>1,101.0000</t>
  </si>
  <si>
    <t>1,182.0000</t>
  </si>
  <si>
    <t>971.0000</t>
  </si>
  <si>
    <t>414.0000</t>
  </si>
  <si>
    <t>457.0000</t>
  </si>
  <si>
    <t>257.0000</t>
  </si>
  <si>
    <t>11,150.0000</t>
  </si>
  <si>
    <t>8,650.0000</t>
  </si>
  <si>
    <t>7,604.0000</t>
  </si>
  <si>
    <t>5,920.0000</t>
  </si>
  <si>
    <t>3,892.7500</t>
  </si>
  <si>
    <t>3,744.0000</t>
  </si>
  <si>
    <t>3,430.0000</t>
  </si>
  <si>
    <t>1,875.0000</t>
  </si>
  <si>
    <t>2,950.0000</t>
  </si>
  <si>
    <t>2,438.0000</t>
  </si>
  <si>
    <t>1,202.0000</t>
  </si>
  <si>
    <t>1,700.0000</t>
  </si>
  <si>
    <t>2,258.0000</t>
  </si>
  <si>
    <t>2,180.0000</t>
  </si>
  <si>
    <t>1,555.0000</t>
  </si>
  <si>
    <t>1,545.0000</t>
  </si>
  <si>
    <t>1,349.0000</t>
  </si>
  <si>
    <t>1,014.2500</t>
  </si>
  <si>
    <t>370.8700</t>
  </si>
  <si>
    <t>581.0000</t>
  </si>
  <si>
    <t>344.0000</t>
  </si>
  <si>
    <t>2,377.0000</t>
  </si>
  <si>
    <t>6,947.0000</t>
  </si>
  <si>
    <t>3,311.0200</t>
  </si>
  <si>
    <t>3,311.0100</t>
  </si>
  <si>
    <t>2,651.0000</t>
  </si>
  <si>
    <t>2,125.0000</t>
  </si>
  <si>
    <t>2,233.0000</t>
  </si>
  <si>
    <t>1,986.0000</t>
  </si>
  <si>
    <t>1,085.0000</t>
  </si>
  <si>
    <t>864.0000</t>
  </si>
  <si>
    <t>2,946.5000</t>
  </si>
  <si>
    <t>2,440.4360</t>
  </si>
  <si>
    <t>2,755.0000</t>
  </si>
  <si>
    <t>3,000.0000</t>
  </si>
  <si>
    <t>2,425.0000</t>
  </si>
  <si>
    <t>2,123.0000</t>
  </si>
  <si>
    <t>1,356.8140</t>
  </si>
  <si>
    <t>1,389.5000</t>
  </si>
  <si>
    <t>1,715.0000</t>
  </si>
  <si>
    <t>1,817.0000</t>
  </si>
  <si>
    <t>2,370.0000</t>
  </si>
  <si>
    <t>2,458.0000</t>
  </si>
  <si>
    <t>日経225Weeklyオプション</t>
  </si>
  <si>
    <t>Nikkei 225 Weekly Options</t>
  </si>
  <si>
    <t>2021/02/05</t>
  </si>
  <si>
    <t>2021/02/04</t>
  </si>
  <si>
    <t>2021/02/19</t>
  </si>
  <si>
    <t>2021/02/18</t>
  </si>
  <si>
    <t>2021/02/26</t>
  </si>
  <si>
    <t>2021/02/25</t>
  </si>
  <si>
    <t>82.0000</t>
  </si>
  <si>
    <t>2021/03/05</t>
  </si>
  <si>
    <t>2021/03/04</t>
  </si>
  <si>
    <t>607.0000</t>
  </si>
  <si>
    <t>2021/03/19</t>
  </si>
  <si>
    <t>2021/03/18</t>
  </si>
  <si>
    <t>2021/03/26</t>
  </si>
  <si>
    <t>2021/03/25</t>
  </si>
  <si>
    <t>2021/04/02</t>
  </si>
  <si>
    <t>2021/04/01</t>
  </si>
  <si>
    <t>653.8900</t>
  </si>
  <si>
    <t>544.0000</t>
  </si>
  <si>
    <t>489.4020</t>
  </si>
  <si>
    <t>545.8900</t>
  </si>
  <si>
    <t>TOPIXオプション</t>
  </si>
  <si>
    <t>TOPIX Options</t>
  </si>
  <si>
    <t>5.3800</t>
  </si>
  <si>
    <t>5.3700</t>
  </si>
  <si>
    <t>9.4100</t>
  </si>
  <si>
    <t>45.0598</t>
  </si>
  <si>
    <t>21.0300</t>
  </si>
  <si>
    <t>17.6039</t>
  </si>
  <si>
    <t>31.7400</t>
  </si>
  <si>
    <t>31.7300</t>
  </si>
  <si>
    <t>53.6100</t>
  </si>
  <si>
    <t>52.5500</t>
  </si>
  <si>
    <t>55.8000</t>
  </si>
  <si>
    <t>75.1100</t>
  </si>
  <si>
    <t>47.0963</t>
  </si>
  <si>
    <t>123.0000</t>
  </si>
  <si>
    <t>48.5250</t>
  </si>
  <si>
    <t>69.4000</t>
  </si>
  <si>
    <t>38.7000</t>
  </si>
  <si>
    <t>37.2000</t>
  </si>
  <si>
    <t>9.1000</t>
  </si>
  <si>
    <t>44.3400</t>
  </si>
  <si>
    <t>37.4900</t>
  </si>
  <si>
    <t>22.4200</t>
  </si>
  <si>
    <t>97.2900</t>
  </si>
  <si>
    <t>67.3000</t>
  </si>
  <si>
    <t>137.6000</t>
  </si>
  <si>
    <t>137.2500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</si>
</sst>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0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43">
    <xf borderId="0" fillId="0" fontId="0" numFmtId="0" xfId="0"/>
    <xf applyFont="1" borderId="0" fillId="0" fontId="94" numFmtId="0" xfId="1946">
      <alignment vertical="center"/>
    </xf>
    <xf applyBorder="1" applyFill="1" applyFont="1" borderId="9" fillId="0" fontId="18" numFmtId="0" xfId="1946">
      <alignment vertical="center"/>
    </xf>
    <xf applyAlignment="1" applyBorder="1" applyFill="1" applyFont="1" borderId="9" fillId="0" fontId="93" numFmtId="0" xfId="1946">
      <alignment vertical="center" wrapText="1"/>
    </xf>
    <xf applyFill="1" applyFont="1" borderId="0" fillId="0" fontId="94" numFmtId="0" xfId="1946">
      <alignment vertical="center"/>
    </xf>
    <xf applyBorder="1" applyFill="1" applyFont="1" borderId="20" fillId="0" fontId="18" numFmtId="0" xfId="1946">
      <alignment vertical="center"/>
    </xf>
    <xf applyBorder="1" applyFill="1" applyFont="1" borderId="8" fillId="0" fontId="18" numFmtId="0" xfId="1946">
      <alignment vertical="center"/>
    </xf>
    <xf applyAlignment="1" applyBorder="1" applyFill="1" applyFont="1" applyNumberFormat="1" borderId="33" fillId="0" fontId="6" numFmtId="0" xfId="1946">
      <alignment horizontal="center" vertical="center" wrapText="1"/>
    </xf>
    <xf applyAlignment="1" applyBorder="1" applyFill="1" applyFont="1" applyNumberFormat="1" borderId="34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1" fillId="0" fontId="6" numFmtId="49" xfId="1946">
      <alignment horizontal="left" vertical="center"/>
    </xf>
    <xf applyAlignment="1" applyBorder="1" applyFill="1" applyFont="1" applyNumberFormat="1" borderId="22" fillId="0" fontId="6" numFmtId="3" xfId="1946">
      <alignment horizontal="right" vertical="center"/>
    </xf>
    <xf applyAlignment="1" applyBorder="1" applyFill="1" applyFont="1" applyNumberFormat="1" borderId="22" fillId="0" fontId="6" numFmtId="49" xfId="1946">
      <alignment horizontal="right" vertical="center"/>
    </xf>
    <xf applyAlignment="1" applyBorder="1" applyFill="1" applyFont="1" applyNumberFormat="1" borderId="23" fillId="0" fontId="6" numFmtId="49" xfId="1946">
      <alignment horizontal="right" vertical="center"/>
    </xf>
    <xf applyAlignment="1" applyBorder="1" applyFill="1" applyFont="1" applyNumberFormat="1" borderId="21" fillId="0" fontId="6" numFmtId="4" xfId="1946">
      <alignment horizontal="right" vertical="center"/>
    </xf>
    <xf applyAlignment="1" applyBorder="1" applyFill="1" applyFont="1" applyNumberFormat="1" borderId="21" fillId="0" fontId="6" numFmtId="3" xfId="1946">
      <alignment horizontal="right" vertical="center"/>
    </xf>
    <xf applyAlignment="1" applyBorder="1" applyFill="1" applyFont="1" applyNumberFormat="1" borderId="23" fillId="0" fontId="6" numFmtId="3" xfId="1946">
      <alignment horizontal="right" vertical="center"/>
    </xf>
    <xf applyAlignment="1" applyBorder="1" applyFill="1" applyFont="1" applyNumberFormat="1" borderId="21" fillId="0" fontId="6" numFmtId="189" xfId="1946">
      <alignment horizontal="right" vertical="center"/>
    </xf>
    <xf applyAlignment="1" applyBorder="1" applyFill="1" applyFont="1" borderId="9" fillId="0" fontId="93" numFmtId="0" xfId="1946">
      <alignment vertical="center"/>
    </xf>
    <xf applyAlignment="1" applyBorder="1" applyFill="1" applyFont="1" borderId="6" fillId="0" fontId="93" numFmtId="0" xfId="1946">
      <alignment vertical="center"/>
    </xf>
    <xf applyAlignment="1" applyBorder="1" applyFill="1" applyFont="1" applyNumberFormat="1" borderId="5" fillId="0" fontId="92" numFmtId="0" xfId="1946">
      <alignment vertical="center" wrapText="1"/>
    </xf>
    <xf applyAlignment="1" applyBorder="1" applyFill="1" applyFont="1" applyNumberFormat="1" borderId="9" fillId="0" fontId="92" numFmtId="0" xfId="1946">
      <alignment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25" fillId="0" fontId="6" numFmtId="0" xfId="1946">
      <alignment horizontal="center" vertical="center" wrapText="1"/>
    </xf>
    <xf applyAlignment="1" applyBorder="1" applyFill="1" applyFont="1" applyNumberFormat="1" borderId="26" fillId="0" fontId="6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8" fillId="0" fontId="6" numFmtId="0" xfId="1946">
      <alignment horizontal="center" vertical="center" wrapText="1"/>
    </xf>
    <xf applyAlignment="1" applyBorder="1" applyFill="1" applyFont="1" applyNumberFormat="1" borderId="29" fillId="0" fontId="6" numFmtId="0" xfId="1946">
      <alignment horizontal="center" vertical="center" wrapText="1"/>
    </xf>
    <xf applyAlignment="1" applyBorder="1" applyFill="1" applyFont="1" applyNumberFormat="1" borderId="23" fillId="0" fontId="95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top" wrapText="1"/>
    </xf>
    <xf applyAlignment="1" applyBorder="1" applyFill="1" applyFont="1" applyNumberFormat="1" borderId="30" fillId="0" fontId="6" numFmtId="0" xfId="1946">
      <alignment horizontal="center" vertical="center" wrapText="1"/>
    </xf>
    <xf applyAlignment="1" applyBorder="1" applyFill="1" applyFont="1" applyNumberFormat="1" borderId="31" fillId="0" fontId="6" numFmtId="0" xfId="1946">
      <alignment horizontal="center" vertical="center" wrapText="1"/>
    </xf>
    <xf applyAlignment="1" applyBorder="1" applyFill="1" applyFont="1" applyNumberFormat="1" borderId="32" fillId="0" fontId="6" numFmtId="0" xfId="1946">
      <alignment horizontal="center" vertical="center" wrapText="1"/>
    </xf>
    <xf applyAlignment="1" applyBorder="1" applyFill="1" applyFont="1" applyNumberFormat="1" borderId="7" fillId="0" fontId="92" numFmtId="0" xfId="1946">
      <alignment vertical="center" wrapText="1"/>
    </xf>
    <xf applyAlignment="1" applyBorder="1" applyFill="1" applyFont="1" applyNumberFormat="1" borderId="20" fillId="0" fontId="92" numFmtId="0" xfId="1946">
      <alignment vertical="center" wrapText="1"/>
    </xf>
    <xf applyAlignment="1" applyBorder="1" applyFill="1" applyFont="1" applyNumberFormat="1" borderId="24" fillId="0" fontId="6" numFmtId="0" xfId="1946">
      <alignment horizontal="center" vertical="top" wrapText="1"/>
    </xf>
    <xf applyAlignment="1" applyBorder="1" applyFill="1" applyFont="1" applyNumberFormat="1" borderId="35" fillId="0" fontId="6" numFmtId="0" xfId="1946">
      <alignment horizontal="center" vertical="center" wrapText="1"/>
    </xf>
    <xf applyAlignment="1" applyBorder="1" applyFill="1" applyFont="1" applyNumberFormat="1" borderId="36" fillId="0" fontId="6" numFmtId="0" xfId="1946">
      <alignment horizontal="center" vertical="center" wrapText="1"/>
    </xf>
    <xf applyAlignment="1" applyBorder="1" applyFill="1" applyFont="1" applyNumberFormat="1" borderId="37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center" wrapText="1"/>
    </xf>
  </cellXfs>
  <cellStyles count="1947">
    <cellStyle name="_x000c_ーセン_x000c_" xfId="17"/>
    <cellStyle name="_x000d__x000a_JournalTemplate=C:\COMFO\CTALK\JOURSTD.TPL_x000d__x000a_LbStateAddress=3 3 0 251 1 89 2 311_x000d__x000a_LbStateJou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アクセント 1 2" xfId="26"/>
    <cellStyle name="20% - アクセント 1 3" xfId="27"/>
    <cellStyle name="20% - アクセント 1 4" xfId="28"/>
    <cellStyle name="20% - アクセント 1 5" xfId="29"/>
    <cellStyle name="20% - アクセント 1 6" xfId="30"/>
    <cellStyle name="20% - アクセント 1 7" xfId="31"/>
    <cellStyle name="20% - アクセント 1 8" xfId="32"/>
    <cellStyle name="20% - アクセント 1 9" xfId="33"/>
    <cellStyle name="20% - アクセント 2 2" xfId="34"/>
    <cellStyle name="20% - アクセント 2 3" xfId="35"/>
    <cellStyle name="20% - アクセント 2 4" xfId="36"/>
    <cellStyle name="20% - アクセント 2 5" xfId="37"/>
    <cellStyle name="20% - アクセント 2 6" xfId="38"/>
    <cellStyle name="20% - アクセント 2 7" xfId="39"/>
    <cellStyle name="20% - アクセント 2 8" xfId="40"/>
    <cellStyle name="20% - アクセント 2 9" xfId="41"/>
    <cellStyle name="20% - アクセント 3 2" xfId="42"/>
    <cellStyle name="20% - アクセント 3 3" xfId="43"/>
    <cellStyle name="20% - アクセント 3 4" xfId="44"/>
    <cellStyle name="20% - アクセント 3 5" xfId="45"/>
    <cellStyle name="20% - アクセント 3 6" xfId="46"/>
    <cellStyle name="20% - アクセント 3 7" xfId="47"/>
    <cellStyle name="20% - アクセント 3 8" xfId="48"/>
    <cellStyle name="20% - アクセント 3 9" xfId="49"/>
    <cellStyle name="20% - アクセント 4 2" xfId="50"/>
    <cellStyle name="20% - アクセント 4 3" xfId="51"/>
    <cellStyle name="20% - アクセント 4 4" xfId="52"/>
    <cellStyle name="20% - アクセント 4 5" xfId="53"/>
    <cellStyle name="20% - アクセント 4 6" xfId="54"/>
    <cellStyle name="20% - アクセント 4 7" xfId="55"/>
    <cellStyle name="20% - アクセント 4 8" xfId="56"/>
    <cellStyle name="20% - アクセント 4 9" xfId="57"/>
    <cellStyle name="20% - アクセント 5 2" xfId="58"/>
    <cellStyle name="20% - アクセント 5 3" xfId="59"/>
    <cellStyle name="20% - アクセント 5 4" xfId="60"/>
    <cellStyle name="20% - アクセント 5 5" xfId="61"/>
    <cellStyle name="20% - アクセント 5 6" xfId="62"/>
    <cellStyle name="20% - アクセント 5 7" xfId="63"/>
    <cellStyle name="20% - アクセント 5 8" xfId="64"/>
    <cellStyle name="20% - アクセント 5 9" xfId="65"/>
    <cellStyle name="20% - アクセント 6 2" xfId="66"/>
    <cellStyle name="20% - アクセント 6 3" xfId="67"/>
    <cellStyle name="20% - アクセント 6 4" xfId="68"/>
    <cellStyle name="20% - アクセント 6 5" xfId="69"/>
    <cellStyle name="20% - アクセント 6 6" xfId="70"/>
    <cellStyle name="20% - アクセント 6 7" xfId="71"/>
    <cellStyle name="20% - アクセント 6 8" xfId="72"/>
    <cellStyle name="20% - アクセント 6 9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アクセント 1 2" xfId="80"/>
    <cellStyle name="40% - アクセント 1 3" xfId="81"/>
    <cellStyle name="40% - アクセント 1 4" xfId="82"/>
    <cellStyle name="40% - アクセント 1 5" xfId="83"/>
    <cellStyle name="40% - アクセント 1 6" xfId="84"/>
    <cellStyle name="40% - アクセント 1 7" xfId="85"/>
    <cellStyle name="40% - アクセント 1 8" xfId="86"/>
    <cellStyle name="40% - アクセント 1 9" xfId="87"/>
    <cellStyle name="40% - アクセント 2 2" xfId="88"/>
    <cellStyle name="40% - アクセント 2 3" xfId="89"/>
    <cellStyle name="40% - アクセント 2 4" xfId="90"/>
    <cellStyle name="40% - アクセント 2 5" xfId="91"/>
    <cellStyle name="40% - アクセント 2 6" xfId="92"/>
    <cellStyle name="40% - アクセント 2 7" xfId="93"/>
    <cellStyle name="40% - アクセント 2 8" xfId="94"/>
    <cellStyle name="40% - アクセント 2 9" xfId="95"/>
    <cellStyle name="40% - アクセント 3 2" xfId="96"/>
    <cellStyle name="40% - アクセント 3 3" xfId="97"/>
    <cellStyle name="40% - アクセント 3 4" xfId="98"/>
    <cellStyle name="40% - アクセント 3 5" xfId="99"/>
    <cellStyle name="40% - アクセント 3 6" xfId="100"/>
    <cellStyle name="40% - アクセント 3 7" xfId="101"/>
    <cellStyle name="40% - アクセント 3 8" xfId="102"/>
    <cellStyle name="40% - アクセント 3 9" xfId="103"/>
    <cellStyle name="40% - アクセント 4 2" xfId="104"/>
    <cellStyle name="40% - アクセント 4 3" xfId="105"/>
    <cellStyle name="40% - アクセント 4 4" xfId="106"/>
    <cellStyle name="40% - アクセント 4 5" xfId="107"/>
    <cellStyle name="40% - アクセント 4 6" xfId="108"/>
    <cellStyle name="40% - アクセント 4 7" xfId="109"/>
    <cellStyle name="40% - アクセント 4 8" xfId="110"/>
    <cellStyle name="40% - アクセント 4 9" xfId="111"/>
    <cellStyle name="40% - アクセント 5 2" xfId="112"/>
    <cellStyle name="40% - アクセント 5 3" xfId="113"/>
    <cellStyle name="40% - アクセント 5 4" xfId="114"/>
    <cellStyle name="40% - アクセント 5 5" xfId="115"/>
    <cellStyle name="40% - アクセント 5 6" xfId="116"/>
    <cellStyle name="40% - アクセント 5 7" xfId="117"/>
    <cellStyle name="40% - アクセント 5 8" xfId="118"/>
    <cellStyle name="40% - アクセント 5 9" xfId="119"/>
    <cellStyle name="40% - アクセント 6 2" xfId="120"/>
    <cellStyle name="40% - アクセント 6 3" xfId="121"/>
    <cellStyle name="40% - アクセント 6 4" xfId="122"/>
    <cellStyle name="40% - アクセント 6 5" xfId="123"/>
    <cellStyle name="40% - アクセント 6 6" xfId="124"/>
    <cellStyle name="40% - アクセント 6 7" xfId="125"/>
    <cellStyle name="40% - アクセント 6 8" xfId="126"/>
    <cellStyle name="40% - アクセント 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アクセント 1 2" xfId="134"/>
    <cellStyle name="60% - アクセント 1 3" xfId="135"/>
    <cellStyle name="60% - アクセント 1 4" xfId="136"/>
    <cellStyle name="60% - アクセント 1 5" xfId="137"/>
    <cellStyle name="60% - アクセント 1 6" xfId="138"/>
    <cellStyle name="60% - アクセント 1 7" xfId="139"/>
    <cellStyle name="60% - アクセント 1 8" xfId="140"/>
    <cellStyle name="60% - アクセント 1 9" xfId="141"/>
    <cellStyle name="60% - アクセント 2 2" xfId="142"/>
    <cellStyle name="60% - アクセント 2 3" xfId="143"/>
    <cellStyle name="60% - アクセント 2 4" xfId="144"/>
    <cellStyle name="60% - アクセント 2 5" xfId="145"/>
    <cellStyle name="60% - アクセント 2 6" xfId="146"/>
    <cellStyle name="60% - アクセント 2 7" xfId="147"/>
    <cellStyle name="60% - アクセント 2 8" xfId="148"/>
    <cellStyle name="60% - アクセント 2 9" xfId="149"/>
    <cellStyle name="60% - アクセント 3 2" xfId="150"/>
    <cellStyle name="60% - アクセント 3 3" xfId="151"/>
    <cellStyle name="60% - アクセント 3 4" xfId="152"/>
    <cellStyle name="60% - アクセント 3 5" xfId="153"/>
    <cellStyle name="60% - アクセント 3 6" xfId="154"/>
    <cellStyle name="60% - アクセント 3 7" xfId="155"/>
    <cellStyle name="60% - アクセント 3 8" xfId="156"/>
    <cellStyle name="60% - アクセント 3 9" xfId="157"/>
    <cellStyle name="60% - アクセント 4 2" xfId="158"/>
    <cellStyle name="60% - アクセント 4 3" xfId="159"/>
    <cellStyle name="60% - アクセント 4 4" xfId="160"/>
    <cellStyle name="60% - アクセント 4 5" xfId="161"/>
    <cellStyle name="60% - アクセント 4 6" xfId="162"/>
    <cellStyle name="60% - アクセント 4 7" xfId="163"/>
    <cellStyle name="60% - アクセント 4 8" xfId="164"/>
    <cellStyle name="60% - アクセント 4 9" xfId="165"/>
    <cellStyle name="60% - アクセント 5 2" xfId="166"/>
    <cellStyle name="60% - アクセント 5 3" xfId="167"/>
    <cellStyle name="60% - アクセント 5 4" xfId="168"/>
    <cellStyle name="60% - アクセント 5 5" xfId="169"/>
    <cellStyle name="60% - アクセント 5 6" xfId="170"/>
    <cellStyle name="60% - アクセント 5 7" xfId="171"/>
    <cellStyle name="60% - アクセント 5 8" xfId="172"/>
    <cellStyle name="60% - アクセント 5 9" xfId="173"/>
    <cellStyle name="60% - アクセント 6 2" xfId="174"/>
    <cellStyle name="60% - アクセント 6 3" xfId="175"/>
    <cellStyle name="60% - アクセント 6 4" xfId="176"/>
    <cellStyle name="60% - アクセント 6 5" xfId="177"/>
    <cellStyle name="60% - アクセント 6 6" xfId="178"/>
    <cellStyle name="60% - アクセント 6 7" xfId="179"/>
    <cellStyle name="60% - アクセント 6 8" xfId="180"/>
    <cellStyle name="60% - アクセント 6 9" xfId="181"/>
    <cellStyle name="Accent1" xfId="182"/>
    <cellStyle name="Accent2" xfId="183"/>
    <cellStyle name="Accent3" xfId="184"/>
    <cellStyle name="Accent4" xfId="185"/>
    <cellStyle name="Accent5" xfId="186"/>
    <cellStyle name="Accent6" xfId="187"/>
    <cellStyle name="args.style" xfId="188"/>
    <cellStyle name="B10" xfId="189"/>
    <cellStyle name="Bad" xfId="190"/>
    <cellStyle name="Body" xfId="191"/>
    <cellStyle name="Calc Currency (0)" xfId="2"/>
    <cellStyle name="Calc Currency (0) 2" xfId="192"/>
    <cellStyle name="Calculation" xfId="193"/>
    <cellStyle name="Calculation 2" xfId="194"/>
    <cellStyle name="Calculation 2 2" xfId="195"/>
    <cellStyle name="Calculation 2 2 2" xfId="196"/>
    <cellStyle name="Calculation 2 3" xfId="197"/>
    <cellStyle name="Calculation 2 3 2" xfId="198"/>
    <cellStyle name="Calculation 2 4" xfId="199"/>
    <cellStyle name="Calculation 2 4 2" xfId="200"/>
    <cellStyle name="Calculation 2 5" xfId="201"/>
    <cellStyle name="Calculation 2 5 2" xfId="202"/>
    <cellStyle name="Calculation 2 6" xfId="203"/>
    <cellStyle name="Calculation 2 6 2" xfId="204"/>
    <cellStyle name="Calculation 2 7" xfId="205"/>
    <cellStyle name="Calculation 3" xfId="206"/>
    <cellStyle name="Calculation 3 2" xfId="207"/>
    <cellStyle name="Calculation 4" xfId="208"/>
    <cellStyle name="Check Cell" xfId="209"/>
    <cellStyle name="Column Heading" xfId="210"/>
    <cellStyle name="Comma [0]_laroux" xfId="211"/>
    <cellStyle name="Comma_laroux" xfId="212"/>
    <cellStyle name="Currency [0]_laroux" xfId="213"/>
    <cellStyle name="Currency_laroux" xfId="214"/>
    <cellStyle name="entry" xfId="215"/>
    <cellStyle name="Explanatory Text" xfId="216"/>
    <cellStyle name="Good" xfId="217"/>
    <cellStyle name="Grey" xfId="218"/>
    <cellStyle name="Head 1" xfId="219"/>
    <cellStyle name="Header1" xfId="3"/>
    <cellStyle name="Header2" xfId="4"/>
    <cellStyle name="Header2 2" xfId="220"/>
    <cellStyle name="Header2 2 2" xfId="221"/>
    <cellStyle name="Header2 2 2 2" xfId="222"/>
    <cellStyle name="Header2 2 2 3" xfId="223"/>
    <cellStyle name="Header2 2 2 4" xfId="224"/>
    <cellStyle name="Header2 2 2 5" xfId="225"/>
    <cellStyle name="Header2 2 2 6" xfId="226"/>
    <cellStyle name="Header2 2 2 7" xfId="227"/>
    <cellStyle name="Header2 2 2 7 2" xfId="228"/>
    <cellStyle name="Header2 2 3" xfId="229"/>
    <cellStyle name="Header2 2 3 2" xfId="230"/>
    <cellStyle name="Header2 2 3 3" xfId="231"/>
    <cellStyle name="Header2 3" xfId="232"/>
    <cellStyle name="Header2 3 2" xfId="233"/>
    <cellStyle name="Header2 3 2 2" xfId="234"/>
    <cellStyle name="Header2 3 2 3" xfId="235"/>
    <cellStyle name="Header2 3 2 4" xfId="236"/>
    <cellStyle name="Header2 3 2 5" xfId="237"/>
    <cellStyle name="Header2 3 2 6" xfId="238"/>
    <cellStyle name="Header2 3 2 7" xfId="239"/>
    <cellStyle name="Header2 3 2 7 2" xfId="240"/>
    <cellStyle name="Header2 3 3" xfId="241"/>
    <cellStyle name="Header2 3 4" xfId="242"/>
    <cellStyle name="Header2 3 5" xfId="243"/>
    <cellStyle name="Header2 3 6" xfId="244"/>
    <cellStyle name="Header2 3 7" xfId="245"/>
    <cellStyle name="Header2 3 8" xfId="246"/>
    <cellStyle name="Header2 3 9" xfId="247"/>
    <cellStyle name="Header2 3 9 2" xfId="248"/>
    <cellStyle name="Header2 3 9 3" xfId="249"/>
    <cellStyle name="Header2 4" xfId="250"/>
    <cellStyle name="Header2 4 2" xfId="251"/>
    <cellStyle name="Header2 4 3" xfId="252"/>
    <cellStyle name="Header2 4 4" xfId="253"/>
    <cellStyle name="Header2 4 5" xfId="254"/>
    <cellStyle name="Header2 4 6" xfId="255"/>
    <cellStyle name="Header2 4 7" xfId="256"/>
    <cellStyle name="Header2 4 7 2" xfId="257"/>
    <cellStyle name="Header2 5" xfId="258"/>
    <cellStyle name="Header2 6" xfId="259"/>
    <cellStyle name="Header2 7" xfId="260"/>
    <cellStyle name="Header2 7 2" xfId="261"/>
    <cellStyle name="Header2 7 3" xfId="262"/>
    <cellStyle name="Heading 1" xfId="263"/>
    <cellStyle name="Heading 2" xfId="264"/>
    <cellStyle name="Heading 3" xfId="265"/>
    <cellStyle name="Heading 4" xfId="266"/>
    <cellStyle name="IBM(401K)" xfId="267"/>
    <cellStyle name="Input" xfId="268"/>
    <cellStyle name="Input [yellow]" xfId="269"/>
    <cellStyle name="Input [yellow] 2" xfId="270"/>
    <cellStyle name="Input [yellow] 2 2" xfId="271"/>
    <cellStyle name="Input [yellow] 2 2 2" xfId="272"/>
    <cellStyle name="Input [yellow] 2 2 3" xfId="273"/>
    <cellStyle name="Input [yellow] 2 2 4" xfId="274"/>
    <cellStyle name="Input [yellow] 2 2 5" xfId="275"/>
    <cellStyle name="Input [yellow] 2 2 6" xfId="276"/>
    <cellStyle name="Input [yellow] 2 2 7" xfId="277"/>
    <cellStyle name="Input [yellow] 2 2 8" xfId="278"/>
    <cellStyle name="Input [yellow] 2 2 9" xfId="279"/>
    <cellStyle name="Input [yellow] 2 3" xfId="280"/>
    <cellStyle name="Input [yellow] 2 3 2" xfId="281"/>
    <cellStyle name="Input [yellow] 2 3 3" xfId="282"/>
    <cellStyle name="Input [yellow] 3" xfId="283"/>
    <cellStyle name="Input [yellow] 3 2" xfId="284"/>
    <cellStyle name="Input [yellow] 3 2 2" xfId="285"/>
    <cellStyle name="Input [yellow] 3 2 3" xfId="286"/>
    <cellStyle name="Input [yellow] 3 2 4" xfId="287"/>
    <cellStyle name="Input [yellow] 3 2 5" xfId="288"/>
    <cellStyle name="Input [yellow] 3 2 6" xfId="289"/>
    <cellStyle name="Input [yellow] 3 2 7" xfId="290"/>
    <cellStyle name="Input [yellow] 3 2 8" xfId="291"/>
    <cellStyle name="Input [yellow] 3 2 9" xfId="292"/>
    <cellStyle name="Input [yellow] 3 3" xfId="293"/>
    <cellStyle name="Input [yellow] 3 4" xfId="294"/>
    <cellStyle name="Input [yellow] 3 5" xfId="295"/>
    <cellStyle name="Input [yellow] 3 6" xfId="296"/>
    <cellStyle name="Input [yellow] 3 7" xfId="297"/>
    <cellStyle name="Input [yellow] 3 8" xfId="298"/>
    <cellStyle name="Input [yellow] 3 9" xfId="299"/>
    <cellStyle name="Input [yellow] 3 9 2" xfId="300"/>
    <cellStyle name="Input [yellow] 3 9 3" xfId="301"/>
    <cellStyle name="Input [yellow] 4" xfId="302"/>
    <cellStyle name="Input [yellow] 4 2" xfId="303"/>
    <cellStyle name="Input [yellow] 4 3" xfId="304"/>
    <cellStyle name="Input [yellow] 4 4" xfId="305"/>
    <cellStyle name="Input [yellow] 4 5" xfId="306"/>
    <cellStyle name="Input [yellow] 4 6" xfId="307"/>
    <cellStyle name="Input [yellow] 4 7" xfId="308"/>
    <cellStyle name="Input [yellow] 4 8" xfId="309"/>
    <cellStyle name="Input [yellow] 4 8 2" xfId="310"/>
    <cellStyle name="Input [yellow] 4 8 3" xfId="311"/>
    <cellStyle name="Input [yellow] 5" xfId="312"/>
    <cellStyle name="Input [yellow] 6" xfId="313"/>
    <cellStyle name="Input [yellow] 7" xfId="314"/>
    <cellStyle name="Input [yellow] 7 2" xfId="315"/>
    <cellStyle name="Input [yellow] 7 3" xfId="316"/>
    <cellStyle name="Input 10" xfId="317"/>
    <cellStyle name="Input 10 2" xfId="318"/>
    <cellStyle name="Input 11" xfId="319"/>
    <cellStyle name="Input 11 2" xfId="320"/>
    <cellStyle name="Input 12" xfId="321"/>
    <cellStyle name="Input 12 2" xfId="322"/>
    <cellStyle name="Input 13" xfId="323"/>
    <cellStyle name="Input 13 2" xfId="324"/>
    <cellStyle name="Input 14" xfId="325"/>
    <cellStyle name="Input 14 2" xfId="326"/>
    <cellStyle name="Input 15" xfId="327"/>
    <cellStyle name="Input 15 2" xfId="328"/>
    <cellStyle name="Input 16" xfId="329"/>
    <cellStyle name="Input 16 2" xfId="330"/>
    <cellStyle name="Input 17" xfId="331"/>
    <cellStyle name="Input 17 2" xfId="332"/>
    <cellStyle name="Input 18" xfId="333"/>
    <cellStyle name="Input 19" xfId="334"/>
    <cellStyle name="Input 2" xfId="335"/>
    <cellStyle name="Input 2 2" xfId="336"/>
    <cellStyle name="Input 2 2 2" xfId="337"/>
    <cellStyle name="Input 2 3" xfId="338"/>
    <cellStyle name="Input 2 3 2" xfId="339"/>
    <cellStyle name="Input 2 4" xfId="340"/>
    <cellStyle name="Input 2 4 2" xfId="341"/>
    <cellStyle name="Input 2 5" xfId="342"/>
    <cellStyle name="Input 2 5 2" xfId="343"/>
    <cellStyle name="Input 2 6" xfId="344"/>
    <cellStyle name="Input 2 6 2" xfId="345"/>
    <cellStyle name="Input 2 7" xfId="346"/>
    <cellStyle name="Input 20" xfId="347"/>
    <cellStyle name="Input 21" xfId="348"/>
    <cellStyle name="Input 22" xfId="349"/>
    <cellStyle name="Input 23" xfId="350"/>
    <cellStyle name="Input 24" xfId="351"/>
    <cellStyle name="Input 25" xfId="352"/>
    <cellStyle name="Input 26" xfId="353"/>
    <cellStyle name="Input 3" xfId="354"/>
    <cellStyle name="Input 3 2" xfId="355"/>
    <cellStyle name="Input 4" xfId="356"/>
    <cellStyle name="Input 4 2" xfId="357"/>
    <cellStyle name="Input 5" xfId="358"/>
    <cellStyle name="Input 5 2" xfId="359"/>
    <cellStyle name="Input 6" xfId="360"/>
    <cellStyle name="Input 6 2" xfId="361"/>
    <cellStyle name="Input 7" xfId="362"/>
    <cellStyle name="Input 7 2" xfId="363"/>
    <cellStyle name="Input 8" xfId="364"/>
    <cellStyle name="Input 8 2" xfId="365"/>
    <cellStyle name="Input 9" xfId="366"/>
    <cellStyle name="Input 9 2" xfId="367"/>
    <cellStyle name="J401K" xfId="368"/>
    <cellStyle name="Linked Cell" xfId="369"/>
    <cellStyle name="Millares [0]_Compra" xfId="370"/>
    <cellStyle name="Millares_Compra" xfId="371"/>
    <cellStyle name="Moneda [0]_Compra" xfId="372"/>
    <cellStyle name="Moneda_Compra" xfId="373"/>
    <cellStyle name="Neutral" xfId="374"/>
    <cellStyle name="no dec" xfId="375"/>
    <cellStyle name="Normal - Style1" xfId="5"/>
    <cellStyle name="Normal - Style1 2" xfId="376"/>
    <cellStyle name="Normal - Style1 2 2" xfId="377"/>
    <cellStyle name="Normal - Style1 2 3" xfId="378"/>
    <cellStyle name="Normal_#18-Internet" xfId="6"/>
    <cellStyle name="Note" xfId="379"/>
    <cellStyle name="Note 2" xfId="380"/>
    <cellStyle name="Note 2 2" xfId="381"/>
    <cellStyle name="Note 2 2 2" xfId="382"/>
    <cellStyle name="Note 2 2 2 2" xfId="383"/>
    <cellStyle name="Note 2 2 3" xfId="384"/>
    <cellStyle name="Note 2 2 3 2" xfId="385"/>
    <cellStyle name="Note 2 2 4" xfId="386"/>
    <cellStyle name="Note 2 2 4 2" xfId="387"/>
    <cellStyle name="Note 2 2 5" xfId="388"/>
    <cellStyle name="Note 2 2 5 2" xfId="389"/>
    <cellStyle name="Note 2 2 6" xfId="390"/>
    <cellStyle name="Note 2 2 6 2" xfId="391"/>
    <cellStyle name="Note 2 2 7" xfId="392"/>
    <cellStyle name="Note 2 3" xfId="393"/>
    <cellStyle name="Note 2 3 2" xfId="394"/>
    <cellStyle name="Note 2 4" xfId="395"/>
    <cellStyle name="Note 3" xfId="396"/>
    <cellStyle name="Note 3 2" xfId="397"/>
    <cellStyle name="Note 3 2 2" xfId="398"/>
    <cellStyle name="Note 3 2 2 2" xfId="399"/>
    <cellStyle name="Note 3 2 3" xfId="400"/>
    <cellStyle name="Note 3 2 3 2" xfId="401"/>
    <cellStyle name="Note 3 2 4" xfId="402"/>
    <cellStyle name="Note 3 2 4 2" xfId="403"/>
    <cellStyle name="Note 3 2 5" xfId="404"/>
    <cellStyle name="Note 3 2 5 2" xfId="405"/>
    <cellStyle name="Note 3 2 6" xfId="406"/>
    <cellStyle name="Note 3 2 6 2" xfId="407"/>
    <cellStyle name="Note 3 2 7" xfId="408"/>
    <cellStyle name="Note 3 3" xfId="409"/>
    <cellStyle name="Note 3 3 2" xfId="410"/>
    <cellStyle name="Note 3 4" xfId="411"/>
    <cellStyle name="Note 3 4 2" xfId="412"/>
    <cellStyle name="Note 3 5" xfId="413"/>
    <cellStyle name="Note 3 5 2" xfId="414"/>
    <cellStyle name="Note 3 6" xfId="415"/>
    <cellStyle name="Note 3 6 2" xfId="416"/>
    <cellStyle name="Note 3 7" xfId="417"/>
    <cellStyle name="Note 3 7 2" xfId="418"/>
    <cellStyle name="Note 3 8" xfId="419"/>
    <cellStyle name="Note 4" xfId="420"/>
    <cellStyle name="Note 4 2" xfId="421"/>
    <cellStyle name="Note 4 2 2" xfId="422"/>
    <cellStyle name="Note 4 3" xfId="423"/>
    <cellStyle name="Note 4 3 2" xfId="424"/>
    <cellStyle name="Note 4 4" xfId="425"/>
    <cellStyle name="Note 4 4 2" xfId="426"/>
    <cellStyle name="Note 4 5" xfId="427"/>
    <cellStyle name="Note 4 5 2" xfId="428"/>
    <cellStyle name="Note 4 6" xfId="429"/>
    <cellStyle name="Note 4 6 2" xfId="430"/>
    <cellStyle name="Note 4 7" xfId="431"/>
    <cellStyle name="Note 5" xfId="432"/>
    <cellStyle name="Note 5 2" xfId="433"/>
    <cellStyle name="Output" xfId="434"/>
    <cellStyle name="Output 2" xfId="435"/>
    <cellStyle name="Output 2 2" xfId="436"/>
    <cellStyle name="Output 2 2 2" xfId="437"/>
    <cellStyle name="Output 2 3" xfId="438"/>
    <cellStyle name="Output 2 3 2" xfId="439"/>
    <cellStyle name="Output 2 4" xfId="440"/>
    <cellStyle name="Output 2 4 2" xfId="441"/>
    <cellStyle name="Output 2 5" xfId="442"/>
    <cellStyle name="Output 2 5 2" xfId="443"/>
    <cellStyle name="Output 2 6" xfId="444"/>
    <cellStyle name="Output 2 6 2" xfId="445"/>
    <cellStyle name="Output 2 7" xfId="446"/>
    <cellStyle name="Output 3" xfId="447"/>
    <cellStyle name="Output 3 2" xfId="448"/>
    <cellStyle name="per.style" xfId="449"/>
    <cellStyle name="Percent [2]" xfId="450"/>
    <cellStyle name="price" xfId="451"/>
    <cellStyle name="PSChar" xfId="452"/>
    <cellStyle name="PSHeading" xfId="453"/>
    <cellStyle name="QDF" xfId="454"/>
    <cellStyle name="revised" xfId="455"/>
    <cellStyle name="section" xfId="456"/>
    <cellStyle name="subhead" xfId="457"/>
    <cellStyle name="title" xfId="458"/>
    <cellStyle name="Total" xfId="459"/>
    <cellStyle name="Total 2" xfId="460"/>
    <cellStyle name="Total 2 2" xfId="461"/>
    <cellStyle name="Total 2 2 2" xfId="462"/>
    <cellStyle name="Total 2 3" xfId="463"/>
    <cellStyle name="Total 2 3 2" xfId="464"/>
    <cellStyle name="Total 2 4" xfId="465"/>
    <cellStyle name="Total 2 4 2" xfId="466"/>
    <cellStyle name="Total 2 5" xfId="467"/>
    <cellStyle name="Total 2 5 2" xfId="468"/>
    <cellStyle name="Total 2 6" xfId="469"/>
    <cellStyle name="Total 2 6 2" xfId="470"/>
    <cellStyle name="Total 2 7" xfId="471"/>
    <cellStyle name="Total 3" xfId="472"/>
    <cellStyle name="Total 3 2" xfId="473"/>
    <cellStyle name="Warning Text" xfId="474"/>
    <cellStyle name="アクセント 1 2" xfId="475"/>
    <cellStyle name="アクセント 1 3" xfId="476"/>
    <cellStyle name="アクセント 1 4" xfId="477"/>
    <cellStyle name="アクセント 1 5" xfId="478"/>
    <cellStyle name="アクセント 1 6" xfId="479"/>
    <cellStyle name="アクセント 1 7" xfId="480"/>
    <cellStyle name="アクセント 1 8" xfId="481"/>
    <cellStyle name="アクセント 1 9" xfId="482"/>
    <cellStyle name="アクセント 2 2" xfId="483"/>
    <cellStyle name="アクセント 2 3" xfId="484"/>
    <cellStyle name="アクセント 2 4" xfId="485"/>
    <cellStyle name="アクセント 2 5" xfId="486"/>
    <cellStyle name="アクセント 2 6" xfId="487"/>
    <cellStyle name="アクセント 2 7" xfId="488"/>
    <cellStyle name="アクセント 2 8" xfId="489"/>
    <cellStyle name="アクセント 2 9" xfId="490"/>
    <cellStyle name="アクセント 3 2" xfId="491"/>
    <cellStyle name="アクセント 3 3" xfId="492"/>
    <cellStyle name="アクセント 3 4" xfId="493"/>
    <cellStyle name="アクセント 3 5" xfId="494"/>
    <cellStyle name="アクセント 3 6" xfId="495"/>
    <cellStyle name="アクセント 3 7" xfId="496"/>
    <cellStyle name="アクセント 3 8" xfId="497"/>
    <cellStyle name="アクセント 3 9" xfId="498"/>
    <cellStyle name="アクセント 4 2" xfId="499"/>
    <cellStyle name="アクセント 4 3" xfId="500"/>
    <cellStyle name="アクセント 4 4" xfId="501"/>
    <cellStyle name="アクセント 4 5" xfId="502"/>
    <cellStyle name="アクセント 4 6" xfId="503"/>
    <cellStyle name="アクセント 4 7" xfId="504"/>
    <cellStyle name="アクセント 4 8" xfId="505"/>
    <cellStyle name="アクセント 4 9" xfId="506"/>
    <cellStyle name="アクセント 5 2" xfId="507"/>
    <cellStyle name="アクセント 5 3" xfId="508"/>
    <cellStyle name="アクセント 5 4" xfId="509"/>
    <cellStyle name="アクセント 5 5" xfId="510"/>
    <cellStyle name="アクセント 5 6" xfId="511"/>
    <cellStyle name="アクセント 5 7" xfId="512"/>
    <cellStyle name="アクセント 5 8" xfId="513"/>
    <cellStyle name="アクセント 5 9" xfId="514"/>
    <cellStyle name="アクセント 6 2" xfId="515"/>
    <cellStyle name="アクセント 6 3" xfId="516"/>
    <cellStyle name="アクセント 6 4" xfId="517"/>
    <cellStyle name="アクセント 6 5" xfId="518"/>
    <cellStyle name="アクセント 6 6" xfId="519"/>
    <cellStyle name="アクセント 6 7" xfId="520"/>
    <cellStyle name="アクセント 6 8" xfId="521"/>
    <cellStyle name="アクセント 6 9" xfId="522"/>
    <cellStyle name="センター" xfId="523"/>
    <cellStyle name="タイトル 2" xfId="524"/>
    <cellStyle name="タイトル 3" xfId="525"/>
    <cellStyle name="タイトル 4" xfId="526"/>
    <cellStyle name="タイトル 5" xfId="527"/>
    <cellStyle name="タイトル 6" xfId="528"/>
    <cellStyle name="タイトル 7" xfId="529"/>
    <cellStyle name="タイトル 8" xfId="530"/>
    <cellStyle name="タイトル 9" xfId="531"/>
    <cellStyle name="チェック セル 2" xfId="532"/>
    <cellStyle name="チェック セル 3" xfId="533"/>
    <cellStyle name="チェック セル 4" xfId="534"/>
    <cellStyle name="チェック セル 5" xfId="535"/>
    <cellStyle name="チェック セル 6" xfId="536"/>
    <cellStyle name="チェック セル 7" xfId="537"/>
    <cellStyle name="チェック セル 8" xfId="538"/>
    <cellStyle name="チェック セル 9" xfId="539"/>
    <cellStyle name="チャート" xfId="540"/>
    <cellStyle name="どちらでもない 2" xfId="541"/>
    <cellStyle name="どちらでもない 3" xfId="542"/>
    <cellStyle name="どちらでもない 4" xfId="543"/>
    <cellStyle name="どちらでもない 5" xfId="544"/>
    <cellStyle name="どちらでもない 6" xfId="545"/>
    <cellStyle name="どちらでもない 7" xfId="546"/>
    <cellStyle name="どちらでもない 8" xfId="547"/>
    <cellStyle name="どちらでもない 9" xfId="548"/>
    <cellStyle name="パーセント 2" xfId="549"/>
    <cellStyle name="パーセント 2 2" xfId="550"/>
    <cellStyle name="パーセント 3" xfId="551"/>
    <cellStyle name="ハイパーリンク 2" xfId="552"/>
    <cellStyle name="ハイパーリンク 2 2" xfId="553"/>
    <cellStyle name="ハイパーリンク 2 3" xfId="554"/>
    <cellStyle name="ハイパーリンク 3" xfId="555"/>
    <cellStyle name="メモ 2" xfId="556"/>
    <cellStyle name="メモ 2 2" xfId="557"/>
    <cellStyle name="メモ 2 2 2" xfId="558"/>
    <cellStyle name="メモ 2 2 2 2" xfId="559"/>
    <cellStyle name="メモ 2 2 2 2 2" xfId="560"/>
    <cellStyle name="メモ 2 2 2 3" xfId="561"/>
    <cellStyle name="メモ 2 2 2 3 2" xfId="562"/>
    <cellStyle name="メモ 2 2 2 4" xfId="563"/>
    <cellStyle name="メモ 2 2 2 4 2" xfId="564"/>
    <cellStyle name="メモ 2 2 2 5" xfId="565"/>
    <cellStyle name="メモ 2 2 2 5 2" xfId="566"/>
    <cellStyle name="メモ 2 2 2 6" xfId="567"/>
    <cellStyle name="メモ 2 2 2 6 2" xfId="568"/>
    <cellStyle name="メモ 2 2 2 7" xfId="569"/>
    <cellStyle name="メモ 2 2 3" xfId="570"/>
    <cellStyle name="メモ 2 2 3 2" xfId="571"/>
    <cellStyle name="メモ 2 2 4" xfId="572"/>
    <cellStyle name="メモ 2 3" xfId="573"/>
    <cellStyle name="メモ 2 3 2" xfId="574"/>
    <cellStyle name="メモ 2 3 2 2" xfId="575"/>
    <cellStyle name="メモ 2 3 2 2 2" xfId="576"/>
    <cellStyle name="メモ 2 3 2 3" xfId="577"/>
    <cellStyle name="メモ 2 3 2 3 2" xfId="578"/>
    <cellStyle name="メモ 2 3 2 4" xfId="579"/>
    <cellStyle name="メモ 2 3 2 4 2" xfId="580"/>
    <cellStyle name="メモ 2 3 2 5" xfId="581"/>
    <cellStyle name="メモ 2 3 2 5 2" xfId="582"/>
    <cellStyle name="メモ 2 3 2 6" xfId="583"/>
    <cellStyle name="メモ 2 3 2 6 2" xfId="584"/>
    <cellStyle name="メモ 2 3 2 7" xfId="585"/>
    <cellStyle name="メモ 2 3 3" xfId="586"/>
    <cellStyle name="メモ 2 3 3 2" xfId="587"/>
    <cellStyle name="メモ 2 4" xfId="588"/>
    <cellStyle name="メモ 2 4 2" xfId="589"/>
    <cellStyle name="メモ 2 4 2 2" xfId="590"/>
    <cellStyle name="メモ 2 4 2 2 2" xfId="591"/>
    <cellStyle name="メモ 2 4 2 3" xfId="592"/>
    <cellStyle name="メモ 2 4 2 3 2" xfId="593"/>
    <cellStyle name="メモ 2 4 2 4" xfId="594"/>
    <cellStyle name="メモ 2 4 2 4 2" xfId="595"/>
    <cellStyle name="メモ 2 4 2 5" xfId="596"/>
    <cellStyle name="メモ 2 4 2 5 2" xfId="597"/>
    <cellStyle name="メモ 2 4 2 6" xfId="598"/>
    <cellStyle name="メモ 2 4 2 6 2" xfId="599"/>
    <cellStyle name="メモ 2 4 2 7" xfId="600"/>
    <cellStyle name="メモ 2 4 3" xfId="601"/>
    <cellStyle name="メモ 2 4 3 2" xfId="602"/>
    <cellStyle name="メモ 2 4 4" xfId="603"/>
    <cellStyle name="メモ 2 4 4 2" xfId="604"/>
    <cellStyle name="メモ 2 4 5" xfId="605"/>
    <cellStyle name="メモ 2 4 5 2" xfId="606"/>
    <cellStyle name="メモ 2 4 6" xfId="607"/>
    <cellStyle name="メモ 2 4 6 2" xfId="608"/>
    <cellStyle name="メモ 2 4 7" xfId="609"/>
    <cellStyle name="メモ 2 4 7 2" xfId="610"/>
    <cellStyle name="メモ 2 4 8" xfId="611"/>
    <cellStyle name="メモ 2 5" xfId="612"/>
    <cellStyle name="メモ 2 5 2" xfId="613"/>
    <cellStyle name="メモ 2 5 2 2" xfId="614"/>
    <cellStyle name="メモ 2 5 2 2 2" xfId="615"/>
    <cellStyle name="メモ 2 5 2 3" xfId="616"/>
    <cellStyle name="メモ 2 5 2 3 2" xfId="617"/>
    <cellStyle name="メモ 2 5 2 4" xfId="618"/>
    <cellStyle name="メモ 2 5 2 4 2" xfId="619"/>
    <cellStyle name="メモ 2 5 2 5" xfId="620"/>
    <cellStyle name="メモ 2 5 2 5 2" xfId="621"/>
    <cellStyle name="メモ 2 5 2 6" xfId="622"/>
    <cellStyle name="メモ 2 5 2 6 2" xfId="623"/>
    <cellStyle name="メモ 2 5 2 7" xfId="624"/>
    <cellStyle name="メモ 2 5 3" xfId="625"/>
    <cellStyle name="メモ 2 5 3 2" xfId="626"/>
    <cellStyle name="メモ 2 5 4" xfId="627"/>
    <cellStyle name="メモ 2 5 4 2" xfId="628"/>
    <cellStyle name="メモ 2 5 5" xfId="629"/>
    <cellStyle name="メモ 2 5 5 2" xfId="630"/>
    <cellStyle name="メモ 2 5 6" xfId="631"/>
    <cellStyle name="メモ 2 5 6 2" xfId="632"/>
    <cellStyle name="メモ 2 5 7" xfId="633"/>
    <cellStyle name="メモ 2 5 7 2" xfId="634"/>
    <cellStyle name="メモ 2 5 8" xfId="635"/>
    <cellStyle name="メモ 2 6" xfId="636"/>
    <cellStyle name="メモ 2 6 2" xfId="637"/>
    <cellStyle name="メモ 2 6 2 2" xfId="638"/>
    <cellStyle name="メモ 2 6 2 2 2" xfId="639"/>
    <cellStyle name="メモ 2 6 2 3" xfId="640"/>
    <cellStyle name="メモ 2 6 2 3 2" xfId="641"/>
    <cellStyle name="メモ 2 6 2 4" xfId="642"/>
    <cellStyle name="メモ 2 6 2 4 2" xfId="643"/>
    <cellStyle name="メモ 2 6 2 5" xfId="644"/>
    <cellStyle name="メモ 2 6 2 5 2" xfId="645"/>
    <cellStyle name="メモ 2 6 2 6" xfId="646"/>
    <cellStyle name="メモ 2 6 2 6 2" xfId="647"/>
    <cellStyle name="メモ 2 6 2 7" xfId="648"/>
    <cellStyle name="メモ 2 6 3" xfId="649"/>
    <cellStyle name="メモ 2 6 3 2" xfId="650"/>
    <cellStyle name="メモ 2 6 4" xfId="651"/>
    <cellStyle name="メモ 2 6 4 2" xfId="652"/>
    <cellStyle name="メモ 2 6 5" xfId="653"/>
    <cellStyle name="メモ 2 6 5 2" xfId="654"/>
    <cellStyle name="メモ 2 6 6" xfId="655"/>
    <cellStyle name="メモ 2 6 6 2" xfId="656"/>
    <cellStyle name="メモ 2 6 7" xfId="657"/>
    <cellStyle name="メモ 2 6 7 2" xfId="658"/>
    <cellStyle name="メモ 2 6 8" xfId="659"/>
    <cellStyle name="メモ 2 7" xfId="660"/>
    <cellStyle name="メモ 2 7 2" xfId="661"/>
    <cellStyle name="メモ 2 7 2 2" xfId="662"/>
    <cellStyle name="メモ 2 7 3" xfId="663"/>
    <cellStyle name="メモ 2 7 3 2" xfId="664"/>
    <cellStyle name="メモ 2 7 4" xfId="665"/>
    <cellStyle name="メモ 2 7 4 2" xfId="666"/>
    <cellStyle name="メモ 2 7 5" xfId="667"/>
    <cellStyle name="メモ 2 7 5 2" xfId="668"/>
    <cellStyle name="メモ 2 7 6" xfId="669"/>
    <cellStyle name="メモ 2 7 6 2" xfId="670"/>
    <cellStyle name="メモ 2 7 7" xfId="671"/>
    <cellStyle name="メモ 2 8" xfId="672"/>
    <cellStyle name="メモ 2 8 2" xfId="673"/>
    <cellStyle name="メモ 3" xfId="674"/>
    <cellStyle name="メモ 3 2" xfId="675"/>
    <cellStyle name="メモ 3 2 2" xfId="676"/>
    <cellStyle name="メモ 3 2 2 2" xfId="677"/>
    <cellStyle name="メモ 3 2 3" xfId="678"/>
    <cellStyle name="メモ 3 2 3 2" xfId="679"/>
    <cellStyle name="メモ 3 2 4" xfId="680"/>
    <cellStyle name="メモ 3 2 4 2" xfId="681"/>
    <cellStyle name="メモ 3 2 5" xfId="682"/>
    <cellStyle name="メモ 3 2 5 2" xfId="683"/>
    <cellStyle name="メモ 3 2 6" xfId="684"/>
    <cellStyle name="メモ 3 2 6 2" xfId="685"/>
    <cellStyle name="メモ 3 2 7" xfId="686"/>
    <cellStyle name="メモ 3 3" xfId="687"/>
    <cellStyle name="メモ 3 3 2" xfId="688"/>
    <cellStyle name="メモ 3 4" xfId="689"/>
    <cellStyle name="メモ 3 5" xfId="690"/>
    <cellStyle name="メモ 4" xfId="691"/>
    <cellStyle name="メモ 4 2" xfId="692"/>
    <cellStyle name="メモ 4 2 2" xfId="693"/>
    <cellStyle name="メモ 4 2 2 2" xfId="694"/>
    <cellStyle name="メモ 4 2 3" xfId="695"/>
    <cellStyle name="メモ 4 2 3 2" xfId="696"/>
    <cellStyle name="メモ 4 2 4" xfId="697"/>
    <cellStyle name="メモ 4 2 4 2" xfId="698"/>
    <cellStyle name="メモ 4 2 5" xfId="699"/>
    <cellStyle name="メモ 4 2 5 2" xfId="700"/>
    <cellStyle name="メモ 4 2 6" xfId="701"/>
    <cellStyle name="メモ 4 2 6 2" xfId="702"/>
    <cellStyle name="メモ 4 2 7" xfId="703"/>
    <cellStyle name="メモ 4 3" xfId="704"/>
    <cellStyle name="メモ 4 3 2" xfId="705"/>
    <cellStyle name="メモ 4 4" xfId="706"/>
    <cellStyle name="メモ 5" xfId="707"/>
    <cellStyle name="メモ 5 2" xfId="708"/>
    <cellStyle name="メモ 5 2 2" xfId="709"/>
    <cellStyle name="メモ 5 3" xfId="710"/>
    <cellStyle name="メモ 5 3 2" xfId="711"/>
    <cellStyle name="メモ 5 4" xfId="712"/>
    <cellStyle name="メモ 5 4 2" xfId="713"/>
    <cellStyle name="メモ 5 5" xfId="714"/>
    <cellStyle name="メモ 5 5 2" xfId="715"/>
    <cellStyle name="メモ 5 6" xfId="716"/>
    <cellStyle name="メモ 5 6 2" xfId="717"/>
    <cellStyle name="メモ 5 7" xfId="718"/>
    <cellStyle name="メモ 5 7 2" xfId="719"/>
    <cellStyle name="メモ 6" xfId="720"/>
    <cellStyle name="メモ 7" xfId="721"/>
    <cellStyle name="メモ 8" xfId="722"/>
    <cellStyle name="メモ 9" xfId="723"/>
    <cellStyle name="リンク セル 2" xfId="724"/>
    <cellStyle name="リンク セル 3" xfId="725"/>
    <cellStyle name="リンク セル 4" xfId="726"/>
    <cellStyle name="リンク セル 5" xfId="727"/>
    <cellStyle name="リンク セル 6" xfId="728"/>
    <cellStyle name="リンク セル 7" xfId="729"/>
    <cellStyle name="リンク セル 8" xfId="730"/>
    <cellStyle name="リンク セル 9" xfId="731"/>
    <cellStyle name="_x001d_・_x000c_ﾏ・_x000d_ﾂ・_x0001__x0016__x0011_F5_x0007__x0001__x0001_" xfId="7"/>
    <cellStyle name="_x001d_・_x000c_ﾏ・_x000d_ﾂ・_x0001__x0016__x0011_F5_x0007__x0001__x0001_ 2" xfId="732"/>
    <cellStyle name="_x001d_・_x000c_ﾏ・_x000d_ﾂ・_x0001__x0016__x0011_F5_x0007__x0001__x0001_ 2 2" xfId="733"/>
    <cellStyle name="_x001d_・_x000c_ﾏ・_x000d_ﾂ・_x0001__x0016__x0011_F5_x0007__x0001__x0001_ 2 2 2" xfId="734"/>
    <cellStyle name="_x001d_・_x000c_ﾏ・_x000d_ﾂ・_x0001__x0016__x0011_F5_x0007__x0001__x0001_ 2 3" xfId="735"/>
    <cellStyle name="_x001d_・_x000c_ﾏ・_x000d_ﾂ・_x0001__x0016__x0011_F5_x0007__x0001__x0001_ 2 4" xfId="1939"/>
    <cellStyle name="_x001d_・_x000c_ﾏ・_x000d_ﾂ・_x0001__x0016__x0011_F5_x0007__x0001__x0001_ 3" xfId="736"/>
    <cellStyle name="_x001d_・_x000c_ﾏ・_x000d_ﾂ・_x0001__x0016__x0011_F5_x0007__x0001__x0001_ 3 2" xfId="737"/>
    <cellStyle name="_x001d_・_x000c_ﾏ・_x000d_ﾂ・_x0001__x0016__x0011_F5_x0007__x0001__x0001_ 4" xfId="1938"/>
    <cellStyle name="悪い 2" xfId="738"/>
    <cellStyle name="悪い 3" xfId="739"/>
    <cellStyle name="悪い 4" xfId="740"/>
    <cellStyle name="悪い 5" xfId="741"/>
    <cellStyle name="悪い 6" xfId="742"/>
    <cellStyle name="悪い 7" xfId="743"/>
    <cellStyle name="悪い 8" xfId="744"/>
    <cellStyle name="悪い 9" xfId="745"/>
    <cellStyle name="計算 2" xfId="746"/>
    <cellStyle name="計算 2 2" xfId="747"/>
    <cellStyle name="計算 2 2 2" xfId="748"/>
    <cellStyle name="計算 2 2 2 2" xfId="749"/>
    <cellStyle name="計算 2 2 2 2 2" xfId="750"/>
    <cellStyle name="計算 2 2 2 3" xfId="751"/>
    <cellStyle name="計算 2 2 2 3 2" xfId="752"/>
    <cellStyle name="計算 2 2 2 4" xfId="753"/>
    <cellStyle name="計算 2 2 2 4 2" xfId="754"/>
    <cellStyle name="計算 2 2 2 5" xfId="755"/>
    <cellStyle name="計算 2 2 2 5 2" xfId="756"/>
    <cellStyle name="計算 2 2 2 6" xfId="757"/>
    <cellStyle name="計算 2 2 2 6 2" xfId="758"/>
    <cellStyle name="計算 2 2 2 7" xfId="759"/>
    <cellStyle name="計算 2 2 3" xfId="760"/>
    <cellStyle name="計算 2 2 3 2" xfId="761"/>
    <cellStyle name="計算 2 2 4" xfId="762"/>
    <cellStyle name="計算 2 3" xfId="763"/>
    <cellStyle name="計算 2 3 2" xfId="764"/>
    <cellStyle name="計算 2 3 2 2" xfId="765"/>
    <cellStyle name="計算 2 3 3" xfId="766"/>
    <cellStyle name="計算 2 3 3 2" xfId="767"/>
    <cellStyle name="計算 2 3 4" xfId="768"/>
    <cellStyle name="計算 2 3 4 2" xfId="769"/>
    <cellStyle name="計算 2 3 5" xfId="770"/>
    <cellStyle name="計算 2 3 5 2" xfId="771"/>
    <cellStyle name="計算 2 3 6" xfId="772"/>
    <cellStyle name="計算 2 3 6 2" xfId="773"/>
    <cellStyle name="計算 2 3 7" xfId="774"/>
    <cellStyle name="計算 2 4" xfId="775"/>
    <cellStyle name="計算 2 4 2" xfId="776"/>
    <cellStyle name="計算 2 5" xfId="777"/>
    <cellStyle name="計算 3" xfId="778"/>
    <cellStyle name="計算 3 2" xfId="779"/>
    <cellStyle name="計算 3 2 2" xfId="780"/>
    <cellStyle name="計算 3 2 2 2" xfId="781"/>
    <cellStyle name="計算 3 2 3" xfId="782"/>
    <cellStyle name="計算 3 2 3 2" xfId="783"/>
    <cellStyle name="計算 3 2 4" xfId="784"/>
    <cellStyle name="計算 3 2 4 2" xfId="785"/>
    <cellStyle name="計算 3 2 5" xfId="786"/>
    <cellStyle name="計算 3 2 5 2" xfId="787"/>
    <cellStyle name="計算 3 2 6" xfId="788"/>
    <cellStyle name="計算 3 2 6 2" xfId="789"/>
    <cellStyle name="計算 3 2 7" xfId="790"/>
    <cellStyle name="計算 3 3" xfId="791"/>
    <cellStyle name="計算 3 3 2" xfId="792"/>
    <cellStyle name="計算 3 4" xfId="793"/>
    <cellStyle name="計算 4" xfId="794"/>
    <cellStyle name="計算 4 2" xfId="795"/>
    <cellStyle name="計算 4 2 2" xfId="796"/>
    <cellStyle name="計算 4 3" xfId="797"/>
    <cellStyle name="計算 4 3 2" xfId="798"/>
    <cellStyle name="計算 4 4" xfId="799"/>
    <cellStyle name="計算 4 4 2" xfId="800"/>
    <cellStyle name="計算 4 5" xfId="801"/>
    <cellStyle name="計算 4 5 2" xfId="802"/>
    <cellStyle name="計算 4 6" xfId="803"/>
    <cellStyle name="計算 4 6 2" xfId="804"/>
    <cellStyle name="計算 4 7" xfId="805"/>
    <cellStyle name="計算 5" xfId="806"/>
    <cellStyle name="計算 6" xfId="807"/>
    <cellStyle name="計算 7" xfId="808"/>
    <cellStyle name="計算 8" xfId="809"/>
    <cellStyle name="計算 9" xfId="810"/>
    <cellStyle name="警告文 2" xfId="811"/>
    <cellStyle name="警告文 3" xfId="812"/>
    <cellStyle name="警告文 4" xfId="813"/>
    <cellStyle name="警告文 5" xfId="814"/>
    <cellStyle name="警告文 6" xfId="815"/>
    <cellStyle name="警告文 7" xfId="816"/>
    <cellStyle name="警告文 8" xfId="817"/>
    <cellStyle name="警告文 9" xfId="818"/>
    <cellStyle name="桁蟻唇Ｆ [0.00]_laroux" xfId="819"/>
    <cellStyle name="桁蟻唇Ｆ_A°DAU±ATIsA" xfId="820"/>
    <cellStyle name="桁区切り 2" xfId="1"/>
    <cellStyle name="桁区切り 2 2" xfId="821"/>
    <cellStyle name="桁区切り 2 2 2" xfId="822"/>
    <cellStyle name="桁区切り 2 3" xfId="823"/>
    <cellStyle name="桁区切り 2 4" xfId="824"/>
    <cellStyle name="桁区切り 2 4 2" xfId="825"/>
    <cellStyle name="桁区切り 2 4 3" xfId="826"/>
    <cellStyle name="桁区切り 2 5" xfId="827"/>
    <cellStyle name="桁区切り 2 5 2" xfId="828"/>
    <cellStyle name="桁区切り 2 5 3" xfId="829"/>
    <cellStyle name="桁区切り 2 6" xfId="830"/>
    <cellStyle name="桁区切り 2_バックアップセンタ_切替テストスケジュール_20120406~10" xfId="831"/>
    <cellStyle name="桁区切り 3" xfId="832"/>
    <cellStyle name="桁区切り 3 2" xfId="833"/>
    <cellStyle name="桁区切り 3 2 2" xfId="834"/>
    <cellStyle name="桁区切り 3 2 3" xfId="835"/>
    <cellStyle name="桁区切り 3 3" xfId="836"/>
    <cellStyle name="桁区切り 4" xfId="837"/>
    <cellStyle name="桁区切り 4 2" xfId="838"/>
    <cellStyle name="桁区切り 4 2 2" xfId="839"/>
    <cellStyle name="桁区切り 4 2 3" xfId="840"/>
    <cellStyle name="桁区切り 4 3" xfId="841"/>
    <cellStyle name="桁区切り 4 4" xfId="842"/>
    <cellStyle name="桁区切り 5" xfId="843"/>
    <cellStyle name="桁区切り 5 2" xfId="844"/>
    <cellStyle name="桁区切り 5 3" xfId="845"/>
    <cellStyle name="桁区切り 6" xfId="846"/>
    <cellStyle name="桁区切り 7" xfId="1945"/>
    <cellStyle name="見出し 1 2" xfId="847"/>
    <cellStyle name="見出し 1 3" xfId="848"/>
    <cellStyle name="見出し 1 4" xfId="849"/>
    <cellStyle name="見出し 1 5" xfId="850"/>
    <cellStyle name="見出し 1 6" xfId="851"/>
    <cellStyle name="見出し 1 7" xfId="852"/>
    <cellStyle name="見出し 1 8" xfId="853"/>
    <cellStyle name="見出し 1 9" xfId="854"/>
    <cellStyle name="見出し 2 2" xfId="855"/>
    <cellStyle name="見出し 2 3" xfId="856"/>
    <cellStyle name="見出し 2 4" xfId="857"/>
    <cellStyle name="見出し 2 5" xfId="858"/>
    <cellStyle name="見出し 2 6" xfId="859"/>
    <cellStyle name="見出し 2 7" xfId="860"/>
    <cellStyle name="見出し 2 8" xfId="861"/>
    <cellStyle name="見出し 2 9" xfId="862"/>
    <cellStyle name="見出し 3 2" xfId="863"/>
    <cellStyle name="見出し 3 3" xfId="864"/>
    <cellStyle name="見出し 3 4" xfId="865"/>
    <cellStyle name="見出し 3 5" xfId="866"/>
    <cellStyle name="見出し 3 6" xfId="867"/>
    <cellStyle name="見出し 3 7" xfId="868"/>
    <cellStyle name="見出し 3 8" xfId="869"/>
    <cellStyle name="見出し 3 9" xfId="870"/>
    <cellStyle name="見出し 4 2" xfId="871"/>
    <cellStyle name="見出し 4 3" xfId="872"/>
    <cellStyle name="見出し 4 4" xfId="873"/>
    <cellStyle name="見出し 4 5" xfId="874"/>
    <cellStyle name="見出し 4 6" xfId="875"/>
    <cellStyle name="見出し 4 7" xfId="876"/>
    <cellStyle name="見出し 4 8" xfId="877"/>
    <cellStyle name="見出し 4 9" xfId="878"/>
    <cellStyle name="構成図作成用" xfId="879"/>
    <cellStyle name="取り消し" xfId="8"/>
    <cellStyle name="集計 2" xfId="880"/>
    <cellStyle name="集計 2 2" xfId="881"/>
    <cellStyle name="集計 2 2 2" xfId="882"/>
    <cellStyle name="集計 2 2 2 2" xfId="883"/>
    <cellStyle name="集計 2 2 2 2 2" xfId="884"/>
    <cellStyle name="集計 2 2 2 3" xfId="885"/>
    <cellStyle name="集計 2 2 2 3 2" xfId="886"/>
    <cellStyle name="集計 2 2 2 4" xfId="887"/>
    <cellStyle name="集計 2 2 2 4 2" xfId="888"/>
    <cellStyle name="集計 2 2 2 5" xfId="889"/>
    <cellStyle name="集計 2 2 2 5 2" xfId="890"/>
    <cellStyle name="集計 2 2 2 6" xfId="891"/>
    <cellStyle name="集計 2 2 2 6 2" xfId="892"/>
    <cellStyle name="集計 2 2 2 7" xfId="893"/>
    <cellStyle name="集計 2 2 3" xfId="894"/>
    <cellStyle name="集計 2 2 3 2" xfId="895"/>
    <cellStyle name="集計 2 3" xfId="896"/>
    <cellStyle name="集計 2 3 2" xfId="897"/>
    <cellStyle name="集計 2 3 2 2" xfId="898"/>
    <cellStyle name="集計 2 3 3" xfId="899"/>
    <cellStyle name="集計 2 3 3 2" xfId="900"/>
    <cellStyle name="集計 2 3 4" xfId="901"/>
    <cellStyle name="集計 2 3 4 2" xfId="902"/>
    <cellStyle name="集計 2 3 5" xfId="903"/>
    <cellStyle name="集計 2 3 5 2" xfId="904"/>
    <cellStyle name="集計 2 3 6" xfId="905"/>
    <cellStyle name="集計 2 3 6 2" xfId="906"/>
    <cellStyle name="集計 2 3 7" xfId="907"/>
    <cellStyle name="集計 2 4" xfId="908"/>
    <cellStyle name="集計 2 4 2" xfId="909"/>
    <cellStyle name="集計 3" xfId="910"/>
    <cellStyle name="集計 3 2" xfId="911"/>
    <cellStyle name="集計 3 2 2" xfId="912"/>
    <cellStyle name="集計 3 2 2 2" xfId="913"/>
    <cellStyle name="集計 3 2 3" xfId="914"/>
    <cellStyle name="集計 3 2 3 2" xfId="915"/>
    <cellStyle name="集計 3 2 4" xfId="916"/>
    <cellStyle name="集計 3 2 4 2" xfId="917"/>
    <cellStyle name="集計 3 2 5" xfId="918"/>
    <cellStyle name="集計 3 2 5 2" xfId="919"/>
    <cellStyle name="集計 3 2 6" xfId="920"/>
    <cellStyle name="集計 3 2 6 2" xfId="921"/>
    <cellStyle name="集計 3 2 7" xfId="922"/>
    <cellStyle name="集計 3 3" xfId="923"/>
    <cellStyle name="集計 3 3 2" xfId="924"/>
    <cellStyle name="集計 3 4" xfId="925"/>
    <cellStyle name="集計 4" xfId="926"/>
    <cellStyle name="集計 4 2" xfId="927"/>
    <cellStyle name="集計 4 2 2" xfId="928"/>
    <cellStyle name="集計 4 3" xfId="929"/>
    <cellStyle name="集計 4 3 2" xfId="930"/>
    <cellStyle name="集計 4 4" xfId="931"/>
    <cellStyle name="集計 4 4 2" xfId="932"/>
    <cellStyle name="集計 4 5" xfId="933"/>
    <cellStyle name="集計 4 5 2" xfId="934"/>
    <cellStyle name="集計 4 6" xfId="935"/>
    <cellStyle name="集計 4 6 2" xfId="936"/>
    <cellStyle name="集計 4 7" xfId="937"/>
    <cellStyle name="集計 5" xfId="938"/>
    <cellStyle name="集計 6" xfId="939"/>
    <cellStyle name="集計 7" xfId="940"/>
    <cellStyle name="集計 8" xfId="941"/>
    <cellStyle name="集計 9" xfId="942"/>
    <cellStyle name="出力 2" xfId="943"/>
    <cellStyle name="出力 2 2" xfId="944"/>
    <cellStyle name="出力 2 2 2" xfId="945"/>
    <cellStyle name="出力 2 2 2 2" xfId="946"/>
    <cellStyle name="出力 2 2 2 2 2" xfId="947"/>
    <cellStyle name="出力 2 2 2 3" xfId="948"/>
    <cellStyle name="出力 2 2 2 3 2" xfId="949"/>
    <cellStyle name="出力 2 2 2 4" xfId="950"/>
    <cellStyle name="出力 2 2 2 4 2" xfId="951"/>
    <cellStyle name="出力 2 2 2 5" xfId="952"/>
    <cellStyle name="出力 2 2 2 5 2" xfId="953"/>
    <cellStyle name="出力 2 2 2 6" xfId="954"/>
    <cellStyle name="出力 2 2 2 6 2" xfId="955"/>
    <cellStyle name="出力 2 2 2 7" xfId="956"/>
    <cellStyle name="出力 2 2 3" xfId="957"/>
    <cellStyle name="出力 2 2 3 2" xfId="958"/>
    <cellStyle name="出力 2 3" xfId="959"/>
    <cellStyle name="出力 2 3 2" xfId="960"/>
    <cellStyle name="出力 2 3 2 2" xfId="961"/>
    <cellStyle name="出力 2 3 3" xfId="962"/>
    <cellStyle name="出力 2 3 3 2" xfId="963"/>
    <cellStyle name="出力 2 3 4" xfId="964"/>
    <cellStyle name="出力 2 3 4 2" xfId="965"/>
    <cellStyle name="出力 2 3 5" xfId="966"/>
    <cellStyle name="出力 2 3 5 2" xfId="967"/>
    <cellStyle name="出力 2 3 6" xfId="968"/>
    <cellStyle name="出力 2 3 6 2" xfId="969"/>
    <cellStyle name="出力 2 3 7" xfId="970"/>
    <cellStyle name="出力 2 4" xfId="971"/>
    <cellStyle name="出力 2 4 2" xfId="972"/>
    <cellStyle name="出力 3" xfId="973"/>
    <cellStyle name="出力 3 2" xfId="974"/>
    <cellStyle name="出力 3 2 2" xfId="975"/>
    <cellStyle name="出力 3 2 2 2" xfId="976"/>
    <cellStyle name="出力 3 2 3" xfId="977"/>
    <cellStyle name="出力 3 2 3 2" xfId="978"/>
    <cellStyle name="出力 3 2 4" xfId="979"/>
    <cellStyle name="出力 3 2 4 2" xfId="980"/>
    <cellStyle name="出力 3 2 5" xfId="981"/>
    <cellStyle name="出力 3 2 5 2" xfId="982"/>
    <cellStyle name="出力 3 2 6" xfId="983"/>
    <cellStyle name="出力 3 2 6 2" xfId="984"/>
    <cellStyle name="出力 3 2 7" xfId="985"/>
    <cellStyle name="出力 3 3" xfId="986"/>
    <cellStyle name="出力 3 3 2" xfId="987"/>
    <cellStyle name="出力 3 4" xfId="988"/>
    <cellStyle name="出力 4" xfId="989"/>
    <cellStyle name="出力 4 2" xfId="990"/>
    <cellStyle name="出力 4 2 2" xfId="991"/>
    <cellStyle name="出力 4 3" xfId="992"/>
    <cellStyle name="出力 4 3 2" xfId="993"/>
    <cellStyle name="出力 4 4" xfId="994"/>
    <cellStyle name="出力 4 4 2" xfId="995"/>
    <cellStyle name="出力 4 5" xfId="996"/>
    <cellStyle name="出力 4 5 2" xfId="997"/>
    <cellStyle name="出力 4 6" xfId="998"/>
    <cellStyle name="出力 4 6 2" xfId="999"/>
    <cellStyle name="出力 4 7" xfId="1000"/>
    <cellStyle name="出力 5" xfId="1001"/>
    <cellStyle name="出力 6" xfId="1002"/>
    <cellStyle name="出力 7" xfId="1003"/>
    <cellStyle name="出力 8" xfId="1004"/>
    <cellStyle name="出力 9" xfId="1005"/>
    <cellStyle name="人月" xfId="1006"/>
    <cellStyle name="人月 2" xfId="1941"/>
    <cellStyle name="人月 3" xfId="1940"/>
    <cellStyle name="説明文 2" xfId="1007"/>
    <cellStyle name="説明文 3" xfId="1008"/>
    <cellStyle name="説明文 4" xfId="1009"/>
    <cellStyle name="説明文 5" xfId="1010"/>
    <cellStyle name="説明文 6" xfId="1011"/>
    <cellStyle name="説明文 7" xfId="1012"/>
    <cellStyle name="説明文 8" xfId="1013"/>
    <cellStyle name="説明文 9" xfId="1014"/>
    <cellStyle name="脱浦 [0.00]_laroux" xfId="1015"/>
    <cellStyle name="脱浦_laroux" xfId="1016"/>
    <cellStyle name="通貨 [0.00" xfId="1017"/>
    <cellStyle name="通貨 [0.00 2" xfId="1018"/>
    <cellStyle name="通貨 [0.00 3" xfId="1019"/>
    <cellStyle name="通貨 [0.00 4" xfId="1020"/>
    <cellStyle name="通貨 [0.00 5" xfId="1021"/>
    <cellStyle name="通貨 [0.00 6" xfId="1022"/>
    <cellStyle name="通貨 2" xfId="1023"/>
    <cellStyle name="通貨 2 2" xfId="1024"/>
    <cellStyle name="通貨 2 2 2" xfId="1025"/>
    <cellStyle name="通貨 2 2 3" xfId="1026"/>
    <cellStyle name="通貨 2 3" xfId="1027"/>
    <cellStyle name="通貨 2 4" xfId="1028"/>
    <cellStyle name="通貨 2 5" xfId="1029"/>
    <cellStyle name="通貨 3" xfId="1030"/>
    <cellStyle name="入力 2" xfId="1031"/>
    <cellStyle name="入力 2 2" xfId="1032"/>
    <cellStyle name="入力 2 2 2" xfId="1033"/>
    <cellStyle name="入力 2 2 2 2" xfId="1034"/>
    <cellStyle name="入力 2 2 2 2 2" xfId="1035"/>
    <cellStyle name="入力 2 2 2 3" xfId="1036"/>
    <cellStyle name="入力 2 2 2 3 2" xfId="1037"/>
    <cellStyle name="入力 2 2 2 4" xfId="1038"/>
    <cellStyle name="入力 2 2 2 4 2" xfId="1039"/>
    <cellStyle name="入力 2 2 2 5" xfId="1040"/>
    <cellStyle name="入力 2 2 2 5 2" xfId="1041"/>
    <cellStyle name="入力 2 2 2 6" xfId="1042"/>
    <cellStyle name="入力 2 2 2 6 2" xfId="1043"/>
    <cellStyle name="入力 2 2 2 7" xfId="1044"/>
    <cellStyle name="入力 2 2 3" xfId="1045"/>
    <cellStyle name="入力 2 2 3 2" xfId="1046"/>
    <cellStyle name="入力 2 2 4" xfId="1047"/>
    <cellStyle name="入力 2 3" xfId="1048"/>
    <cellStyle name="入力 2 3 2" xfId="1049"/>
    <cellStyle name="入力 2 3 2 2" xfId="1050"/>
    <cellStyle name="入力 2 3 3" xfId="1051"/>
    <cellStyle name="入力 2 3 3 2" xfId="1052"/>
    <cellStyle name="入力 2 3 4" xfId="1053"/>
    <cellStyle name="入力 2 3 4 2" xfId="1054"/>
    <cellStyle name="入力 2 3 5" xfId="1055"/>
    <cellStyle name="入力 2 3 5 2" xfId="1056"/>
    <cellStyle name="入力 2 3 6" xfId="1057"/>
    <cellStyle name="入力 2 3 6 2" xfId="1058"/>
    <cellStyle name="入力 2 3 7" xfId="1059"/>
    <cellStyle name="入力 2 4" xfId="1060"/>
    <cellStyle name="入力 2 4 2" xfId="1061"/>
    <cellStyle name="入力 2 5" xfId="1062"/>
    <cellStyle name="入力 3" xfId="1063"/>
    <cellStyle name="入力 3 2" xfId="1064"/>
    <cellStyle name="入力 3 2 2" xfId="1065"/>
    <cellStyle name="入力 3 2 2 2" xfId="1066"/>
    <cellStyle name="入力 3 2 3" xfId="1067"/>
    <cellStyle name="入力 3 2 3 2" xfId="1068"/>
    <cellStyle name="入力 3 2 4" xfId="1069"/>
    <cellStyle name="入力 3 2 4 2" xfId="1070"/>
    <cellStyle name="入力 3 2 5" xfId="1071"/>
    <cellStyle name="入力 3 2 5 2" xfId="1072"/>
    <cellStyle name="入力 3 2 6" xfId="1073"/>
    <cellStyle name="入力 3 2 6 2" xfId="1074"/>
    <cellStyle name="入力 3 2 7" xfId="1075"/>
    <cellStyle name="入力 3 3" xfId="1076"/>
    <cellStyle name="入力 3 3 2" xfId="1077"/>
    <cellStyle name="入力 3 4" xfId="1078"/>
    <cellStyle name="入力 4" xfId="1079"/>
    <cellStyle name="入力 4 2" xfId="1080"/>
    <cellStyle name="入力 4 2 2" xfId="1081"/>
    <cellStyle name="入力 4 3" xfId="1082"/>
    <cellStyle name="入力 4 3 2" xfId="1083"/>
    <cellStyle name="入力 4 4" xfId="1084"/>
    <cellStyle name="入力 4 4 2" xfId="1085"/>
    <cellStyle name="入力 4 5" xfId="1086"/>
    <cellStyle name="入力 4 5 2" xfId="1087"/>
    <cellStyle name="入力 4 6" xfId="1088"/>
    <cellStyle name="入力 4 6 2" xfId="1089"/>
    <cellStyle name="入力 4 7" xfId="1090"/>
    <cellStyle name="入力 5" xfId="1091"/>
    <cellStyle name="入力 6" xfId="1092"/>
    <cellStyle name="入力 7" xfId="1093"/>
    <cellStyle name="入力 8" xfId="1094"/>
    <cellStyle name="入力 9" xfId="1095"/>
    <cellStyle builtinId="0" name="標準" xfId="0"/>
    <cellStyle name="標準 10" xfId="1096"/>
    <cellStyle name="標準 10 2" xfId="1097"/>
    <cellStyle name="標準 10 3" xfId="14"/>
    <cellStyle name="標準 10 4" xfId="1098"/>
    <cellStyle name="標準 10 5" xfId="1099"/>
    <cellStyle name="標準 100" xfId="1100"/>
    <cellStyle name="標準 100 2" xfId="1101"/>
    <cellStyle name="標準 100 2 2" xfId="1102"/>
    <cellStyle name="標準 100 2 2 2" xfId="1103"/>
    <cellStyle name="標準 100 2 2 3" xfId="1104"/>
    <cellStyle name="標準 100 2 2 4" xfId="1105"/>
    <cellStyle name="標準 100 2 3" xfId="1106"/>
    <cellStyle name="標準 100 2 4" xfId="1107"/>
    <cellStyle name="標準 100 2 5" xfId="1108"/>
    <cellStyle name="標準 100 3" xfId="1109"/>
    <cellStyle name="標準 100 3 2" xfId="1110"/>
    <cellStyle name="標準 100 3 3" xfId="1111"/>
    <cellStyle name="標準 100 3 4" xfId="1112"/>
    <cellStyle name="標準 100 4" xfId="1113"/>
    <cellStyle name="標準 100 5" xfId="1114"/>
    <cellStyle name="標準 100 6" xfId="1115"/>
    <cellStyle name="標準 101" xfId="1116"/>
    <cellStyle name="標準 102" xfId="1117"/>
    <cellStyle name="標準 102 2" xfId="1118"/>
    <cellStyle name="標準 102 2 2" xfId="1119"/>
    <cellStyle name="標準 102 2 3" xfId="1120"/>
    <cellStyle name="標準 102 2 4" xfId="1121"/>
    <cellStyle name="標準 102 3" xfId="1122"/>
    <cellStyle name="標準 102 4" xfId="1123"/>
    <cellStyle name="標準 102 5" xfId="1124"/>
    <cellStyle name="標準 103" xfId="1125"/>
    <cellStyle name="標準 104" xfId="1126"/>
    <cellStyle name="標準 104 2" xfId="1127"/>
    <cellStyle name="標準 104 3" xfId="1128"/>
    <cellStyle name="標準 104 4" xfId="1129"/>
    <cellStyle name="標準 105" xfId="1130"/>
    <cellStyle name="標準 106" xfId="1131"/>
    <cellStyle name="標準 107" xfId="1132"/>
    <cellStyle name="標準 108" xfId="1133"/>
    <cellStyle name="標準 109" xfId="1134"/>
    <cellStyle name="標準 11" xfId="1135"/>
    <cellStyle name="標準 11 2" xfId="1136"/>
    <cellStyle name="標準 11 3" xfId="1137"/>
    <cellStyle name="標準 110" xfId="1138"/>
    <cellStyle name="標準 111" xfId="1139"/>
    <cellStyle name="標準 112" xfId="1140"/>
    <cellStyle name="標準 113" xfId="1141"/>
    <cellStyle name="標準 114" xfId="1142"/>
    <cellStyle name="標準 115" xfId="1143"/>
    <cellStyle name="標準 116" xfId="1144"/>
    <cellStyle name="標準 117" xfId="1145"/>
    <cellStyle name="標準 118" xfId="1146"/>
    <cellStyle name="標準 119" xfId="1147"/>
    <cellStyle name="標準 12" xfId="1148"/>
    <cellStyle name="標準 12 2" xfId="1149"/>
    <cellStyle name="標準 12 2 2" xfId="1150"/>
    <cellStyle name="標準 12 2 3" xfId="1151"/>
    <cellStyle name="標準 12 3" xfId="1152"/>
    <cellStyle name="標準 12 3 2" xfId="1153"/>
    <cellStyle name="標準 12 3 3" xfId="1154"/>
    <cellStyle name="標準 120" xfId="1155"/>
    <cellStyle name="標準 121" xfId="1156"/>
    <cellStyle name="標準 122" xfId="1157"/>
    <cellStyle name="標準 123" xfId="1158"/>
    <cellStyle name="標準 124" xfId="1159"/>
    <cellStyle name="標準 125" xfId="1160"/>
    <cellStyle name="標準 126" xfId="1161"/>
    <cellStyle name="標準 127" xfId="1162"/>
    <cellStyle name="標準 128" xfId="1163"/>
    <cellStyle name="標準 129" xfId="1164"/>
    <cellStyle name="標準 13" xfId="1165"/>
    <cellStyle name="標準 13 2" xfId="1166"/>
    <cellStyle name="標準 13 3" xfId="1167"/>
    <cellStyle name="標準 13 4" xfId="1168"/>
    <cellStyle name="標準 13 5" xfId="1169"/>
    <cellStyle name="標準 130" xfId="1170"/>
    <cellStyle name="標準 131" xfId="1171"/>
    <cellStyle name="標準 132" xfId="1937"/>
    <cellStyle name="標準 132 2" xfId="1943"/>
    <cellStyle name="標準 133" xfId="1944"/>
    <cellStyle name="標準 134" xfId="1946"/>
    <cellStyle name="標準 136" xfId="1172"/>
    <cellStyle name="標準 14" xfId="1173"/>
    <cellStyle name="標準 14 2" xfId="1174"/>
    <cellStyle name="標準 14 2 2" xfId="1175"/>
    <cellStyle name="標準 14 2 3" xfId="1176"/>
    <cellStyle name="標準 14 3" xfId="1177"/>
    <cellStyle name="標準 14 4" xfId="1178"/>
    <cellStyle name="標準 15" xfId="1179"/>
    <cellStyle name="標準 15 2" xfId="1180"/>
    <cellStyle name="標準 15 2 2" xfId="1181"/>
    <cellStyle name="標準 15 2 3" xfId="1182"/>
    <cellStyle name="標準 15 3" xfId="1183"/>
    <cellStyle name="標準 15 4" xfId="1184"/>
    <cellStyle name="標準 15 5" xfId="1185"/>
    <cellStyle name="標準 15 6" xfId="1186"/>
    <cellStyle name="標準 16" xfId="1187"/>
    <cellStyle name="標準 16 2" xfId="1188"/>
    <cellStyle name="標準 16 2 2" xfId="1189"/>
    <cellStyle name="標準 16 2 3" xfId="1190"/>
    <cellStyle name="標準 16 3" xfId="1191"/>
    <cellStyle name="標準 16 4" xfId="1192"/>
    <cellStyle name="標準 16 5" xfId="1193"/>
    <cellStyle name="標準 17" xfId="1194"/>
    <cellStyle name="標準 17 2" xfId="1195"/>
    <cellStyle name="標準 17 2 2" xfId="1196"/>
    <cellStyle name="標準 17 2 3" xfId="1197"/>
    <cellStyle name="標準 17 3" xfId="1198"/>
    <cellStyle name="標準 17 4" xfId="1199"/>
    <cellStyle name="標準 17 5" xfId="1200"/>
    <cellStyle name="標準 18" xfId="1201"/>
    <cellStyle name="標準 18 2" xfId="1202"/>
    <cellStyle name="標準 18 2 2" xfId="1203"/>
    <cellStyle name="標準 18 2 3" xfId="1204"/>
    <cellStyle name="標準 18 2 4" xfId="1205"/>
    <cellStyle name="標準 18 3" xfId="1206"/>
    <cellStyle name="標準 18 4" xfId="1207"/>
    <cellStyle name="標準 18 5" xfId="1208"/>
    <cellStyle name="標準 18 6" xfId="1209"/>
    <cellStyle name="標準 19" xfId="1210"/>
    <cellStyle name="標準 19 2" xfId="1211"/>
    <cellStyle name="標準 19 3" xfId="1212"/>
    <cellStyle name="標準 2" xfId="9"/>
    <cellStyle name="標準 2 10" xfId="1213"/>
    <cellStyle name="標準 2 11" xfId="1214"/>
    <cellStyle name="標準 2 12" xfId="1215"/>
    <cellStyle name="標準 2 13" xfId="1216"/>
    <cellStyle name="標準 2 2" xfId="10"/>
    <cellStyle name="標準 2 2 2" xfId="1217"/>
    <cellStyle name="標準 2 2 2 2" xfId="1218"/>
    <cellStyle name="標準 2 2 2 2 2" xfId="1219"/>
    <cellStyle name="標準 2 2 2 2 3" xfId="1220"/>
    <cellStyle name="標準 2 2 2 3" xfId="1221"/>
    <cellStyle name="標準 2 2 3" xfId="1222"/>
    <cellStyle name="標準 2 2 3 2" xfId="1223"/>
    <cellStyle name="標準 2 2 3 3" xfId="1224"/>
    <cellStyle name="標準 2 2 4" xfId="1225"/>
    <cellStyle name="標準 2 2 4 2" xfId="1226"/>
    <cellStyle name="標準 2 2 4 3" xfId="1227"/>
    <cellStyle name="標準 2 2 5" xfId="1228"/>
    <cellStyle name="標準 2 2 5 2" xfId="1229"/>
    <cellStyle name="標準 2 2 5 3" xfId="1230"/>
    <cellStyle name="標準 2 2 6" xfId="1231"/>
    <cellStyle name="標準 2 2 6 2" xfId="1232"/>
    <cellStyle name="標準 2 2 6 3" xfId="1233"/>
    <cellStyle name="標準 2 2 7" xfId="1234"/>
    <cellStyle name="標準 2 2 8" xfId="1235"/>
    <cellStyle name="標準 2 2_(別紙1)参加者テスト仕様書(JPN)_ver1.81" xfId="1236"/>
    <cellStyle name="標準 2 3" xfId="13"/>
    <cellStyle name="標準 2 3 2" xfId="1237"/>
    <cellStyle name="標準 2 3 2 2" xfId="1238"/>
    <cellStyle name="標準 2 3 3" xfId="1239"/>
    <cellStyle name="標準 2 3 3 2" xfId="1240"/>
    <cellStyle name="標準 2 3 3 3" xfId="1241"/>
    <cellStyle name="標準 2 3 4" xfId="1242"/>
    <cellStyle name="標準 2 4" xfId="1243"/>
    <cellStyle name="標準 2 4 2" xfId="1244"/>
    <cellStyle name="標準 2 4 2 2" xfId="1245"/>
    <cellStyle name="標準 2 4 3" xfId="1246"/>
    <cellStyle name="標準 2 5" xfId="1247"/>
    <cellStyle name="標準 2 5 2" xfId="1248"/>
    <cellStyle name="標準 2 5 3" xfId="1249"/>
    <cellStyle name="標準 2 6" xfId="1250"/>
    <cellStyle name="標準 2 6 2" xfId="1251"/>
    <cellStyle name="標準 2 6 3" xfId="1252"/>
    <cellStyle name="標準 2 6 4" xfId="1253"/>
    <cellStyle name="標準 2 7" xfId="1254"/>
    <cellStyle name="標準 2 7 2" xfId="1255"/>
    <cellStyle name="標準 2 8" xfId="1256"/>
    <cellStyle name="標準 2 8 2" xfId="1257"/>
    <cellStyle name="標準 2 9" xfId="1258"/>
    <cellStyle name="標準 2_(別紙1)参加者テスト仕様書(JPN)_ver1.81" xfId="1259"/>
    <cellStyle name="標準 20" xfId="1260"/>
    <cellStyle name="標準 20 2" xfId="1261"/>
    <cellStyle name="標準 20 3" xfId="1262"/>
    <cellStyle name="標準 20 4" xfId="1263"/>
    <cellStyle name="標準 20 5" xfId="1264"/>
    <cellStyle name="標準 21" xfId="1265"/>
    <cellStyle name="標準 21 2" xfId="1266"/>
    <cellStyle name="標準 21 2 2" xfId="1267"/>
    <cellStyle name="標準 21 3" xfId="1268"/>
    <cellStyle name="標準 21 3 2" xfId="1269"/>
    <cellStyle name="標準 21 4" xfId="1270"/>
    <cellStyle name="標準 21 5" xfId="1271"/>
    <cellStyle name="標準 22" xfId="1272"/>
    <cellStyle name="標準 22 2" xfId="1273"/>
    <cellStyle name="標準 22 3" xfId="1274"/>
    <cellStyle name="標準 23" xfId="1275"/>
    <cellStyle name="標準 23 2" xfId="1276"/>
    <cellStyle name="標準 23 3" xfId="1277"/>
    <cellStyle name="標準 24" xfId="1278"/>
    <cellStyle name="標準 24 2" xfId="1279"/>
    <cellStyle name="標準 24 3" xfId="1280"/>
    <cellStyle name="標準 25" xfId="1281"/>
    <cellStyle name="標準 26" xfId="1282"/>
    <cellStyle name="標準 27" xfId="1283"/>
    <cellStyle name="標準 28" xfId="1284"/>
    <cellStyle name="標準 29" xfId="1285"/>
    <cellStyle name="標準 3" xfId="11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6"/>
    <cellStyle name="標準 4 2" xfId="1336"/>
    <cellStyle name="標準 4 2 2" xfId="1337"/>
    <cellStyle name="標準 4 2 2 2" xfId="1338"/>
    <cellStyle name="標準 4 2 2 3" xfId="1339"/>
    <cellStyle name="標準 4 2 3" xfId="1340"/>
    <cellStyle name="標準 4 3" xfId="1341"/>
    <cellStyle name="標準 4 3 2" xfId="1342"/>
    <cellStyle name="標準 4 3 3" xfId="1343"/>
    <cellStyle name="標準 4 4" xfId="1344"/>
    <cellStyle name="標準 4 4 2" xfId="1345"/>
    <cellStyle name="標準 4 4 3" xfId="1346"/>
    <cellStyle name="標準 4 5" xfId="1347"/>
    <cellStyle name="標準 4 6" xfId="1348"/>
    <cellStyle name="標準 4 7" xfId="1942"/>
    <cellStyle name="標準 4_20121011__1_F⇒O_【証拠金１本化】課題管理（清算）" xfId="1349"/>
    <cellStyle name="標準 40" xfId="1350"/>
    <cellStyle name="標準 41" xfId="1351"/>
    <cellStyle name="標準 42" xfId="1352"/>
    <cellStyle name="標準 43" xfId="1353"/>
    <cellStyle name="標準 44" xfId="1354"/>
    <cellStyle name="標準 45" xfId="1355"/>
    <cellStyle name="標準 46" xfId="1356"/>
    <cellStyle name="標準 47" xfId="1357"/>
    <cellStyle name="標準 48" xfId="1358"/>
    <cellStyle name="標準 49" xfId="1359"/>
    <cellStyle name="標準 5" xfId="1360"/>
    <cellStyle name="標準 5 2" xfId="1361"/>
    <cellStyle name="標準 5 2 2" xfId="1362"/>
    <cellStyle name="標準 5 2 2 2" xfId="15"/>
    <cellStyle name="標準 5 2 2 3" xfId="1363"/>
    <cellStyle name="標準 5 2 3" xfId="1364"/>
    <cellStyle name="標準 5 2 3 2" xfId="1365"/>
    <cellStyle name="標準 5 2 3 3" xfId="1366"/>
    <cellStyle name="標準 5 3" xfId="1367"/>
    <cellStyle name="標準 5 4" xfId="1368"/>
    <cellStyle name="標準 5 4 2" xfId="1369"/>
    <cellStyle name="標準 5_バックアップセンタ_切替テストスケジュール_20120406~10" xfId="1370"/>
    <cellStyle name="標準 50" xfId="1371"/>
    <cellStyle name="標準 51" xfId="1372"/>
    <cellStyle name="標準 52" xfId="1373"/>
    <cellStyle name="標準 53" xfId="1374"/>
    <cellStyle name="標準 54" xfId="1375"/>
    <cellStyle name="標準 55" xfId="1376"/>
    <cellStyle name="標準 56" xfId="1377"/>
    <cellStyle name="標準 57" xfId="1378"/>
    <cellStyle name="標準 58" xfId="1379"/>
    <cellStyle name="標準 59" xfId="1380"/>
    <cellStyle name="標準 6" xfId="1381"/>
    <cellStyle name="標準 6 2" xfId="1382"/>
    <cellStyle name="標準 6 2 2" xfId="1383"/>
    <cellStyle name="標準 6 2 3" xfId="1384"/>
    <cellStyle name="標準 6 2 4" xfId="1385"/>
    <cellStyle name="標準 6 3" xfId="1386"/>
    <cellStyle name="標準 6_バックアップセンタ_切替テストスケジュール_20120406~10" xfId="1387"/>
    <cellStyle name="標準 60" xfId="1388"/>
    <cellStyle name="標準 61" xfId="1389"/>
    <cellStyle name="標準 62" xfId="1390"/>
    <cellStyle name="標準 63" xfId="1391"/>
    <cellStyle name="標準 64" xfId="1392"/>
    <cellStyle name="標準 65" xfId="1393"/>
    <cellStyle name="標準 66" xfId="1394"/>
    <cellStyle name="標準 67" xfId="1395"/>
    <cellStyle name="標準 68" xfId="1396"/>
    <cellStyle name="標準 69" xfId="1397"/>
    <cellStyle name="標準 69 2" xfId="1398"/>
    <cellStyle name="標準 69 2 2" xfId="1399"/>
    <cellStyle name="標準 69 2 2 2" xfId="1400"/>
    <cellStyle name="標準 69 2 2 3" xfId="1401"/>
    <cellStyle name="標準 69 2 2 4" xfId="1402"/>
    <cellStyle name="標準 69 2 3" xfId="1403"/>
    <cellStyle name="標準 69 2 4" xfId="1404"/>
    <cellStyle name="標準 69 2 5" xfId="1405"/>
    <cellStyle name="標準 69 3" xfId="1406"/>
    <cellStyle name="標準 69 3 2" xfId="1407"/>
    <cellStyle name="標準 69 3 3" xfId="1408"/>
    <cellStyle name="標準 69 3 4" xfId="1409"/>
    <cellStyle name="標準 69 4" xfId="1410"/>
    <cellStyle name="標準 69 5" xfId="1411"/>
    <cellStyle name="標準 69 6" xfId="1412"/>
    <cellStyle name="標準 69 7" xfId="1413"/>
    <cellStyle name="標準 69 8" xfId="1414"/>
    <cellStyle name="標準 7" xfId="1415"/>
    <cellStyle name="標準 7 2" xfId="1416"/>
    <cellStyle name="標準 7 2 2" xfId="1417"/>
    <cellStyle name="標準 7 2 3" xfId="1418"/>
    <cellStyle name="標準 7 3" xfId="1419"/>
    <cellStyle name="標準 7 3 2" xfId="1420"/>
    <cellStyle name="標準 7 3 3" xfId="1421"/>
    <cellStyle name="標準 7 4" xfId="1422"/>
    <cellStyle name="標準 7 4 2" xfId="1423"/>
    <cellStyle name="標準 7 4 3" xfId="1424"/>
    <cellStyle name="標準 7 5" xfId="1425"/>
    <cellStyle name="標準 70" xfId="1426"/>
    <cellStyle name="標準 70 2" xfId="1427"/>
    <cellStyle name="標準 70 2 2" xfId="1428"/>
    <cellStyle name="標準 70 2 2 2" xfId="1429"/>
    <cellStyle name="標準 70 2 2 3" xfId="1430"/>
    <cellStyle name="標準 70 2 2 4" xfId="1431"/>
    <cellStyle name="標準 70 2 3" xfId="1432"/>
    <cellStyle name="標準 70 2 4" xfId="1433"/>
    <cellStyle name="標準 70 2 5" xfId="1434"/>
    <cellStyle name="標準 70 3" xfId="1435"/>
    <cellStyle name="標準 70 3 2" xfId="1436"/>
    <cellStyle name="標準 70 3 3" xfId="1437"/>
    <cellStyle name="標準 70 3 4" xfId="1438"/>
    <cellStyle name="標準 70 4" xfId="1439"/>
    <cellStyle name="標準 70 5" xfId="1440"/>
    <cellStyle name="標準 70 6" xfId="1441"/>
    <cellStyle name="標準 70 7" xfId="1442"/>
    <cellStyle name="標準 70 8" xfId="1443"/>
    <cellStyle name="標準 71" xfId="1444"/>
    <cellStyle name="標準 71 2" xfId="1445"/>
    <cellStyle name="標準 71 2 2" xfId="1446"/>
    <cellStyle name="標準 71 2 2 2" xfId="1447"/>
    <cellStyle name="標準 71 2 2 3" xfId="1448"/>
    <cellStyle name="標準 71 2 2 4" xfId="1449"/>
    <cellStyle name="標準 71 2 3" xfId="1450"/>
    <cellStyle name="標準 71 2 4" xfId="1451"/>
    <cellStyle name="標準 71 2 5" xfId="1452"/>
    <cellStyle name="標準 71 3" xfId="1453"/>
    <cellStyle name="標準 71 3 2" xfId="1454"/>
    <cellStyle name="標準 71 3 3" xfId="1455"/>
    <cellStyle name="標準 71 3 4" xfId="1456"/>
    <cellStyle name="標準 71 4" xfId="1457"/>
    <cellStyle name="標準 71 5" xfId="1458"/>
    <cellStyle name="標準 71 6" xfId="1459"/>
    <cellStyle name="標準 71 7" xfId="1460"/>
    <cellStyle name="標準 71 8" xfId="1461"/>
    <cellStyle name="標準 72" xfId="1462"/>
    <cellStyle name="標準 72 2" xfId="1463"/>
    <cellStyle name="標準 72 2 2" xfId="1464"/>
    <cellStyle name="標準 72 2 2 2" xfId="1465"/>
    <cellStyle name="標準 72 2 2 3" xfId="1466"/>
    <cellStyle name="標準 72 2 2 4" xfId="1467"/>
    <cellStyle name="標準 72 2 3" xfId="1468"/>
    <cellStyle name="標準 72 2 4" xfId="1469"/>
    <cellStyle name="標準 72 2 5" xfId="1470"/>
    <cellStyle name="標準 72 3" xfId="1471"/>
    <cellStyle name="標準 72 3 2" xfId="1472"/>
    <cellStyle name="標準 72 3 3" xfId="1473"/>
    <cellStyle name="標準 72 3 4" xfId="1474"/>
    <cellStyle name="標準 72 4" xfId="1475"/>
    <cellStyle name="標準 72 5" xfId="1476"/>
    <cellStyle name="標準 72 6" xfId="1477"/>
    <cellStyle name="標準 72 7" xfId="1478"/>
    <cellStyle name="標準 72 8" xfId="1479"/>
    <cellStyle name="標準 73" xfId="1480"/>
    <cellStyle name="標準 73 2" xfId="1481"/>
    <cellStyle name="標準 73 2 2" xfId="1482"/>
    <cellStyle name="標準 73 2 2 2" xfId="1483"/>
    <cellStyle name="標準 73 2 2 3" xfId="1484"/>
    <cellStyle name="標準 73 2 2 4" xfId="1485"/>
    <cellStyle name="標準 73 2 3" xfId="1486"/>
    <cellStyle name="標準 73 2 4" xfId="1487"/>
    <cellStyle name="標準 73 2 5" xfId="1488"/>
    <cellStyle name="標準 73 3" xfId="1489"/>
    <cellStyle name="標準 73 3 2" xfId="1490"/>
    <cellStyle name="標準 73 3 3" xfId="1491"/>
    <cellStyle name="標準 73 3 4" xfId="1492"/>
    <cellStyle name="標準 73 4" xfId="1493"/>
    <cellStyle name="標準 73 5" xfId="1494"/>
    <cellStyle name="標準 73 6" xfId="1495"/>
    <cellStyle name="標準 74" xfId="1496"/>
    <cellStyle name="標準 74 2" xfId="1497"/>
    <cellStyle name="標準 74 2 2" xfId="1498"/>
    <cellStyle name="標準 74 2 2 2" xfId="1499"/>
    <cellStyle name="標準 74 2 2 3" xfId="1500"/>
    <cellStyle name="標準 74 2 2 4" xfId="1501"/>
    <cellStyle name="標準 74 2 3" xfId="1502"/>
    <cellStyle name="標準 74 2 4" xfId="1503"/>
    <cellStyle name="標準 74 2 5" xfId="1504"/>
    <cellStyle name="標準 74 3" xfId="1505"/>
    <cellStyle name="標準 74 3 2" xfId="1506"/>
    <cellStyle name="標準 74 3 3" xfId="1507"/>
    <cellStyle name="標準 74 3 4" xfId="1508"/>
    <cellStyle name="標準 74 4" xfId="1509"/>
    <cellStyle name="標準 74 5" xfId="1510"/>
    <cellStyle name="標準 74 6" xfId="1511"/>
    <cellStyle name="標準 75" xfId="1512"/>
    <cellStyle name="標準 75 2" xfId="1513"/>
    <cellStyle name="標準 75 2 2" xfId="1514"/>
    <cellStyle name="標準 75 2 2 2" xfId="1515"/>
    <cellStyle name="標準 75 2 2 3" xfId="1516"/>
    <cellStyle name="標準 75 2 2 4" xfId="1517"/>
    <cellStyle name="標準 75 2 3" xfId="1518"/>
    <cellStyle name="標準 75 2 4" xfId="1519"/>
    <cellStyle name="標準 75 2 5" xfId="1520"/>
    <cellStyle name="標準 75 3" xfId="1521"/>
    <cellStyle name="標準 75 3 2" xfId="1522"/>
    <cellStyle name="標準 75 3 3" xfId="1523"/>
    <cellStyle name="標準 75 3 4" xfId="1524"/>
    <cellStyle name="標準 75 4" xfId="1525"/>
    <cellStyle name="標準 75 5" xfId="1526"/>
    <cellStyle name="標準 75 6" xfId="1527"/>
    <cellStyle name="標準 76" xfId="1528"/>
    <cellStyle name="標準 76 2" xfId="1529"/>
    <cellStyle name="標準 76 2 2" xfId="1530"/>
    <cellStyle name="標準 76 2 2 2" xfId="1531"/>
    <cellStyle name="標準 76 2 2 3" xfId="1532"/>
    <cellStyle name="標準 76 2 2 4" xfId="1533"/>
    <cellStyle name="標準 76 2 3" xfId="1534"/>
    <cellStyle name="標準 76 2 4" xfId="1535"/>
    <cellStyle name="標準 76 2 5" xfId="1536"/>
    <cellStyle name="標準 76 3" xfId="1537"/>
    <cellStyle name="標準 76 3 2" xfId="1538"/>
    <cellStyle name="標準 76 3 3" xfId="1539"/>
    <cellStyle name="標準 76 3 4" xfId="1540"/>
    <cellStyle name="標準 76 4" xfId="1541"/>
    <cellStyle name="標準 76 5" xfId="1542"/>
    <cellStyle name="標準 76 6" xfId="1543"/>
    <cellStyle name="標準 77" xfId="1544"/>
    <cellStyle name="標準 77 2" xfId="1545"/>
    <cellStyle name="標準 77 2 2" xfId="1546"/>
    <cellStyle name="標準 77 2 2 2" xfId="1547"/>
    <cellStyle name="標準 77 2 2 3" xfId="1548"/>
    <cellStyle name="標準 77 2 2 4" xfId="1549"/>
    <cellStyle name="標準 77 2 3" xfId="1550"/>
    <cellStyle name="標準 77 2 4" xfId="1551"/>
    <cellStyle name="標準 77 2 5" xfId="1552"/>
    <cellStyle name="標準 77 3" xfId="1553"/>
    <cellStyle name="標準 77 3 2" xfId="1554"/>
    <cellStyle name="標準 77 3 3" xfId="1555"/>
    <cellStyle name="標準 77 3 4" xfId="1556"/>
    <cellStyle name="標準 77 4" xfId="1557"/>
    <cellStyle name="標準 77 5" xfId="1558"/>
    <cellStyle name="標準 77 6" xfId="1559"/>
    <cellStyle name="標準 78" xfId="1560"/>
    <cellStyle name="標準 78 2" xfId="1561"/>
    <cellStyle name="標準 78 2 2" xfId="1562"/>
    <cellStyle name="標準 78 2 2 2" xfId="1563"/>
    <cellStyle name="標準 78 2 2 3" xfId="1564"/>
    <cellStyle name="標準 78 2 2 4" xfId="1565"/>
    <cellStyle name="標準 78 2 3" xfId="1566"/>
    <cellStyle name="標準 78 2 4" xfId="1567"/>
    <cellStyle name="標準 78 2 5" xfId="1568"/>
    <cellStyle name="標準 78 3" xfId="1569"/>
    <cellStyle name="標準 78 3 2" xfId="1570"/>
    <cellStyle name="標準 78 3 3" xfId="1571"/>
    <cellStyle name="標準 78 3 4" xfId="1572"/>
    <cellStyle name="標準 78 4" xfId="1573"/>
    <cellStyle name="標準 78 5" xfId="1574"/>
    <cellStyle name="標準 78 6" xfId="1575"/>
    <cellStyle name="標準 79" xfId="1576"/>
    <cellStyle name="標準 79 2" xfId="1577"/>
    <cellStyle name="標準 79 2 2" xfId="1578"/>
    <cellStyle name="標準 79 2 2 2" xfId="1579"/>
    <cellStyle name="標準 79 2 2 3" xfId="1580"/>
    <cellStyle name="標準 79 2 2 4" xfId="1581"/>
    <cellStyle name="標準 79 2 3" xfId="1582"/>
    <cellStyle name="標準 79 2 4" xfId="1583"/>
    <cellStyle name="標準 79 2 5" xfId="1584"/>
    <cellStyle name="標準 79 3" xfId="1585"/>
    <cellStyle name="標準 79 3 2" xfId="1586"/>
    <cellStyle name="標準 79 3 3" xfId="1587"/>
    <cellStyle name="標準 79 3 4" xfId="1588"/>
    <cellStyle name="標準 79 4" xfId="1589"/>
    <cellStyle name="標準 79 5" xfId="1590"/>
    <cellStyle name="標準 79 6" xfId="1591"/>
    <cellStyle name="標準 8" xfId="1592"/>
    <cellStyle name="標準 8 2" xfId="1593"/>
    <cellStyle name="標準 8 3" xfId="1594"/>
    <cellStyle name="標準 8 4" xfId="1595"/>
    <cellStyle name="標準 8 5" xfId="1596"/>
    <cellStyle name="標準 8 6" xfId="1597"/>
    <cellStyle name="標準 80" xfId="1598"/>
    <cellStyle name="標準 80 2" xfId="1599"/>
    <cellStyle name="標準 80 2 2" xfId="1600"/>
    <cellStyle name="標準 80 2 2 2" xfId="1601"/>
    <cellStyle name="標準 80 2 2 3" xfId="1602"/>
    <cellStyle name="標準 80 2 2 4" xfId="1603"/>
    <cellStyle name="標準 80 2 3" xfId="1604"/>
    <cellStyle name="標準 80 2 4" xfId="1605"/>
    <cellStyle name="標準 80 2 5" xfId="1606"/>
    <cellStyle name="標準 80 3" xfId="1607"/>
    <cellStyle name="標準 80 3 2" xfId="1608"/>
    <cellStyle name="標準 80 3 3" xfId="1609"/>
    <cellStyle name="標準 80 3 4" xfId="1610"/>
    <cellStyle name="標準 80 4" xfId="1611"/>
    <cellStyle name="標準 80 5" xfId="1612"/>
    <cellStyle name="標準 80 6" xfId="1613"/>
    <cellStyle name="標準 81" xfId="1614"/>
    <cellStyle name="標準 81 2" xfId="1615"/>
    <cellStyle name="標準 81 2 2" xfId="1616"/>
    <cellStyle name="標準 81 2 2 2" xfId="1617"/>
    <cellStyle name="標準 81 2 2 3" xfId="1618"/>
    <cellStyle name="標準 81 2 2 4" xfId="1619"/>
    <cellStyle name="標準 81 2 3" xfId="1620"/>
    <cellStyle name="標準 81 2 4" xfId="1621"/>
    <cellStyle name="標準 81 2 5" xfId="1622"/>
    <cellStyle name="標準 81 3" xfId="1623"/>
    <cellStyle name="標準 81 3 2" xfId="1624"/>
    <cellStyle name="標準 81 3 3" xfId="1625"/>
    <cellStyle name="標準 81 3 4" xfId="1626"/>
    <cellStyle name="標準 81 4" xfId="1627"/>
    <cellStyle name="標準 81 5" xfId="1628"/>
    <cellStyle name="標準 81 6" xfId="1629"/>
    <cellStyle name="標準 82" xfId="1630"/>
    <cellStyle name="標準 82 2" xfId="1631"/>
    <cellStyle name="標準 82 2 2" xfId="1632"/>
    <cellStyle name="標準 82 2 2 2" xfId="1633"/>
    <cellStyle name="標準 82 2 2 3" xfId="1634"/>
    <cellStyle name="標準 82 2 2 4" xfId="1635"/>
    <cellStyle name="標準 82 2 3" xfId="1636"/>
    <cellStyle name="標準 82 2 4" xfId="1637"/>
    <cellStyle name="標準 82 2 5" xfId="1638"/>
    <cellStyle name="標準 82 3" xfId="1639"/>
    <cellStyle name="標準 82 3 2" xfId="1640"/>
    <cellStyle name="標準 82 3 3" xfId="1641"/>
    <cellStyle name="標準 82 3 4" xfId="1642"/>
    <cellStyle name="標準 82 4" xfId="1643"/>
    <cellStyle name="標準 82 5" xfId="1644"/>
    <cellStyle name="標準 82 6" xfId="1645"/>
    <cellStyle name="標準 83" xfId="1646"/>
    <cellStyle name="標準 83 2" xfId="1647"/>
    <cellStyle name="標準 83 2 2" xfId="1648"/>
    <cellStyle name="標準 83 2 2 2" xfId="1649"/>
    <cellStyle name="標準 83 2 2 3" xfId="1650"/>
    <cellStyle name="標準 83 2 2 4" xfId="1651"/>
    <cellStyle name="標準 83 2 3" xfId="1652"/>
    <cellStyle name="標準 83 2 4" xfId="1653"/>
    <cellStyle name="標準 83 2 5" xfId="1654"/>
    <cellStyle name="標準 83 3" xfId="1655"/>
    <cellStyle name="標準 83 3 2" xfId="1656"/>
    <cellStyle name="標準 83 3 3" xfId="1657"/>
    <cellStyle name="標準 83 3 4" xfId="1658"/>
    <cellStyle name="標準 83 4" xfId="1659"/>
    <cellStyle name="標準 83 5" xfId="1660"/>
    <cellStyle name="標準 83 6" xfId="1661"/>
    <cellStyle name="標準 84" xfId="1662"/>
    <cellStyle name="標準 84 2" xfId="1663"/>
    <cellStyle name="標準 84 2 2" xfId="1664"/>
    <cellStyle name="標準 84 2 2 2" xfId="1665"/>
    <cellStyle name="標準 84 2 2 3" xfId="1666"/>
    <cellStyle name="標準 84 2 2 4" xfId="1667"/>
    <cellStyle name="標準 84 2 3" xfId="1668"/>
    <cellStyle name="標準 84 2 4" xfId="1669"/>
    <cellStyle name="標準 84 2 5" xfId="1670"/>
    <cellStyle name="標準 84 3" xfId="1671"/>
    <cellStyle name="標準 84 3 2" xfId="1672"/>
    <cellStyle name="標準 84 3 3" xfId="1673"/>
    <cellStyle name="標準 84 3 4" xfId="1674"/>
    <cellStyle name="標準 84 4" xfId="1675"/>
    <cellStyle name="標準 84 5" xfId="1676"/>
    <cellStyle name="標準 84 6" xfId="1677"/>
    <cellStyle name="標準 85" xfId="1678"/>
    <cellStyle name="標準 85 2" xfId="1679"/>
    <cellStyle name="標準 85 2 2" xfId="1680"/>
    <cellStyle name="標準 85 2 2 2" xfId="1681"/>
    <cellStyle name="標準 85 2 2 3" xfId="1682"/>
    <cellStyle name="標準 85 2 2 4" xfId="1683"/>
    <cellStyle name="標準 85 2 3" xfId="1684"/>
    <cellStyle name="標準 85 2 4" xfId="1685"/>
    <cellStyle name="標準 85 2 5" xfId="1686"/>
    <cellStyle name="標準 85 3" xfId="1687"/>
    <cellStyle name="標準 85 3 2" xfId="1688"/>
    <cellStyle name="標準 85 3 3" xfId="1689"/>
    <cellStyle name="標準 85 3 4" xfId="1690"/>
    <cellStyle name="標準 85 4" xfId="1691"/>
    <cellStyle name="標準 85 5" xfId="1692"/>
    <cellStyle name="標準 85 6" xfId="1693"/>
    <cellStyle name="標準 86" xfId="1694"/>
    <cellStyle name="標準 86 2" xfId="1695"/>
    <cellStyle name="標準 86 2 2" xfId="1696"/>
    <cellStyle name="標準 86 2 2 2" xfId="1697"/>
    <cellStyle name="標準 86 2 2 3" xfId="1698"/>
    <cellStyle name="標準 86 2 2 4" xfId="1699"/>
    <cellStyle name="標準 86 2 3" xfId="1700"/>
    <cellStyle name="標準 86 2 4" xfId="1701"/>
    <cellStyle name="標準 86 2 5" xfId="1702"/>
    <cellStyle name="標準 86 3" xfId="1703"/>
    <cellStyle name="標準 86 3 2" xfId="1704"/>
    <cellStyle name="標準 86 3 3" xfId="1705"/>
    <cellStyle name="標準 86 3 4" xfId="1706"/>
    <cellStyle name="標準 86 4" xfId="1707"/>
    <cellStyle name="標準 86 5" xfId="1708"/>
    <cellStyle name="標準 86 6" xfId="1709"/>
    <cellStyle name="標準 87" xfId="1710"/>
    <cellStyle name="標準 87 2" xfId="1711"/>
    <cellStyle name="標準 87 2 2" xfId="1712"/>
    <cellStyle name="標準 87 2 2 2" xfId="1713"/>
    <cellStyle name="標準 87 2 2 3" xfId="1714"/>
    <cellStyle name="標準 87 2 2 4" xfId="1715"/>
    <cellStyle name="標準 87 2 3" xfId="1716"/>
    <cellStyle name="標準 87 2 4" xfId="1717"/>
    <cellStyle name="標準 87 2 5" xfId="1718"/>
    <cellStyle name="標準 87 3" xfId="1719"/>
    <cellStyle name="標準 87 3 2" xfId="1720"/>
    <cellStyle name="標準 87 3 3" xfId="1721"/>
    <cellStyle name="標準 87 3 4" xfId="1722"/>
    <cellStyle name="標準 87 4" xfId="1723"/>
    <cellStyle name="標準 87 5" xfId="1724"/>
    <cellStyle name="標準 87 6" xfId="1725"/>
    <cellStyle name="標準 88" xfId="1726"/>
    <cellStyle name="標準 88 2" xfId="1727"/>
    <cellStyle name="標準 88 2 2" xfId="1728"/>
    <cellStyle name="標準 88 2 2 2" xfId="1729"/>
    <cellStyle name="標準 88 2 2 3" xfId="1730"/>
    <cellStyle name="標準 88 2 2 4" xfId="1731"/>
    <cellStyle name="標準 88 2 3" xfId="1732"/>
    <cellStyle name="標準 88 2 4" xfId="1733"/>
    <cellStyle name="標準 88 2 5" xfId="1734"/>
    <cellStyle name="標準 88 3" xfId="1735"/>
    <cellStyle name="標準 88 3 2" xfId="1736"/>
    <cellStyle name="標準 88 3 3" xfId="1737"/>
    <cellStyle name="標準 88 3 4" xfId="1738"/>
    <cellStyle name="標準 88 4" xfId="1739"/>
    <cellStyle name="標準 88 5" xfId="1740"/>
    <cellStyle name="標準 88 6" xfId="1741"/>
    <cellStyle name="標準 89" xfId="1742"/>
    <cellStyle name="標準 89 2" xfId="1743"/>
    <cellStyle name="標準 89 2 2" xfId="1744"/>
    <cellStyle name="標準 89 2 2 2" xfId="1745"/>
    <cellStyle name="標準 89 2 2 3" xfId="1746"/>
    <cellStyle name="標準 89 2 2 4" xfId="1747"/>
    <cellStyle name="標準 89 2 3" xfId="1748"/>
    <cellStyle name="標準 89 2 4" xfId="1749"/>
    <cellStyle name="標準 89 2 5" xfId="1750"/>
    <cellStyle name="標準 89 3" xfId="1751"/>
    <cellStyle name="標準 89 3 2" xfId="1752"/>
    <cellStyle name="標準 89 3 3" xfId="1753"/>
    <cellStyle name="標準 89 3 4" xfId="1754"/>
    <cellStyle name="標準 89 4" xfId="1755"/>
    <cellStyle name="標準 89 5" xfId="1756"/>
    <cellStyle name="標準 89 6" xfId="1757"/>
    <cellStyle name="標準 9" xfId="1758"/>
    <cellStyle name="標準 9 2" xfId="1759"/>
    <cellStyle name="標準 9 3" xfId="1760"/>
    <cellStyle name="標準 90" xfId="1761"/>
    <cellStyle name="標準 90 2" xfId="1762"/>
    <cellStyle name="標準 90 2 2" xfId="1763"/>
    <cellStyle name="標準 90 2 2 2" xfId="1764"/>
    <cellStyle name="標準 90 2 2 3" xfId="1765"/>
    <cellStyle name="標準 90 2 2 4" xfId="1766"/>
    <cellStyle name="標準 90 2 3" xfId="1767"/>
    <cellStyle name="標準 90 2 4" xfId="1768"/>
    <cellStyle name="標準 90 2 5" xfId="1769"/>
    <cellStyle name="標準 90 3" xfId="1770"/>
    <cellStyle name="標準 90 3 2" xfId="1771"/>
    <cellStyle name="標準 90 3 3" xfId="1772"/>
    <cellStyle name="標準 90 3 4" xfId="1773"/>
    <cellStyle name="標準 90 4" xfId="1774"/>
    <cellStyle name="標準 90 5" xfId="1775"/>
    <cellStyle name="標準 90 6" xfId="1776"/>
    <cellStyle name="標準 91" xfId="1777"/>
    <cellStyle name="標準 91 2" xfId="1778"/>
    <cellStyle name="標準 91 2 2" xfId="1779"/>
    <cellStyle name="標準 91 2 2 2" xfId="1780"/>
    <cellStyle name="標準 91 2 2 3" xfId="1781"/>
    <cellStyle name="標準 91 2 2 4" xfId="1782"/>
    <cellStyle name="標準 91 2 3" xfId="1783"/>
    <cellStyle name="標準 91 2 4" xfId="1784"/>
    <cellStyle name="標準 91 2 5" xfId="1785"/>
    <cellStyle name="標準 91 3" xfId="1786"/>
    <cellStyle name="標準 91 3 2" xfId="1787"/>
    <cellStyle name="標準 91 3 3" xfId="1788"/>
    <cellStyle name="標準 91 3 4" xfId="1789"/>
    <cellStyle name="標準 91 4" xfId="1790"/>
    <cellStyle name="標準 91 5" xfId="1791"/>
    <cellStyle name="標準 91 6" xfId="1792"/>
    <cellStyle name="標準 92" xfId="1793"/>
    <cellStyle name="標準 92 2" xfId="1794"/>
    <cellStyle name="標準 92 2 2" xfId="1795"/>
    <cellStyle name="標準 92 2 2 2" xfId="1796"/>
    <cellStyle name="標準 92 2 2 3" xfId="1797"/>
    <cellStyle name="標準 92 2 2 4" xfId="1798"/>
    <cellStyle name="標準 92 2 3" xfId="1799"/>
    <cellStyle name="標準 92 2 4" xfId="1800"/>
    <cellStyle name="標準 92 2 5" xfId="1801"/>
    <cellStyle name="標準 92 3" xfId="1802"/>
    <cellStyle name="標準 92 3 2" xfId="1803"/>
    <cellStyle name="標準 92 3 3" xfId="1804"/>
    <cellStyle name="標準 92 3 4" xfId="1805"/>
    <cellStyle name="標準 92 4" xfId="1806"/>
    <cellStyle name="標準 92 5" xfId="1807"/>
    <cellStyle name="標準 92 6" xfId="1808"/>
    <cellStyle name="標準 93" xfId="1809"/>
    <cellStyle name="標準 93 2" xfId="1810"/>
    <cellStyle name="標準 93 2 2" xfId="1811"/>
    <cellStyle name="標準 93 2 2 2" xfId="1812"/>
    <cellStyle name="標準 93 2 2 3" xfId="1813"/>
    <cellStyle name="標準 93 2 2 4" xfId="1814"/>
    <cellStyle name="標準 93 2 3" xfId="1815"/>
    <cellStyle name="標準 93 2 4" xfId="1816"/>
    <cellStyle name="標準 93 2 5" xfId="1817"/>
    <cellStyle name="標準 93 3" xfId="1818"/>
    <cellStyle name="標準 93 3 2" xfId="1819"/>
    <cellStyle name="標準 93 3 3" xfId="1820"/>
    <cellStyle name="標準 93 3 4" xfId="1821"/>
    <cellStyle name="標準 93 4" xfId="1822"/>
    <cellStyle name="標準 93 5" xfId="1823"/>
    <cellStyle name="標準 93 6" xfId="1824"/>
    <cellStyle name="標準 94" xfId="1825"/>
    <cellStyle name="標準 94 2" xfId="1826"/>
    <cellStyle name="標準 94 2 2" xfId="1827"/>
    <cellStyle name="標準 94 2 2 2" xfId="1828"/>
    <cellStyle name="標準 94 2 2 3" xfId="1829"/>
    <cellStyle name="標準 94 2 2 4" xfId="1830"/>
    <cellStyle name="標準 94 2 3" xfId="1831"/>
    <cellStyle name="標準 94 2 4" xfId="1832"/>
    <cellStyle name="標準 94 2 5" xfId="1833"/>
    <cellStyle name="標準 94 3" xfId="1834"/>
    <cellStyle name="標準 94 3 2" xfId="1835"/>
    <cellStyle name="標準 94 3 3" xfId="1836"/>
    <cellStyle name="標準 94 3 4" xfId="1837"/>
    <cellStyle name="標準 94 4" xfId="1838"/>
    <cellStyle name="標準 94 5" xfId="1839"/>
    <cellStyle name="標準 94 6" xfId="1840"/>
    <cellStyle name="標準 95" xfId="1841"/>
    <cellStyle name="標準 95 2" xfId="1842"/>
    <cellStyle name="標準 95 2 2" xfId="1843"/>
    <cellStyle name="標準 95 2 2 2" xfId="1844"/>
    <cellStyle name="標準 95 2 2 3" xfId="1845"/>
    <cellStyle name="標準 95 2 2 4" xfId="1846"/>
    <cellStyle name="標準 95 2 3" xfId="1847"/>
    <cellStyle name="標準 95 2 4" xfId="1848"/>
    <cellStyle name="標準 95 2 5" xfId="1849"/>
    <cellStyle name="標準 95 3" xfId="1850"/>
    <cellStyle name="標準 95 3 2" xfId="1851"/>
    <cellStyle name="標準 95 3 3" xfId="1852"/>
    <cellStyle name="標準 95 3 4" xfId="1853"/>
    <cellStyle name="標準 95 4" xfId="1854"/>
    <cellStyle name="標準 95 5" xfId="1855"/>
    <cellStyle name="標準 95 6" xfId="1856"/>
    <cellStyle name="標準 96" xfId="1857"/>
    <cellStyle name="標準 96 2" xfId="1858"/>
    <cellStyle name="標準 96 2 2" xfId="1859"/>
    <cellStyle name="標準 96 2 2 2" xfId="1860"/>
    <cellStyle name="標準 96 2 2 3" xfId="1861"/>
    <cellStyle name="標準 96 2 2 4" xfId="1862"/>
    <cellStyle name="標準 96 2 3" xfId="1863"/>
    <cellStyle name="標準 96 2 4" xfId="1864"/>
    <cellStyle name="標準 96 2 5" xfId="1865"/>
    <cellStyle name="標準 96 3" xfId="1866"/>
    <cellStyle name="標準 96 3 2" xfId="1867"/>
    <cellStyle name="標準 96 3 3" xfId="1868"/>
    <cellStyle name="標準 96 3 4" xfId="1869"/>
    <cellStyle name="標準 96 4" xfId="1870"/>
    <cellStyle name="標準 96 5" xfId="1871"/>
    <cellStyle name="標準 96 6" xfId="1872"/>
    <cellStyle name="標準 97" xfId="1873"/>
    <cellStyle name="標準 97 2" xfId="1874"/>
    <cellStyle name="標準 97 2 2" xfId="1875"/>
    <cellStyle name="標準 97 2 2 2" xfId="1876"/>
    <cellStyle name="標準 97 2 2 3" xfId="1877"/>
    <cellStyle name="標準 97 2 2 4" xfId="1878"/>
    <cellStyle name="標準 97 2 3" xfId="1879"/>
    <cellStyle name="標準 97 2 4" xfId="1880"/>
    <cellStyle name="標準 97 2 5" xfId="1881"/>
    <cellStyle name="標準 97 3" xfId="1882"/>
    <cellStyle name="標準 97 3 2" xfId="1883"/>
    <cellStyle name="標準 97 3 3" xfId="1884"/>
    <cellStyle name="標準 97 3 4" xfId="1885"/>
    <cellStyle name="標準 97 4" xfId="1886"/>
    <cellStyle name="標準 97 5" xfId="1887"/>
    <cellStyle name="標準 97 6" xfId="1888"/>
    <cellStyle name="標準 98" xfId="1889"/>
    <cellStyle name="標準 98 2" xfId="1890"/>
    <cellStyle name="標準 98 2 2" xfId="1891"/>
    <cellStyle name="標準 98 2 2 2" xfId="1892"/>
    <cellStyle name="標準 98 2 2 3" xfId="1893"/>
    <cellStyle name="標準 98 2 2 4" xfId="1894"/>
    <cellStyle name="標準 98 2 3" xfId="1895"/>
    <cellStyle name="標準 98 2 4" xfId="1896"/>
    <cellStyle name="標準 98 2 5" xfId="1897"/>
    <cellStyle name="標準 98 3" xfId="1898"/>
    <cellStyle name="標準 98 3 2" xfId="1899"/>
    <cellStyle name="標準 98 3 3" xfId="1900"/>
    <cellStyle name="標準 98 3 4" xfId="1901"/>
    <cellStyle name="標準 98 4" xfId="1902"/>
    <cellStyle name="標準 98 5" xfId="1903"/>
    <cellStyle name="標準 98 6" xfId="1904"/>
    <cellStyle name="標準 99" xfId="1905"/>
    <cellStyle name="標準 99 2" xfId="1906"/>
    <cellStyle name="標準 99 2 2" xfId="1907"/>
    <cellStyle name="標準 99 2 2 2" xfId="1908"/>
    <cellStyle name="標準 99 2 2 3" xfId="1909"/>
    <cellStyle name="標準 99 2 2 4" xfId="1910"/>
    <cellStyle name="標準 99 2 3" xfId="1911"/>
    <cellStyle name="標準 99 2 4" xfId="1912"/>
    <cellStyle name="標準 99 2 5" xfId="1913"/>
    <cellStyle name="標準 99 3" xfId="1914"/>
    <cellStyle name="標準 99 3 2" xfId="1915"/>
    <cellStyle name="標準 99 3 3" xfId="1916"/>
    <cellStyle name="標準 99 3 4" xfId="1917"/>
    <cellStyle name="標準 99 4" xfId="1918"/>
    <cellStyle name="標準 99 5" xfId="1919"/>
    <cellStyle name="標準 99 6" xfId="1920"/>
    <cellStyle name="標準１" xfId="1921"/>
    <cellStyle name="標準10" xfId="1922"/>
    <cellStyle name="標準12" xfId="1923"/>
    <cellStyle name="文字列" xfId="1924"/>
    <cellStyle name="未定義" xfId="12"/>
    <cellStyle name="未定義 2" xfId="1925"/>
    <cellStyle name="未定義 3" xfId="1926"/>
    <cellStyle name="未定義_030_上場有価証券総括表_詳細設計書_府令改正対応" xfId="1927"/>
    <cellStyle name="良い 2" xfId="1928"/>
    <cellStyle name="良い 3" xfId="1929"/>
    <cellStyle name="良い 4" xfId="1930"/>
    <cellStyle name="良い 5" xfId="1931"/>
    <cellStyle name="良い 6" xfId="1932"/>
    <cellStyle name="良い 7" xfId="1933"/>
    <cellStyle name="良い 8" xfId="1934"/>
    <cellStyle name="良い 9" xfId="1935"/>
    <cellStyle name="표준_4.3.1_取引処理（取引処理制御１－１）" xfId="1936"/>
  </cellStyles>
  <dxfs count="0"/>
  <tableStyles count="0" defaultPivotStyle="PivotStyleLight16" defaultTableStyle="TableStyleMedium2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23</xdr:col>
      <xdr:colOff>352425</xdr:colOff>
      <xdr:row>0</xdr:row>
      <xdr:rowOff>57150</xdr:rowOff>
    </xdr:from>
    <xdr:ext cx="3886200" cy="28575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57E35D-1306-48BF-8A9F-34301E9C8272}"/>
            </a:ext>
          </a:extLst>
        </xdr:cNvPr>
        <xdr:cNvSpPr/>
      </xdr:nvSpPr>
      <xdr:spPr>
        <a:xfrm>
          <a:off x="23698200" y="57150"/>
          <a:ext cx="38862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建玉現在高は月末現在。ただし、*印は限月到来銘柄の最終建玉高の権利放棄分。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month. * refers to renouncement.</a:t>
          </a:r>
          <a:endParaRPr altLang="en-US" baseline="0" kern="0" kumimoji="1" lang="ja-JP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1703"/>
  <sheetViews>
    <sheetView showGridLines="0" tabSelected="1" workbookViewId="0" zoomScaleNormal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style="1" width="10.625" collapsed="false"/>
    <col min="2" max="2" customWidth="true" style="1" width="32.5" collapsed="false"/>
    <col min="3" max="3" bestFit="true" customWidth="true" style="1" width="27.75" collapsed="false"/>
    <col min="4" max="4" customWidth="true" style="1" width="8.5" collapsed="false"/>
    <col min="5" max="5" bestFit="true" customWidth="true" style="1" width="14.125" collapsed="false"/>
    <col min="6" max="6" customWidth="true" style="1" width="15.125" collapsed="false"/>
    <col min="7" max="7" bestFit="true" customWidth="true" style="1" width="5.0" collapsed="false"/>
    <col min="8" max="8" customWidth="true" style="1" width="15.25" collapsed="false"/>
    <col min="9" max="9" customWidth="true" style="1" width="5.0" collapsed="false"/>
    <col min="10" max="10" customWidth="true" style="1" width="15.25" collapsed="false"/>
    <col min="11" max="11" customWidth="true" style="1" width="5.0" collapsed="false"/>
    <col min="12" max="12" customWidth="true" style="1" width="15.25" collapsed="false"/>
    <col min="13" max="13" customWidth="true" style="1" width="5.0" collapsed="false"/>
    <col min="14" max="14" customWidth="true" style="1" width="15.25" collapsed="false"/>
    <col min="15" max="15" customWidth="true" style="1" width="5.0" collapsed="false"/>
    <col min="16" max="16" customWidth="true" style="1" width="15.25" collapsed="false"/>
    <col min="17" max="17" customWidth="true" style="1" width="5.0" collapsed="false"/>
    <col min="18" max="24" customWidth="true" style="1" width="15.25" collapsed="false"/>
    <col min="25" max="25" bestFit="true" customWidth="true" style="1" width="2.375" collapsed="false"/>
    <col min="26" max="27" customWidth="true" style="1" width="15.25" collapsed="false"/>
    <col min="28" max="28" bestFit="true" customWidth="true" style="1" width="14.125" collapsed="false"/>
    <col min="29" max="29" customWidth="true" style="1" width="9.0" collapsed="false"/>
    <col min="30" max="16384" style="1" width="9.0" collapsed="false"/>
  </cols>
  <sheetData>
    <row customFormat="1" customHeight="1" ht="30" r="1" s="4" spans="1:28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19"/>
      <c r="Y1" s="19"/>
      <c r="Z1" s="19"/>
      <c r="AA1" s="19"/>
      <c r="AB1" s="20"/>
    </row>
    <row customFormat="1" customHeight="1" ht="30" r="2" s="4" spans="1:28">
      <c r="A2" s="36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customFormat="1" customHeight="1" ht="14.1" r="3" s="4" spans="1:28">
      <c r="A3" s="27" t="s">
        <v>0</v>
      </c>
      <c r="B3" s="41" t="s">
        <v>41</v>
      </c>
      <c r="C3" s="41" t="s">
        <v>42</v>
      </c>
      <c r="D3" s="27" t="s">
        <v>40</v>
      </c>
      <c r="E3" s="27" t="s">
        <v>1</v>
      </c>
      <c r="F3" s="25" t="s">
        <v>22</v>
      </c>
      <c r="G3" s="38" t="s">
        <v>43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7" t="s">
        <v>19</v>
      </c>
      <c r="T3" s="32" t="s">
        <v>2</v>
      </c>
      <c r="U3" s="32"/>
      <c r="V3" s="32" t="s">
        <v>13</v>
      </c>
      <c r="W3" s="32"/>
      <c r="X3" s="27" t="s">
        <v>9</v>
      </c>
      <c r="Y3" s="25" t="s">
        <v>27</v>
      </c>
      <c r="Z3" s="29"/>
      <c r="AA3" s="27" t="s">
        <v>3</v>
      </c>
      <c r="AB3" s="27" t="s">
        <v>10</v>
      </c>
    </row>
    <row customFormat="1" customHeight="1" ht="9" r="4" s="4" spans="1:28">
      <c r="A4" s="28"/>
      <c r="B4" s="42"/>
      <c r="C4" s="42"/>
      <c r="D4" s="28"/>
      <c r="E4" s="28"/>
      <c r="F4" s="25"/>
      <c r="G4" s="34" t="s">
        <v>35</v>
      </c>
      <c r="H4" s="33" t="s">
        <v>18</v>
      </c>
      <c r="I4" s="34" t="s">
        <v>35</v>
      </c>
      <c r="J4" s="39" t="s">
        <v>17</v>
      </c>
      <c r="K4" s="31" t="s">
        <v>4</v>
      </c>
      <c r="L4" s="31"/>
      <c r="M4" s="34" t="s">
        <v>35</v>
      </c>
      <c r="N4" s="39" t="s">
        <v>16</v>
      </c>
      <c r="O4" s="31" t="s">
        <v>4</v>
      </c>
      <c r="P4" s="31"/>
      <c r="Q4" s="34" t="s">
        <v>35</v>
      </c>
      <c r="R4" s="33" t="s">
        <v>14</v>
      </c>
      <c r="S4" s="28"/>
      <c r="T4" s="27" t="s">
        <v>5</v>
      </c>
      <c r="U4" s="28" t="s">
        <v>23</v>
      </c>
      <c r="V4" s="27" t="s">
        <v>5</v>
      </c>
      <c r="W4" s="28" t="s">
        <v>24</v>
      </c>
      <c r="X4" s="28"/>
      <c r="Y4" s="25"/>
      <c r="Z4" s="29"/>
      <c r="AA4" s="28"/>
      <c r="AB4" s="28"/>
    </row>
    <row customFormat="1" customHeight="1" ht="25.5" r="5" s="4" spans="1:28">
      <c r="A5" s="28"/>
      <c r="B5" s="42"/>
      <c r="C5" s="42"/>
      <c r="D5" s="28"/>
      <c r="E5" s="28"/>
      <c r="F5" s="26"/>
      <c r="G5" s="35"/>
      <c r="H5" s="30"/>
      <c r="I5" s="35"/>
      <c r="J5" s="40"/>
      <c r="K5" s="7" t="s">
        <v>36</v>
      </c>
      <c r="L5" s="8" t="s">
        <v>15</v>
      </c>
      <c r="M5" s="35"/>
      <c r="N5" s="40"/>
      <c r="O5" s="7" t="s">
        <v>36</v>
      </c>
      <c r="P5" s="8" t="s">
        <v>15</v>
      </c>
      <c r="Q5" s="35"/>
      <c r="R5" s="30"/>
      <c r="S5" s="28"/>
      <c r="T5" s="27"/>
      <c r="U5" s="28"/>
      <c r="V5" s="27"/>
      <c r="W5" s="28"/>
      <c r="X5" s="28"/>
      <c r="Y5" s="25"/>
      <c r="Z5" s="30"/>
      <c r="AA5" s="28"/>
      <c r="AB5" s="28"/>
    </row>
    <row customFormat="1" customHeight="1" ht="36" r="6" s="4" spans="1:28">
      <c r="A6" s="9" t="s">
        <v>39</v>
      </c>
      <c r="B6" s="27"/>
      <c r="C6" s="27"/>
      <c r="D6" s="9" t="s">
        <v>44</v>
      </c>
      <c r="E6" s="9" t="s">
        <v>6</v>
      </c>
      <c r="F6" s="10" t="s">
        <v>28</v>
      </c>
      <c r="G6" s="7" t="s">
        <v>45</v>
      </c>
      <c r="H6" s="8" t="s">
        <v>29</v>
      </c>
      <c r="I6" s="7" t="s">
        <v>45</v>
      </c>
      <c r="J6" s="8" t="s">
        <v>30</v>
      </c>
      <c r="K6" s="7" t="s">
        <v>45</v>
      </c>
      <c r="L6" s="8" t="s">
        <v>31</v>
      </c>
      <c r="M6" s="7" t="s">
        <v>45</v>
      </c>
      <c r="N6" s="8" t="s">
        <v>32</v>
      </c>
      <c r="O6" s="7" t="s">
        <v>45</v>
      </c>
      <c r="P6" s="8" t="s">
        <v>31</v>
      </c>
      <c r="Q6" s="7" t="s">
        <v>45</v>
      </c>
      <c r="R6" s="8" t="s">
        <v>33</v>
      </c>
      <c r="S6" s="9" t="s">
        <v>34</v>
      </c>
      <c r="T6" s="9" t="s">
        <v>7</v>
      </c>
      <c r="U6" s="9" t="s">
        <v>8</v>
      </c>
      <c r="V6" s="9" t="s">
        <v>11</v>
      </c>
      <c r="W6" s="9" t="s">
        <v>12</v>
      </c>
      <c r="X6" s="9" t="s">
        <v>25</v>
      </c>
      <c r="Y6" s="23" t="s">
        <v>26</v>
      </c>
      <c r="Z6" s="24"/>
      <c r="AA6" s="9" t="s">
        <v>37</v>
      </c>
      <c r="AB6" s="9" t="s">
        <v>38</v>
      </c>
    </row>
    <row customFormat="1" customHeight="1" ht="13.5" r="7" s="4" spans="1:28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46</v>
      </c>
      <c r="F7" s="12" t="n">
        <v>14500.0</v>
      </c>
      <c r="G7" s="13" t="s">
        <v>50</v>
      </c>
      <c r="H7" s="14" t="s">
        <v>51</v>
      </c>
      <c r="I7" s="13" t="s">
        <v>50</v>
      </c>
      <c r="J7" s="14" t="s">
        <v>51</v>
      </c>
      <c r="K7" s="13" t="s">
        <v>50</v>
      </c>
      <c r="L7" s="14" t="s">
        <v>51</v>
      </c>
      <c r="M7" s="13" t="s">
        <v>50</v>
      </c>
      <c r="N7" s="14" t="s">
        <v>51</v>
      </c>
      <c r="O7" s="13" t="s">
        <v>50</v>
      </c>
      <c r="P7" s="14" t="s">
        <v>51</v>
      </c>
      <c r="Q7" s="13" t="s">
        <v>52</v>
      </c>
      <c r="R7" s="14" t="s">
        <v>51</v>
      </c>
      <c r="S7" s="15" t="n">
        <f>1</f>
        <v>1.0</v>
      </c>
      <c r="T7" s="16" t="n">
        <f>40</f>
        <v>40.0</v>
      </c>
      <c r="U7" s="16" t="n">
        <v>8.0</v>
      </c>
      <c r="V7" s="16" t="n">
        <f>40000</f>
        <v>40000.0</v>
      </c>
      <c r="W7" s="16" t="n">
        <v>8000.0</v>
      </c>
      <c r="X7" s="16" t="str">
        <f>"－"</f>
        <v>－</v>
      </c>
      <c r="Y7" s="13" t="s">
        <v>53</v>
      </c>
      <c r="Z7" s="17" t="n">
        <f>2146</f>
        <v>2146.0</v>
      </c>
      <c r="AA7" s="18" t="n">
        <f>2</f>
        <v>2.0</v>
      </c>
      <c r="AB7" s="11" t="s">
        <v>54</v>
      </c>
    </row>
    <row r="8">
      <c r="A8" s="11" t="s">
        <v>46</v>
      </c>
      <c r="B8" s="11" t="s">
        <v>47</v>
      </c>
      <c r="C8" s="11" t="s">
        <v>48</v>
      </c>
      <c r="D8" s="11" t="s">
        <v>49</v>
      </c>
      <c r="E8" s="11" t="s">
        <v>46</v>
      </c>
      <c r="F8" s="12" t="n">
        <v>15000.0</v>
      </c>
      <c r="G8" s="13" t="s">
        <v>50</v>
      </c>
      <c r="H8" s="14" t="s">
        <v>51</v>
      </c>
      <c r="I8" s="13" t="s">
        <v>50</v>
      </c>
      <c r="J8" s="14" t="s">
        <v>51</v>
      </c>
      <c r="K8" s="13"/>
      <c r="L8" s="14"/>
      <c r="M8" s="13" t="s">
        <v>50</v>
      </c>
      <c r="N8" s="14" t="s">
        <v>51</v>
      </c>
      <c r="O8" s="13"/>
      <c r="P8" s="14"/>
      <c r="Q8" s="13" t="s">
        <v>50</v>
      </c>
      <c r="R8" s="14" t="s">
        <v>51</v>
      </c>
      <c r="S8" s="15" t="n">
        <f>1</f>
        <v>1.0</v>
      </c>
      <c r="T8" s="16" t="n">
        <f>2</f>
        <v>2.0</v>
      </c>
      <c r="U8" s="16"/>
      <c r="V8" s="16" t="n">
        <f>2000</f>
        <v>2000.0</v>
      </c>
      <c r="W8" s="16"/>
      <c r="X8" s="16" t="str">
        <f>"－"</f>
        <v>－</v>
      </c>
      <c r="Y8" s="13" t="s">
        <v>53</v>
      </c>
      <c r="Z8" s="17" t="n">
        <f>2227</f>
        <v>2227.0</v>
      </c>
      <c r="AA8" s="18" t="n">
        <f>1</f>
        <v>1.0</v>
      </c>
      <c r="AB8" s="11" t="s">
        <v>54</v>
      </c>
    </row>
    <row r="9">
      <c r="A9" s="11" t="s">
        <v>46</v>
      </c>
      <c r="B9" s="11" t="s">
        <v>47</v>
      </c>
      <c r="C9" s="11" t="s">
        <v>48</v>
      </c>
      <c r="D9" s="11" t="s">
        <v>49</v>
      </c>
      <c r="E9" s="11" t="s">
        <v>46</v>
      </c>
      <c r="F9" s="12" t="n">
        <v>15500.0</v>
      </c>
      <c r="G9" s="13" t="s">
        <v>50</v>
      </c>
      <c r="H9" s="14" t="s">
        <v>51</v>
      </c>
      <c r="I9" s="13" t="s">
        <v>50</v>
      </c>
      <c r="J9" s="14" t="s">
        <v>51</v>
      </c>
      <c r="K9" s="13" t="s">
        <v>55</v>
      </c>
      <c r="L9" s="14" t="s">
        <v>51</v>
      </c>
      <c r="M9" s="13" t="s">
        <v>50</v>
      </c>
      <c r="N9" s="14" t="s">
        <v>51</v>
      </c>
      <c r="O9" s="13" t="s">
        <v>55</v>
      </c>
      <c r="P9" s="14" t="s">
        <v>51</v>
      </c>
      <c r="Q9" s="13" t="s">
        <v>56</v>
      </c>
      <c r="R9" s="14" t="s">
        <v>51</v>
      </c>
      <c r="S9" s="15" t="n">
        <f>1</f>
        <v>1.0</v>
      </c>
      <c r="T9" s="16" t="n">
        <f>23</f>
        <v>23.0</v>
      </c>
      <c r="U9" s="16" t="n">
        <v>20.0</v>
      </c>
      <c r="V9" s="16" t="n">
        <f>23000</f>
        <v>23000.0</v>
      </c>
      <c r="W9" s="16" t="n">
        <v>20000.0</v>
      </c>
      <c r="X9" s="16" t="str">
        <f>"－"</f>
        <v>－</v>
      </c>
      <c r="Y9" s="13" t="s">
        <v>53</v>
      </c>
      <c r="Z9" s="17" t="n">
        <f>443</f>
        <v>443.0</v>
      </c>
      <c r="AA9" s="18" t="n">
        <f>2</f>
        <v>2.0</v>
      </c>
      <c r="AB9" s="11" t="s">
        <v>54</v>
      </c>
    </row>
    <row r="10">
      <c r="A10" s="11" t="s">
        <v>46</v>
      </c>
      <c r="B10" s="11" t="s">
        <v>47</v>
      </c>
      <c r="C10" s="11" t="s">
        <v>48</v>
      </c>
      <c r="D10" s="11" t="s">
        <v>49</v>
      </c>
      <c r="E10" s="11" t="s">
        <v>46</v>
      </c>
      <c r="F10" s="12" t="n">
        <v>15750.0</v>
      </c>
      <c r="G10" s="13"/>
      <c r="H10" s="14" t="s">
        <v>57</v>
      </c>
      <c r="I10" s="13"/>
      <c r="J10" s="14" t="s">
        <v>57</v>
      </c>
      <c r="K10" s="13"/>
      <c r="L10" s="14"/>
      <c r="M10" s="13"/>
      <c r="N10" s="14" t="s">
        <v>57</v>
      </c>
      <c r="O10" s="13"/>
      <c r="P10" s="14"/>
      <c r="Q10" s="13"/>
      <c r="R10" s="14" t="s">
        <v>57</v>
      </c>
      <c r="S10" s="15" t="str">
        <f>"－"</f>
        <v>－</v>
      </c>
      <c r="T10" s="16" t="str">
        <f>"－"</f>
        <v>－</v>
      </c>
      <c r="U10" s="16"/>
      <c r="V10" s="16" t="str">
        <f>"－"</f>
        <v>－</v>
      </c>
      <c r="W10" s="16"/>
      <c r="X10" s="16" t="str">
        <f>"－"</f>
        <v>－</v>
      </c>
      <c r="Y10" s="13" t="s">
        <v>53</v>
      </c>
      <c r="Z10" s="17" t="n">
        <f>273</f>
        <v>273.0</v>
      </c>
      <c r="AA10" s="18" t="str">
        <f>"－"</f>
        <v>－</v>
      </c>
      <c r="AB10" s="11" t="s">
        <v>54</v>
      </c>
    </row>
    <row r="11">
      <c r="A11" s="11" t="s">
        <v>46</v>
      </c>
      <c r="B11" s="11" t="s">
        <v>47</v>
      </c>
      <c r="C11" s="11" t="s">
        <v>48</v>
      </c>
      <c r="D11" s="11" t="s">
        <v>49</v>
      </c>
      <c r="E11" s="11" t="s">
        <v>46</v>
      </c>
      <c r="F11" s="12" t="n">
        <v>16000.0</v>
      </c>
      <c r="G11" s="13" t="s">
        <v>50</v>
      </c>
      <c r="H11" s="14" t="s">
        <v>51</v>
      </c>
      <c r="I11" s="13" t="s">
        <v>50</v>
      </c>
      <c r="J11" s="14" t="s">
        <v>51</v>
      </c>
      <c r="K11" s="13"/>
      <c r="L11" s="14"/>
      <c r="M11" s="13" t="s">
        <v>50</v>
      </c>
      <c r="N11" s="14" t="s">
        <v>51</v>
      </c>
      <c r="O11" s="13"/>
      <c r="P11" s="14"/>
      <c r="Q11" s="13" t="s">
        <v>58</v>
      </c>
      <c r="R11" s="14" t="s">
        <v>51</v>
      </c>
      <c r="S11" s="15" t="n">
        <f>1</f>
        <v>1.0</v>
      </c>
      <c r="T11" s="16" t="n">
        <f>3</f>
        <v>3.0</v>
      </c>
      <c r="U11" s="16"/>
      <c r="V11" s="16" t="n">
        <f>3000</f>
        <v>3000.0</v>
      </c>
      <c r="W11" s="16"/>
      <c r="X11" s="16" t="str">
        <f>"－"</f>
        <v>－</v>
      </c>
      <c r="Y11" s="13" t="s">
        <v>53</v>
      </c>
      <c r="Z11" s="17" t="n">
        <f>553</f>
        <v>553.0</v>
      </c>
      <c r="AA11" s="18" t="n">
        <f>2</f>
        <v>2.0</v>
      </c>
      <c r="AB11" s="11" t="s">
        <v>54</v>
      </c>
    </row>
    <row r="12">
      <c r="A12" s="11" t="s">
        <v>46</v>
      </c>
      <c r="B12" s="11" t="s">
        <v>47</v>
      </c>
      <c r="C12" s="11" t="s">
        <v>48</v>
      </c>
      <c r="D12" s="11" t="s">
        <v>49</v>
      </c>
      <c r="E12" s="11" t="s">
        <v>46</v>
      </c>
      <c r="F12" s="12" t="n">
        <v>16250.0</v>
      </c>
      <c r="G12" s="13" t="s">
        <v>50</v>
      </c>
      <c r="H12" s="14" t="s">
        <v>51</v>
      </c>
      <c r="I12" s="13" t="s">
        <v>50</v>
      </c>
      <c r="J12" s="14" t="s">
        <v>51</v>
      </c>
      <c r="K12" s="13"/>
      <c r="L12" s="14"/>
      <c r="M12" s="13" t="s">
        <v>50</v>
      </c>
      <c r="N12" s="14" t="s">
        <v>51</v>
      </c>
      <c r="O12" s="13"/>
      <c r="P12" s="14"/>
      <c r="Q12" s="13" t="s">
        <v>52</v>
      </c>
      <c r="R12" s="14" t="s">
        <v>51</v>
      </c>
      <c r="S12" s="15" t="n">
        <f>1</f>
        <v>1.0</v>
      </c>
      <c r="T12" s="16" t="n">
        <f>27</f>
        <v>27.0</v>
      </c>
      <c r="U12" s="16"/>
      <c r="V12" s="16" t="n">
        <f>27000</f>
        <v>27000.0</v>
      </c>
      <c r="W12" s="16"/>
      <c r="X12" s="16" t="str">
        <f>"－"</f>
        <v>－</v>
      </c>
      <c r="Y12" s="13" t="s">
        <v>53</v>
      </c>
      <c r="Z12" s="17" t="n">
        <f>191</f>
        <v>191.0</v>
      </c>
      <c r="AA12" s="18" t="n">
        <f>3</f>
        <v>3.0</v>
      </c>
      <c r="AB12" s="11" t="s">
        <v>54</v>
      </c>
    </row>
    <row r="13">
      <c r="A13" s="11" t="s">
        <v>46</v>
      </c>
      <c r="B13" s="11" t="s">
        <v>47</v>
      </c>
      <c r="C13" s="11" t="s">
        <v>48</v>
      </c>
      <c r="D13" s="11" t="s">
        <v>49</v>
      </c>
      <c r="E13" s="11" t="s">
        <v>46</v>
      </c>
      <c r="F13" s="12" t="n">
        <v>16500.0</v>
      </c>
      <c r="G13" s="13" t="s">
        <v>50</v>
      </c>
      <c r="H13" s="14" t="s">
        <v>51</v>
      </c>
      <c r="I13" s="13" t="s">
        <v>50</v>
      </c>
      <c r="J13" s="14" t="s">
        <v>51</v>
      </c>
      <c r="K13" s="13"/>
      <c r="L13" s="14"/>
      <c r="M13" s="13" t="s">
        <v>50</v>
      </c>
      <c r="N13" s="14" t="s">
        <v>51</v>
      </c>
      <c r="O13" s="13"/>
      <c r="P13" s="14"/>
      <c r="Q13" s="13" t="s">
        <v>50</v>
      </c>
      <c r="R13" s="14" t="s">
        <v>51</v>
      </c>
      <c r="S13" s="15" t="n">
        <f>1</f>
        <v>1.0</v>
      </c>
      <c r="T13" s="16" t="n">
        <f>8</f>
        <v>8.0</v>
      </c>
      <c r="U13" s="16"/>
      <c r="V13" s="16" t="n">
        <f>8000</f>
        <v>8000.0</v>
      </c>
      <c r="W13" s="16"/>
      <c r="X13" s="16" t="str">
        <f>"－"</f>
        <v>－</v>
      </c>
      <c r="Y13" s="13" t="s">
        <v>53</v>
      </c>
      <c r="Z13" s="17" t="n">
        <f>283</f>
        <v>283.0</v>
      </c>
      <c r="AA13" s="18" t="n">
        <f>1</f>
        <v>1.0</v>
      </c>
      <c r="AB13" s="11" t="s">
        <v>54</v>
      </c>
    </row>
    <row r="14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46</v>
      </c>
      <c r="F14" s="12" t="n">
        <v>16750.0</v>
      </c>
      <c r="G14" s="13" t="s">
        <v>50</v>
      </c>
      <c r="H14" s="14" t="s">
        <v>51</v>
      </c>
      <c r="I14" s="13" t="s">
        <v>50</v>
      </c>
      <c r="J14" s="14" t="s">
        <v>51</v>
      </c>
      <c r="K14" s="13"/>
      <c r="L14" s="14"/>
      <c r="M14" s="13" t="s">
        <v>50</v>
      </c>
      <c r="N14" s="14" t="s">
        <v>51</v>
      </c>
      <c r="O14" s="13"/>
      <c r="P14" s="14"/>
      <c r="Q14" s="13" t="s">
        <v>50</v>
      </c>
      <c r="R14" s="14" t="s">
        <v>51</v>
      </c>
      <c r="S14" s="15" t="n">
        <f>1</f>
        <v>1.0</v>
      </c>
      <c r="T14" s="16" t="n">
        <f>6</f>
        <v>6.0</v>
      </c>
      <c r="U14" s="16"/>
      <c r="V14" s="16" t="n">
        <f>6000</f>
        <v>6000.0</v>
      </c>
      <c r="W14" s="16"/>
      <c r="X14" s="16" t="str">
        <f>"－"</f>
        <v>－</v>
      </c>
      <c r="Y14" s="13" t="s">
        <v>53</v>
      </c>
      <c r="Z14" s="17" t="n">
        <f>295</f>
        <v>295.0</v>
      </c>
      <c r="AA14" s="18" t="n">
        <f>1</f>
        <v>1.0</v>
      </c>
      <c r="AB14" s="11" t="s">
        <v>54</v>
      </c>
    </row>
    <row r="15">
      <c r="A15" s="11" t="s">
        <v>46</v>
      </c>
      <c r="B15" s="11" t="s">
        <v>47</v>
      </c>
      <c r="C15" s="11" t="s">
        <v>48</v>
      </c>
      <c r="D15" s="11" t="s">
        <v>49</v>
      </c>
      <c r="E15" s="11" t="s">
        <v>46</v>
      </c>
      <c r="F15" s="12" t="n">
        <v>17000.0</v>
      </c>
      <c r="G15" s="13" t="s">
        <v>50</v>
      </c>
      <c r="H15" s="14" t="s">
        <v>51</v>
      </c>
      <c r="I15" s="13" t="s">
        <v>50</v>
      </c>
      <c r="J15" s="14" t="s">
        <v>51</v>
      </c>
      <c r="K15" s="13" t="s">
        <v>50</v>
      </c>
      <c r="L15" s="14" t="s">
        <v>59</v>
      </c>
      <c r="M15" s="13" t="s">
        <v>50</v>
      </c>
      <c r="N15" s="14" t="s">
        <v>51</v>
      </c>
      <c r="O15" s="13" t="s">
        <v>50</v>
      </c>
      <c r="P15" s="14" t="s">
        <v>51</v>
      </c>
      <c r="Q15" s="13" t="s">
        <v>50</v>
      </c>
      <c r="R15" s="14" t="s">
        <v>51</v>
      </c>
      <c r="S15" s="15" t="n">
        <f>1</f>
        <v>1.0</v>
      </c>
      <c r="T15" s="16" t="n">
        <f>66</f>
        <v>66.0</v>
      </c>
      <c r="U15" s="16" t="n">
        <v>2.0</v>
      </c>
      <c r="V15" s="16" t="n">
        <f>67000</f>
        <v>67000.0</v>
      </c>
      <c r="W15" s="16" t="n">
        <v>3000.0</v>
      </c>
      <c r="X15" s="16" t="str">
        <f>"－"</f>
        <v>－</v>
      </c>
      <c r="Y15" s="13" t="s">
        <v>53</v>
      </c>
      <c r="Z15" s="17" t="n">
        <f>819</f>
        <v>819.0</v>
      </c>
      <c r="AA15" s="18" t="n">
        <f>1</f>
        <v>1.0</v>
      </c>
      <c r="AB15" s="11" t="s">
        <v>54</v>
      </c>
    </row>
    <row r="16">
      <c r="A16" s="11" t="s">
        <v>46</v>
      </c>
      <c r="B16" s="11" t="s">
        <v>47</v>
      </c>
      <c r="C16" s="11" t="s">
        <v>48</v>
      </c>
      <c r="D16" s="11" t="s">
        <v>49</v>
      </c>
      <c r="E16" s="11" t="s">
        <v>46</v>
      </c>
      <c r="F16" s="12" t="n">
        <v>17250.0</v>
      </c>
      <c r="G16" s="13" t="s">
        <v>50</v>
      </c>
      <c r="H16" s="14" t="s">
        <v>51</v>
      </c>
      <c r="I16" s="13" t="s">
        <v>50</v>
      </c>
      <c r="J16" s="14" t="s">
        <v>51</v>
      </c>
      <c r="K16" s="13"/>
      <c r="L16" s="14"/>
      <c r="M16" s="13" t="s">
        <v>50</v>
      </c>
      <c r="N16" s="14" t="s">
        <v>51</v>
      </c>
      <c r="O16" s="13"/>
      <c r="P16" s="14"/>
      <c r="Q16" s="13" t="s">
        <v>60</v>
      </c>
      <c r="R16" s="14" t="s">
        <v>51</v>
      </c>
      <c r="S16" s="15" t="n">
        <f>1</f>
        <v>1.0</v>
      </c>
      <c r="T16" s="16" t="n">
        <f>25</f>
        <v>25.0</v>
      </c>
      <c r="U16" s="16"/>
      <c r="V16" s="16" t="n">
        <f>25000</f>
        <v>25000.0</v>
      </c>
      <c r="W16" s="16"/>
      <c r="X16" s="16" t="str">
        <f>"－"</f>
        <v>－</v>
      </c>
      <c r="Y16" s="13" t="s">
        <v>53</v>
      </c>
      <c r="Z16" s="17" t="n">
        <f>369</f>
        <v>369.0</v>
      </c>
      <c r="AA16" s="18" t="n">
        <f>3</f>
        <v>3.0</v>
      </c>
      <c r="AB16" s="11" t="s">
        <v>54</v>
      </c>
    </row>
    <row r="17">
      <c r="A17" s="11" t="s">
        <v>46</v>
      </c>
      <c r="B17" s="11" t="s">
        <v>47</v>
      </c>
      <c r="C17" s="11" t="s">
        <v>48</v>
      </c>
      <c r="D17" s="11" t="s">
        <v>49</v>
      </c>
      <c r="E17" s="11" t="s">
        <v>46</v>
      </c>
      <c r="F17" s="12" t="n">
        <v>17500.0</v>
      </c>
      <c r="G17" s="13" t="s">
        <v>50</v>
      </c>
      <c r="H17" s="14" t="s">
        <v>51</v>
      </c>
      <c r="I17" s="13" t="s">
        <v>50</v>
      </c>
      <c r="J17" s="14" t="s">
        <v>51</v>
      </c>
      <c r="K17" s="13"/>
      <c r="L17" s="14"/>
      <c r="M17" s="13" t="s">
        <v>50</v>
      </c>
      <c r="N17" s="14" t="s">
        <v>51</v>
      </c>
      <c r="O17" s="13"/>
      <c r="P17" s="14"/>
      <c r="Q17" s="13" t="s">
        <v>60</v>
      </c>
      <c r="R17" s="14" t="s">
        <v>51</v>
      </c>
      <c r="S17" s="15" t="n">
        <f>1</f>
        <v>1.0</v>
      </c>
      <c r="T17" s="16" t="n">
        <f>58</f>
        <v>58.0</v>
      </c>
      <c r="U17" s="16"/>
      <c r="V17" s="16" t="n">
        <f>58000</f>
        <v>58000.0</v>
      </c>
      <c r="W17" s="16"/>
      <c r="X17" s="16" t="str">
        <f>"－"</f>
        <v>－</v>
      </c>
      <c r="Y17" s="13" t="s">
        <v>53</v>
      </c>
      <c r="Z17" s="17" t="n">
        <f>988</f>
        <v>988.0</v>
      </c>
      <c r="AA17" s="18" t="n">
        <f>2</f>
        <v>2.0</v>
      </c>
      <c r="AB17" s="11" t="s">
        <v>54</v>
      </c>
    </row>
    <row r="18">
      <c r="A18" s="11" t="s">
        <v>46</v>
      </c>
      <c r="B18" s="11" t="s">
        <v>47</v>
      </c>
      <c r="C18" s="11" t="s">
        <v>48</v>
      </c>
      <c r="D18" s="11" t="s">
        <v>49</v>
      </c>
      <c r="E18" s="11" t="s">
        <v>46</v>
      </c>
      <c r="F18" s="12" t="n">
        <v>17750.0</v>
      </c>
      <c r="G18" s="13" t="s">
        <v>50</v>
      </c>
      <c r="H18" s="14" t="s">
        <v>51</v>
      </c>
      <c r="I18" s="13" t="s">
        <v>50</v>
      </c>
      <c r="J18" s="14" t="s">
        <v>51</v>
      </c>
      <c r="K18" s="13"/>
      <c r="L18" s="14"/>
      <c r="M18" s="13" t="s">
        <v>50</v>
      </c>
      <c r="N18" s="14" t="s">
        <v>51</v>
      </c>
      <c r="O18" s="13"/>
      <c r="P18" s="14"/>
      <c r="Q18" s="13" t="s">
        <v>50</v>
      </c>
      <c r="R18" s="14" t="s">
        <v>51</v>
      </c>
      <c r="S18" s="15" t="n">
        <f>1</f>
        <v>1.0</v>
      </c>
      <c r="T18" s="16" t="n">
        <f>23</f>
        <v>23.0</v>
      </c>
      <c r="U18" s="16"/>
      <c r="V18" s="16" t="n">
        <f>23000</f>
        <v>23000.0</v>
      </c>
      <c r="W18" s="16"/>
      <c r="X18" s="16" t="str">
        <f>"－"</f>
        <v>－</v>
      </c>
      <c r="Y18" s="13" t="s">
        <v>53</v>
      </c>
      <c r="Z18" s="17" t="n">
        <f>177</f>
        <v>177.0</v>
      </c>
      <c r="AA18" s="18" t="n">
        <f>1</f>
        <v>1.0</v>
      </c>
      <c r="AB18" s="11" t="s">
        <v>54</v>
      </c>
    </row>
    <row r="19">
      <c r="A19" s="11" t="s">
        <v>46</v>
      </c>
      <c r="B19" s="11" t="s">
        <v>47</v>
      </c>
      <c r="C19" s="11" t="s">
        <v>48</v>
      </c>
      <c r="D19" s="11" t="s">
        <v>49</v>
      </c>
      <c r="E19" s="11" t="s">
        <v>46</v>
      </c>
      <c r="F19" s="12" t="n">
        <v>18000.0</v>
      </c>
      <c r="G19" s="13" t="s">
        <v>50</v>
      </c>
      <c r="H19" s="14" t="s">
        <v>59</v>
      </c>
      <c r="I19" s="13" t="s">
        <v>50</v>
      </c>
      <c r="J19" s="14" t="s">
        <v>59</v>
      </c>
      <c r="K19" s="13" t="s">
        <v>55</v>
      </c>
      <c r="L19" s="14" t="s">
        <v>51</v>
      </c>
      <c r="M19" s="13" t="s">
        <v>50</v>
      </c>
      <c r="N19" s="14" t="s">
        <v>51</v>
      </c>
      <c r="O19" s="13" t="s">
        <v>55</v>
      </c>
      <c r="P19" s="14" t="s">
        <v>51</v>
      </c>
      <c r="Q19" s="13" t="s">
        <v>61</v>
      </c>
      <c r="R19" s="14" t="s">
        <v>51</v>
      </c>
      <c r="S19" s="15" t="n">
        <f>1</f>
        <v>1.0</v>
      </c>
      <c r="T19" s="16" t="n">
        <f>129</f>
        <v>129.0</v>
      </c>
      <c r="U19" s="16" t="n">
        <v>10.0</v>
      </c>
      <c r="V19" s="16" t="n">
        <f>134000</f>
        <v>134000.0</v>
      </c>
      <c r="W19" s="16" t="n">
        <v>10000.0</v>
      </c>
      <c r="X19" s="16" t="str">
        <f>"－"</f>
        <v>－</v>
      </c>
      <c r="Y19" s="13" t="s">
        <v>53</v>
      </c>
      <c r="Z19" s="17" t="n">
        <f>775</f>
        <v>775.0</v>
      </c>
      <c r="AA19" s="18" t="n">
        <f>4</f>
        <v>4.0</v>
      </c>
      <c r="AB19" s="11" t="s">
        <v>54</v>
      </c>
    </row>
    <row r="20">
      <c r="A20" s="11" t="s">
        <v>46</v>
      </c>
      <c r="B20" s="11" t="s">
        <v>47</v>
      </c>
      <c r="C20" s="11" t="s">
        <v>48</v>
      </c>
      <c r="D20" s="11" t="s">
        <v>49</v>
      </c>
      <c r="E20" s="11" t="s">
        <v>46</v>
      </c>
      <c r="F20" s="12" t="n">
        <v>18250.0</v>
      </c>
      <c r="G20" s="13" t="s">
        <v>50</v>
      </c>
      <c r="H20" s="14" t="s">
        <v>59</v>
      </c>
      <c r="I20" s="13" t="s">
        <v>50</v>
      </c>
      <c r="J20" s="14" t="s">
        <v>59</v>
      </c>
      <c r="K20" s="13" t="s">
        <v>50</v>
      </c>
      <c r="L20" s="14" t="s">
        <v>59</v>
      </c>
      <c r="M20" s="13" t="s">
        <v>50</v>
      </c>
      <c r="N20" s="14" t="s">
        <v>51</v>
      </c>
      <c r="O20" s="13" t="s">
        <v>50</v>
      </c>
      <c r="P20" s="14" t="s">
        <v>51</v>
      </c>
      <c r="Q20" s="13" t="s">
        <v>55</v>
      </c>
      <c r="R20" s="14" t="s">
        <v>51</v>
      </c>
      <c r="S20" s="15" t="n">
        <f>1</f>
        <v>1.0</v>
      </c>
      <c r="T20" s="16" t="n">
        <f>88</f>
        <v>88.0</v>
      </c>
      <c r="U20" s="16" t="n">
        <v>26.0</v>
      </c>
      <c r="V20" s="16" t="n">
        <f>100000</f>
        <v>100000.0</v>
      </c>
      <c r="W20" s="16" t="n">
        <v>36000.0</v>
      </c>
      <c r="X20" s="16" t="str">
        <f>"－"</f>
        <v>－</v>
      </c>
      <c r="Y20" s="13" t="s">
        <v>53</v>
      </c>
      <c r="Z20" s="17" t="n">
        <f>150</f>
        <v>150.0</v>
      </c>
      <c r="AA20" s="18" t="n">
        <f>2</f>
        <v>2.0</v>
      </c>
      <c r="AB20" s="11" t="s">
        <v>54</v>
      </c>
    </row>
    <row r="21">
      <c r="A21" s="11" t="s">
        <v>46</v>
      </c>
      <c r="B21" s="11" t="s">
        <v>47</v>
      </c>
      <c r="C21" s="11" t="s">
        <v>48</v>
      </c>
      <c r="D21" s="11" t="s">
        <v>49</v>
      </c>
      <c r="E21" s="11" t="s">
        <v>46</v>
      </c>
      <c r="F21" s="12" t="n">
        <v>18500.0</v>
      </c>
      <c r="G21" s="13" t="s">
        <v>50</v>
      </c>
      <c r="H21" s="14" t="s">
        <v>59</v>
      </c>
      <c r="I21" s="13" t="s">
        <v>50</v>
      </c>
      <c r="J21" s="14" t="s">
        <v>59</v>
      </c>
      <c r="K21" s="13" t="s">
        <v>50</v>
      </c>
      <c r="L21" s="14" t="s">
        <v>59</v>
      </c>
      <c r="M21" s="13" t="s">
        <v>50</v>
      </c>
      <c r="N21" s="14" t="s">
        <v>51</v>
      </c>
      <c r="O21" s="13" t="s">
        <v>50</v>
      </c>
      <c r="P21" s="14" t="s">
        <v>51</v>
      </c>
      <c r="Q21" s="13" t="s">
        <v>60</v>
      </c>
      <c r="R21" s="14" t="s">
        <v>51</v>
      </c>
      <c r="S21" s="15" t="n">
        <f>1</f>
        <v>1.0</v>
      </c>
      <c r="T21" s="16" t="n">
        <f>162</f>
        <v>162.0</v>
      </c>
      <c r="U21" s="16" t="n">
        <v>13.0</v>
      </c>
      <c r="V21" s="16" t="n">
        <f>195000</f>
        <v>195000.0</v>
      </c>
      <c r="W21" s="16" t="n">
        <v>17000.0</v>
      </c>
      <c r="X21" s="16" t="str">
        <f>"－"</f>
        <v>－</v>
      </c>
      <c r="Y21" s="13" t="s">
        <v>53</v>
      </c>
      <c r="Z21" s="17" t="n">
        <f>365</f>
        <v>365.0</v>
      </c>
      <c r="AA21" s="18" t="n">
        <f>3</f>
        <v>3.0</v>
      </c>
      <c r="AB21" s="11" t="s">
        <v>54</v>
      </c>
    </row>
    <row r="22">
      <c r="A22" s="11" t="s">
        <v>46</v>
      </c>
      <c r="B22" s="11" t="s">
        <v>47</v>
      </c>
      <c r="C22" s="11" t="s">
        <v>48</v>
      </c>
      <c r="D22" s="11" t="s">
        <v>49</v>
      </c>
      <c r="E22" s="11" t="s">
        <v>46</v>
      </c>
      <c r="F22" s="12" t="n">
        <v>18750.0</v>
      </c>
      <c r="G22" s="13" t="s">
        <v>50</v>
      </c>
      <c r="H22" s="14" t="s">
        <v>51</v>
      </c>
      <c r="I22" s="13" t="s">
        <v>50</v>
      </c>
      <c r="J22" s="14" t="s">
        <v>59</v>
      </c>
      <c r="K22" s="13" t="s">
        <v>55</v>
      </c>
      <c r="L22" s="14" t="s">
        <v>51</v>
      </c>
      <c r="M22" s="13" t="s">
        <v>50</v>
      </c>
      <c r="N22" s="14" t="s">
        <v>51</v>
      </c>
      <c r="O22" s="13" t="s">
        <v>55</v>
      </c>
      <c r="P22" s="14" t="s">
        <v>51</v>
      </c>
      <c r="Q22" s="13" t="s">
        <v>52</v>
      </c>
      <c r="R22" s="14" t="s">
        <v>51</v>
      </c>
      <c r="S22" s="15" t="n">
        <f>1.25</f>
        <v>1.25</v>
      </c>
      <c r="T22" s="16" t="n">
        <f>44</f>
        <v>44.0</v>
      </c>
      <c r="U22" s="16" t="n">
        <v>1.0</v>
      </c>
      <c r="V22" s="16" t="n">
        <f>46000</f>
        <v>46000.0</v>
      </c>
      <c r="W22" s="16" t="n">
        <v>1000.0</v>
      </c>
      <c r="X22" s="16" t="str">
        <f>"－"</f>
        <v>－</v>
      </c>
      <c r="Y22" s="13" t="s">
        <v>53</v>
      </c>
      <c r="Z22" s="17" t="n">
        <f>274</f>
        <v>274.0</v>
      </c>
      <c r="AA22" s="18" t="n">
        <f>4</f>
        <v>4.0</v>
      </c>
      <c r="AB22" s="11" t="s">
        <v>54</v>
      </c>
    </row>
    <row r="23">
      <c r="A23" s="11" t="s">
        <v>46</v>
      </c>
      <c r="B23" s="11" t="s">
        <v>47</v>
      </c>
      <c r="C23" s="11" t="s">
        <v>48</v>
      </c>
      <c r="D23" s="11" t="s">
        <v>49</v>
      </c>
      <c r="E23" s="11" t="s">
        <v>46</v>
      </c>
      <c r="F23" s="12" t="n">
        <v>19000.0</v>
      </c>
      <c r="G23" s="13" t="s">
        <v>50</v>
      </c>
      <c r="H23" s="14" t="s">
        <v>59</v>
      </c>
      <c r="I23" s="13" t="s">
        <v>50</v>
      </c>
      <c r="J23" s="14" t="s">
        <v>59</v>
      </c>
      <c r="K23" s="13" t="s">
        <v>50</v>
      </c>
      <c r="L23" s="14" t="s">
        <v>59</v>
      </c>
      <c r="M23" s="13" t="s">
        <v>55</v>
      </c>
      <c r="N23" s="14" t="s">
        <v>51</v>
      </c>
      <c r="O23" s="13" t="s">
        <v>55</v>
      </c>
      <c r="P23" s="14" t="s">
        <v>51</v>
      </c>
      <c r="Q23" s="13" t="s">
        <v>52</v>
      </c>
      <c r="R23" s="14" t="s">
        <v>51</v>
      </c>
      <c r="S23" s="15" t="n">
        <f>1.2</f>
        <v>1.2</v>
      </c>
      <c r="T23" s="16" t="n">
        <f>136</f>
        <v>136.0</v>
      </c>
      <c r="U23" s="16" t="n">
        <v>18.0</v>
      </c>
      <c r="V23" s="16" t="n">
        <f>150000</f>
        <v>150000.0</v>
      </c>
      <c r="W23" s="16" t="n">
        <v>26000.0</v>
      </c>
      <c r="X23" s="16" t="str">
        <f>"－"</f>
        <v>－</v>
      </c>
      <c r="Y23" s="13" t="s">
        <v>53</v>
      </c>
      <c r="Z23" s="17" t="n">
        <f>4022</f>
        <v>4022.0</v>
      </c>
      <c r="AA23" s="18" t="n">
        <f>5</f>
        <v>5.0</v>
      </c>
      <c r="AB23" s="11" t="s">
        <v>54</v>
      </c>
    </row>
    <row r="24">
      <c r="A24" s="11" t="s">
        <v>46</v>
      </c>
      <c r="B24" s="11" t="s">
        <v>47</v>
      </c>
      <c r="C24" s="11" t="s">
        <v>48</v>
      </c>
      <c r="D24" s="11" t="s">
        <v>49</v>
      </c>
      <c r="E24" s="11" t="s">
        <v>46</v>
      </c>
      <c r="F24" s="12" t="n">
        <v>19250.0</v>
      </c>
      <c r="G24" s="13" t="s">
        <v>50</v>
      </c>
      <c r="H24" s="14" t="s">
        <v>62</v>
      </c>
      <c r="I24" s="13" t="s">
        <v>50</v>
      </c>
      <c r="J24" s="14" t="s">
        <v>62</v>
      </c>
      <c r="K24" s="13"/>
      <c r="L24" s="14"/>
      <c r="M24" s="13" t="s">
        <v>50</v>
      </c>
      <c r="N24" s="14" t="s">
        <v>51</v>
      </c>
      <c r="O24" s="13"/>
      <c r="P24" s="14"/>
      <c r="Q24" s="13" t="s">
        <v>61</v>
      </c>
      <c r="R24" s="14" t="s">
        <v>51</v>
      </c>
      <c r="S24" s="15" t="n">
        <f>1.17</f>
        <v>1.17</v>
      </c>
      <c r="T24" s="16" t="n">
        <f>187</f>
        <v>187.0</v>
      </c>
      <c r="U24" s="16"/>
      <c r="V24" s="16" t="n">
        <f>292000</f>
        <v>292000.0</v>
      </c>
      <c r="W24" s="16"/>
      <c r="X24" s="16" t="str">
        <f>"－"</f>
        <v>－</v>
      </c>
      <c r="Y24" s="13" t="s">
        <v>53</v>
      </c>
      <c r="Z24" s="17" t="n">
        <f>594</f>
        <v>594.0</v>
      </c>
      <c r="AA24" s="18" t="n">
        <f>6</f>
        <v>6.0</v>
      </c>
      <c r="AB24" s="11" t="s">
        <v>54</v>
      </c>
    </row>
    <row r="25">
      <c r="A25" s="11" t="s">
        <v>46</v>
      </c>
      <c r="B25" s="11" t="s">
        <v>47</v>
      </c>
      <c r="C25" s="11" t="s">
        <v>48</v>
      </c>
      <c r="D25" s="11" t="s">
        <v>49</v>
      </c>
      <c r="E25" s="11" t="s">
        <v>46</v>
      </c>
      <c r="F25" s="12" t="n">
        <v>19500.0</v>
      </c>
      <c r="G25" s="13" t="s">
        <v>50</v>
      </c>
      <c r="H25" s="14" t="s">
        <v>59</v>
      </c>
      <c r="I25" s="13" t="s">
        <v>50</v>
      </c>
      <c r="J25" s="14" t="s">
        <v>59</v>
      </c>
      <c r="K25" s="13" t="s">
        <v>50</v>
      </c>
      <c r="L25" s="14" t="s">
        <v>59</v>
      </c>
      <c r="M25" s="13" t="s">
        <v>50</v>
      </c>
      <c r="N25" s="14" t="s">
        <v>51</v>
      </c>
      <c r="O25" s="13" t="s">
        <v>50</v>
      </c>
      <c r="P25" s="14" t="s">
        <v>51</v>
      </c>
      <c r="Q25" s="13" t="s">
        <v>61</v>
      </c>
      <c r="R25" s="14" t="s">
        <v>51</v>
      </c>
      <c r="S25" s="15" t="n">
        <f>1</f>
        <v>1.0</v>
      </c>
      <c r="T25" s="16" t="n">
        <f>229</f>
        <v>229.0</v>
      </c>
      <c r="U25" s="16" t="n">
        <v>51.0</v>
      </c>
      <c r="V25" s="16" t="n">
        <f>277000</f>
        <v>277000.0</v>
      </c>
      <c r="W25" s="16" t="n">
        <v>60000.0</v>
      </c>
      <c r="X25" s="16" t="str">
        <f>"－"</f>
        <v>－</v>
      </c>
      <c r="Y25" s="13" t="s">
        <v>53</v>
      </c>
      <c r="Z25" s="17" t="n">
        <f>3091</f>
        <v>3091.0</v>
      </c>
      <c r="AA25" s="18" t="n">
        <f>6</f>
        <v>6.0</v>
      </c>
      <c r="AB25" s="11" t="s">
        <v>54</v>
      </c>
    </row>
    <row r="26">
      <c r="A26" s="11" t="s">
        <v>46</v>
      </c>
      <c r="B26" s="11" t="s">
        <v>47</v>
      </c>
      <c r="C26" s="11" t="s">
        <v>48</v>
      </c>
      <c r="D26" s="11" t="s">
        <v>49</v>
      </c>
      <c r="E26" s="11" t="s">
        <v>46</v>
      </c>
      <c r="F26" s="12" t="n">
        <v>19750.0</v>
      </c>
      <c r="G26" s="13" t="s">
        <v>50</v>
      </c>
      <c r="H26" s="14" t="s">
        <v>62</v>
      </c>
      <c r="I26" s="13" t="s">
        <v>50</v>
      </c>
      <c r="J26" s="14" t="s">
        <v>62</v>
      </c>
      <c r="K26" s="13" t="s">
        <v>50</v>
      </c>
      <c r="L26" s="14" t="s">
        <v>62</v>
      </c>
      <c r="M26" s="13" t="s">
        <v>63</v>
      </c>
      <c r="N26" s="14" t="s">
        <v>51</v>
      </c>
      <c r="O26" s="13" t="s">
        <v>55</v>
      </c>
      <c r="P26" s="14" t="s">
        <v>51</v>
      </c>
      <c r="Q26" s="13" t="s">
        <v>61</v>
      </c>
      <c r="R26" s="14" t="s">
        <v>51</v>
      </c>
      <c r="S26" s="15" t="n">
        <f>1.2</f>
        <v>1.2</v>
      </c>
      <c r="T26" s="16" t="n">
        <f>156</f>
        <v>156.0</v>
      </c>
      <c r="U26" s="16" t="n">
        <v>27.0</v>
      </c>
      <c r="V26" s="16" t="n">
        <f>230000</f>
        <v>230000.0</v>
      </c>
      <c r="W26" s="16" t="n">
        <v>52000.0</v>
      </c>
      <c r="X26" s="16" t="str">
        <f>"－"</f>
        <v>－</v>
      </c>
      <c r="Y26" s="13" t="s">
        <v>53</v>
      </c>
      <c r="Z26" s="17" t="n">
        <f>390</f>
        <v>390.0</v>
      </c>
      <c r="AA26" s="18" t="n">
        <f>5</f>
        <v>5.0</v>
      </c>
      <c r="AB26" s="11" t="s">
        <v>54</v>
      </c>
    </row>
    <row r="27">
      <c r="A27" s="11" t="s">
        <v>46</v>
      </c>
      <c r="B27" s="11" t="s">
        <v>47</v>
      </c>
      <c r="C27" s="11" t="s">
        <v>48</v>
      </c>
      <c r="D27" s="11" t="s">
        <v>49</v>
      </c>
      <c r="E27" s="11" t="s">
        <v>46</v>
      </c>
      <c r="F27" s="12" t="n">
        <v>20000.0</v>
      </c>
      <c r="G27" s="13" t="s">
        <v>50</v>
      </c>
      <c r="H27" s="14" t="s">
        <v>64</v>
      </c>
      <c r="I27" s="13" t="s">
        <v>50</v>
      </c>
      <c r="J27" s="14" t="s">
        <v>64</v>
      </c>
      <c r="K27" s="13" t="s">
        <v>50</v>
      </c>
      <c r="L27" s="14" t="s">
        <v>64</v>
      </c>
      <c r="M27" s="13" t="s">
        <v>55</v>
      </c>
      <c r="N27" s="14" t="s">
        <v>51</v>
      </c>
      <c r="O27" s="13" t="s">
        <v>50</v>
      </c>
      <c r="P27" s="14" t="s">
        <v>51</v>
      </c>
      <c r="Q27" s="13" t="s">
        <v>56</v>
      </c>
      <c r="R27" s="14" t="s">
        <v>51</v>
      </c>
      <c r="S27" s="15" t="n">
        <f>1.17</f>
        <v>1.17</v>
      </c>
      <c r="T27" s="16" t="n">
        <f>1955</f>
        <v>1955.0</v>
      </c>
      <c r="U27" s="16" t="n">
        <v>1099.0</v>
      </c>
      <c r="V27" s="16" t="n">
        <f>2936000</f>
        <v>2936000.0</v>
      </c>
      <c r="W27" s="16" t="n">
        <v>1136000.0</v>
      </c>
      <c r="X27" s="16" t="str">
        <f>"－"</f>
        <v>－</v>
      </c>
      <c r="Y27" s="13" t="s">
        <v>53</v>
      </c>
      <c r="Z27" s="17" t="n">
        <f>2795</f>
        <v>2795.0</v>
      </c>
      <c r="AA27" s="18" t="n">
        <f>6</f>
        <v>6.0</v>
      </c>
      <c r="AB27" s="11" t="s">
        <v>54</v>
      </c>
    </row>
    <row r="28">
      <c r="A28" s="11" t="s">
        <v>46</v>
      </c>
      <c r="B28" s="11" t="s">
        <v>47</v>
      </c>
      <c r="C28" s="11" t="s">
        <v>48</v>
      </c>
      <c r="D28" s="11" t="s">
        <v>49</v>
      </c>
      <c r="E28" s="11" t="s">
        <v>46</v>
      </c>
      <c r="F28" s="12" t="n">
        <v>20250.0</v>
      </c>
      <c r="G28" s="13" t="s">
        <v>50</v>
      </c>
      <c r="H28" s="14" t="s">
        <v>64</v>
      </c>
      <c r="I28" s="13" t="s">
        <v>50</v>
      </c>
      <c r="J28" s="14" t="s">
        <v>64</v>
      </c>
      <c r="K28" s="13" t="s">
        <v>50</v>
      </c>
      <c r="L28" s="14" t="s">
        <v>62</v>
      </c>
      <c r="M28" s="13" t="s">
        <v>63</v>
      </c>
      <c r="N28" s="14" t="s">
        <v>51</v>
      </c>
      <c r="O28" s="13" t="s">
        <v>63</v>
      </c>
      <c r="P28" s="14" t="s">
        <v>51</v>
      </c>
      <c r="Q28" s="13" t="s">
        <v>61</v>
      </c>
      <c r="R28" s="14" t="s">
        <v>51</v>
      </c>
      <c r="S28" s="15" t="n">
        <f>1.5</f>
        <v>1.5</v>
      </c>
      <c r="T28" s="16" t="n">
        <f>181</f>
        <v>181.0</v>
      </c>
      <c r="U28" s="16" t="n">
        <v>14.0</v>
      </c>
      <c r="V28" s="16" t="n">
        <f>379000</f>
        <v>379000.0</v>
      </c>
      <c r="W28" s="16" t="n">
        <v>20000.0</v>
      </c>
      <c r="X28" s="16" t="str">
        <f>"－"</f>
        <v>－</v>
      </c>
      <c r="Y28" s="13" t="s">
        <v>53</v>
      </c>
      <c r="Z28" s="17" t="n">
        <f>309</f>
        <v>309.0</v>
      </c>
      <c r="AA28" s="18" t="n">
        <f>4</f>
        <v>4.0</v>
      </c>
      <c r="AB28" s="11" t="s">
        <v>54</v>
      </c>
    </row>
    <row r="29">
      <c r="A29" s="11" t="s">
        <v>46</v>
      </c>
      <c r="B29" s="11" t="s">
        <v>47</v>
      </c>
      <c r="C29" s="11" t="s">
        <v>48</v>
      </c>
      <c r="D29" s="11" t="s">
        <v>49</v>
      </c>
      <c r="E29" s="11" t="s">
        <v>46</v>
      </c>
      <c r="F29" s="12" t="n">
        <v>20500.0</v>
      </c>
      <c r="G29" s="13" t="s">
        <v>50</v>
      </c>
      <c r="H29" s="14" t="s">
        <v>64</v>
      </c>
      <c r="I29" s="13" t="s">
        <v>50</v>
      </c>
      <c r="J29" s="14" t="s">
        <v>64</v>
      </c>
      <c r="K29" s="13" t="s">
        <v>50</v>
      </c>
      <c r="L29" s="14" t="s">
        <v>64</v>
      </c>
      <c r="M29" s="13" t="s">
        <v>63</v>
      </c>
      <c r="N29" s="14" t="s">
        <v>51</v>
      </c>
      <c r="O29" s="13" t="s">
        <v>63</v>
      </c>
      <c r="P29" s="14" t="s">
        <v>51</v>
      </c>
      <c r="Q29" s="13" t="s">
        <v>61</v>
      </c>
      <c r="R29" s="14" t="s">
        <v>51</v>
      </c>
      <c r="S29" s="15" t="n">
        <f>1.5</f>
        <v>1.5</v>
      </c>
      <c r="T29" s="16" t="n">
        <f>572</f>
        <v>572.0</v>
      </c>
      <c r="U29" s="16" t="n">
        <v>129.0</v>
      </c>
      <c r="V29" s="16" t="n">
        <f>1141000</f>
        <v>1141000.0</v>
      </c>
      <c r="W29" s="16" t="n">
        <v>260000.0</v>
      </c>
      <c r="X29" s="16" t="str">
        <f>"－"</f>
        <v>－</v>
      </c>
      <c r="Y29" s="13" t="s">
        <v>53</v>
      </c>
      <c r="Z29" s="17" t="n">
        <f>403</f>
        <v>403.0</v>
      </c>
      <c r="AA29" s="18" t="n">
        <f>6</f>
        <v>6.0</v>
      </c>
      <c r="AB29" s="11" t="s">
        <v>54</v>
      </c>
    </row>
    <row r="30">
      <c r="A30" s="11" t="s">
        <v>46</v>
      </c>
      <c r="B30" s="11" t="s">
        <v>47</v>
      </c>
      <c r="C30" s="11" t="s">
        <v>48</v>
      </c>
      <c r="D30" s="11" t="s">
        <v>49</v>
      </c>
      <c r="E30" s="11" t="s">
        <v>46</v>
      </c>
      <c r="F30" s="12" t="n">
        <v>20750.0</v>
      </c>
      <c r="G30" s="13" t="s">
        <v>50</v>
      </c>
      <c r="H30" s="14" t="s">
        <v>65</v>
      </c>
      <c r="I30" s="13" t="s">
        <v>50</v>
      </c>
      <c r="J30" s="14" t="s">
        <v>65</v>
      </c>
      <c r="K30" s="13" t="s">
        <v>63</v>
      </c>
      <c r="L30" s="14" t="s">
        <v>51</v>
      </c>
      <c r="M30" s="13" t="s">
        <v>63</v>
      </c>
      <c r="N30" s="14" t="s">
        <v>51</v>
      </c>
      <c r="O30" s="13" t="s">
        <v>63</v>
      </c>
      <c r="P30" s="14" t="s">
        <v>51</v>
      </c>
      <c r="Q30" s="13" t="s">
        <v>52</v>
      </c>
      <c r="R30" s="14" t="s">
        <v>51</v>
      </c>
      <c r="S30" s="15" t="n">
        <f>1.43</f>
        <v>1.43</v>
      </c>
      <c r="T30" s="16" t="n">
        <f>233</f>
        <v>233.0</v>
      </c>
      <c r="U30" s="16" t="n">
        <v>5.0</v>
      </c>
      <c r="V30" s="16" t="n">
        <f>534000</f>
        <v>534000.0</v>
      </c>
      <c r="W30" s="16" t="n">
        <v>5000.0</v>
      </c>
      <c r="X30" s="16" t="str">
        <f>"－"</f>
        <v>－</v>
      </c>
      <c r="Y30" s="13" t="s">
        <v>53</v>
      </c>
      <c r="Z30" s="17" t="n">
        <f>531</f>
        <v>531.0</v>
      </c>
      <c r="AA30" s="18" t="n">
        <f>7</f>
        <v>7.0</v>
      </c>
      <c r="AB30" s="11" t="s">
        <v>54</v>
      </c>
    </row>
    <row r="31">
      <c r="A31" s="11" t="s">
        <v>46</v>
      </c>
      <c r="B31" s="11" t="s">
        <v>47</v>
      </c>
      <c r="C31" s="11" t="s">
        <v>48</v>
      </c>
      <c r="D31" s="11" t="s">
        <v>49</v>
      </c>
      <c r="E31" s="11" t="s">
        <v>46</v>
      </c>
      <c r="F31" s="12" t="n">
        <v>21000.0</v>
      </c>
      <c r="G31" s="13" t="s">
        <v>50</v>
      </c>
      <c r="H31" s="14" t="s">
        <v>65</v>
      </c>
      <c r="I31" s="13" t="s">
        <v>50</v>
      </c>
      <c r="J31" s="14" t="s">
        <v>66</v>
      </c>
      <c r="K31" s="13" t="s">
        <v>50</v>
      </c>
      <c r="L31" s="14" t="s">
        <v>66</v>
      </c>
      <c r="M31" s="13" t="s">
        <v>55</v>
      </c>
      <c r="N31" s="14" t="s">
        <v>51</v>
      </c>
      <c r="O31" s="13" t="s">
        <v>63</v>
      </c>
      <c r="P31" s="14" t="s">
        <v>51</v>
      </c>
      <c r="Q31" s="13" t="s">
        <v>52</v>
      </c>
      <c r="R31" s="14" t="s">
        <v>51</v>
      </c>
      <c r="S31" s="15" t="n">
        <f>1.43</f>
        <v>1.43</v>
      </c>
      <c r="T31" s="16" t="n">
        <f>1999</f>
        <v>1999.0</v>
      </c>
      <c r="U31" s="16" t="n">
        <v>394.0</v>
      </c>
      <c r="V31" s="16" t="n">
        <f>4557000</f>
        <v>4557000.0</v>
      </c>
      <c r="W31" s="16" t="n">
        <v>876000.0</v>
      </c>
      <c r="X31" s="16" t="str">
        <f>"－"</f>
        <v>－</v>
      </c>
      <c r="Y31" s="13" t="s">
        <v>53</v>
      </c>
      <c r="Z31" s="17" t="n">
        <f>3177</f>
        <v>3177.0</v>
      </c>
      <c r="AA31" s="18" t="n">
        <f>7</f>
        <v>7.0</v>
      </c>
      <c r="AB31" s="11" t="s">
        <v>54</v>
      </c>
    </row>
    <row r="32">
      <c r="A32" s="11" t="s">
        <v>46</v>
      </c>
      <c r="B32" s="11" t="s">
        <v>47</v>
      </c>
      <c r="C32" s="11" t="s">
        <v>48</v>
      </c>
      <c r="D32" s="11" t="s">
        <v>49</v>
      </c>
      <c r="E32" s="11" t="s">
        <v>46</v>
      </c>
      <c r="F32" s="12" t="n">
        <v>21250.0</v>
      </c>
      <c r="G32" s="13" t="s">
        <v>50</v>
      </c>
      <c r="H32" s="14" t="s">
        <v>67</v>
      </c>
      <c r="I32" s="13" t="s">
        <v>50</v>
      </c>
      <c r="J32" s="14" t="s">
        <v>67</v>
      </c>
      <c r="K32" s="13" t="s">
        <v>50</v>
      </c>
      <c r="L32" s="14" t="s">
        <v>64</v>
      </c>
      <c r="M32" s="13" t="s">
        <v>63</v>
      </c>
      <c r="N32" s="14" t="s">
        <v>51</v>
      </c>
      <c r="O32" s="13" t="s">
        <v>63</v>
      </c>
      <c r="P32" s="14" t="s">
        <v>51</v>
      </c>
      <c r="Q32" s="13" t="s">
        <v>56</v>
      </c>
      <c r="R32" s="14" t="s">
        <v>51</v>
      </c>
      <c r="S32" s="15" t="n">
        <f>1.57</f>
        <v>1.57</v>
      </c>
      <c r="T32" s="16" t="n">
        <f>527</f>
        <v>527.0</v>
      </c>
      <c r="U32" s="16" t="n">
        <v>65.0</v>
      </c>
      <c r="V32" s="16" t="n">
        <f>1232000</f>
        <v>1232000.0</v>
      </c>
      <c r="W32" s="16" t="n">
        <v>104000.0</v>
      </c>
      <c r="X32" s="16" t="str">
        <f>"－"</f>
        <v>－</v>
      </c>
      <c r="Y32" s="13" t="s">
        <v>53</v>
      </c>
      <c r="Z32" s="17" t="n">
        <f>426</f>
        <v>426.0</v>
      </c>
      <c r="AA32" s="18" t="n">
        <f>7</f>
        <v>7.0</v>
      </c>
      <c r="AB32" s="11" t="s">
        <v>54</v>
      </c>
    </row>
    <row r="33">
      <c r="A33" s="11" t="s">
        <v>46</v>
      </c>
      <c r="B33" s="11" t="s">
        <v>47</v>
      </c>
      <c r="C33" s="11" t="s">
        <v>48</v>
      </c>
      <c r="D33" s="11" t="s">
        <v>49</v>
      </c>
      <c r="E33" s="11" t="s">
        <v>46</v>
      </c>
      <c r="F33" s="12" t="n">
        <v>21500.0</v>
      </c>
      <c r="G33" s="13" t="s">
        <v>50</v>
      </c>
      <c r="H33" s="14" t="s">
        <v>66</v>
      </c>
      <c r="I33" s="13" t="s">
        <v>50</v>
      </c>
      <c r="J33" s="14" t="s">
        <v>67</v>
      </c>
      <c r="K33" s="13" t="s">
        <v>50</v>
      </c>
      <c r="L33" s="14" t="s">
        <v>66</v>
      </c>
      <c r="M33" s="13" t="s">
        <v>63</v>
      </c>
      <c r="N33" s="14" t="s">
        <v>51</v>
      </c>
      <c r="O33" s="13" t="s">
        <v>60</v>
      </c>
      <c r="P33" s="14" t="s">
        <v>51</v>
      </c>
      <c r="Q33" s="13" t="s">
        <v>52</v>
      </c>
      <c r="R33" s="14" t="s">
        <v>51</v>
      </c>
      <c r="S33" s="15" t="n">
        <f>1.43</f>
        <v>1.43</v>
      </c>
      <c r="T33" s="16" t="n">
        <f>812</f>
        <v>812.0</v>
      </c>
      <c r="U33" s="16" t="n">
        <v>77.0</v>
      </c>
      <c r="V33" s="16" t="n">
        <f>2377000</f>
        <v>2377000.0</v>
      </c>
      <c r="W33" s="16" t="n">
        <v>204000.0</v>
      </c>
      <c r="X33" s="16" t="str">
        <f>"－"</f>
        <v>－</v>
      </c>
      <c r="Y33" s="13" t="s">
        <v>53</v>
      </c>
      <c r="Z33" s="17" t="n">
        <f>988</f>
        <v>988.0</v>
      </c>
      <c r="AA33" s="18" t="n">
        <f>7</f>
        <v>7.0</v>
      </c>
      <c r="AB33" s="11" t="s">
        <v>54</v>
      </c>
    </row>
    <row r="34">
      <c r="A34" s="11" t="s">
        <v>46</v>
      </c>
      <c r="B34" s="11" t="s">
        <v>47</v>
      </c>
      <c r="C34" s="11" t="s">
        <v>48</v>
      </c>
      <c r="D34" s="11" t="s">
        <v>49</v>
      </c>
      <c r="E34" s="11" t="s">
        <v>46</v>
      </c>
      <c r="F34" s="12" t="n">
        <v>21750.0</v>
      </c>
      <c r="G34" s="13" t="s">
        <v>50</v>
      </c>
      <c r="H34" s="14" t="s">
        <v>67</v>
      </c>
      <c r="I34" s="13" t="s">
        <v>50</v>
      </c>
      <c r="J34" s="14" t="s">
        <v>67</v>
      </c>
      <c r="K34" s="13" t="s">
        <v>50</v>
      </c>
      <c r="L34" s="14" t="s">
        <v>66</v>
      </c>
      <c r="M34" s="13" t="s">
        <v>60</v>
      </c>
      <c r="N34" s="14" t="s">
        <v>51</v>
      </c>
      <c r="O34" s="13" t="s">
        <v>60</v>
      </c>
      <c r="P34" s="14" t="s">
        <v>51</v>
      </c>
      <c r="Q34" s="13" t="s">
        <v>52</v>
      </c>
      <c r="R34" s="14" t="s">
        <v>51</v>
      </c>
      <c r="S34" s="15" t="n">
        <f>1.71</f>
        <v>1.71</v>
      </c>
      <c r="T34" s="16" t="n">
        <f>388</f>
        <v>388.0</v>
      </c>
      <c r="U34" s="16" t="n">
        <v>38.0</v>
      </c>
      <c r="V34" s="16" t="n">
        <f>986000</f>
        <v>986000.0</v>
      </c>
      <c r="W34" s="16" t="n">
        <v>98000.0</v>
      </c>
      <c r="X34" s="16" t="str">
        <f>"－"</f>
        <v>－</v>
      </c>
      <c r="Y34" s="13" t="s">
        <v>53</v>
      </c>
      <c r="Z34" s="17" t="n">
        <f>285</f>
        <v>285.0</v>
      </c>
      <c r="AA34" s="18" t="n">
        <f>7</f>
        <v>7.0</v>
      </c>
      <c r="AB34" s="11" t="s">
        <v>54</v>
      </c>
    </row>
    <row r="35">
      <c r="A35" s="11" t="s">
        <v>46</v>
      </c>
      <c r="B35" s="11" t="s">
        <v>47</v>
      </c>
      <c r="C35" s="11" t="s">
        <v>48</v>
      </c>
      <c r="D35" s="11" t="s">
        <v>49</v>
      </c>
      <c r="E35" s="11" t="s">
        <v>46</v>
      </c>
      <c r="F35" s="12" t="n">
        <v>22000.0</v>
      </c>
      <c r="G35" s="13" t="s">
        <v>50</v>
      </c>
      <c r="H35" s="14" t="s">
        <v>68</v>
      </c>
      <c r="I35" s="13" t="s">
        <v>50</v>
      </c>
      <c r="J35" s="14" t="s">
        <v>69</v>
      </c>
      <c r="K35" s="13" t="s">
        <v>50</v>
      </c>
      <c r="L35" s="14" t="s">
        <v>68</v>
      </c>
      <c r="M35" s="13" t="s">
        <v>63</v>
      </c>
      <c r="N35" s="14" t="s">
        <v>51</v>
      </c>
      <c r="O35" s="13" t="s">
        <v>63</v>
      </c>
      <c r="P35" s="14" t="s">
        <v>51</v>
      </c>
      <c r="Q35" s="13" t="s">
        <v>56</v>
      </c>
      <c r="R35" s="14" t="s">
        <v>51</v>
      </c>
      <c r="S35" s="15" t="n">
        <f>1.86</f>
        <v>1.86</v>
      </c>
      <c r="T35" s="16" t="n">
        <f>1484</f>
        <v>1484.0</v>
      </c>
      <c r="U35" s="16" t="n">
        <v>270.0</v>
      </c>
      <c r="V35" s="16" t="n">
        <f>5253000</f>
        <v>5253000.0</v>
      </c>
      <c r="W35" s="16" t="n">
        <v>672000.0</v>
      </c>
      <c r="X35" s="16" t="str">
        <f>"－"</f>
        <v>－</v>
      </c>
      <c r="Y35" s="13" t="s">
        <v>53</v>
      </c>
      <c r="Z35" s="17" t="n">
        <f>2364</f>
        <v>2364.0</v>
      </c>
      <c r="AA35" s="18" t="n">
        <f>7</f>
        <v>7.0</v>
      </c>
      <c r="AB35" s="11" t="s">
        <v>54</v>
      </c>
    </row>
    <row r="36">
      <c r="A36" s="11" t="s">
        <v>46</v>
      </c>
      <c r="B36" s="11" t="s">
        <v>47</v>
      </c>
      <c r="C36" s="11" t="s">
        <v>48</v>
      </c>
      <c r="D36" s="11" t="s">
        <v>49</v>
      </c>
      <c r="E36" s="11" t="s">
        <v>46</v>
      </c>
      <c r="F36" s="12" t="n">
        <v>22250.0</v>
      </c>
      <c r="G36" s="13" t="s">
        <v>50</v>
      </c>
      <c r="H36" s="14" t="s">
        <v>70</v>
      </c>
      <c r="I36" s="13" t="s">
        <v>50</v>
      </c>
      <c r="J36" s="14" t="s">
        <v>70</v>
      </c>
      <c r="K36" s="13" t="s">
        <v>50</v>
      </c>
      <c r="L36" s="14" t="s">
        <v>69</v>
      </c>
      <c r="M36" s="13" t="s">
        <v>60</v>
      </c>
      <c r="N36" s="14" t="s">
        <v>51</v>
      </c>
      <c r="O36" s="13" t="s">
        <v>60</v>
      </c>
      <c r="P36" s="14" t="s">
        <v>51</v>
      </c>
      <c r="Q36" s="13" t="s">
        <v>56</v>
      </c>
      <c r="R36" s="14" t="s">
        <v>51</v>
      </c>
      <c r="S36" s="15" t="n">
        <f>2</f>
        <v>2.0</v>
      </c>
      <c r="T36" s="16" t="n">
        <f>509</f>
        <v>509.0</v>
      </c>
      <c r="U36" s="16" t="n">
        <v>109.0</v>
      </c>
      <c r="V36" s="16" t="n">
        <f>2236000</f>
        <v>2236000.0</v>
      </c>
      <c r="W36" s="16" t="n">
        <v>229000.0</v>
      </c>
      <c r="X36" s="16" t="str">
        <f>"－"</f>
        <v>－</v>
      </c>
      <c r="Y36" s="13" t="s">
        <v>53</v>
      </c>
      <c r="Z36" s="17" t="n">
        <f>652</f>
        <v>652.0</v>
      </c>
      <c r="AA36" s="18" t="n">
        <f>7</f>
        <v>7.0</v>
      </c>
      <c r="AB36" s="11" t="s">
        <v>54</v>
      </c>
    </row>
    <row r="37">
      <c r="A37" s="11" t="s">
        <v>46</v>
      </c>
      <c r="B37" s="11" t="s">
        <v>47</v>
      </c>
      <c r="C37" s="11" t="s">
        <v>48</v>
      </c>
      <c r="D37" s="11" t="s">
        <v>49</v>
      </c>
      <c r="E37" s="11" t="s">
        <v>46</v>
      </c>
      <c r="F37" s="12" t="n">
        <v>22500.0</v>
      </c>
      <c r="G37" s="13" t="s">
        <v>50</v>
      </c>
      <c r="H37" s="14" t="s">
        <v>71</v>
      </c>
      <c r="I37" s="13" t="s">
        <v>50</v>
      </c>
      <c r="J37" s="14" t="s">
        <v>72</v>
      </c>
      <c r="K37" s="13" t="s">
        <v>50</v>
      </c>
      <c r="L37" s="14" t="s">
        <v>72</v>
      </c>
      <c r="M37" s="13" t="s">
        <v>60</v>
      </c>
      <c r="N37" s="14" t="s">
        <v>51</v>
      </c>
      <c r="O37" s="13" t="s">
        <v>60</v>
      </c>
      <c r="P37" s="14" t="s">
        <v>51</v>
      </c>
      <c r="Q37" s="13" t="s">
        <v>52</v>
      </c>
      <c r="R37" s="14" t="s">
        <v>51</v>
      </c>
      <c r="S37" s="15" t="n">
        <f>2.14</f>
        <v>2.14</v>
      </c>
      <c r="T37" s="16" t="n">
        <f>1294</f>
        <v>1294.0</v>
      </c>
      <c r="U37" s="16" t="n">
        <v>177.0</v>
      </c>
      <c r="V37" s="16" t="n">
        <f>6047000</f>
        <v>6047000.0</v>
      </c>
      <c r="W37" s="16" t="n">
        <v>627000.0</v>
      </c>
      <c r="X37" s="16" t="str">
        <f>"－"</f>
        <v>－</v>
      </c>
      <c r="Y37" s="13" t="s">
        <v>53</v>
      </c>
      <c r="Z37" s="17" t="n">
        <f>3396</f>
        <v>3396.0</v>
      </c>
      <c r="AA37" s="18" t="n">
        <f>7</f>
        <v>7.0</v>
      </c>
      <c r="AB37" s="11" t="s">
        <v>54</v>
      </c>
    </row>
    <row r="38">
      <c r="A38" s="11" t="s">
        <v>46</v>
      </c>
      <c r="B38" s="11" t="s">
        <v>47</v>
      </c>
      <c r="C38" s="11" t="s">
        <v>48</v>
      </c>
      <c r="D38" s="11" t="s">
        <v>49</v>
      </c>
      <c r="E38" s="11" t="s">
        <v>46</v>
      </c>
      <c r="F38" s="12" t="n">
        <v>22750.0</v>
      </c>
      <c r="G38" s="13" t="s">
        <v>50</v>
      </c>
      <c r="H38" s="14" t="s">
        <v>71</v>
      </c>
      <c r="I38" s="13" t="s">
        <v>50</v>
      </c>
      <c r="J38" s="14" t="s">
        <v>73</v>
      </c>
      <c r="K38" s="13" t="s">
        <v>50</v>
      </c>
      <c r="L38" s="14" t="s">
        <v>72</v>
      </c>
      <c r="M38" s="13" t="s">
        <v>63</v>
      </c>
      <c r="N38" s="14" t="s">
        <v>51</v>
      </c>
      <c r="O38" s="13" t="s">
        <v>58</v>
      </c>
      <c r="P38" s="14" t="s">
        <v>51</v>
      </c>
      <c r="Q38" s="13" t="s">
        <v>56</v>
      </c>
      <c r="R38" s="14" t="s">
        <v>51</v>
      </c>
      <c r="S38" s="15" t="n">
        <f>2.38</f>
        <v>2.38</v>
      </c>
      <c r="T38" s="16" t="n">
        <f>1572</f>
        <v>1572.0</v>
      </c>
      <c r="U38" s="16" t="n">
        <v>125.0</v>
      </c>
      <c r="V38" s="16" t="n">
        <f>7230000</f>
        <v>7230000.0</v>
      </c>
      <c r="W38" s="16" t="n">
        <v>621000.0</v>
      </c>
      <c r="X38" s="16" t="str">
        <f>"－"</f>
        <v>－</v>
      </c>
      <c r="Y38" s="13" t="s">
        <v>53</v>
      </c>
      <c r="Z38" s="17" t="n">
        <f>703</f>
        <v>703.0</v>
      </c>
      <c r="AA38" s="18" t="n">
        <f>8</f>
        <v>8.0</v>
      </c>
      <c r="AB38" s="11" t="s">
        <v>54</v>
      </c>
    </row>
    <row r="39">
      <c r="A39" s="11" t="s">
        <v>46</v>
      </c>
      <c r="B39" s="11" t="s">
        <v>47</v>
      </c>
      <c r="C39" s="11" t="s">
        <v>48</v>
      </c>
      <c r="D39" s="11" t="s">
        <v>49</v>
      </c>
      <c r="E39" s="11" t="s">
        <v>46</v>
      </c>
      <c r="F39" s="12" t="n">
        <v>23000.0</v>
      </c>
      <c r="G39" s="13" t="s">
        <v>50</v>
      </c>
      <c r="H39" s="14" t="s">
        <v>70</v>
      </c>
      <c r="I39" s="13" t="s">
        <v>50</v>
      </c>
      <c r="J39" s="14" t="s">
        <v>74</v>
      </c>
      <c r="K39" s="13" t="s">
        <v>50</v>
      </c>
      <c r="L39" s="14" t="s">
        <v>75</v>
      </c>
      <c r="M39" s="13" t="s">
        <v>63</v>
      </c>
      <c r="N39" s="14" t="s">
        <v>51</v>
      </c>
      <c r="O39" s="13" t="s">
        <v>60</v>
      </c>
      <c r="P39" s="14" t="s">
        <v>51</v>
      </c>
      <c r="Q39" s="13" t="s">
        <v>52</v>
      </c>
      <c r="R39" s="14" t="s">
        <v>51</v>
      </c>
      <c r="S39" s="15" t="n">
        <f>2.43</f>
        <v>2.43</v>
      </c>
      <c r="T39" s="16" t="n">
        <f>3873</f>
        <v>3873.0</v>
      </c>
      <c r="U39" s="16" t="n">
        <v>379.0</v>
      </c>
      <c r="V39" s="16" t="n">
        <f>21666000</f>
        <v>2.1666E7</v>
      </c>
      <c r="W39" s="16" t="n">
        <v>1402000.0</v>
      </c>
      <c r="X39" s="16" t="str">
        <f>"－"</f>
        <v>－</v>
      </c>
      <c r="Y39" s="13" t="s">
        <v>53</v>
      </c>
      <c r="Z39" s="17" t="n">
        <f>4856</f>
        <v>4856.0</v>
      </c>
      <c r="AA39" s="18" t="n">
        <f>7</f>
        <v>7.0</v>
      </c>
      <c r="AB39" s="11" t="s">
        <v>54</v>
      </c>
    </row>
    <row r="40">
      <c r="A40" s="11" t="s">
        <v>46</v>
      </c>
      <c r="B40" s="11" t="s">
        <v>47</v>
      </c>
      <c r="C40" s="11" t="s">
        <v>48</v>
      </c>
      <c r="D40" s="11" t="s">
        <v>49</v>
      </c>
      <c r="E40" s="11" t="s">
        <v>46</v>
      </c>
      <c r="F40" s="12" t="n">
        <v>23250.0</v>
      </c>
      <c r="G40" s="13" t="s">
        <v>50</v>
      </c>
      <c r="H40" s="14" t="s">
        <v>73</v>
      </c>
      <c r="I40" s="13" t="s">
        <v>50</v>
      </c>
      <c r="J40" s="14" t="s">
        <v>76</v>
      </c>
      <c r="K40" s="13" t="s">
        <v>50</v>
      </c>
      <c r="L40" s="14" t="s">
        <v>77</v>
      </c>
      <c r="M40" s="13" t="s">
        <v>60</v>
      </c>
      <c r="N40" s="14" t="s">
        <v>51</v>
      </c>
      <c r="O40" s="13" t="s">
        <v>58</v>
      </c>
      <c r="P40" s="14" t="s">
        <v>51</v>
      </c>
      <c r="Q40" s="13" t="s">
        <v>56</v>
      </c>
      <c r="R40" s="14" t="s">
        <v>51</v>
      </c>
      <c r="S40" s="15" t="n">
        <f>2.86</f>
        <v>2.86</v>
      </c>
      <c r="T40" s="16" t="n">
        <f>1120</f>
        <v>1120.0</v>
      </c>
      <c r="U40" s="16" t="n">
        <v>264.0</v>
      </c>
      <c r="V40" s="16" t="n">
        <f>8753000</f>
        <v>8753000.0</v>
      </c>
      <c r="W40" s="16" t="n">
        <v>1252000.0</v>
      </c>
      <c r="X40" s="16" t="str">
        <f>"－"</f>
        <v>－</v>
      </c>
      <c r="Y40" s="13" t="s">
        <v>53</v>
      </c>
      <c r="Z40" s="17" t="n">
        <f>991</f>
        <v>991.0</v>
      </c>
      <c r="AA40" s="18" t="n">
        <f>7</f>
        <v>7.0</v>
      </c>
      <c r="AB40" s="11" t="s">
        <v>54</v>
      </c>
    </row>
    <row r="41">
      <c r="A41" s="11" t="s">
        <v>46</v>
      </c>
      <c r="B41" s="11" t="s">
        <v>47</v>
      </c>
      <c r="C41" s="11" t="s">
        <v>48</v>
      </c>
      <c r="D41" s="11" t="s">
        <v>49</v>
      </c>
      <c r="E41" s="11" t="s">
        <v>46</v>
      </c>
      <c r="F41" s="12" t="n">
        <v>23375.0</v>
      </c>
      <c r="G41" s="13" t="s">
        <v>50</v>
      </c>
      <c r="H41" s="14" t="s">
        <v>78</v>
      </c>
      <c r="I41" s="13" t="s">
        <v>50</v>
      </c>
      <c r="J41" s="14" t="s">
        <v>74</v>
      </c>
      <c r="K41" s="13" t="s">
        <v>50</v>
      </c>
      <c r="L41" s="14" t="s">
        <v>77</v>
      </c>
      <c r="M41" s="13" t="s">
        <v>60</v>
      </c>
      <c r="N41" s="14" t="s">
        <v>51</v>
      </c>
      <c r="O41" s="13" t="s">
        <v>58</v>
      </c>
      <c r="P41" s="14" t="s">
        <v>51</v>
      </c>
      <c r="Q41" s="13" t="s">
        <v>56</v>
      </c>
      <c r="R41" s="14" t="s">
        <v>51</v>
      </c>
      <c r="S41" s="15" t="n">
        <f>3</f>
        <v>3.0</v>
      </c>
      <c r="T41" s="16" t="n">
        <f>451</f>
        <v>451.0</v>
      </c>
      <c r="U41" s="16" t="n">
        <v>69.0</v>
      </c>
      <c r="V41" s="16" t="n">
        <f>4396000</f>
        <v>4396000.0</v>
      </c>
      <c r="W41" s="16" t="n">
        <v>372000.0</v>
      </c>
      <c r="X41" s="16" t="str">
        <f>"－"</f>
        <v>－</v>
      </c>
      <c r="Y41" s="13" t="s">
        <v>53</v>
      </c>
      <c r="Z41" s="17" t="n">
        <f>510</f>
        <v>510.0</v>
      </c>
      <c r="AA41" s="18" t="n">
        <f>8</f>
        <v>8.0</v>
      </c>
      <c r="AB41" s="11" t="s">
        <v>54</v>
      </c>
    </row>
    <row r="42">
      <c r="A42" s="11" t="s">
        <v>46</v>
      </c>
      <c r="B42" s="11" t="s">
        <v>47</v>
      </c>
      <c r="C42" s="11" t="s">
        <v>48</v>
      </c>
      <c r="D42" s="11" t="s">
        <v>49</v>
      </c>
      <c r="E42" s="11" t="s">
        <v>46</v>
      </c>
      <c r="F42" s="12" t="n">
        <v>23500.0</v>
      </c>
      <c r="G42" s="13" t="s">
        <v>50</v>
      </c>
      <c r="H42" s="14" t="s">
        <v>78</v>
      </c>
      <c r="I42" s="13" t="s">
        <v>50</v>
      </c>
      <c r="J42" s="14" t="s">
        <v>79</v>
      </c>
      <c r="K42" s="13" t="s">
        <v>50</v>
      </c>
      <c r="L42" s="14" t="s">
        <v>74</v>
      </c>
      <c r="M42" s="13" t="s">
        <v>58</v>
      </c>
      <c r="N42" s="14" t="s">
        <v>51</v>
      </c>
      <c r="O42" s="13" t="s">
        <v>58</v>
      </c>
      <c r="P42" s="14" t="s">
        <v>51</v>
      </c>
      <c r="Q42" s="13" t="s">
        <v>52</v>
      </c>
      <c r="R42" s="14" t="s">
        <v>51</v>
      </c>
      <c r="S42" s="15" t="n">
        <f>3.43</f>
        <v>3.43</v>
      </c>
      <c r="T42" s="16" t="n">
        <f>2878</f>
        <v>2878.0</v>
      </c>
      <c r="U42" s="16" t="n">
        <v>251.0</v>
      </c>
      <c r="V42" s="16" t="n">
        <f>25401000</f>
        <v>2.5401E7</v>
      </c>
      <c r="W42" s="16" t="n">
        <v>1642000.0</v>
      </c>
      <c r="X42" s="16" t="str">
        <f>"－"</f>
        <v>－</v>
      </c>
      <c r="Y42" s="13" t="s">
        <v>53</v>
      </c>
      <c r="Z42" s="17" t="n">
        <f>2114</f>
        <v>2114.0</v>
      </c>
      <c r="AA42" s="18" t="n">
        <f>7</f>
        <v>7.0</v>
      </c>
      <c r="AB42" s="11" t="s">
        <v>54</v>
      </c>
    </row>
    <row r="43">
      <c r="A43" s="11" t="s">
        <v>46</v>
      </c>
      <c r="B43" s="11" t="s">
        <v>47</v>
      </c>
      <c r="C43" s="11" t="s">
        <v>48</v>
      </c>
      <c r="D43" s="11" t="s">
        <v>49</v>
      </c>
      <c r="E43" s="11" t="s">
        <v>46</v>
      </c>
      <c r="F43" s="12" t="n">
        <v>23625.0</v>
      </c>
      <c r="G43" s="13" t="s">
        <v>50</v>
      </c>
      <c r="H43" s="14" t="s">
        <v>78</v>
      </c>
      <c r="I43" s="13" t="s">
        <v>50</v>
      </c>
      <c r="J43" s="14" t="s">
        <v>80</v>
      </c>
      <c r="K43" s="13" t="s">
        <v>50</v>
      </c>
      <c r="L43" s="14" t="s">
        <v>75</v>
      </c>
      <c r="M43" s="13" t="s">
        <v>58</v>
      </c>
      <c r="N43" s="14" t="s">
        <v>51</v>
      </c>
      <c r="O43" s="13" t="s">
        <v>58</v>
      </c>
      <c r="P43" s="14" t="s">
        <v>51</v>
      </c>
      <c r="Q43" s="13" t="s">
        <v>61</v>
      </c>
      <c r="R43" s="14" t="s">
        <v>51</v>
      </c>
      <c r="S43" s="15" t="n">
        <f>3.83</f>
        <v>3.83</v>
      </c>
      <c r="T43" s="16" t="n">
        <f>473</f>
        <v>473.0</v>
      </c>
      <c r="U43" s="16" t="n">
        <v>27.0</v>
      </c>
      <c r="V43" s="16" t="n">
        <f>3855000</f>
        <v>3855000.0</v>
      </c>
      <c r="W43" s="16" t="n">
        <v>142000.0</v>
      </c>
      <c r="X43" s="16" t="str">
        <f>"－"</f>
        <v>－</v>
      </c>
      <c r="Y43" s="13" t="s">
        <v>53</v>
      </c>
      <c r="Z43" s="17" t="n">
        <f>260</f>
        <v>260.0</v>
      </c>
      <c r="AA43" s="18" t="n">
        <f>6</f>
        <v>6.0</v>
      </c>
      <c r="AB43" s="11" t="s">
        <v>54</v>
      </c>
    </row>
    <row r="44">
      <c r="A44" s="11" t="s">
        <v>46</v>
      </c>
      <c r="B44" s="11" t="s">
        <v>47</v>
      </c>
      <c r="C44" s="11" t="s">
        <v>48</v>
      </c>
      <c r="D44" s="11" t="s">
        <v>49</v>
      </c>
      <c r="E44" s="11" t="s">
        <v>46</v>
      </c>
      <c r="F44" s="12" t="n">
        <v>23750.0</v>
      </c>
      <c r="G44" s="13" t="s">
        <v>50</v>
      </c>
      <c r="H44" s="14" t="s">
        <v>81</v>
      </c>
      <c r="I44" s="13" t="s">
        <v>50</v>
      </c>
      <c r="J44" s="14" t="s">
        <v>82</v>
      </c>
      <c r="K44" s="13" t="s">
        <v>50</v>
      </c>
      <c r="L44" s="14" t="s">
        <v>74</v>
      </c>
      <c r="M44" s="13" t="s">
        <v>58</v>
      </c>
      <c r="N44" s="14" t="s">
        <v>51</v>
      </c>
      <c r="O44" s="13" t="s">
        <v>58</v>
      </c>
      <c r="P44" s="14" t="s">
        <v>51</v>
      </c>
      <c r="Q44" s="13" t="s">
        <v>52</v>
      </c>
      <c r="R44" s="14" t="s">
        <v>51</v>
      </c>
      <c r="S44" s="15" t="n">
        <f>3.71</f>
        <v>3.71</v>
      </c>
      <c r="T44" s="16" t="n">
        <f>2059</f>
        <v>2059.0</v>
      </c>
      <c r="U44" s="16" t="n">
        <v>148.0</v>
      </c>
      <c r="V44" s="16" t="n">
        <f>13930000</f>
        <v>1.393E7</v>
      </c>
      <c r="W44" s="16" t="n">
        <v>1255000.0</v>
      </c>
      <c r="X44" s="16" t="str">
        <f>"－"</f>
        <v>－</v>
      </c>
      <c r="Y44" s="13" t="s">
        <v>53</v>
      </c>
      <c r="Z44" s="17" t="n">
        <f>1227</f>
        <v>1227.0</v>
      </c>
      <c r="AA44" s="18" t="n">
        <f>7</f>
        <v>7.0</v>
      </c>
      <c r="AB44" s="11" t="s">
        <v>54</v>
      </c>
    </row>
    <row r="45">
      <c r="A45" s="11" t="s">
        <v>46</v>
      </c>
      <c r="B45" s="11" t="s">
        <v>47</v>
      </c>
      <c r="C45" s="11" t="s">
        <v>48</v>
      </c>
      <c r="D45" s="11" t="s">
        <v>49</v>
      </c>
      <c r="E45" s="11" t="s">
        <v>46</v>
      </c>
      <c r="F45" s="12" t="n">
        <v>23875.0</v>
      </c>
      <c r="G45" s="13" t="s">
        <v>50</v>
      </c>
      <c r="H45" s="14" t="s">
        <v>81</v>
      </c>
      <c r="I45" s="13" t="s">
        <v>50</v>
      </c>
      <c r="J45" s="14" t="s">
        <v>83</v>
      </c>
      <c r="K45" s="13" t="s">
        <v>50</v>
      </c>
      <c r="L45" s="14" t="s">
        <v>83</v>
      </c>
      <c r="M45" s="13" t="s">
        <v>58</v>
      </c>
      <c r="N45" s="14" t="s">
        <v>51</v>
      </c>
      <c r="O45" s="13" t="s">
        <v>58</v>
      </c>
      <c r="P45" s="14" t="s">
        <v>51</v>
      </c>
      <c r="Q45" s="13" t="s">
        <v>56</v>
      </c>
      <c r="R45" s="14" t="s">
        <v>51</v>
      </c>
      <c r="S45" s="15" t="n">
        <f>3.5</f>
        <v>3.5</v>
      </c>
      <c r="T45" s="16" t="n">
        <f>883</f>
        <v>883.0</v>
      </c>
      <c r="U45" s="16" t="n">
        <v>59.0</v>
      </c>
      <c r="V45" s="16" t="n">
        <f>7056000</f>
        <v>7056000.0</v>
      </c>
      <c r="W45" s="16" t="n">
        <v>468000.0</v>
      </c>
      <c r="X45" s="16" t="str">
        <f>"－"</f>
        <v>－</v>
      </c>
      <c r="Y45" s="13" t="s">
        <v>53</v>
      </c>
      <c r="Z45" s="17" t="n">
        <f>646</f>
        <v>646.0</v>
      </c>
      <c r="AA45" s="18" t="n">
        <f>8</f>
        <v>8.0</v>
      </c>
      <c r="AB45" s="11" t="s">
        <v>54</v>
      </c>
    </row>
    <row r="46">
      <c r="A46" s="11" t="s">
        <v>46</v>
      </c>
      <c r="B46" s="11" t="s">
        <v>47</v>
      </c>
      <c r="C46" s="11" t="s">
        <v>48</v>
      </c>
      <c r="D46" s="11" t="s">
        <v>49</v>
      </c>
      <c r="E46" s="11" t="s">
        <v>46</v>
      </c>
      <c r="F46" s="12" t="n">
        <v>24000.0</v>
      </c>
      <c r="G46" s="13" t="s">
        <v>50</v>
      </c>
      <c r="H46" s="14" t="s">
        <v>83</v>
      </c>
      <c r="I46" s="13" t="s">
        <v>50</v>
      </c>
      <c r="J46" s="14" t="s">
        <v>84</v>
      </c>
      <c r="K46" s="13" t="s">
        <v>50</v>
      </c>
      <c r="L46" s="14" t="s">
        <v>84</v>
      </c>
      <c r="M46" s="13" t="s">
        <v>58</v>
      </c>
      <c r="N46" s="14" t="s">
        <v>51</v>
      </c>
      <c r="O46" s="13" t="s">
        <v>58</v>
      </c>
      <c r="P46" s="14" t="s">
        <v>51</v>
      </c>
      <c r="Q46" s="13" t="s">
        <v>56</v>
      </c>
      <c r="R46" s="14" t="s">
        <v>51</v>
      </c>
      <c r="S46" s="15" t="n">
        <f>3.75</f>
        <v>3.75</v>
      </c>
      <c r="T46" s="16" t="n">
        <f>5137</f>
        <v>5137.0</v>
      </c>
      <c r="U46" s="16" t="n">
        <v>1273.0</v>
      </c>
      <c r="V46" s="16" t="n">
        <f>58410000</f>
        <v>5.841E7</v>
      </c>
      <c r="W46" s="16" t="n">
        <v>1.6088E7</v>
      </c>
      <c r="X46" s="16" t="str">
        <f>"－"</f>
        <v>－</v>
      </c>
      <c r="Y46" s="13" t="s">
        <v>53</v>
      </c>
      <c r="Z46" s="17" t="n">
        <f>7919</f>
        <v>7919.0</v>
      </c>
      <c r="AA46" s="18" t="n">
        <f>8</f>
        <v>8.0</v>
      </c>
      <c r="AB46" s="11" t="s">
        <v>54</v>
      </c>
    </row>
    <row r="47">
      <c r="A47" s="11" t="s">
        <v>46</v>
      </c>
      <c r="B47" s="11" t="s">
        <v>47</v>
      </c>
      <c r="C47" s="11" t="s">
        <v>48</v>
      </c>
      <c r="D47" s="11" t="s">
        <v>49</v>
      </c>
      <c r="E47" s="11" t="s">
        <v>46</v>
      </c>
      <c r="F47" s="12" t="n">
        <v>24125.0</v>
      </c>
      <c r="G47" s="13" t="s">
        <v>50</v>
      </c>
      <c r="H47" s="14" t="s">
        <v>85</v>
      </c>
      <c r="I47" s="13" t="s">
        <v>50</v>
      </c>
      <c r="J47" s="14" t="s">
        <v>86</v>
      </c>
      <c r="K47" s="13" t="s">
        <v>50</v>
      </c>
      <c r="L47" s="14" t="s">
        <v>81</v>
      </c>
      <c r="M47" s="13" t="s">
        <v>61</v>
      </c>
      <c r="N47" s="14" t="s">
        <v>51</v>
      </c>
      <c r="O47" s="13" t="s">
        <v>61</v>
      </c>
      <c r="P47" s="14" t="s">
        <v>59</v>
      </c>
      <c r="Q47" s="13" t="s">
        <v>56</v>
      </c>
      <c r="R47" s="14" t="s">
        <v>51</v>
      </c>
      <c r="S47" s="15" t="n">
        <f>4.13</f>
        <v>4.13</v>
      </c>
      <c r="T47" s="16" t="n">
        <f>435</f>
        <v>435.0</v>
      </c>
      <c r="U47" s="16" t="n">
        <v>10.0</v>
      </c>
      <c r="V47" s="16" t="n">
        <f>5936000</f>
        <v>5936000.0</v>
      </c>
      <c r="W47" s="16" t="n">
        <v>78000.0</v>
      </c>
      <c r="X47" s="16" t="str">
        <f>"－"</f>
        <v>－</v>
      </c>
      <c r="Y47" s="13" t="s">
        <v>53</v>
      </c>
      <c r="Z47" s="17" t="n">
        <f>410</f>
        <v>410.0</v>
      </c>
      <c r="AA47" s="18" t="n">
        <f>8</f>
        <v>8.0</v>
      </c>
      <c r="AB47" s="11" t="s">
        <v>54</v>
      </c>
    </row>
    <row r="48">
      <c r="A48" s="11" t="s">
        <v>46</v>
      </c>
      <c r="B48" s="11" t="s">
        <v>47</v>
      </c>
      <c r="C48" s="11" t="s">
        <v>48</v>
      </c>
      <c r="D48" s="11" t="s">
        <v>49</v>
      </c>
      <c r="E48" s="11" t="s">
        <v>46</v>
      </c>
      <c r="F48" s="12" t="n">
        <v>24250.0</v>
      </c>
      <c r="G48" s="13" t="s">
        <v>50</v>
      </c>
      <c r="H48" s="14" t="s">
        <v>87</v>
      </c>
      <c r="I48" s="13" t="s">
        <v>50</v>
      </c>
      <c r="J48" s="14" t="s">
        <v>88</v>
      </c>
      <c r="K48" s="13" t="s">
        <v>50</v>
      </c>
      <c r="L48" s="14" t="s">
        <v>89</v>
      </c>
      <c r="M48" s="13" t="s">
        <v>58</v>
      </c>
      <c r="N48" s="14" t="s">
        <v>51</v>
      </c>
      <c r="O48" s="13" t="s">
        <v>61</v>
      </c>
      <c r="P48" s="14" t="s">
        <v>51</v>
      </c>
      <c r="Q48" s="13" t="s">
        <v>56</v>
      </c>
      <c r="R48" s="14" t="s">
        <v>51</v>
      </c>
      <c r="S48" s="15" t="n">
        <f>4.5</f>
        <v>4.5</v>
      </c>
      <c r="T48" s="16" t="n">
        <f>1823</f>
        <v>1823.0</v>
      </c>
      <c r="U48" s="16" t="n">
        <v>277.0</v>
      </c>
      <c r="V48" s="16" t="n">
        <f>17725000</f>
        <v>1.7725E7</v>
      </c>
      <c r="W48" s="16" t="n">
        <v>1655000.0</v>
      </c>
      <c r="X48" s="16" t="str">
        <f>"－"</f>
        <v>－</v>
      </c>
      <c r="Y48" s="13" t="s">
        <v>53</v>
      </c>
      <c r="Z48" s="17" t="n">
        <f>1108</f>
        <v>1108.0</v>
      </c>
      <c r="AA48" s="18" t="n">
        <f>8</f>
        <v>8.0</v>
      </c>
      <c r="AB48" s="11" t="s">
        <v>54</v>
      </c>
    </row>
    <row r="49">
      <c r="A49" s="11" t="s">
        <v>46</v>
      </c>
      <c r="B49" s="11" t="s">
        <v>47</v>
      </c>
      <c r="C49" s="11" t="s">
        <v>48</v>
      </c>
      <c r="D49" s="11" t="s">
        <v>49</v>
      </c>
      <c r="E49" s="11" t="s">
        <v>46</v>
      </c>
      <c r="F49" s="12" t="n">
        <v>24375.0</v>
      </c>
      <c r="G49" s="13" t="s">
        <v>50</v>
      </c>
      <c r="H49" s="14" t="s">
        <v>90</v>
      </c>
      <c r="I49" s="13" t="s">
        <v>50</v>
      </c>
      <c r="J49" s="14" t="s">
        <v>91</v>
      </c>
      <c r="K49" s="13" t="s">
        <v>50</v>
      </c>
      <c r="L49" s="14" t="s">
        <v>92</v>
      </c>
      <c r="M49" s="13" t="s">
        <v>61</v>
      </c>
      <c r="N49" s="14" t="s">
        <v>51</v>
      </c>
      <c r="O49" s="13" t="s">
        <v>61</v>
      </c>
      <c r="P49" s="14" t="s">
        <v>51</v>
      </c>
      <c r="Q49" s="13" t="s">
        <v>52</v>
      </c>
      <c r="R49" s="14" t="s">
        <v>51</v>
      </c>
      <c r="S49" s="15" t="n">
        <f>4.57</f>
        <v>4.57</v>
      </c>
      <c r="T49" s="16" t="n">
        <f>952</f>
        <v>952.0</v>
      </c>
      <c r="U49" s="16" t="n">
        <v>169.0</v>
      </c>
      <c r="V49" s="16" t="n">
        <f>10541000</f>
        <v>1.0541E7</v>
      </c>
      <c r="W49" s="16" t="n">
        <v>475000.0</v>
      </c>
      <c r="X49" s="16" t="str">
        <f>"－"</f>
        <v>－</v>
      </c>
      <c r="Y49" s="13" t="s">
        <v>53</v>
      </c>
      <c r="Z49" s="17" t="n">
        <f>375</f>
        <v>375.0</v>
      </c>
      <c r="AA49" s="18" t="n">
        <f>7</f>
        <v>7.0</v>
      </c>
      <c r="AB49" s="11" t="s">
        <v>54</v>
      </c>
    </row>
    <row r="50">
      <c r="A50" s="11" t="s">
        <v>46</v>
      </c>
      <c r="B50" s="11" t="s">
        <v>47</v>
      </c>
      <c r="C50" s="11" t="s">
        <v>48</v>
      </c>
      <c r="D50" s="11" t="s">
        <v>49</v>
      </c>
      <c r="E50" s="11" t="s">
        <v>46</v>
      </c>
      <c r="F50" s="12" t="n">
        <v>24500.0</v>
      </c>
      <c r="G50" s="13" t="s">
        <v>50</v>
      </c>
      <c r="H50" s="14" t="s">
        <v>93</v>
      </c>
      <c r="I50" s="13" t="s">
        <v>50</v>
      </c>
      <c r="J50" s="14" t="s">
        <v>94</v>
      </c>
      <c r="K50" s="13" t="s">
        <v>50</v>
      </c>
      <c r="L50" s="14" t="s">
        <v>95</v>
      </c>
      <c r="M50" s="13" t="s">
        <v>58</v>
      </c>
      <c r="N50" s="14" t="s">
        <v>51</v>
      </c>
      <c r="O50" s="13" t="s">
        <v>61</v>
      </c>
      <c r="P50" s="14" t="s">
        <v>51</v>
      </c>
      <c r="Q50" s="13" t="s">
        <v>56</v>
      </c>
      <c r="R50" s="14" t="s">
        <v>51</v>
      </c>
      <c r="S50" s="15" t="n">
        <f>4.75</f>
        <v>4.75</v>
      </c>
      <c r="T50" s="16" t="n">
        <f>4319</f>
        <v>4319.0</v>
      </c>
      <c r="U50" s="16" t="n">
        <v>454.0</v>
      </c>
      <c r="V50" s="16" t="n">
        <f>65544000</f>
        <v>6.5544E7</v>
      </c>
      <c r="W50" s="16" t="n">
        <v>5275000.0</v>
      </c>
      <c r="X50" s="16" t="str">
        <f>"－"</f>
        <v>－</v>
      </c>
      <c r="Y50" s="13" t="s">
        <v>53</v>
      </c>
      <c r="Z50" s="17" t="n">
        <f>2942</f>
        <v>2942.0</v>
      </c>
      <c r="AA50" s="18" t="n">
        <f>8</f>
        <v>8.0</v>
      </c>
      <c r="AB50" s="11" t="s">
        <v>54</v>
      </c>
    </row>
    <row r="51">
      <c r="A51" s="11" t="s">
        <v>46</v>
      </c>
      <c r="B51" s="11" t="s">
        <v>47</v>
      </c>
      <c r="C51" s="11" t="s">
        <v>48</v>
      </c>
      <c r="D51" s="11" t="s">
        <v>49</v>
      </c>
      <c r="E51" s="11" t="s">
        <v>46</v>
      </c>
      <c r="F51" s="12" t="n">
        <v>24625.0</v>
      </c>
      <c r="G51" s="13" t="s">
        <v>50</v>
      </c>
      <c r="H51" s="14" t="s">
        <v>96</v>
      </c>
      <c r="I51" s="13" t="s">
        <v>50</v>
      </c>
      <c r="J51" s="14" t="s">
        <v>97</v>
      </c>
      <c r="K51" s="13" t="s">
        <v>50</v>
      </c>
      <c r="L51" s="14" t="s">
        <v>90</v>
      </c>
      <c r="M51" s="13" t="s">
        <v>58</v>
      </c>
      <c r="N51" s="14" t="s">
        <v>51</v>
      </c>
      <c r="O51" s="13" t="s">
        <v>61</v>
      </c>
      <c r="P51" s="14" t="s">
        <v>51</v>
      </c>
      <c r="Q51" s="13" t="s">
        <v>56</v>
      </c>
      <c r="R51" s="14" t="s">
        <v>51</v>
      </c>
      <c r="S51" s="15" t="n">
        <f>5.63</f>
        <v>5.63</v>
      </c>
      <c r="T51" s="16" t="n">
        <f>610</f>
        <v>610.0</v>
      </c>
      <c r="U51" s="16" t="n">
        <v>91.0</v>
      </c>
      <c r="V51" s="16" t="n">
        <f>6337000</f>
        <v>6337000.0</v>
      </c>
      <c r="W51" s="16" t="n">
        <v>397000.0</v>
      </c>
      <c r="X51" s="16" t="str">
        <f>"－"</f>
        <v>－</v>
      </c>
      <c r="Y51" s="13" t="s">
        <v>53</v>
      </c>
      <c r="Z51" s="17" t="n">
        <f>401</f>
        <v>401.0</v>
      </c>
      <c r="AA51" s="18" t="n">
        <f>8</f>
        <v>8.0</v>
      </c>
      <c r="AB51" s="11" t="s">
        <v>54</v>
      </c>
    </row>
    <row r="52">
      <c r="A52" s="11" t="s">
        <v>46</v>
      </c>
      <c r="B52" s="11" t="s">
        <v>47</v>
      </c>
      <c r="C52" s="11" t="s">
        <v>48</v>
      </c>
      <c r="D52" s="11" t="s">
        <v>49</v>
      </c>
      <c r="E52" s="11" t="s">
        <v>46</v>
      </c>
      <c r="F52" s="12" t="n">
        <v>24750.0</v>
      </c>
      <c r="G52" s="13" t="s">
        <v>50</v>
      </c>
      <c r="H52" s="14" t="s">
        <v>98</v>
      </c>
      <c r="I52" s="13" t="s">
        <v>50</v>
      </c>
      <c r="J52" s="14" t="s">
        <v>97</v>
      </c>
      <c r="K52" s="13" t="s">
        <v>50</v>
      </c>
      <c r="L52" s="14" t="s">
        <v>99</v>
      </c>
      <c r="M52" s="13" t="s">
        <v>61</v>
      </c>
      <c r="N52" s="14" t="s">
        <v>51</v>
      </c>
      <c r="O52" s="13" t="s">
        <v>61</v>
      </c>
      <c r="P52" s="14" t="s">
        <v>51</v>
      </c>
      <c r="Q52" s="13" t="s">
        <v>52</v>
      </c>
      <c r="R52" s="14" t="s">
        <v>51</v>
      </c>
      <c r="S52" s="15" t="n">
        <f>6.43</f>
        <v>6.43</v>
      </c>
      <c r="T52" s="16" t="n">
        <f>2064</f>
        <v>2064.0</v>
      </c>
      <c r="U52" s="16" t="n">
        <v>422.0</v>
      </c>
      <c r="V52" s="16" t="n">
        <f>31955000</f>
        <v>3.1955E7</v>
      </c>
      <c r="W52" s="16" t="n">
        <v>4541000.0</v>
      </c>
      <c r="X52" s="16" t="str">
        <f>"－"</f>
        <v>－</v>
      </c>
      <c r="Y52" s="13" t="s">
        <v>53</v>
      </c>
      <c r="Z52" s="17" t="n">
        <f>2376</f>
        <v>2376.0</v>
      </c>
      <c r="AA52" s="18" t="n">
        <f>7</f>
        <v>7.0</v>
      </c>
      <c r="AB52" s="11" t="s">
        <v>54</v>
      </c>
    </row>
    <row r="53">
      <c r="A53" s="11" t="s">
        <v>46</v>
      </c>
      <c r="B53" s="11" t="s">
        <v>47</v>
      </c>
      <c r="C53" s="11" t="s">
        <v>48</v>
      </c>
      <c r="D53" s="11" t="s">
        <v>49</v>
      </c>
      <c r="E53" s="11" t="s">
        <v>46</v>
      </c>
      <c r="F53" s="12" t="n">
        <v>24875.0</v>
      </c>
      <c r="G53" s="13" t="s">
        <v>50</v>
      </c>
      <c r="H53" s="14" t="s">
        <v>100</v>
      </c>
      <c r="I53" s="13" t="s">
        <v>50</v>
      </c>
      <c r="J53" s="14" t="s">
        <v>101</v>
      </c>
      <c r="K53" s="13" t="s">
        <v>50</v>
      </c>
      <c r="L53" s="14" t="s">
        <v>102</v>
      </c>
      <c r="M53" s="13" t="s">
        <v>61</v>
      </c>
      <c r="N53" s="14" t="s">
        <v>51</v>
      </c>
      <c r="O53" s="13" t="s">
        <v>61</v>
      </c>
      <c r="P53" s="14" t="s">
        <v>51</v>
      </c>
      <c r="Q53" s="13" t="s">
        <v>52</v>
      </c>
      <c r="R53" s="14" t="s">
        <v>51</v>
      </c>
      <c r="S53" s="15" t="n">
        <f>6.57</f>
        <v>6.57</v>
      </c>
      <c r="T53" s="16" t="n">
        <f>727</f>
        <v>727.0</v>
      </c>
      <c r="U53" s="16" t="n">
        <v>102.0</v>
      </c>
      <c r="V53" s="16" t="n">
        <f>10435000</f>
        <v>1.0435E7</v>
      </c>
      <c r="W53" s="16" t="n">
        <v>953000.0</v>
      </c>
      <c r="X53" s="16" t="str">
        <f>"－"</f>
        <v>－</v>
      </c>
      <c r="Y53" s="13" t="s">
        <v>53</v>
      </c>
      <c r="Z53" s="17" t="n">
        <f>715</f>
        <v>715.0</v>
      </c>
      <c r="AA53" s="18" t="n">
        <f>7</f>
        <v>7.0</v>
      </c>
      <c r="AB53" s="11" t="s">
        <v>54</v>
      </c>
    </row>
    <row r="54">
      <c r="A54" s="11" t="s">
        <v>46</v>
      </c>
      <c r="B54" s="11" t="s">
        <v>47</v>
      </c>
      <c r="C54" s="11" t="s">
        <v>48</v>
      </c>
      <c r="D54" s="11" t="s">
        <v>49</v>
      </c>
      <c r="E54" s="11" t="s">
        <v>46</v>
      </c>
      <c r="F54" s="12" t="n">
        <v>25000.0</v>
      </c>
      <c r="G54" s="13" t="s">
        <v>50</v>
      </c>
      <c r="H54" s="14" t="s">
        <v>100</v>
      </c>
      <c r="I54" s="13" t="s">
        <v>50</v>
      </c>
      <c r="J54" s="14" t="s">
        <v>103</v>
      </c>
      <c r="K54" s="13" t="s">
        <v>50</v>
      </c>
      <c r="L54" s="14" t="s">
        <v>104</v>
      </c>
      <c r="M54" s="13" t="s">
        <v>58</v>
      </c>
      <c r="N54" s="14" t="s">
        <v>51</v>
      </c>
      <c r="O54" s="13" t="s">
        <v>58</v>
      </c>
      <c r="P54" s="14" t="s">
        <v>51</v>
      </c>
      <c r="Q54" s="13" t="s">
        <v>56</v>
      </c>
      <c r="R54" s="14" t="s">
        <v>51</v>
      </c>
      <c r="S54" s="15" t="n">
        <f>6.38</f>
        <v>6.38</v>
      </c>
      <c r="T54" s="16" t="n">
        <f>11696</f>
        <v>11696.0</v>
      </c>
      <c r="U54" s="16" t="n">
        <v>4103.0</v>
      </c>
      <c r="V54" s="16" t="n">
        <f>293951000</f>
        <v>2.93951E8</v>
      </c>
      <c r="W54" s="16" t="n">
        <v>1.17906E8</v>
      </c>
      <c r="X54" s="16" t="str">
        <f>"－"</f>
        <v>－</v>
      </c>
      <c r="Y54" s="13" t="s">
        <v>53</v>
      </c>
      <c r="Z54" s="17" t="n">
        <f>8985</f>
        <v>8985.0</v>
      </c>
      <c r="AA54" s="18" t="n">
        <f>8</f>
        <v>8.0</v>
      </c>
      <c r="AB54" s="11" t="s">
        <v>54</v>
      </c>
    </row>
    <row r="55">
      <c r="A55" s="11" t="s">
        <v>46</v>
      </c>
      <c r="B55" s="11" t="s">
        <v>47</v>
      </c>
      <c r="C55" s="11" t="s">
        <v>48</v>
      </c>
      <c r="D55" s="11" t="s">
        <v>49</v>
      </c>
      <c r="E55" s="11" t="s">
        <v>46</v>
      </c>
      <c r="F55" s="12" t="n">
        <v>25125.0</v>
      </c>
      <c r="G55" s="13" t="s">
        <v>50</v>
      </c>
      <c r="H55" s="14" t="s">
        <v>105</v>
      </c>
      <c r="I55" s="13" t="s">
        <v>50</v>
      </c>
      <c r="J55" s="14" t="s">
        <v>106</v>
      </c>
      <c r="K55" s="13" t="s">
        <v>50</v>
      </c>
      <c r="L55" s="14" t="s">
        <v>107</v>
      </c>
      <c r="M55" s="13" t="s">
        <v>61</v>
      </c>
      <c r="N55" s="14" t="s">
        <v>51</v>
      </c>
      <c r="O55" s="13" t="s">
        <v>61</v>
      </c>
      <c r="P55" s="14" t="s">
        <v>51</v>
      </c>
      <c r="Q55" s="13" t="s">
        <v>56</v>
      </c>
      <c r="R55" s="14" t="s">
        <v>51</v>
      </c>
      <c r="S55" s="15" t="n">
        <f>7.25</f>
        <v>7.25</v>
      </c>
      <c r="T55" s="16" t="n">
        <f>1121</f>
        <v>1121.0</v>
      </c>
      <c r="U55" s="16" t="n">
        <v>103.0</v>
      </c>
      <c r="V55" s="16" t="n">
        <f>26465000</f>
        <v>2.6465E7</v>
      </c>
      <c r="W55" s="16" t="n">
        <v>1067000.0</v>
      </c>
      <c r="X55" s="16" t="str">
        <f>"－"</f>
        <v>－</v>
      </c>
      <c r="Y55" s="13" t="s">
        <v>53</v>
      </c>
      <c r="Z55" s="17" t="n">
        <f>1436</f>
        <v>1436.0</v>
      </c>
      <c r="AA55" s="18" t="n">
        <f>8</f>
        <v>8.0</v>
      </c>
      <c r="AB55" s="11" t="s">
        <v>54</v>
      </c>
    </row>
    <row r="56">
      <c r="A56" s="11" t="s">
        <v>46</v>
      </c>
      <c r="B56" s="11" t="s">
        <v>47</v>
      </c>
      <c r="C56" s="11" t="s">
        <v>48</v>
      </c>
      <c r="D56" s="11" t="s">
        <v>49</v>
      </c>
      <c r="E56" s="11" t="s">
        <v>46</v>
      </c>
      <c r="F56" s="12" t="n">
        <v>25250.0</v>
      </c>
      <c r="G56" s="13" t="s">
        <v>50</v>
      </c>
      <c r="H56" s="14" t="s">
        <v>108</v>
      </c>
      <c r="I56" s="13" t="s">
        <v>50</v>
      </c>
      <c r="J56" s="14" t="s">
        <v>109</v>
      </c>
      <c r="K56" s="13" t="s">
        <v>50</v>
      </c>
      <c r="L56" s="14" t="s">
        <v>110</v>
      </c>
      <c r="M56" s="13" t="s">
        <v>61</v>
      </c>
      <c r="N56" s="14" t="s">
        <v>51</v>
      </c>
      <c r="O56" s="13" t="s">
        <v>52</v>
      </c>
      <c r="P56" s="14" t="s">
        <v>51</v>
      </c>
      <c r="Q56" s="13" t="s">
        <v>56</v>
      </c>
      <c r="R56" s="14" t="s">
        <v>51</v>
      </c>
      <c r="S56" s="15" t="n">
        <f>8</f>
        <v>8.0</v>
      </c>
      <c r="T56" s="16" t="n">
        <f>2485</f>
        <v>2485.0</v>
      </c>
      <c r="U56" s="16" t="n">
        <v>260.0</v>
      </c>
      <c r="V56" s="16" t="n">
        <f>52090000</f>
        <v>5.209E7</v>
      </c>
      <c r="W56" s="16" t="n">
        <v>2455000.0</v>
      </c>
      <c r="X56" s="16" t="str">
        <f>"－"</f>
        <v>－</v>
      </c>
      <c r="Y56" s="13" t="s">
        <v>53</v>
      </c>
      <c r="Z56" s="17" t="n">
        <f>2066</f>
        <v>2066.0</v>
      </c>
      <c r="AA56" s="18" t="n">
        <f>8</f>
        <v>8.0</v>
      </c>
      <c r="AB56" s="11" t="s">
        <v>54</v>
      </c>
    </row>
    <row r="57">
      <c r="A57" s="11" t="s">
        <v>46</v>
      </c>
      <c r="B57" s="11" t="s">
        <v>47</v>
      </c>
      <c r="C57" s="11" t="s">
        <v>48</v>
      </c>
      <c r="D57" s="11" t="s">
        <v>49</v>
      </c>
      <c r="E57" s="11" t="s">
        <v>46</v>
      </c>
      <c r="F57" s="12" t="n">
        <v>25375.0</v>
      </c>
      <c r="G57" s="13" t="s">
        <v>50</v>
      </c>
      <c r="H57" s="14" t="s">
        <v>111</v>
      </c>
      <c r="I57" s="13" t="s">
        <v>50</v>
      </c>
      <c r="J57" s="14" t="s">
        <v>112</v>
      </c>
      <c r="K57" s="13" t="s">
        <v>50</v>
      </c>
      <c r="L57" s="14" t="s">
        <v>113</v>
      </c>
      <c r="M57" s="13" t="s">
        <v>61</v>
      </c>
      <c r="N57" s="14" t="s">
        <v>51</v>
      </c>
      <c r="O57" s="13" t="s">
        <v>61</v>
      </c>
      <c r="P57" s="14" t="s">
        <v>51</v>
      </c>
      <c r="Q57" s="13" t="s">
        <v>56</v>
      </c>
      <c r="R57" s="14" t="s">
        <v>51</v>
      </c>
      <c r="S57" s="15" t="n">
        <f>8.13</f>
        <v>8.13</v>
      </c>
      <c r="T57" s="16" t="n">
        <f>893</f>
        <v>893.0</v>
      </c>
      <c r="U57" s="16" t="n">
        <v>104.0</v>
      </c>
      <c r="V57" s="16" t="n">
        <f>17359000</f>
        <v>1.7359E7</v>
      </c>
      <c r="W57" s="16" t="n">
        <v>790000.0</v>
      </c>
      <c r="X57" s="16" t="str">
        <f>"－"</f>
        <v>－</v>
      </c>
      <c r="Y57" s="13" t="s">
        <v>53</v>
      </c>
      <c r="Z57" s="17" t="n">
        <f>511</f>
        <v>511.0</v>
      </c>
      <c r="AA57" s="18" t="n">
        <f>8</f>
        <v>8.0</v>
      </c>
      <c r="AB57" s="11" t="s">
        <v>54</v>
      </c>
    </row>
    <row r="58">
      <c r="A58" s="11" t="s">
        <v>46</v>
      </c>
      <c r="B58" s="11" t="s">
        <v>47</v>
      </c>
      <c r="C58" s="11" t="s">
        <v>48</v>
      </c>
      <c r="D58" s="11" t="s">
        <v>49</v>
      </c>
      <c r="E58" s="11" t="s">
        <v>46</v>
      </c>
      <c r="F58" s="12" t="n">
        <v>25500.0</v>
      </c>
      <c r="G58" s="13" t="s">
        <v>50</v>
      </c>
      <c r="H58" s="14" t="s">
        <v>114</v>
      </c>
      <c r="I58" s="13" t="s">
        <v>50</v>
      </c>
      <c r="J58" s="14" t="s">
        <v>115</v>
      </c>
      <c r="K58" s="13" t="s">
        <v>50</v>
      </c>
      <c r="L58" s="14" t="s">
        <v>116</v>
      </c>
      <c r="M58" s="13" t="s">
        <v>61</v>
      </c>
      <c r="N58" s="14" t="s">
        <v>51</v>
      </c>
      <c r="O58" s="13" t="s">
        <v>61</v>
      </c>
      <c r="P58" s="14" t="s">
        <v>51</v>
      </c>
      <c r="Q58" s="13" t="s">
        <v>56</v>
      </c>
      <c r="R58" s="14" t="s">
        <v>51</v>
      </c>
      <c r="S58" s="15" t="n">
        <f>9.5</f>
        <v>9.5</v>
      </c>
      <c r="T58" s="16" t="n">
        <f>6932</f>
        <v>6932.0</v>
      </c>
      <c r="U58" s="16" t="n">
        <v>2612.0</v>
      </c>
      <c r="V58" s="16" t="n">
        <f>221782750</f>
        <v>2.2178275E8</v>
      </c>
      <c r="W58" s="16" t="n">
        <v>7.699275E7</v>
      </c>
      <c r="X58" s="16" t="str">
        <f>"－"</f>
        <v>－</v>
      </c>
      <c r="Y58" s="13" t="s">
        <v>53</v>
      </c>
      <c r="Z58" s="17" t="n">
        <f>4536</f>
        <v>4536.0</v>
      </c>
      <c r="AA58" s="18" t="n">
        <f>8</f>
        <v>8.0</v>
      </c>
      <c r="AB58" s="11" t="s">
        <v>54</v>
      </c>
    </row>
    <row r="59">
      <c r="A59" s="11" t="s">
        <v>46</v>
      </c>
      <c r="B59" s="11" t="s">
        <v>47</v>
      </c>
      <c r="C59" s="11" t="s">
        <v>48</v>
      </c>
      <c r="D59" s="11" t="s">
        <v>49</v>
      </c>
      <c r="E59" s="11" t="s">
        <v>46</v>
      </c>
      <c r="F59" s="12" t="n">
        <v>25625.0</v>
      </c>
      <c r="G59" s="13" t="s">
        <v>50</v>
      </c>
      <c r="H59" s="14" t="s">
        <v>116</v>
      </c>
      <c r="I59" s="13" t="s">
        <v>50</v>
      </c>
      <c r="J59" s="14" t="s">
        <v>117</v>
      </c>
      <c r="K59" s="13" t="s">
        <v>50</v>
      </c>
      <c r="L59" s="14" t="s">
        <v>104</v>
      </c>
      <c r="M59" s="13" t="s">
        <v>52</v>
      </c>
      <c r="N59" s="14" t="s">
        <v>51</v>
      </c>
      <c r="O59" s="13" t="s">
        <v>52</v>
      </c>
      <c r="P59" s="14" t="s">
        <v>51</v>
      </c>
      <c r="Q59" s="13" t="s">
        <v>56</v>
      </c>
      <c r="R59" s="14" t="s">
        <v>51</v>
      </c>
      <c r="S59" s="15" t="n">
        <f>10.75</f>
        <v>10.75</v>
      </c>
      <c r="T59" s="16" t="n">
        <f>1281</f>
        <v>1281.0</v>
      </c>
      <c r="U59" s="16" t="n">
        <v>78.0</v>
      </c>
      <c r="V59" s="16" t="n">
        <f>43622000</f>
        <v>4.3622E7</v>
      </c>
      <c r="W59" s="16" t="n">
        <v>1236000.0</v>
      </c>
      <c r="X59" s="16" t="str">
        <f>"－"</f>
        <v>－</v>
      </c>
      <c r="Y59" s="13" t="s">
        <v>53</v>
      </c>
      <c r="Z59" s="17" t="n">
        <f>398</f>
        <v>398.0</v>
      </c>
      <c r="AA59" s="18" t="n">
        <f>8</f>
        <v>8.0</v>
      </c>
      <c r="AB59" s="11" t="s">
        <v>54</v>
      </c>
    </row>
    <row r="60">
      <c r="A60" s="11" t="s">
        <v>46</v>
      </c>
      <c r="B60" s="11" t="s">
        <v>47</v>
      </c>
      <c r="C60" s="11" t="s">
        <v>48</v>
      </c>
      <c r="D60" s="11" t="s">
        <v>49</v>
      </c>
      <c r="E60" s="11" t="s">
        <v>46</v>
      </c>
      <c r="F60" s="12" t="n">
        <v>25750.0</v>
      </c>
      <c r="G60" s="13" t="s">
        <v>50</v>
      </c>
      <c r="H60" s="14" t="s">
        <v>118</v>
      </c>
      <c r="I60" s="13" t="s">
        <v>50</v>
      </c>
      <c r="J60" s="14" t="s">
        <v>119</v>
      </c>
      <c r="K60" s="13" t="s">
        <v>50</v>
      </c>
      <c r="L60" s="14" t="s">
        <v>120</v>
      </c>
      <c r="M60" s="13" t="s">
        <v>61</v>
      </c>
      <c r="N60" s="14" t="s">
        <v>51</v>
      </c>
      <c r="O60" s="13" t="s">
        <v>61</v>
      </c>
      <c r="P60" s="14" t="s">
        <v>51</v>
      </c>
      <c r="Q60" s="13" t="s">
        <v>56</v>
      </c>
      <c r="R60" s="14" t="s">
        <v>51</v>
      </c>
      <c r="S60" s="15" t="n">
        <f>11</f>
        <v>11.0</v>
      </c>
      <c r="T60" s="16" t="n">
        <f>2658</f>
        <v>2658.0</v>
      </c>
      <c r="U60" s="16" t="n">
        <v>275.0</v>
      </c>
      <c r="V60" s="16" t="n">
        <f>77131000</f>
        <v>7.7131E7</v>
      </c>
      <c r="W60" s="16" t="n">
        <v>6243000.0</v>
      </c>
      <c r="X60" s="16" t="str">
        <f>"－"</f>
        <v>－</v>
      </c>
      <c r="Y60" s="13" t="s">
        <v>53</v>
      </c>
      <c r="Z60" s="17" t="n">
        <f>1108</f>
        <v>1108.0</v>
      </c>
      <c r="AA60" s="18" t="n">
        <f>8</f>
        <v>8.0</v>
      </c>
      <c r="AB60" s="11" t="s">
        <v>54</v>
      </c>
    </row>
    <row r="61">
      <c r="A61" s="11" t="s">
        <v>46</v>
      </c>
      <c r="B61" s="11" t="s">
        <v>47</v>
      </c>
      <c r="C61" s="11" t="s">
        <v>48</v>
      </c>
      <c r="D61" s="11" t="s">
        <v>49</v>
      </c>
      <c r="E61" s="11" t="s">
        <v>46</v>
      </c>
      <c r="F61" s="12" t="n">
        <v>25875.0</v>
      </c>
      <c r="G61" s="13" t="s">
        <v>50</v>
      </c>
      <c r="H61" s="14" t="s">
        <v>116</v>
      </c>
      <c r="I61" s="13" t="s">
        <v>50</v>
      </c>
      <c r="J61" s="14" t="s">
        <v>121</v>
      </c>
      <c r="K61" s="13" t="s">
        <v>50</v>
      </c>
      <c r="L61" s="14" t="s">
        <v>117</v>
      </c>
      <c r="M61" s="13" t="s">
        <v>52</v>
      </c>
      <c r="N61" s="14" t="s">
        <v>51</v>
      </c>
      <c r="O61" s="13" t="s">
        <v>61</v>
      </c>
      <c r="P61" s="14" t="s">
        <v>51</v>
      </c>
      <c r="Q61" s="13" t="s">
        <v>56</v>
      </c>
      <c r="R61" s="14" t="s">
        <v>51</v>
      </c>
      <c r="S61" s="15" t="n">
        <f>12.38</f>
        <v>12.38</v>
      </c>
      <c r="T61" s="16" t="n">
        <f>1406</f>
        <v>1406.0</v>
      </c>
      <c r="U61" s="16" t="n">
        <v>56.0</v>
      </c>
      <c r="V61" s="16" t="n">
        <f>46636000</f>
        <v>4.6636E7</v>
      </c>
      <c r="W61" s="16" t="n">
        <v>1286000.0</v>
      </c>
      <c r="X61" s="16" t="str">
        <f>"－"</f>
        <v>－</v>
      </c>
      <c r="Y61" s="13" t="s">
        <v>53</v>
      </c>
      <c r="Z61" s="17" t="n">
        <f>1533</f>
        <v>1533.0</v>
      </c>
      <c r="AA61" s="18" t="n">
        <f>8</f>
        <v>8.0</v>
      </c>
      <c r="AB61" s="11" t="s">
        <v>54</v>
      </c>
    </row>
    <row r="62">
      <c r="A62" s="11" t="s">
        <v>46</v>
      </c>
      <c r="B62" s="11" t="s">
        <v>47</v>
      </c>
      <c r="C62" s="11" t="s">
        <v>48</v>
      </c>
      <c r="D62" s="11" t="s">
        <v>49</v>
      </c>
      <c r="E62" s="11" t="s">
        <v>46</v>
      </c>
      <c r="F62" s="12" t="n">
        <v>26000.0</v>
      </c>
      <c r="G62" s="13" t="s">
        <v>50</v>
      </c>
      <c r="H62" s="14" t="s">
        <v>122</v>
      </c>
      <c r="I62" s="13" t="s">
        <v>50</v>
      </c>
      <c r="J62" s="14" t="s">
        <v>123</v>
      </c>
      <c r="K62" s="13" t="s">
        <v>50</v>
      </c>
      <c r="L62" s="14" t="s">
        <v>123</v>
      </c>
      <c r="M62" s="13" t="s">
        <v>61</v>
      </c>
      <c r="N62" s="14" t="s">
        <v>51</v>
      </c>
      <c r="O62" s="13" t="s">
        <v>61</v>
      </c>
      <c r="P62" s="14" t="s">
        <v>51</v>
      </c>
      <c r="Q62" s="13" t="s">
        <v>56</v>
      </c>
      <c r="R62" s="14" t="s">
        <v>51</v>
      </c>
      <c r="S62" s="15" t="n">
        <f>13.25</f>
        <v>13.25</v>
      </c>
      <c r="T62" s="16" t="n">
        <f>16107</f>
        <v>16107.0</v>
      </c>
      <c r="U62" s="16" t="n">
        <v>2718.0</v>
      </c>
      <c r="V62" s="16" t="n">
        <f>595751000</f>
        <v>5.95751E8</v>
      </c>
      <c r="W62" s="16" t="n">
        <v>1.29388E8</v>
      </c>
      <c r="X62" s="16" t="str">
        <f>"－"</f>
        <v>－</v>
      </c>
      <c r="Y62" s="13" t="s">
        <v>53</v>
      </c>
      <c r="Z62" s="17" t="n">
        <f>9651</f>
        <v>9651.0</v>
      </c>
      <c r="AA62" s="18" t="n">
        <f>8</f>
        <v>8.0</v>
      </c>
      <c r="AB62" s="11" t="s">
        <v>54</v>
      </c>
    </row>
    <row r="63">
      <c r="A63" s="11" t="s">
        <v>46</v>
      </c>
      <c r="B63" s="11" t="s">
        <v>47</v>
      </c>
      <c r="C63" s="11" t="s">
        <v>48</v>
      </c>
      <c r="D63" s="11" t="s">
        <v>49</v>
      </c>
      <c r="E63" s="11" t="s">
        <v>46</v>
      </c>
      <c r="F63" s="12" t="n">
        <v>26125.0</v>
      </c>
      <c r="G63" s="13" t="s">
        <v>50</v>
      </c>
      <c r="H63" s="14" t="s">
        <v>124</v>
      </c>
      <c r="I63" s="13" t="s">
        <v>50</v>
      </c>
      <c r="J63" s="14" t="s">
        <v>125</v>
      </c>
      <c r="K63" s="13" t="s">
        <v>50</v>
      </c>
      <c r="L63" s="14" t="s">
        <v>126</v>
      </c>
      <c r="M63" s="13" t="s">
        <v>61</v>
      </c>
      <c r="N63" s="14" t="s">
        <v>51</v>
      </c>
      <c r="O63" s="13" t="s">
        <v>52</v>
      </c>
      <c r="P63" s="14" t="s">
        <v>51</v>
      </c>
      <c r="Q63" s="13" t="s">
        <v>56</v>
      </c>
      <c r="R63" s="14" t="s">
        <v>51</v>
      </c>
      <c r="S63" s="15" t="n">
        <f>15.88</f>
        <v>15.88</v>
      </c>
      <c r="T63" s="16" t="n">
        <f>1474</f>
        <v>1474.0</v>
      </c>
      <c r="U63" s="16" t="n">
        <v>204.0</v>
      </c>
      <c r="V63" s="16" t="n">
        <f>70502000</f>
        <v>7.0502E7</v>
      </c>
      <c r="W63" s="16" t="n">
        <v>2504000.0</v>
      </c>
      <c r="X63" s="16" t="str">
        <f>"－"</f>
        <v>－</v>
      </c>
      <c r="Y63" s="13" t="s">
        <v>53</v>
      </c>
      <c r="Z63" s="17" t="n">
        <f>396</f>
        <v>396.0</v>
      </c>
      <c r="AA63" s="18" t="n">
        <f>8</f>
        <v>8.0</v>
      </c>
      <c r="AB63" s="11" t="s">
        <v>54</v>
      </c>
    </row>
    <row r="64">
      <c r="A64" s="11" t="s">
        <v>46</v>
      </c>
      <c r="B64" s="11" t="s">
        <v>47</v>
      </c>
      <c r="C64" s="11" t="s">
        <v>48</v>
      </c>
      <c r="D64" s="11" t="s">
        <v>49</v>
      </c>
      <c r="E64" s="11" t="s">
        <v>46</v>
      </c>
      <c r="F64" s="12" t="n">
        <v>26250.0</v>
      </c>
      <c r="G64" s="13" t="s">
        <v>50</v>
      </c>
      <c r="H64" s="14" t="s">
        <v>124</v>
      </c>
      <c r="I64" s="13" t="s">
        <v>50</v>
      </c>
      <c r="J64" s="14" t="s">
        <v>127</v>
      </c>
      <c r="K64" s="13" t="s">
        <v>50</v>
      </c>
      <c r="L64" s="14" t="s">
        <v>128</v>
      </c>
      <c r="M64" s="13" t="s">
        <v>52</v>
      </c>
      <c r="N64" s="14" t="s">
        <v>51</v>
      </c>
      <c r="O64" s="13" t="s">
        <v>52</v>
      </c>
      <c r="P64" s="14" t="s">
        <v>51</v>
      </c>
      <c r="Q64" s="13" t="s">
        <v>56</v>
      </c>
      <c r="R64" s="14" t="s">
        <v>51</v>
      </c>
      <c r="S64" s="15" t="n">
        <f>16.5</f>
        <v>16.5</v>
      </c>
      <c r="T64" s="16" t="n">
        <f>4388</f>
        <v>4388.0</v>
      </c>
      <c r="U64" s="16" t="n">
        <v>781.0</v>
      </c>
      <c r="V64" s="16" t="n">
        <f>195017000</f>
        <v>1.95017E8</v>
      </c>
      <c r="W64" s="16" t="n">
        <v>2.7779E7</v>
      </c>
      <c r="X64" s="16" t="str">
        <f>"－"</f>
        <v>－</v>
      </c>
      <c r="Y64" s="13" t="s">
        <v>53</v>
      </c>
      <c r="Z64" s="17" t="n">
        <f>1838</f>
        <v>1838.0</v>
      </c>
      <c r="AA64" s="18" t="n">
        <f>8</f>
        <v>8.0</v>
      </c>
      <c r="AB64" s="11" t="s">
        <v>54</v>
      </c>
    </row>
    <row r="65">
      <c r="A65" s="11" t="s">
        <v>46</v>
      </c>
      <c r="B65" s="11" t="s">
        <v>47</v>
      </c>
      <c r="C65" s="11" t="s">
        <v>48</v>
      </c>
      <c r="D65" s="11" t="s">
        <v>49</v>
      </c>
      <c r="E65" s="11" t="s">
        <v>46</v>
      </c>
      <c r="F65" s="12" t="n">
        <v>26375.0</v>
      </c>
      <c r="G65" s="13" t="s">
        <v>50</v>
      </c>
      <c r="H65" s="14" t="s">
        <v>129</v>
      </c>
      <c r="I65" s="13" t="s">
        <v>50</v>
      </c>
      <c r="J65" s="14" t="s">
        <v>129</v>
      </c>
      <c r="K65" s="13" t="s">
        <v>50</v>
      </c>
      <c r="L65" s="14" t="s">
        <v>123</v>
      </c>
      <c r="M65" s="13" t="s">
        <v>52</v>
      </c>
      <c r="N65" s="14" t="s">
        <v>51</v>
      </c>
      <c r="O65" s="13" t="s">
        <v>52</v>
      </c>
      <c r="P65" s="14" t="s">
        <v>51</v>
      </c>
      <c r="Q65" s="13" t="s">
        <v>56</v>
      </c>
      <c r="R65" s="14" t="s">
        <v>51</v>
      </c>
      <c r="S65" s="15" t="n">
        <f>19.88</f>
        <v>19.88</v>
      </c>
      <c r="T65" s="16" t="n">
        <f>1673</f>
        <v>1673.0</v>
      </c>
      <c r="U65" s="16" t="n">
        <v>213.0</v>
      </c>
      <c r="V65" s="16" t="n">
        <f>56944000</f>
        <v>5.6944E7</v>
      </c>
      <c r="W65" s="16" t="n">
        <v>3505000.0</v>
      </c>
      <c r="X65" s="16" t="str">
        <f>"－"</f>
        <v>－</v>
      </c>
      <c r="Y65" s="13" t="s">
        <v>53</v>
      </c>
      <c r="Z65" s="17" t="n">
        <f>415</f>
        <v>415.0</v>
      </c>
      <c r="AA65" s="18" t="n">
        <f>8</f>
        <v>8.0</v>
      </c>
      <c r="AB65" s="11" t="s">
        <v>54</v>
      </c>
    </row>
    <row r="66">
      <c r="A66" s="11" t="s">
        <v>46</v>
      </c>
      <c r="B66" s="11" t="s">
        <v>47</v>
      </c>
      <c r="C66" s="11" t="s">
        <v>48</v>
      </c>
      <c r="D66" s="11" t="s">
        <v>49</v>
      </c>
      <c r="E66" s="11" t="s">
        <v>46</v>
      </c>
      <c r="F66" s="12" t="n">
        <v>26500.0</v>
      </c>
      <c r="G66" s="13" t="s">
        <v>50</v>
      </c>
      <c r="H66" s="14" t="s">
        <v>130</v>
      </c>
      <c r="I66" s="13" t="s">
        <v>50</v>
      </c>
      <c r="J66" s="14" t="s">
        <v>131</v>
      </c>
      <c r="K66" s="13" t="s">
        <v>50</v>
      </c>
      <c r="L66" s="14" t="s">
        <v>132</v>
      </c>
      <c r="M66" s="13" t="s">
        <v>52</v>
      </c>
      <c r="N66" s="14" t="s">
        <v>51</v>
      </c>
      <c r="O66" s="13" t="s">
        <v>52</v>
      </c>
      <c r="P66" s="14" t="s">
        <v>51</v>
      </c>
      <c r="Q66" s="13" t="s">
        <v>56</v>
      </c>
      <c r="R66" s="14" t="s">
        <v>51</v>
      </c>
      <c r="S66" s="15" t="n">
        <f>20.75</f>
        <v>20.75</v>
      </c>
      <c r="T66" s="16" t="n">
        <f>12600</f>
        <v>12600.0</v>
      </c>
      <c r="U66" s="16" t="n">
        <v>4741.0</v>
      </c>
      <c r="V66" s="16" t="n">
        <f>852387000</f>
        <v>8.52387E8</v>
      </c>
      <c r="W66" s="16" t="n">
        <v>4.17081E8</v>
      </c>
      <c r="X66" s="16" t="str">
        <f>"－"</f>
        <v>－</v>
      </c>
      <c r="Y66" s="13" t="s">
        <v>53</v>
      </c>
      <c r="Z66" s="17" t="n">
        <f>5632</f>
        <v>5632.0</v>
      </c>
      <c r="AA66" s="18" t="n">
        <f>8</f>
        <v>8.0</v>
      </c>
      <c r="AB66" s="11" t="s">
        <v>54</v>
      </c>
    </row>
    <row r="67">
      <c r="A67" s="11" t="s">
        <v>46</v>
      </c>
      <c r="B67" s="11" t="s">
        <v>47</v>
      </c>
      <c r="C67" s="11" t="s">
        <v>48</v>
      </c>
      <c r="D67" s="11" t="s">
        <v>49</v>
      </c>
      <c r="E67" s="11" t="s">
        <v>46</v>
      </c>
      <c r="F67" s="12" t="n">
        <v>26625.0</v>
      </c>
      <c r="G67" s="13" t="s">
        <v>50</v>
      </c>
      <c r="H67" s="14" t="s">
        <v>133</v>
      </c>
      <c r="I67" s="13" t="s">
        <v>50</v>
      </c>
      <c r="J67" s="14" t="s">
        <v>134</v>
      </c>
      <c r="K67" s="13" t="s">
        <v>50</v>
      </c>
      <c r="L67" s="14" t="s">
        <v>135</v>
      </c>
      <c r="M67" s="13" t="s">
        <v>56</v>
      </c>
      <c r="N67" s="14" t="s">
        <v>51</v>
      </c>
      <c r="O67" s="13" t="s">
        <v>56</v>
      </c>
      <c r="P67" s="14" t="s">
        <v>51</v>
      </c>
      <c r="Q67" s="13" t="s">
        <v>56</v>
      </c>
      <c r="R67" s="14" t="s">
        <v>51</v>
      </c>
      <c r="S67" s="15" t="n">
        <f>24.88</f>
        <v>24.88</v>
      </c>
      <c r="T67" s="16" t="n">
        <f>1762</f>
        <v>1762.0</v>
      </c>
      <c r="U67" s="16" t="n">
        <v>114.0</v>
      </c>
      <c r="V67" s="16" t="n">
        <f>107696000</f>
        <v>1.07696E8</v>
      </c>
      <c r="W67" s="16" t="n">
        <v>3906000.0</v>
      </c>
      <c r="X67" s="16" t="str">
        <f>"－"</f>
        <v>－</v>
      </c>
      <c r="Y67" s="13" t="s">
        <v>53</v>
      </c>
      <c r="Z67" s="17" t="n">
        <f>512</f>
        <v>512.0</v>
      </c>
      <c r="AA67" s="18" t="n">
        <f>8</f>
        <v>8.0</v>
      </c>
      <c r="AB67" s="11" t="s">
        <v>54</v>
      </c>
    </row>
    <row r="68">
      <c r="A68" s="11" t="s">
        <v>46</v>
      </c>
      <c r="B68" s="11" t="s">
        <v>47</v>
      </c>
      <c r="C68" s="11" t="s">
        <v>48</v>
      </c>
      <c r="D68" s="11" t="s">
        <v>49</v>
      </c>
      <c r="E68" s="11" t="s">
        <v>46</v>
      </c>
      <c r="F68" s="12" t="n">
        <v>26750.0</v>
      </c>
      <c r="G68" s="13" t="s">
        <v>50</v>
      </c>
      <c r="H68" s="14" t="s">
        <v>136</v>
      </c>
      <c r="I68" s="13" t="s">
        <v>50</v>
      </c>
      <c r="J68" s="14" t="s">
        <v>137</v>
      </c>
      <c r="K68" s="13" t="s">
        <v>50</v>
      </c>
      <c r="L68" s="14" t="s">
        <v>136</v>
      </c>
      <c r="M68" s="13" t="s">
        <v>52</v>
      </c>
      <c r="N68" s="14" t="s">
        <v>51</v>
      </c>
      <c r="O68" s="13" t="s">
        <v>56</v>
      </c>
      <c r="P68" s="14" t="s">
        <v>51</v>
      </c>
      <c r="Q68" s="13" t="s">
        <v>56</v>
      </c>
      <c r="R68" s="14" t="s">
        <v>51</v>
      </c>
      <c r="S68" s="15" t="n">
        <f>28.13</f>
        <v>28.13</v>
      </c>
      <c r="T68" s="16" t="n">
        <f>5714</f>
        <v>5714.0</v>
      </c>
      <c r="U68" s="16" t="n">
        <v>409.0</v>
      </c>
      <c r="V68" s="16" t="n">
        <f>293193000</f>
        <v>2.93193E8</v>
      </c>
      <c r="W68" s="16" t="n">
        <v>1.4038E7</v>
      </c>
      <c r="X68" s="16" t="str">
        <f>"－"</f>
        <v>－</v>
      </c>
      <c r="Y68" s="13" t="s">
        <v>53</v>
      </c>
      <c r="Z68" s="17" t="n">
        <f>1842</f>
        <v>1842.0</v>
      </c>
      <c r="AA68" s="18" t="n">
        <f>8</f>
        <v>8.0</v>
      </c>
      <c r="AB68" s="11" t="s">
        <v>54</v>
      </c>
    </row>
    <row r="69">
      <c r="A69" s="11" t="s">
        <v>46</v>
      </c>
      <c r="B69" s="11" t="s">
        <v>47</v>
      </c>
      <c r="C69" s="11" t="s">
        <v>48</v>
      </c>
      <c r="D69" s="11" t="s">
        <v>49</v>
      </c>
      <c r="E69" s="11" t="s">
        <v>46</v>
      </c>
      <c r="F69" s="12" t="n">
        <v>26875.0</v>
      </c>
      <c r="G69" s="13" t="s">
        <v>50</v>
      </c>
      <c r="H69" s="14" t="s">
        <v>138</v>
      </c>
      <c r="I69" s="13" t="s">
        <v>50</v>
      </c>
      <c r="J69" s="14" t="s">
        <v>138</v>
      </c>
      <c r="K69" s="13" t="s">
        <v>50</v>
      </c>
      <c r="L69" s="14" t="s">
        <v>139</v>
      </c>
      <c r="M69" s="13" t="s">
        <v>52</v>
      </c>
      <c r="N69" s="14" t="s">
        <v>51</v>
      </c>
      <c r="O69" s="13" t="s">
        <v>56</v>
      </c>
      <c r="P69" s="14" t="s">
        <v>51</v>
      </c>
      <c r="Q69" s="13" t="s">
        <v>56</v>
      </c>
      <c r="R69" s="14" t="s">
        <v>51</v>
      </c>
      <c r="S69" s="15" t="n">
        <f>30.75</f>
        <v>30.75</v>
      </c>
      <c r="T69" s="16" t="n">
        <f>2348</f>
        <v>2348.0</v>
      </c>
      <c r="U69" s="16" t="n">
        <v>91.0</v>
      </c>
      <c r="V69" s="16" t="n">
        <f>107872000</f>
        <v>1.07872E8</v>
      </c>
      <c r="W69" s="16" t="n">
        <v>4407000.0</v>
      </c>
      <c r="X69" s="16" t="str">
        <f>"－"</f>
        <v>－</v>
      </c>
      <c r="Y69" s="13" t="s">
        <v>53</v>
      </c>
      <c r="Z69" s="17" t="n">
        <f>653</f>
        <v>653.0</v>
      </c>
      <c r="AA69" s="18" t="n">
        <f>8</f>
        <v>8.0</v>
      </c>
      <c r="AB69" s="11" t="s">
        <v>54</v>
      </c>
    </row>
    <row r="70">
      <c r="A70" s="11" t="s">
        <v>46</v>
      </c>
      <c r="B70" s="11" t="s">
        <v>47</v>
      </c>
      <c r="C70" s="11" t="s">
        <v>48</v>
      </c>
      <c r="D70" s="11" t="s">
        <v>49</v>
      </c>
      <c r="E70" s="11" t="s">
        <v>46</v>
      </c>
      <c r="F70" s="12" t="n">
        <v>27000.0</v>
      </c>
      <c r="G70" s="13" t="s">
        <v>50</v>
      </c>
      <c r="H70" s="14" t="s">
        <v>140</v>
      </c>
      <c r="I70" s="13" t="s">
        <v>50</v>
      </c>
      <c r="J70" s="14" t="s">
        <v>141</v>
      </c>
      <c r="K70" s="13" t="s">
        <v>50</v>
      </c>
      <c r="L70" s="14" t="s">
        <v>141</v>
      </c>
      <c r="M70" s="13" t="s">
        <v>56</v>
      </c>
      <c r="N70" s="14" t="s">
        <v>51</v>
      </c>
      <c r="O70" s="13" t="s">
        <v>52</v>
      </c>
      <c r="P70" s="14" t="s">
        <v>51</v>
      </c>
      <c r="Q70" s="13" t="s">
        <v>56</v>
      </c>
      <c r="R70" s="14" t="s">
        <v>51</v>
      </c>
      <c r="S70" s="15" t="n">
        <f>34.88</f>
        <v>34.88</v>
      </c>
      <c r="T70" s="16" t="n">
        <f>21226</f>
        <v>21226.0</v>
      </c>
      <c r="U70" s="16" t="n">
        <v>3982.0</v>
      </c>
      <c r="V70" s="16" t="n">
        <f>1589285000</f>
        <v>1.589285E9</v>
      </c>
      <c r="W70" s="16" t="n">
        <v>3.95494E8</v>
      </c>
      <c r="X70" s="16" t="str">
        <f>"－"</f>
        <v>－</v>
      </c>
      <c r="Y70" s="13" t="s">
        <v>53</v>
      </c>
      <c r="Z70" s="17" t="n">
        <f>5784</f>
        <v>5784.0</v>
      </c>
      <c r="AA70" s="18" t="n">
        <f>8</f>
        <v>8.0</v>
      </c>
      <c r="AB70" s="11" t="s">
        <v>54</v>
      </c>
    </row>
    <row r="71">
      <c r="A71" s="11" t="s">
        <v>46</v>
      </c>
      <c r="B71" s="11" t="s">
        <v>47</v>
      </c>
      <c r="C71" s="11" t="s">
        <v>48</v>
      </c>
      <c r="D71" s="11" t="s">
        <v>49</v>
      </c>
      <c r="E71" s="11" t="s">
        <v>46</v>
      </c>
      <c r="F71" s="12" t="n">
        <v>27125.0</v>
      </c>
      <c r="G71" s="13" t="s">
        <v>50</v>
      </c>
      <c r="H71" s="14" t="s">
        <v>142</v>
      </c>
      <c r="I71" s="13" t="s">
        <v>50</v>
      </c>
      <c r="J71" s="14" t="s">
        <v>143</v>
      </c>
      <c r="K71" s="13" t="s">
        <v>50</v>
      </c>
      <c r="L71" s="14" t="s">
        <v>144</v>
      </c>
      <c r="M71" s="13" t="s">
        <v>56</v>
      </c>
      <c r="N71" s="14" t="s">
        <v>51</v>
      </c>
      <c r="O71" s="13" t="s">
        <v>56</v>
      </c>
      <c r="P71" s="14" t="s">
        <v>51</v>
      </c>
      <c r="Q71" s="13" t="s">
        <v>56</v>
      </c>
      <c r="R71" s="14" t="s">
        <v>51</v>
      </c>
      <c r="S71" s="15" t="n">
        <f>41.75</f>
        <v>41.75</v>
      </c>
      <c r="T71" s="16" t="n">
        <f>2937</f>
        <v>2937.0</v>
      </c>
      <c r="U71" s="16" t="n">
        <v>108.0</v>
      </c>
      <c r="V71" s="16" t="n">
        <f>165436000</f>
        <v>1.65436E8</v>
      </c>
      <c r="W71" s="16" t="n">
        <v>4199000.0</v>
      </c>
      <c r="X71" s="16" t="str">
        <f>"－"</f>
        <v>－</v>
      </c>
      <c r="Y71" s="13" t="s">
        <v>53</v>
      </c>
      <c r="Z71" s="17" t="n">
        <f>397</f>
        <v>397.0</v>
      </c>
      <c r="AA71" s="18" t="n">
        <f>8</f>
        <v>8.0</v>
      </c>
      <c r="AB71" s="11" t="s">
        <v>54</v>
      </c>
    </row>
    <row r="72">
      <c r="A72" s="11" t="s">
        <v>46</v>
      </c>
      <c r="B72" s="11" t="s">
        <v>47</v>
      </c>
      <c r="C72" s="11" t="s">
        <v>48</v>
      </c>
      <c r="D72" s="11" t="s">
        <v>49</v>
      </c>
      <c r="E72" s="11" t="s">
        <v>46</v>
      </c>
      <c r="F72" s="12" t="n">
        <v>27250.0</v>
      </c>
      <c r="G72" s="13" t="s">
        <v>50</v>
      </c>
      <c r="H72" s="14" t="s">
        <v>145</v>
      </c>
      <c r="I72" s="13" t="s">
        <v>50</v>
      </c>
      <c r="J72" s="14" t="s">
        <v>145</v>
      </c>
      <c r="K72" s="13" t="s">
        <v>50</v>
      </c>
      <c r="L72" s="14" t="s">
        <v>146</v>
      </c>
      <c r="M72" s="13" t="s">
        <v>56</v>
      </c>
      <c r="N72" s="14" t="s">
        <v>51</v>
      </c>
      <c r="O72" s="13" t="s">
        <v>61</v>
      </c>
      <c r="P72" s="14" t="s">
        <v>51</v>
      </c>
      <c r="Q72" s="13" t="s">
        <v>56</v>
      </c>
      <c r="R72" s="14" t="s">
        <v>51</v>
      </c>
      <c r="S72" s="15" t="n">
        <f>48.38</f>
        <v>48.38</v>
      </c>
      <c r="T72" s="16" t="n">
        <f>7471</f>
        <v>7471.0</v>
      </c>
      <c r="U72" s="16" t="n">
        <v>990.0</v>
      </c>
      <c r="V72" s="16" t="n">
        <f>432877000</f>
        <v>4.32877E8</v>
      </c>
      <c r="W72" s="16" t="n">
        <v>3.4147E7</v>
      </c>
      <c r="X72" s="16" t="str">
        <f>"－"</f>
        <v>－</v>
      </c>
      <c r="Y72" s="13" t="s">
        <v>53</v>
      </c>
      <c r="Z72" s="17" t="n">
        <f>3072</f>
        <v>3072.0</v>
      </c>
      <c r="AA72" s="18" t="n">
        <f>8</f>
        <v>8.0</v>
      </c>
      <c r="AB72" s="11" t="s">
        <v>54</v>
      </c>
    </row>
    <row r="73">
      <c r="A73" s="11" t="s">
        <v>46</v>
      </c>
      <c r="B73" s="11" t="s">
        <v>47</v>
      </c>
      <c r="C73" s="11" t="s">
        <v>48</v>
      </c>
      <c r="D73" s="11" t="s">
        <v>49</v>
      </c>
      <c r="E73" s="11" t="s">
        <v>46</v>
      </c>
      <c r="F73" s="12" t="n">
        <v>27375.0</v>
      </c>
      <c r="G73" s="13" t="s">
        <v>50</v>
      </c>
      <c r="H73" s="14" t="s">
        <v>145</v>
      </c>
      <c r="I73" s="13" t="s">
        <v>50</v>
      </c>
      <c r="J73" s="14" t="s">
        <v>147</v>
      </c>
      <c r="K73" s="13" t="s">
        <v>50</v>
      </c>
      <c r="L73" s="14" t="s">
        <v>142</v>
      </c>
      <c r="M73" s="13" t="s">
        <v>56</v>
      </c>
      <c r="N73" s="14" t="s">
        <v>51</v>
      </c>
      <c r="O73" s="13" t="s">
        <v>56</v>
      </c>
      <c r="P73" s="14" t="s">
        <v>51</v>
      </c>
      <c r="Q73" s="13" t="s">
        <v>56</v>
      </c>
      <c r="R73" s="14" t="s">
        <v>51</v>
      </c>
      <c r="S73" s="15" t="n">
        <f>53.5</f>
        <v>53.5</v>
      </c>
      <c r="T73" s="16" t="n">
        <f>5301</f>
        <v>5301.0</v>
      </c>
      <c r="U73" s="16" t="n">
        <v>353.0</v>
      </c>
      <c r="V73" s="16" t="n">
        <f>408321000</f>
        <v>4.08321E8</v>
      </c>
      <c r="W73" s="16" t="n">
        <v>1.2739E7</v>
      </c>
      <c r="X73" s="16" t="str">
        <f>"－"</f>
        <v>－</v>
      </c>
      <c r="Y73" s="13" t="s">
        <v>53</v>
      </c>
      <c r="Z73" s="17" t="n">
        <f>607</f>
        <v>607.0</v>
      </c>
      <c r="AA73" s="18" t="n">
        <f>8</f>
        <v>8.0</v>
      </c>
      <c r="AB73" s="11" t="s">
        <v>54</v>
      </c>
    </row>
    <row r="74">
      <c r="A74" s="11" t="s">
        <v>46</v>
      </c>
      <c r="B74" s="11" t="s">
        <v>47</v>
      </c>
      <c r="C74" s="11" t="s">
        <v>48</v>
      </c>
      <c r="D74" s="11" t="s">
        <v>49</v>
      </c>
      <c r="E74" s="11" t="s">
        <v>46</v>
      </c>
      <c r="F74" s="12" t="n">
        <v>27500.0</v>
      </c>
      <c r="G74" s="13" t="s">
        <v>50</v>
      </c>
      <c r="H74" s="14" t="s">
        <v>148</v>
      </c>
      <c r="I74" s="13" t="s">
        <v>50</v>
      </c>
      <c r="J74" s="14" t="s">
        <v>149</v>
      </c>
      <c r="K74" s="13" t="s">
        <v>50</v>
      </c>
      <c r="L74" s="14" t="s">
        <v>149</v>
      </c>
      <c r="M74" s="13" t="s">
        <v>56</v>
      </c>
      <c r="N74" s="14" t="s">
        <v>51</v>
      </c>
      <c r="O74" s="13" t="s">
        <v>52</v>
      </c>
      <c r="P74" s="14" t="s">
        <v>51</v>
      </c>
      <c r="Q74" s="13" t="s">
        <v>56</v>
      </c>
      <c r="R74" s="14" t="s">
        <v>51</v>
      </c>
      <c r="S74" s="15" t="n">
        <f>61.38</f>
        <v>61.38</v>
      </c>
      <c r="T74" s="16" t="n">
        <f>17747</f>
        <v>17747.0</v>
      </c>
      <c r="U74" s="16" t="n">
        <v>4033.0</v>
      </c>
      <c r="V74" s="16" t="n">
        <f>1674091000</f>
        <v>1.674091E9</v>
      </c>
      <c r="W74" s="16" t="n">
        <v>5.27115E8</v>
      </c>
      <c r="X74" s="16" t="str">
        <f>"－"</f>
        <v>－</v>
      </c>
      <c r="Y74" s="13" t="s">
        <v>53</v>
      </c>
      <c r="Z74" s="17" t="n">
        <f>4165</f>
        <v>4165.0</v>
      </c>
      <c r="AA74" s="18" t="n">
        <f>8</f>
        <v>8.0</v>
      </c>
      <c r="AB74" s="11" t="s">
        <v>54</v>
      </c>
    </row>
    <row r="75">
      <c r="A75" s="11" t="s">
        <v>46</v>
      </c>
      <c r="B75" s="11" t="s">
        <v>47</v>
      </c>
      <c r="C75" s="11" t="s">
        <v>48</v>
      </c>
      <c r="D75" s="11" t="s">
        <v>49</v>
      </c>
      <c r="E75" s="11" t="s">
        <v>46</v>
      </c>
      <c r="F75" s="12" t="n">
        <v>27625.0</v>
      </c>
      <c r="G75" s="13" t="s">
        <v>50</v>
      </c>
      <c r="H75" s="14" t="s">
        <v>150</v>
      </c>
      <c r="I75" s="13" t="s">
        <v>50</v>
      </c>
      <c r="J75" s="14" t="s">
        <v>150</v>
      </c>
      <c r="K75" s="13" t="s">
        <v>50</v>
      </c>
      <c r="L75" s="14" t="s">
        <v>151</v>
      </c>
      <c r="M75" s="13" t="s">
        <v>56</v>
      </c>
      <c r="N75" s="14" t="s">
        <v>51</v>
      </c>
      <c r="O75" s="13" t="s">
        <v>56</v>
      </c>
      <c r="P75" s="14" t="s">
        <v>51</v>
      </c>
      <c r="Q75" s="13" t="s">
        <v>56</v>
      </c>
      <c r="R75" s="14" t="s">
        <v>51</v>
      </c>
      <c r="S75" s="15" t="n">
        <f>73.25</f>
        <v>73.25</v>
      </c>
      <c r="T75" s="16" t="n">
        <f>4269</f>
        <v>4269.0</v>
      </c>
      <c r="U75" s="16" t="n">
        <v>314.0</v>
      </c>
      <c r="V75" s="16" t="n">
        <f>405269000</f>
        <v>4.05269E8</v>
      </c>
      <c r="W75" s="16" t="n">
        <v>3.4191E7</v>
      </c>
      <c r="X75" s="16" t="str">
        <f>"－"</f>
        <v>－</v>
      </c>
      <c r="Y75" s="13" t="s">
        <v>53</v>
      </c>
      <c r="Z75" s="17" t="n">
        <f>877</f>
        <v>877.0</v>
      </c>
      <c r="AA75" s="18" t="n">
        <f>8</f>
        <v>8.0</v>
      </c>
      <c r="AB75" s="11" t="s">
        <v>54</v>
      </c>
    </row>
    <row r="76">
      <c r="A76" s="11" t="s">
        <v>46</v>
      </c>
      <c r="B76" s="11" t="s">
        <v>47</v>
      </c>
      <c r="C76" s="11" t="s">
        <v>48</v>
      </c>
      <c r="D76" s="11" t="s">
        <v>49</v>
      </c>
      <c r="E76" s="11" t="s">
        <v>46</v>
      </c>
      <c r="F76" s="12" t="n">
        <v>27750.0</v>
      </c>
      <c r="G76" s="13" t="s">
        <v>50</v>
      </c>
      <c r="H76" s="14" t="s">
        <v>152</v>
      </c>
      <c r="I76" s="13" t="s">
        <v>50</v>
      </c>
      <c r="J76" s="14" t="s">
        <v>153</v>
      </c>
      <c r="K76" s="13" t="s">
        <v>50</v>
      </c>
      <c r="L76" s="14" t="s">
        <v>154</v>
      </c>
      <c r="M76" s="13" t="s">
        <v>56</v>
      </c>
      <c r="N76" s="14" t="s">
        <v>51</v>
      </c>
      <c r="O76" s="13" t="s">
        <v>56</v>
      </c>
      <c r="P76" s="14" t="s">
        <v>51</v>
      </c>
      <c r="Q76" s="13" t="s">
        <v>56</v>
      </c>
      <c r="R76" s="14" t="s">
        <v>51</v>
      </c>
      <c r="S76" s="15" t="n">
        <f>82.5</f>
        <v>82.5</v>
      </c>
      <c r="T76" s="16" t="n">
        <f>10510</f>
        <v>10510.0</v>
      </c>
      <c r="U76" s="16" t="n">
        <v>3121.0</v>
      </c>
      <c r="V76" s="16" t="n">
        <f>1208480750</f>
        <v>1.20848075E9</v>
      </c>
      <c r="W76" s="16" t="n">
        <v>5.3274275E8</v>
      </c>
      <c r="X76" s="16" t="str">
        <f>"－"</f>
        <v>－</v>
      </c>
      <c r="Y76" s="13" t="s">
        <v>53</v>
      </c>
      <c r="Z76" s="17" t="n">
        <f>3425</f>
        <v>3425.0</v>
      </c>
      <c r="AA76" s="18" t="n">
        <f>8</f>
        <v>8.0</v>
      </c>
      <c r="AB76" s="11" t="s">
        <v>54</v>
      </c>
    </row>
    <row r="77">
      <c r="A77" s="11" t="s">
        <v>46</v>
      </c>
      <c r="B77" s="11" t="s">
        <v>47</v>
      </c>
      <c r="C77" s="11" t="s">
        <v>48</v>
      </c>
      <c r="D77" s="11" t="s">
        <v>49</v>
      </c>
      <c r="E77" s="11" t="s">
        <v>46</v>
      </c>
      <c r="F77" s="12" t="n">
        <v>27875.0</v>
      </c>
      <c r="G77" s="13" t="s">
        <v>50</v>
      </c>
      <c r="H77" s="14" t="s">
        <v>155</v>
      </c>
      <c r="I77" s="13" t="s">
        <v>50</v>
      </c>
      <c r="J77" s="14" t="s">
        <v>156</v>
      </c>
      <c r="K77" s="13" t="s">
        <v>50</v>
      </c>
      <c r="L77" s="14" t="s">
        <v>157</v>
      </c>
      <c r="M77" s="13" t="s">
        <v>56</v>
      </c>
      <c r="N77" s="14" t="s">
        <v>51</v>
      </c>
      <c r="O77" s="13" t="s">
        <v>56</v>
      </c>
      <c r="P77" s="14" t="s">
        <v>59</v>
      </c>
      <c r="Q77" s="13" t="s">
        <v>56</v>
      </c>
      <c r="R77" s="14" t="s">
        <v>59</v>
      </c>
      <c r="S77" s="15" t="n">
        <f>98.88</f>
        <v>98.88</v>
      </c>
      <c r="T77" s="16" t="n">
        <f>6630</f>
        <v>6630.0</v>
      </c>
      <c r="U77" s="16" t="n">
        <v>210.0</v>
      </c>
      <c r="V77" s="16" t="n">
        <f>771028000</f>
        <v>7.71028E8</v>
      </c>
      <c r="W77" s="16" t="n">
        <v>1.7225E7</v>
      </c>
      <c r="X77" s="16" t="str">
        <f>"－"</f>
        <v>－</v>
      </c>
      <c r="Y77" s="13" t="s">
        <v>53</v>
      </c>
      <c r="Z77" s="17" t="n">
        <f>729</f>
        <v>729.0</v>
      </c>
      <c r="AA77" s="18" t="n">
        <f>8</f>
        <v>8.0</v>
      </c>
      <c r="AB77" s="11" t="s">
        <v>54</v>
      </c>
    </row>
    <row r="78">
      <c r="A78" s="11" t="s">
        <v>46</v>
      </c>
      <c r="B78" s="11" t="s">
        <v>47</v>
      </c>
      <c r="C78" s="11" t="s">
        <v>48</v>
      </c>
      <c r="D78" s="11" t="s">
        <v>49</v>
      </c>
      <c r="E78" s="11" t="s">
        <v>46</v>
      </c>
      <c r="F78" s="12" t="n">
        <v>28000.0</v>
      </c>
      <c r="G78" s="13" t="s">
        <v>50</v>
      </c>
      <c r="H78" s="14" t="s">
        <v>158</v>
      </c>
      <c r="I78" s="13" t="s">
        <v>50</v>
      </c>
      <c r="J78" s="14" t="s">
        <v>159</v>
      </c>
      <c r="K78" s="13" t="s">
        <v>50</v>
      </c>
      <c r="L78" s="14" t="s">
        <v>160</v>
      </c>
      <c r="M78" s="13" t="s">
        <v>56</v>
      </c>
      <c r="N78" s="14" t="s">
        <v>51</v>
      </c>
      <c r="O78" s="13" t="s">
        <v>56</v>
      </c>
      <c r="P78" s="14" t="s">
        <v>51</v>
      </c>
      <c r="Q78" s="13" t="s">
        <v>56</v>
      </c>
      <c r="R78" s="14" t="s">
        <v>59</v>
      </c>
      <c r="S78" s="15" t="n">
        <f>117.88</f>
        <v>117.88</v>
      </c>
      <c r="T78" s="16" t="n">
        <f>18322</f>
        <v>18322.0</v>
      </c>
      <c r="U78" s="16" t="n">
        <v>3382.0</v>
      </c>
      <c r="V78" s="16" t="n">
        <f>2180730000</f>
        <v>2.18073E9</v>
      </c>
      <c r="W78" s="16" t="n">
        <v>4.5683E8</v>
      </c>
      <c r="X78" s="16" t="str">
        <f>"－"</f>
        <v>－</v>
      </c>
      <c r="Y78" s="13" t="s">
        <v>53</v>
      </c>
      <c r="Z78" s="17" t="n">
        <f>4534</f>
        <v>4534.0</v>
      </c>
      <c r="AA78" s="18" t="n">
        <f>8</f>
        <v>8.0</v>
      </c>
      <c r="AB78" s="11" t="s">
        <v>54</v>
      </c>
    </row>
    <row r="79">
      <c r="A79" s="11" t="s">
        <v>46</v>
      </c>
      <c r="B79" s="11" t="s">
        <v>47</v>
      </c>
      <c r="C79" s="11" t="s">
        <v>48</v>
      </c>
      <c r="D79" s="11" t="s">
        <v>49</v>
      </c>
      <c r="E79" s="11" t="s">
        <v>46</v>
      </c>
      <c r="F79" s="12" t="n">
        <v>28125.0</v>
      </c>
      <c r="G79" s="13" t="s">
        <v>50</v>
      </c>
      <c r="H79" s="14" t="s">
        <v>161</v>
      </c>
      <c r="I79" s="13" t="s">
        <v>50</v>
      </c>
      <c r="J79" s="14" t="s">
        <v>162</v>
      </c>
      <c r="K79" s="13" t="s">
        <v>55</v>
      </c>
      <c r="L79" s="14" t="s">
        <v>163</v>
      </c>
      <c r="M79" s="13" t="s">
        <v>56</v>
      </c>
      <c r="N79" s="14" t="s">
        <v>59</v>
      </c>
      <c r="O79" s="13" t="s">
        <v>52</v>
      </c>
      <c r="P79" s="14" t="s">
        <v>51</v>
      </c>
      <c r="Q79" s="13" t="s">
        <v>56</v>
      </c>
      <c r="R79" s="14" t="s">
        <v>59</v>
      </c>
      <c r="S79" s="15" t="n">
        <f>137.63</f>
        <v>137.63</v>
      </c>
      <c r="T79" s="16" t="n">
        <f>5046</f>
        <v>5046.0</v>
      </c>
      <c r="U79" s="16" t="n">
        <v>231.0</v>
      </c>
      <c r="V79" s="16" t="n">
        <f>623308000</f>
        <v>6.23308E8</v>
      </c>
      <c r="W79" s="16" t="n">
        <v>1.3226E7</v>
      </c>
      <c r="X79" s="16" t="str">
        <f>"－"</f>
        <v>－</v>
      </c>
      <c r="Y79" s="13" t="s">
        <v>53</v>
      </c>
      <c r="Z79" s="17" t="n">
        <f>658</f>
        <v>658.0</v>
      </c>
      <c r="AA79" s="18" t="n">
        <f>8</f>
        <v>8.0</v>
      </c>
      <c r="AB79" s="11" t="s">
        <v>54</v>
      </c>
    </row>
    <row r="80">
      <c r="A80" s="11" t="s">
        <v>46</v>
      </c>
      <c r="B80" s="11" t="s">
        <v>47</v>
      </c>
      <c r="C80" s="11" t="s">
        <v>48</v>
      </c>
      <c r="D80" s="11" t="s">
        <v>49</v>
      </c>
      <c r="E80" s="11" t="s">
        <v>46</v>
      </c>
      <c r="F80" s="12" t="n">
        <v>28250.0</v>
      </c>
      <c r="G80" s="13" t="s">
        <v>50</v>
      </c>
      <c r="H80" s="14" t="s">
        <v>164</v>
      </c>
      <c r="I80" s="13" t="s">
        <v>50</v>
      </c>
      <c r="J80" s="14" t="s">
        <v>164</v>
      </c>
      <c r="K80" s="13" t="s">
        <v>50</v>
      </c>
      <c r="L80" s="14" t="s">
        <v>165</v>
      </c>
      <c r="M80" s="13" t="s">
        <v>56</v>
      </c>
      <c r="N80" s="14" t="s">
        <v>59</v>
      </c>
      <c r="O80" s="13" t="s">
        <v>61</v>
      </c>
      <c r="P80" s="14" t="s">
        <v>51</v>
      </c>
      <c r="Q80" s="13" t="s">
        <v>56</v>
      </c>
      <c r="R80" s="14" t="s">
        <v>62</v>
      </c>
      <c r="S80" s="15" t="n">
        <f>163</f>
        <v>163.0</v>
      </c>
      <c r="T80" s="16" t="n">
        <f>9502</f>
        <v>9502.0</v>
      </c>
      <c r="U80" s="16" t="n">
        <v>1465.0</v>
      </c>
      <c r="V80" s="16" t="n">
        <f>1064794000</f>
        <v>1.064794E9</v>
      </c>
      <c r="W80" s="16" t="n">
        <v>1.20992E8</v>
      </c>
      <c r="X80" s="16" t="str">
        <f>"－"</f>
        <v>－</v>
      </c>
      <c r="Y80" s="13" t="s">
        <v>53</v>
      </c>
      <c r="Z80" s="17" t="n">
        <f>1682</f>
        <v>1682.0</v>
      </c>
      <c r="AA80" s="18" t="n">
        <f>8</f>
        <v>8.0</v>
      </c>
      <c r="AB80" s="11" t="s">
        <v>54</v>
      </c>
    </row>
    <row r="81">
      <c r="A81" s="11" t="s">
        <v>46</v>
      </c>
      <c r="B81" s="11" t="s">
        <v>47</v>
      </c>
      <c r="C81" s="11" t="s">
        <v>48</v>
      </c>
      <c r="D81" s="11" t="s">
        <v>49</v>
      </c>
      <c r="E81" s="11" t="s">
        <v>46</v>
      </c>
      <c r="F81" s="12" t="n">
        <v>28375.0</v>
      </c>
      <c r="G81" s="13" t="s">
        <v>50</v>
      </c>
      <c r="H81" s="14" t="s">
        <v>166</v>
      </c>
      <c r="I81" s="13" t="s">
        <v>50</v>
      </c>
      <c r="J81" s="14" t="s">
        <v>167</v>
      </c>
      <c r="K81" s="13" t="s">
        <v>55</v>
      </c>
      <c r="L81" s="14" t="s">
        <v>145</v>
      </c>
      <c r="M81" s="13" t="s">
        <v>56</v>
      </c>
      <c r="N81" s="14" t="s">
        <v>59</v>
      </c>
      <c r="O81" s="13" t="s">
        <v>52</v>
      </c>
      <c r="P81" s="14" t="s">
        <v>51</v>
      </c>
      <c r="Q81" s="13" t="s">
        <v>56</v>
      </c>
      <c r="R81" s="14" t="s">
        <v>59</v>
      </c>
      <c r="S81" s="15" t="n">
        <f>211.75</f>
        <v>211.75</v>
      </c>
      <c r="T81" s="16" t="n">
        <f>4425</f>
        <v>4425.0</v>
      </c>
      <c r="U81" s="16" t="n">
        <v>360.0</v>
      </c>
      <c r="V81" s="16" t="n">
        <f>511033000</f>
        <v>5.11033E8</v>
      </c>
      <c r="W81" s="16" t="n">
        <v>1.7087E7</v>
      </c>
      <c r="X81" s="16" t="str">
        <f>"－"</f>
        <v>－</v>
      </c>
      <c r="Y81" s="13" t="s">
        <v>53</v>
      </c>
      <c r="Z81" s="17" t="n">
        <f>809</f>
        <v>809.0</v>
      </c>
      <c r="AA81" s="18" t="n">
        <f>8</f>
        <v>8.0</v>
      </c>
      <c r="AB81" s="11" t="s">
        <v>54</v>
      </c>
    </row>
    <row r="82">
      <c r="A82" s="11" t="s">
        <v>46</v>
      </c>
      <c r="B82" s="11" t="s">
        <v>47</v>
      </c>
      <c r="C82" s="11" t="s">
        <v>48</v>
      </c>
      <c r="D82" s="11" t="s">
        <v>49</v>
      </c>
      <c r="E82" s="11" t="s">
        <v>46</v>
      </c>
      <c r="F82" s="12" t="n">
        <v>28500.0</v>
      </c>
      <c r="G82" s="13" t="s">
        <v>50</v>
      </c>
      <c r="H82" s="14" t="s">
        <v>168</v>
      </c>
      <c r="I82" s="13" t="s">
        <v>50</v>
      </c>
      <c r="J82" s="14" t="s">
        <v>169</v>
      </c>
      <c r="K82" s="13" t="s">
        <v>50</v>
      </c>
      <c r="L82" s="14" t="s">
        <v>170</v>
      </c>
      <c r="M82" s="13" t="s">
        <v>56</v>
      </c>
      <c r="N82" s="14" t="s">
        <v>62</v>
      </c>
      <c r="O82" s="13" t="s">
        <v>52</v>
      </c>
      <c r="P82" s="14" t="s">
        <v>51</v>
      </c>
      <c r="Q82" s="13" t="s">
        <v>56</v>
      </c>
      <c r="R82" s="14" t="s">
        <v>62</v>
      </c>
      <c r="S82" s="15" t="n">
        <f>231.38</f>
        <v>231.38</v>
      </c>
      <c r="T82" s="16" t="n">
        <f>13717</f>
        <v>13717.0</v>
      </c>
      <c r="U82" s="16" t="n">
        <v>2662.0</v>
      </c>
      <c r="V82" s="16" t="n">
        <f>1320067000</f>
        <v>1.320067E9</v>
      </c>
      <c r="W82" s="16" t="n">
        <v>2.21781E8</v>
      </c>
      <c r="X82" s="16" t="str">
        <f>"－"</f>
        <v>－</v>
      </c>
      <c r="Y82" s="13" t="s">
        <v>53</v>
      </c>
      <c r="Z82" s="17" t="n">
        <f>2919</f>
        <v>2919.0</v>
      </c>
      <c r="AA82" s="18" t="n">
        <f>8</f>
        <v>8.0</v>
      </c>
      <c r="AB82" s="11" t="s">
        <v>54</v>
      </c>
    </row>
    <row r="83">
      <c r="A83" s="11" t="s">
        <v>46</v>
      </c>
      <c r="B83" s="11" t="s">
        <v>47</v>
      </c>
      <c r="C83" s="11" t="s">
        <v>48</v>
      </c>
      <c r="D83" s="11" t="s">
        <v>49</v>
      </c>
      <c r="E83" s="11" t="s">
        <v>46</v>
      </c>
      <c r="F83" s="12" t="n">
        <v>28625.0</v>
      </c>
      <c r="G83" s="13" t="s">
        <v>50</v>
      </c>
      <c r="H83" s="14" t="s">
        <v>171</v>
      </c>
      <c r="I83" s="13" t="s">
        <v>50</v>
      </c>
      <c r="J83" s="14" t="s">
        <v>171</v>
      </c>
      <c r="K83" s="13" t="s">
        <v>55</v>
      </c>
      <c r="L83" s="14" t="s">
        <v>152</v>
      </c>
      <c r="M83" s="13" t="s">
        <v>56</v>
      </c>
      <c r="N83" s="14" t="s">
        <v>64</v>
      </c>
      <c r="O83" s="13" t="s">
        <v>56</v>
      </c>
      <c r="P83" s="14" t="s">
        <v>65</v>
      </c>
      <c r="Q83" s="13" t="s">
        <v>56</v>
      </c>
      <c r="R83" s="14" t="s">
        <v>66</v>
      </c>
      <c r="S83" s="15" t="n">
        <f>284.5</f>
        <v>284.5</v>
      </c>
      <c r="T83" s="16" t="n">
        <f>5248</f>
        <v>5248.0</v>
      </c>
      <c r="U83" s="16" t="n">
        <v>548.0</v>
      </c>
      <c r="V83" s="16" t="n">
        <f>477517500</f>
        <v>4.775175E8</v>
      </c>
      <c r="W83" s="16" t="n">
        <v>4.16545E7</v>
      </c>
      <c r="X83" s="16" t="str">
        <f>"－"</f>
        <v>－</v>
      </c>
      <c r="Y83" s="13" t="s">
        <v>53</v>
      </c>
      <c r="Z83" s="17" t="n">
        <f>885</f>
        <v>885.0</v>
      </c>
      <c r="AA83" s="18" t="n">
        <f>8</f>
        <v>8.0</v>
      </c>
      <c r="AB83" s="11" t="s">
        <v>54</v>
      </c>
    </row>
    <row r="84">
      <c r="A84" s="11" t="s">
        <v>46</v>
      </c>
      <c r="B84" s="11" t="s">
        <v>47</v>
      </c>
      <c r="C84" s="11" t="s">
        <v>48</v>
      </c>
      <c r="D84" s="11" t="s">
        <v>49</v>
      </c>
      <c r="E84" s="11" t="s">
        <v>46</v>
      </c>
      <c r="F84" s="12" t="n">
        <v>28750.0</v>
      </c>
      <c r="G84" s="13" t="s">
        <v>50</v>
      </c>
      <c r="H84" s="14" t="s">
        <v>172</v>
      </c>
      <c r="I84" s="13" t="s">
        <v>50</v>
      </c>
      <c r="J84" s="14" t="s">
        <v>173</v>
      </c>
      <c r="K84" s="13" t="s">
        <v>55</v>
      </c>
      <c r="L84" s="14" t="s">
        <v>174</v>
      </c>
      <c r="M84" s="13" t="s">
        <v>56</v>
      </c>
      <c r="N84" s="14" t="s">
        <v>66</v>
      </c>
      <c r="O84" s="13" t="s">
        <v>56</v>
      </c>
      <c r="P84" s="14" t="s">
        <v>65</v>
      </c>
      <c r="Q84" s="13" t="s">
        <v>56</v>
      </c>
      <c r="R84" s="14" t="s">
        <v>66</v>
      </c>
      <c r="S84" s="15" t="n">
        <f>356.25</f>
        <v>356.25</v>
      </c>
      <c r="T84" s="16" t="n">
        <f>8295</f>
        <v>8295.0</v>
      </c>
      <c r="U84" s="16" t="n">
        <v>495.0</v>
      </c>
      <c r="V84" s="16" t="n">
        <f>707873000</f>
        <v>7.07873E8</v>
      </c>
      <c r="W84" s="16" t="n">
        <v>3.0676E7</v>
      </c>
      <c r="X84" s="16" t="str">
        <f>"－"</f>
        <v>－</v>
      </c>
      <c r="Y84" s="13" t="s">
        <v>53</v>
      </c>
      <c r="Z84" s="17" t="n">
        <f>1421</f>
        <v>1421.0</v>
      </c>
      <c r="AA84" s="18" t="n">
        <f>8</f>
        <v>8.0</v>
      </c>
      <c r="AB84" s="11" t="s">
        <v>54</v>
      </c>
    </row>
    <row r="85">
      <c r="A85" s="11" t="s">
        <v>46</v>
      </c>
      <c r="B85" s="11" t="s">
        <v>47</v>
      </c>
      <c r="C85" s="11" t="s">
        <v>48</v>
      </c>
      <c r="D85" s="11" t="s">
        <v>49</v>
      </c>
      <c r="E85" s="11" t="s">
        <v>46</v>
      </c>
      <c r="F85" s="12" t="n">
        <v>28875.0</v>
      </c>
      <c r="G85" s="13" t="s">
        <v>63</v>
      </c>
      <c r="H85" s="14" t="s">
        <v>175</v>
      </c>
      <c r="I85" s="13" t="s">
        <v>60</v>
      </c>
      <c r="J85" s="14" t="s">
        <v>176</v>
      </c>
      <c r="K85" s="13" t="s">
        <v>63</v>
      </c>
      <c r="L85" s="14" t="s">
        <v>177</v>
      </c>
      <c r="M85" s="13" t="s">
        <v>56</v>
      </c>
      <c r="N85" s="14" t="s">
        <v>68</v>
      </c>
      <c r="O85" s="13" t="s">
        <v>56</v>
      </c>
      <c r="P85" s="14" t="s">
        <v>67</v>
      </c>
      <c r="Q85" s="13" t="s">
        <v>56</v>
      </c>
      <c r="R85" s="14" t="s">
        <v>71</v>
      </c>
      <c r="S85" s="15" t="n">
        <f>242</f>
        <v>242.0</v>
      </c>
      <c r="T85" s="16" t="n">
        <f>4950</f>
        <v>4950.0</v>
      </c>
      <c r="U85" s="16" t="n">
        <v>328.0</v>
      </c>
      <c r="V85" s="16" t="n">
        <f>351684000</f>
        <v>3.51684E8</v>
      </c>
      <c r="W85" s="16" t="n">
        <v>2.9847E7</v>
      </c>
      <c r="X85" s="16" t="str">
        <f>"－"</f>
        <v>－</v>
      </c>
      <c r="Y85" s="13" t="s">
        <v>53</v>
      </c>
      <c r="Z85" s="17" t="n">
        <f>763</f>
        <v>763.0</v>
      </c>
      <c r="AA85" s="18" t="n">
        <f>6</f>
        <v>6.0</v>
      </c>
      <c r="AB85" s="11" t="s">
        <v>54</v>
      </c>
    </row>
    <row r="86">
      <c r="A86" s="11" t="s">
        <v>46</v>
      </c>
      <c r="B86" s="11" t="s">
        <v>47</v>
      </c>
      <c r="C86" s="11" t="s">
        <v>48</v>
      </c>
      <c r="D86" s="11" t="s">
        <v>49</v>
      </c>
      <c r="E86" s="11" t="s">
        <v>46</v>
      </c>
      <c r="F86" s="12" t="n">
        <v>29000.0</v>
      </c>
      <c r="G86" s="13" t="s">
        <v>50</v>
      </c>
      <c r="H86" s="14" t="s">
        <v>178</v>
      </c>
      <c r="I86" s="13" t="s">
        <v>50</v>
      </c>
      <c r="J86" s="14" t="s">
        <v>179</v>
      </c>
      <c r="K86" s="13" t="s">
        <v>61</v>
      </c>
      <c r="L86" s="14" t="s">
        <v>180</v>
      </c>
      <c r="M86" s="13" t="s">
        <v>56</v>
      </c>
      <c r="N86" s="14" t="s">
        <v>72</v>
      </c>
      <c r="O86" s="13" t="s">
        <v>56</v>
      </c>
      <c r="P86" s="14" t="s">
        <v>181</v>
      </c>
      <c r="Q86" s="13" t="s">
        <v>56</v>
      </c>
      <c r="R86" s="14" t="s">
        <v>78</v>
      </c>
      <c r="S86" s="15" t="n">
        <f>452.13</f>
        <v>452.13</v>
      </c>
      <c r="T86" s="16" t="n">
        <f>10548</f>
        <v>10548.0</v>
      </c>
      <c r="U86" s="16" t="n">
        <v>1563.0</v>
      </c>
      <c r="V86" s="16" t="n">
        <f>807561000</f>
        <v>8.07561E8</v>
      </c>
      <c r="W86" s="16" t="n">
        <v>1.15846E8</v>
      </c>
      <c r="X86" s="16" t="str">
        <f>"－"</f>
        <v>－</v>
      </c>
      <c r="Y86" s="13" t="s">
        <v>53</v>
      </c>
      <c r="Z86" s="17" t="n">
        <f>2006</f>
        <v>2006.0</v>
      </c>
      <c r="AA86" s="18" t="n">
        <f>8</f>
        <v>8.0</v>
      </c>
      <c r="AB86" s="11" t="s">
        <v>54</v>
      </c>
    </row>
    <row r="87">
      <c r="A87" s="11" t="s">
        <v>46</v>
      </c>
      <c r="B87" s="11" t="s">
        <v>47</v>
      </c>
      <c r="C87" s="11" t="s">
        <v>48</v>
      </c>
      <c r="D87" s="11" t="s">
        <v>49</v>
      </c>
      <c r="E87" s="11" t="s">
        <v>46</v>
      </c>
      <c r="F87" s="12" t="n">
        <v>29125.0</v>
      </c>
      <c r="G87" s="13" t="s">
        <v>61</v>
      </c>
      <c r="H87" s="14" t="s">
        <v>182</v>
      </c>
      <c r="I87" s="13" t="s">
        <v>61</v>
      </c>
      <c r="J87" s="14" t="s">
        <v>183</v>
      </c>
      <c r="K87" s="13" t="s">
        <v>61</v>
      </c>
      <c r="L87" s="14" t="s">
        <v>132</v>
      </c>
      <c r="M87" s="13" t="s">
        <v>56</v>
      </c>
      <c r="N87" s="14" t="s">
        <v>74</v>
      </c>
      <c r="O87" s="13" t="s">
        <v>56</v>
      </c>
      <c r="P87" s="14" t="s">
        <v>74</v>
      </c>
      <c r="Q87" s="13" t="s">
        <v>56</v>
      </c>
      <c r="R87" s="14" t="s">
        <v>184</v>
      </c>
      <c r="S87" s="15" t="n">
        <f>64</f>
        <v>64.0</v>
      </c>
      <c r="T87" s="16" t="n">
        <f>4660</f>
        <v>4660.0</v>
      </c>
      <c r="U87" s="16" t="n">
        <v>784.0</v>
      </c>
      <c r="V87" s="16" t="n">
        <f>432939000</f>
        <v>4.32939E8</v>
      </c>
      <c r="W87" s="16" t="n">
        <v>1.04004E8</v>
      </c>
      <c r="X87" s="16" t="str">
        <f>"－"</f>
        <v>－</v>
      </c>
      <c r="Y87" s="13" t="s">
        <v>53</v>
      </c>
      <c r="Z87" s="17" t="n">
        <f>745</f>
        <v>745.0</v>
      </c>
      <c r="AA87" s="18" t="n">
        <f>3</f>
        <v>3.0</v>
      </c>
      <c r="AB87" s="11" t="s">
        <v>54</v>
      </c>
    </row>
    <row r="88">
      <c r="A88" s="11" t="s">
        <v>46</v>
      </c>
      <c r="B88" s="11" t="s">
        <v>47</v>
      </c>
      <c r="C88" s="11" t="s">
        <v>48</v>
      </c>
      <c r="D88" s="11" t="s">
        <v>49</v>
      </c>
      <c r="E88" s="11" t="s">
        <v>46</v>
      </c>
      <c r="F88" s="12" t="n">
        <v>29250.0</v>
      </c>
      <c r="G88" s="13" t="s">
        <v>58</v>
      </c>
      <c r="H88" s="14" t="s">
        <v>165</v>
      </c>
      <c r="I88" s="13" t="s">
        <v>58</v>
      </c>
      <c r="J88" s="14" t="s">
        <v>165</v>
      </c>
      <c r="K88" s="13" t="s">
        <v>61</v>
      </c>
      <c r="L88" s="14" t="s">
        <v>185</v>
      </c>
      <c r="M88" s="13" t="s">
        <v>56</v>
      </c>
      <c r="N88" s="14" t="s">
        <v>90</v>
      </c>
      <c r="O88" s="13" t="s">
        <v>61</v>
      </c>
      <c r="P88" s="14" t="s">
        <v>51</v>
      </c>
      <c r="Q88" s="13" t="s">
        <v>56</v>
      </c>
      <c r="R88" s="14" t="s">
        <v>91</v>
      </c>
      <c r="S88" s="15" t="n">
        <f>274.75</f>
        <v>274.75</v>
      </c>
      <c r="T88" s="16" t="n">
        <f>7827</f>
        <v>7827.0</v>
      </c>
      <c r="U88" s="16" t="n">
        <v>2558.0</v>
      </c>
      <c r="V88" s="16" t="n">
        <f>806773000</f>
        <v>8.06773E8</v>
      </c>
      <c r="W88" s="16" t="n">
        <v>2.17798E8</v>
      </c>
      <c r="X88" s="16" t="str">
        <f>"－"</f>
        <v>－</v>
      </c>
      <c r="Y88" s="13" t="s">
        <v>53</v>
      </c>
      <c r="Z88" s="17" t="n">
        <f>2362</f>
        <v>2362.0</v>
      </c>
      <c r="AA88" s="18" t="n">
        <f>4</f>
        <v>4.0</v>
      </c>
      <c r="AB88" s="11" t="s">
        <v>54</v>
      </c>
    </row>
    <row r="89">
      <c r="A89" s="11" t="s">
        <v>46</v>
      </c>
      <c r="B89" s="11" t="s">
        <v>47</v>
      </c>
      <c r="C89" s="11" t="s">
        <v>48</v>
      </c>
      <c r="D89" s="11" t="s">
        <v>49</v>
      </c>
      <c r="E89" s="11" t="s">
        <v>46</v>
      </c>
      <c r="F89" s="12" t="n">
        <v>29375.0</v>
      </c>
      <c r="G89" s="13" t="s">
        <v>61</v>
      </c>
      <c r="H89" s="14" t="s">
        <v>186</v>
      </c>
      <c r="I89" s="13" t="s">
        <v>61</v>
      </c>
      <c r="J89" s="14" t="s">
        <v>186</v>
      </c>
      <c r="K89" s="13" t="s">
        <v>61</v>
      </c>
      <c r="L89" s="14" t="s">
        <v>187</v>
      </c>
      <c r="M89" s="13" t="s">
        <v>56</v>
      </c>
      <c r="N89" s="14" t="s">
        <v>188</v>
      </c>
      <c r="O89" s="13" t="s">
        <v>56</v>
      </c>
      <c r="P89" s="14" t="s">
        <v>189</v>
      </c>
      <c r="Q89" s="13" t="s">
        <v>56</v>
      </c>
      <c r="R89" s="14" t="s">
        <v>104</v>
      </c>
      <c r="S89" s="15" t="n">
        <f>126.33</f>
        <v>126.33</v>
      </c>
      <c r="T89" s="16" t="n">
        <f>3773</f>
        <v>3773.0</v>
      </c>
      <c r="U89" s="16" t="n">
        <v>1142.0</v>
      </c>
      <c r="V89" s="16" t="n">
        <f>676018000</f>
        <v>6.76018E8</v>
      </c>
      <c r="W89" s="16" t="n">
        <v>2.61932E8</v>
      </c>
      <c r="X89" s="16" t="str">
        <f>"－"</f>
        <v>－</v>
      </c>
      <c r="Y89" s="13" t="s">
        <v>53</v>
      </c>
      <c r="Z89" s="17" t="n">
        <f>1832</f>
        <v>1832.0</v>
      </c>
      <c r="AA89" s="18" t="n">
        <f>3</f>
        <v>3.0</v>
      </c>
      <c r="AB89" s="11" t="s">
        <v>54</v>
      </c>
    </row>
    <row r="90">
      <c r="A90" s="11" t="s">
        <v>46</v>
      </c>
      <c r="B90" s="11" t="s">
        <v>47</v>
      </c>
      <c r="C90" s="11" t="s">
        <v>48</v>
      </c>
      <c r="D90" s="11" t="s">
        <v>49</v>
      </c>
      <c r="E90" s="11" t="s">
        <v>46</v>
      </c>
      <c r="F90" s="12" t="n">
        <v>29500.0</v>
      </c>
      <c r="G90" s="13" t="s">
        <v>61</v>
      </c>
      <c r="H90" s="14" t="s">
        <v>145</v>
      </c>
      <c r="I90" s="13" t="s">
        <v>61</v>
      </c>
      <c r="J90" s="14" t="s">
        <v>163</v>
      </c>
      <c r="K90" s="13" t="s">
        <v>61</v>
      </c>
      <c r="L90" s="14" t="s">
        <v>190</v>
      </c>
      <c r="M90" s="13" t="s">
        <v>56</v>
      </c>
      <c r="N90" s="14" t="s">
        <v>191</v>
      </c>
      <c r="O90" s="13" t="s">
        <v>56</v>
      </c>
      <c r="P90" s="14" t="s">
        <v>51</v>
      </c>
      <c r="Q90" s="13" t="s">
        <v>56</v>
      </c>
      <c r="R90" s="14" t="s">
        <v>123</v>
      </c>
      <c r="S90" s="15" t="n">
        <f>196.67</f>
        <v>196.67</v>
      </c>
      <c r="T90" s="16" t="n">
        <f>3059</f>
        <v>3059.0</v>
      </c>
      <c r="U90" s="16" t="n">
        <v>974.0</v>
      </c>
      <c r="V90" s="16" t="n">
        <f>509435000</f>
        <v>5.09435E8</v>
      </c>
      <c r="W90" s="16" t="n">
        <v>9.4504E7</v>
      </c>
      <c r="X90" s="16" t="str">
        <f>"－"</f>
        <v>－</v>
      </c>
      <c r="Y90" s="13" t="s">
        <v>53</v>
      </c>
      <c r="Z90" s="17" t="n">
        <f>1358</f>
        <v>1358.0</v>
      </c>
      <c r="AA90" s="18" t="n">
        <f>3</f>
        <v>3.0</v>
      </c>
      <c r="AB90" s="11" t="s">
        <v>54</v>
      </c>
    </row>
    <row r="91">
      <c r="A91" s="11" t="s">
        <v>46</v>
      </c>
      <c r="B91" s="11" t="s">
        <v>47</v>
      </c>
      <c r="C91" s="11" t="s">
        <v>48</v>
      </c>
      <c r="D91" s="11" t="s">
        <v>49</v>
      </c>
      <c r="E91" s="11" t="s">
        <v>46</v>
      </c>
      <c r="F91" s="12" t="n">
        <v>29625.0</v>
      </c>
      <c r="G91" s="13" t="s">
        <v>61</v>
      </c>
      <c r="H91" s="14" t="s">
        <v>151</v>
      </c>
      <c r="I91" s="13" t="s">
        <v>61</v>
      </c>
      <c r="J91" s="14" t="s">
        <v>192</v>
      </c>
      <c r="K91" s="13" t="s">
        <v>61</v>
      </c>
      <c r="L91" s="14" t="s">
        <v>193</v>
      </c>
      <c r="M91" s="13" t="s">
        <v>56</v>
      </c>
      <c r="N91" s="14" t="s">
        <v>124</v>
      </c>
      <c r="O91" s="13" t="s">
        <v>56</v>
      </c>
      <c r="P91" s="14" t="s">
        <v>130</v>
      </c>
      <c r="Q91" s="13" t="s">
        <v>56</v>
      </c>
      <c r="R91" s="14" t="s">
        <v>129</v>
      </c>
      <c r="S91" s="15" t="n">
        <f>246.67</f>
        <v>246.67</v>
      </c>
      <c r="T91" s="16" t="n">
        <f>232</f>
        <v>232.0</v>
      </c>
      <c r="U91" s="16" t="n">
        <v>2.0</v>
      </c>
      <c r="V91" s="16" t="n">
        <f>61755000</f>
        <v>6.1755E7</v>
      </c>
      <c r="W91" s="16" t="n">
        <v>620000.0</v>
      </c>
      <c r="X91" s="16" t="str">
        <f>"－"</f>
        <v>－</v>
      </c>
      <c r="Y91" s="13" t="s">
        <v>53</v>
      </c>
      <c r="Z91" s="17" t="n">
        <f>71</f>
        <v>71.0</v>
      </c>
      <c r="AA91" s="18" t="n">
        <f>3</f>
        <v>3.0</v>
      </c>
      <c r="AB91" s="11" t="s">
        <v>54</v>
      </c>
    </row>
    <row r="92">
      <c r="A92" s="11" t="s">
        <v>46</v>
      </c>
      <c r="B92" s="11" t="s">
        <v>47</v>
      </c>
      <c r="C92" s="11" t="s">
        <v>48</v>
      </c>
      <c r="D92" s="11" t="s">
        <v>49</v>
      </c>
      <c r="E92" s="11" t="s">
        <v>46</v>
      </c>
      <c r="F92" s="12" t="n">
        <v>29750.0</v>
      </c>
      <c r="G92" s="13" t="s">
        <v>61</v>
      </c>
      <c r="H92" s="14" t="s">
        <v>194</v>
      </c>
      <c r="I92" s="13" t="s">
        <v>61</v>
      </c>
      <c r="J92" s="14" t="s">
        <v>194</v>
      </c>
      <c r="K92" s="13" t="s">
        <v>52</v>
      </c>
      <c r="L92" s="14" t="s">
        <v>190</v>
      </c>
      <c r="M92" s="13" t="s">
        <v>56</v>
      </c>
      <c r="N92" s="14" t="s">
        <v>195</v>
      </c>
      <c r="O92" s="13" t="s">
        <v>52</v>
      </c>
      <c r="P92" s="14" t="s">
        <v>190</v>
      </c>
      <c r="Q92" s="13" t="s">
        <v>56</v>
      </c>
      <c r="R92" s="14" t="s">
        <v>136</v>
      </c>
      <c r="S92" s="15" t="n">
        <f>533.33</f>
        <v>533.33</v>
      </c>
      <c r="T92" s="16" t="n">
        <f>131</f>
        <v>131.0</v>
      </c>
      <c r="U92" s="16" t="n">
        <v>1.0</v>
      </c>
      <c r="V92" s="16" t="n">
        <f>45085000</f>
        <v>4.5085E7</v>
      </c>
      <c r="W92" s="16" t="n">
        <v>345000.0</v>
      </c>
      <c r="X92" s="16" t="n">
        <f>52</f>
        <v>52.0</v>
      </c>
      <c r="Y92" s="13" t="s">
        <v>53</v>
      </c>
      <c r="Z92" s="17" t="str">
        <f>"－"</f>
        <v>－</v>
      </c>
      <c r="AA92" s="18" t="n">
        <f>3</f>
        <v>3.0</v>
      </c>
      <c r="AB92" s="11" t="s">
        <v>54</v>
      </c>
    </row>
    <row r="93">
      <c r="A93" s="11" t="s">
        <v>46</v>
      </c>
      <c r="B93" s="11" t="s">
        <v>47</v>
      </c>
      <c r="C93" s="11" t="s">
        <v>48</v>
      </c>
      <c r="D93" s="11" t="s">
        <v>49</v>
      </c>
      <c r="E93" s="11" t="s">
        <v>46</v>
      </c>
      <c r="F93" s="12" t="n">
        <v>29875.0</v>
      </c>
      <c r="G93" s="13" t="s">
        <v>52</v>
      </c>
      <c r="H93" s="14" t="s">
        <v>196</v>
      </c>
      <c r="I93" s="13" t="s">
        <v>52</v>
      </c>
      <c r="J93" s="14" t="s">
        <v>196</v>
      </c>
      <c r="K93" s="13"/>
      <c r="L93" s="14"/>
      <c r="M93" s="13" t="s">
        <v>52</v>
      </c>
      <c r="N93" s="14" t="s">
        <v>196</v>
      </c>
      <c r="O93" s="13"/>
      <c r="P93" s="14"/>
      <c r="Q93" s="13" t="s">
        <v>52</v>
      </c>
      <c r="R93" s="14" t="s">
        <v>196</v>
      </c>
      <c r="S93" s="15" t="n">
        <f>430</f>
        <v>430.0</v>
      </c>
      <c r="T93" s="16" t="n">
        <f>10</f>
        <v>10.0</v>
      </c>
      <c r="U93" s="16"/>
      <c r="V93" s="16" t="n">
        <f>4300000</f>
        <v>4300000.0</v>
      </c>
      <c r="W93" s="16"/>
      <c r="X93" s="16" t="n">
        <f>10</f>
        <v>10.0</v>
      </c>
      <c r="Y93" s="13" t="s">
        <v>53</v>
      </c>
      <c r="Z93" s="17" t="str">
        <f>"－"</f>
        <v>－</v>
      </c>
      <c r="AA93" s="18" t="n">
        <f>1</f>
        <v>1.0</v>
      </c>
      <c r="AB93" s="11" t="s">
        <v>54</v>
      </c>
    </row>
    <row r="94">
      <c r="A94" s="11" t="s">
        <v>46</v>
      </c>
      <c r="B94" s="11" t="s">
        <v>47</v>
      </c>
      <c r="C94" s="11" t="s">
        <v>48</v>
      </c>
      <c r="D94" s="11" t="s">
        <v>49</v>
      </c>
      <c r="E94" s="11" t="s">
        <v>46</v>
      </c>
      <c r="F94" s="12" t="n">
        <v>30000.0</v>
      </c>
      <c r="G94" s="13" t="s">
        <v>61</v>
      </c>
      <c r="H94" s="14" t="s">
        <v>162</v>
      </c>
      <c r="I94" s="13" t="s">
        <v>61</v>
      </c>
      <c r="J94" s="14" t="s">
        <v>162</v>
      </c>
      <c r="K94" s="13"/>
      <c r="L94" s="14"/>
      <c r="M94" s="13" t="s">
        <v>56</v>
      </c>
      <c r="N94" s="14" t="s">
        <v>197</v>
      </c>
      <c r="O94" s="13"/>
      <c r="P94" s="14"/>
      <c r="Q94" s="13" t="s">
        <v>56</v>
      </c>
      <c r="R94" s="14" t="s">
        <v>197</v>
      </c>
      <c r="S94" s="15" t="n">
        <f>566.67</f>
        <v>566.67</v>
      </c>
      <c r="T94" s="16" t="n">
        <f>9</f>
        <v>9.0</v>
      </c>
      <c r="U94" s="16"/>
      <c r="V94" s="16" t="n">
        <f>5575000</f>
        <v>5575000.0</v>
      </c>
      <c r="W94" s="16"/>
      <c r="X94" s="16" t="n">
        <f>6</f>
        <v>6.0</v>
      </c>
      <c r="Y94" s="13" t="s">
        <v>53</v>
      </c>
      <c r="Z94" s="17" t="str">
        <f>"－"</f>
        <v>－</v>
      </c>
      <c r="AA94" s="18" t="n">
        <f>3</f>
        <v>3.0</v>
      </c>
      <c r="AB94" s="11" t="s">
        <v>54</v>
      </c>
    </row>
    <row r="95">
      <c r="A95" s="11" t="s">
        <v>46</v>
      </c>
      <c r="B95" s="11" t="s">
        <v>47</v>
      </c>
      <c r="C95" s="11" t="s">
        <v>48</v>
      </c>
      <c r="D95" s="11" t="s">
        <v>49</v>
      </c>
      <c r="E95" s="11" t="s">
        <v>46</v>
      </c>
      <c r="F95" s="12" t="n">
        <v>30125.0</v>
      </c>
      <c r="G95" s="13"/>
      <c r="H95" s="14" t="s">
        <v>57</v>
      </c>
      <c r="I95" s="13"/>
      <c r="J95" s="14" t="s">
        <v>57</v>
      </c>
      <c r="K95" s="13" t="s">
        <v>61</v>
      </c>
      <c r="L95" s="14" t="s">
        <v>198</v>
      </c>
      <c r="M95" s="13"/>
      <c r="N95" s="14" t="s">
        <v>57</v>
      </c>
      <c r="O95" s="13" t="s">
        <v>61</v>
      </c>
      <c r="P95" s="14" t="s">
        <v>199</v>
      </c>
      <c r="Q95" s="13"/>
      <c r="R95" s="14" t="s">
        <v>57</v>
      </c>
      <c r="S95" s="15" t="str">
        <f>"－"</f>
        <v>－</v>
      </c>
      <c r="T95" s="16" t="n">
        <f>2</f>
        <v>2.0</v>
      </c>
      <c r="U95" s="16" t="n">
        <v>2.0</v>
      </c>
      <c r="V95" s="16" t="n">
        <f>2470000</f>
        <v>2470000.0</v>
      </c>
      <c r="W95" s="16" t="n">
        <v>2470000.0</v>
      </c>
      <c r="X95" s="16" t="str">
        <f>"－"</f>
        <v>－</v>
      </c>
      <c r="Y95" s="13" t="s">
        <v>53</v>
      </c>
      <c r="Z95" s="17" t="str">
        <f>"－"</f>
        <v>－</v>
      </c>
      <c r="AA95" s="18" t="str">
        <f>"－"</f>
        <v>－</v>
      </c>
      <c r="AB95" s="11" t="s">
        <v>54</v>
      </c>
    </row>
    <row r="96">
      <c r="A96" s="11" t="s">
        <v>46</v>
      </c>
      <c r="B96" s="11" t="s">
        <v>47</v>
      </c>
      <c r="C96" s="11" t="s">
        <v>48</v>
      </c>
      <c r="D96" s="11" t="s">
        <v>49</v>
      </c>
      <c r="E96" s="11" t="s">
        <v>46</v>
      </c>
      <c r="F96" s="12" t="n">
        <v>30750.0</v>
      </c>
      <c r="G96" s="13"/>
      <c r="H96" s="14" t="s">
        <v>57</v>
      </c>
      <c r="I96" s="13"/>
      <c r="J96" s="14" t="s">
        <v>57</v>
      </c>
      <c r="K96" s="13"/>
      <c r="L96" s="14"/>
      <c r="M96" s="13"/>
      <c r="N96" s="14" t="s">
        <v>57</v>
      </c>
      <c r="O96" s="13"/>
      <c r="P96" s="14"/>
      <c r="Q96" s="13"/>
      <c r="R96" s="14" t="s">
        <v>57</v>
      </c>
      <c r="S96" s="15" t="str">
        <f>"－"</f>
        <v>－</v>
      </c>
      <c r="T96" s="16" t="str">
        <f>"－"</f>
        <v>－</v>
      </c>
      <c r="U96" s="16"/>
      <c r="V96" s="16" t="str">
        <f>"－"</f>
        <v>－</v>
      </c>
      <c r="W96" s="16"/>
      <c r="X96" s="16" t="n">
        <f>2</f>
        <v>2.0</v>
      </c>
      <c r="Y96" s="13" t="s">
        <v>53</v>
      </c>
      <c r="Z96" s="17" t="str">
        <f>"－"</f>
        <v>－</v>
      </c>
      <c r="AA96" s="18" t="str">
        <f>"－"</f>
        <v>－</v>
      </c>
      <c r="AB96" s="11" t="s">
        <v>54</v>
      </c>
    </row>
    <row r="97">
      <c r="A97" s="11" t="s">
        <v>46</v>
      </c>
      <c r="B97" s="11" t="s">
        <v>47</v>
      </c>
      <c r="C97" s="11" t="s">
        <v>48</v>
      </c>
      <c r="D97" s="11" t="s">
        <v>49</v>
      </c>
      <c r="E97" s="11" t="s">
        <v>46</v>
      </c>
      <c r="F97" s="12" t="n">
        <v>31000.0</v>
      </c>
      <c r="G97" s="13"/>
      <c r="H97" s="14" t="s">
        <v>57</v>
      </c>
      <c r="I97" s="13"/>
      <c r="J97" s="14" t="s">
        <v>57</v>
      </c>
      <c r="K97" s="13"/>
      <c r="L97" s="14"/>
      <c r="M97" s="13"/>
      <c r="N97" s="14" t="s">
        <v>57</v>
      </c>
      <c r="O97" s="13"/>
      <c r="P97" s="14"/>
      <c r="Q97" s="13"/>
      <c r="R97" s="14" t="s">
        <v>57</v>
      </c>
      <c r="S97" s="15" t="str">
        <f>"－"</f>
        <v>－</v>
      </c>
      <c r="T97" s="16" t="str">
        <f>"－"</f>
        <v>－</v>
      </c>
      <c r="U97" s="16"/>
      <c r="V97" s="16" t="str">
        <f>"－"</f>
        <v>－</v>
      </c>
      <c r="W97" s="16"/>
      <c r="X97" s="16" t="n">
        <f>5</f>
        <v>5.0</v>
      </c>
      <c r="Y97" s="13" t="s">
        <v>53</v>
      </c>
      <c r="Z97" s="17" t="str">
        <f>"－"</f>
        <v>－</v>
      </c>
      <c r="AA97" s="18" t="str">
        <f>"－"</f>
        <v>－</v>
      </c>
      <c r="AB97" s="11" t="s">
        <v>54</v>
      </c>
    </row>
    <row r="98">
      <c r="A98" s="11" t="s">
        <v>46</v>
      </c>
      <c r="B98" s="11" t="s">
        <v>47</v>
      </c>
      <c r="C98" s="11" t="s">
        <v>48</v>
      </c>
      <c r="D98" s="11" t="s">
        <v>49</v>
      </c>
      <c r="E98" s="11" t="s">
        <v>46</v>
      </c>
      <c r="F98" s="12" t="n">
        <v>31500.0</v>
      </c>
      <c r="G98" s="13" t="s">
        <v>52</v>
      </c>
      <c r="H98" s="14" t="s">
        <v>200</v>
      </c>
      <c r="I98" s="13" t="s">
        <v>52</v>
      </c>
      <c r="J98" s="14" t="s">
        <v>200</v>
      </c>
      <c r="K98" s="13"/>
      <c r="L98" s="14"/>
      <c r="M98" s="13" t="s">
        <v>52</v>
      </c>
      <c r="N98" s="14" t="s">
        <v>200</v>
      </c>
      <c r="O98" s="13"/>
      <c r="P98" s="14"/>
      <c r="Q98" s="13" t="s">
        <v>52</v>
      </c>
      <c r="R98" s="14" t="s">
        <v>200</v>
      </c>
      <c r="S98" s="15" t="n">
        <f>2040</f>
        <v>2040.0</v>
      </c>
      <c r="T98" s="16" t="n">
        <f>4</f>
        <v>4.0</v>
      </c>
      <c r="U98" s="16"/>
      <c r="V98" s="16" t="n">
        <f>8160000</f>
        <v>8160000.0</v>
      </c>
      <c r="W98" s="16"/>
      <c r="X98" s="16" t="n">
        <f>4</f>
        <v>4.0</v>
      </c>
      <c r="Y98" s="13" t="s">
        <v>53</v>
      </c>
      <c r="Z98" s="17" t="str">
        <f>"－"</f>
        <v>－</v>
      </c>
      <c r="AA98" s="18" t="n">
        <f>1</f>
        <v>1.0</v>
      </c>
      <c r="AB98" s="11" t="s">
        <v>54</v>
      </c>
    </row>
    <row r="99">
      <c r="A99" s="11" t="s">
        <v>46</v>
      </c>
      <c r="B99" s="11" t="s">
        <v>47</v>
      </c>
      <c r="C99" s="11" t="s">
        <v>48</v>
      </c>
      <c r="D99" s="11" t="s">
        <v>49</v>
      </c>
      <c r="E99" s="11" t="s">
        <v>201</v>
      </c>
      <c r="F99" s="12" t="n">
        <v>12500.0</v>
      </c>
      <c r="G99" s="13" t="s">
        <v>50</v>
      </c>
      <c r="H99" s="14" t="s">
        <v>64</v>
      </c>
      <c r="I99" s="13" t="s">
        <v>50</v>
      </c>
      <c r="J99" s="14" t="s">
        <v>64</v>
      </c>
      <c r="K99" s="13" t="s">
        <v>50</v>
      </c>
      <c r="L99" s="14" t="s">
        <v>64</v>
      </c>
      <c r="M99" s="13" t="s">
        <v>60</v>
      </c>
      <c r="N99" s="14" t="s">
        <v>51</v>
      </c>
      <c r="O99" s="13" t="s">
        <v>60</v>
      </c>
      <c r="P99" s="14" t="s">
        <v>51</v>
      </c>
      <c r="Q99" s="13" t="s">
        <v>202</v>
      </c>
      <c r="R99" s="14" t="s">
        <v>51</v>
      </c>
      <c r="S99" s="15" t="n">
        <f>1.36</f>
        <v>1.36</v>
      </c>
      <c r="T99" s="16" t="n">
        <f>1286</f>
        <v>1286.0</v>
      </c>
      <c r="U99" s="16" t="n">
        <v>314.0</v>
      </c>
      <c r="V99" s="16" t="n">
        <f>1834000</f>
        <v>1834000.0</v>
      </c>
      <c r="W99" s="16" t="n">
        <v>423000.0</v>
      </c>
      <c r="X99" s="16" t="str">
        <f>"－"</f>
        <v>－</v>
      </c>
      <c r="Y99" s="13"/>
      <c r="Z99" s="17" t="n">
        <f>4867</f>
        <v>4867.0</v>
      </c>
      <c r="AA99" s="18" t="n">
        <f>11</f>
        <v>11.0</v>
      </c>
      <c r="AB99" s="11" t="s">
        <v>203</v>
      </c>
    </row>
    <row r="100">
      <c r="A100" s="11" t="s">
        <v>46</v>
      </c>
      <c r="B100" s="11" t="s">
        <v>47</v>
      </c>
      <c r="C100" s="11" t="s">
        <v>48</v>
      </c>
      <c r="D100" s="11" t="s">
        <v>49</v>
      </c>
      <c r="E100" s="11" t="s">
        <v>201</v>
      </c>
      <c r="F100" s="12" t="n">
        <v>12750.0</v>
      </c>
      <c r="G100" s="13" t="s">
        <v>50</v>
      </c>
      <c r="H100" s="14" t="s">
        <v>62</v>
      </c>
      <c r="I100" s="13" t="s">
        <v>50</v>
      </c>
      <c r="J100" s="14" t="s">
        <v>62</v>
      </c>
      <c r="K100" s="13" t="s">
        <v>50</v>
      </c>
      <c r="L100" s="14" t="s">
        <v>64</v>
      </c>
      <c r="M100" s="13" t="s">
        <v>58</v>
      </c>
      <c r="N100" s="14" t="s">
        <v>51</v>
      </c>
      <c r="O100" s="13" t="s">
        <v>60</v>
      </c>
      <c r="P100" s="14" t="s">
        <v>51</v>
      </c>
      <c r="Q100" s="13" t="s">
        <v>204</v>
      </c>
      <c r="R100" s="14" t="s">
        <v>51</v>
      </c>
      <c r="S100" s="15" t="n">
        <f>1.43</f>
        <v>1.43</v>
      </c>
      <c r="T100" s="16" t="n">
        <f>171</f>
        <v>171.0</v>
      </c>
      <c r="U100" s="16" t="n">
        <v>55.0</v>
      </c>
      <c r="V100" s="16" t="n">
        <f>308000</f>
        <v>308000.0</v>
      </c>
      <c r="W100" s="16" t="n">
        <v>175000.0</v>
      </c>
      <c r="X100" s="16" t="str">
        <f>"－"</f>
        <v>－</v>
      </c>
      <c r="Y100" s="13"/>
      <c r="Z100" s="17" t="n">
        <f>218</f>
        <v>218.0</v>
      </c>
      <c r="AA100" s="18" t="n">
        <f>7</f>
        <v>7.0</v>
      </c>
      <c r="AB100" s="11" t="s">
        <v>203</v>
      </c>
    </row>
    <row r="101">
      <c r="A101" s="11" t="s">
        <v>46</v>
      </c>
      <c r="B101" s="11" t="s">
        <v>47</v>
      </c>
      <c r="C101" s="11" t="s">
        <v>48</v>
      </c>
      <c r="D101" s="11" t="s">
        <v>49</v>
      </c>
      <c r="E101" s="11" t="s">
        <v>201</v>
      </c>
      <c r="F101" s="12" t="n">
        <v>13000.0</v>
      </c>
      <c r="G101" s="13" t="s">
        <v>50</v>
      </c>
      <c r="H101" s="14" t="s">
        <v>62</v>
      </c>
      <c r="I101" s="13" t="s">
        <v>50</v>
      </c>
      <c r="J101" s="14" t="s">
        <v>64</v>
      </c>
      <c r="K101" s="13" t="s">
        <v>50</v>
      </c>
      <c r="L101" s="14" t="s">
        <v>62</v>
      </c>
      <c r="M101" s="13" t="s">
        <v>58</v>
      </c>
      <c r="N101" s="14" t="s">
        <v>51</v>
      </c>
      <c r="O101" s="13" t="s">
        <v>58</v>
      </c>
      <c r="P101" s="14" t="s">
        <v>51</v>
      </c>
      <c r="Q101" s="13" t="s">
        <v>205</v>
      </c>
      <c r="R101" s="14" t="s">
        <v>51</v>
      </c>
      <c r="S101" s="15" t="n">
        <f>1.63</f>
        <v>1.63</v>
      </c>
      <c r="T101" s="16" t="n">
        <f>443</f>
        <v>443.0</v>
      </c>
      <c r="U101" s="16" t="n">
        <v>107.0</v>
      </c>
      <c r="V101" s="16" t="n">
        <f>645000</f>
        <v>645000.0</v>
      </c>
      <c r="W101" s="16" t="n">
        <v>125000.0</v>
      </c>
      <c r="X101" s="16" t="str">
        <f>"－"</f>
        <v>－</v>
      </c>
      <c r="Y101" s="13"/>
      <c r="Z101" s="17" t="n">
        <f>1429</f>
        <v>1429.0</v>
      </c>
      <c r="AA101" s="18" t="n">
        <f>8</f>
        <v>8.0</v>
      </c>
      <c r="AB101" s="11" t="s">
        <v>203</v>
      </c>
    </row>
    <row r="102">
      <c r="A102" s="11" t="s">
        <v>46</v>
      </c>
      <c r="B102" s="11" t="s">
        <v>47</v>
      </c>
      <c r="C102" s="11" t="s">
        <v>48</v>
      </c>
      <c r="D102" s="11" t="s">
        <v>49</v>
      </c>
      <c r="E102" s="11" t="s">
        <v>201</v>
      </c>
      <c r="F102" s="12" t="n">
        <v>13250.0</v>
      </c>
      <c r="G102" s="13" t="s">
        <v>50</v>
      </c>
      <c r="H102" s="14" t="s">
        <v>64</v>
      </c>
      <c r="I102" s="13" t="s">
        <v>50</v>
      </c>
      <c r="J102" s="14" t="s">
        <v>64</v>
      </c>
      <c r="K102" s="13" t="s">
        <v>205</v>
      </c>
      <c r="L102" s="14" t="s">
        <v>59</v>
      </c>
      <c r="M102" s="13" t="s">
        <v>58</v>
      </c>
      <c r="N102" s="14" t="s">
        <v>51</v>
      </c>
      <c r="O102" s="13" t="s">
        <v>58</v>
      </c>
      <c r="P102" s="14" t="s">
        <v>51</v>
      </c>
      <c r="Q102" s="13" t="s">
        <v>206</v>
      </c>
      <c r="R102" s="14" t="s">
        <v>51</v>
      </c>
      <c r="S102" s="15" t="n">
        <f>1.67</f>
        <v>1.67</v>
      </c>
      <c r="T102" s="16" t="n">
        <f>92</f>
        <v>92.0</v>
      </c>
      <c r="U102" s="16" t="n">
        <v>2.0</v>
      </c>
      <c r="V102" s="16" t="n">
        <f>133000</f>
        <v>133000.0</v>
      </c>
      <c r="W102" s="16" t="n">
        <v>3000.0</v>
      </c>
      <c r="X102" s="16" t="str">
        <f>"－"</f>
        <v>－</v>
      </c>
      <c r="Y102" s="13"/>
      <c r="Z102" s="17" t="n">
        <f>78</f>
        <v>78.0</v>
      </c>
      <c r="AA102" s="18" t="n">
        <f>6</f>
        <v>6.0</v>
      </c>
      <c r="AB102" s="11" t="s">
        <v>203</v>
      </c>
    </row>
    <row r="103">
      <c r="A103" s="11" t="s">
        <v>46</v>
      </c>
      <c r="B103" s="11" t="s">
        <v>47</v>
      </c>
      <c r="C103" s="11" t="s">
        <v>48</v>
      </c>
      <c r="D103" s="11" t="s">
        <v>49</v>
      </c>
      <c r="E103" s="11" t="s">
        <v>201</v>
      </c>
      <c r="F103" s="12" t="n">
        <v>13500.0</v>
      </c>
      <c r="G103" s="13" t="s">
        <v>50</v>
      </c>
      <c r="H103" s="14" t="s">
        <v>64</v>
      </c>
      <c r="I103" s="13" t="s">
        <v>50</v>
      </c>
      <c r="J103" s="14" t="s">
        <v>64</v>
      </c>
      <c r="K103" s="13" t="s">
        <v>50</v>
      </c>
      <c r="L103" s="14" t="s">
        <v>64</v>
      </c>
      <c r="M103" s="13" t="s">
        <v>206</v>
      </c>
      <c r="N103" s="14" t="s">
        <v>51</v>
      </c>
      <c r="O103" s="13" t="s">
        <v>205</v>
      </c>
      <c r="P103" s="14" t="s">
        <v>51</v>
      </c>
      <c r="Q103" s="13" t="s">
        <v>205</v>
      </c>
      <c r="R103" s="14" t="s">
        <v>51</v>
      </c>
      <c r="S103" s="15" t="n">
        <f>2</f>
        <v>2.0</v>
      </c>
      <c r="T103" s="16" t="n">
        <f>110</f>
        <v>110.0</v>
      </c>
      <c r="U103" s="16" t="n">
        <v>15.0</v>
      </c>
      <c r="V103" s="16" t="n">
        <f>143000</f>
        <v>143000.0</v>
      </c>
      <c r="W103" s="16" t="n">
        <v>40000.0</v>
      </c>
      <c r="X103" s="16" t="str">
        <f>"－"</f>
        <v>－</v>
      </c>
      <c r="Y103" s="13"/>
      <c r="Z103" s="17" t="n">
        <f>342</f>
        <v>342.0</v>
      </c>
      <c r="AA103" s="18" t="n">
        <f>5</f>
        <v>5.0</v>
      </c>
      <c r="AB103" s="11" t="s">
        <v>203</v>
      </c>
    </row>
    <row r="104">
      <c r="A104" s="11" t="s">
        <v>46</v>
      </c>
      <c r="B104" s="11" t="s">
        <v>47</v>
      </c>
      <c r="C104" s="11" t="s">
        <v>48</v>
      </c>
      <c r="D104" s="11" t="s">
        <v>49</v>
      </c>
      <c r="E104" s="11" t="s">
        <v>201</v>
      </c>
      <c r="F104" s="12" t="n">
        <v>13750.0</v>
      </c>
      <c r="G104" s="13" t="s">
        <v>50</v>
      </c>
      <c r="H104" s="14" t="s">
        <v>64</v>
      </c>
      <c r="I104" s="13" t="s">
        <v>50</v>
      </c>
      <c r="J104" s="14" t="s">
        <v>64</v>
      </c>
      <c r="K104" s="13" t="s">
        <v>206</v>
      </c>
      <c r="L104" s="14" t="s">
        <v>51</v>
      </c>
      <c r="M104" s="13" t="s">
        <v>58</v>
      </c>
      <c r="N104" s="14" t="s">
        <v>51</v>
      </c>
      <c r="O104" s="13" t="s">
        <v>206</v>
      </c>
      <c r="P104" s="14" t="s">
        <v>51</v>
      </c>
      <c r="Q104" s="13" t="s">
        <v>206</v>
      </c>
      <c r="R104" s="14" t="s">
        <v>51</v>
      </c>
      <c r="S104" s="15" t="n">
        <f>2</f>
        <v>2.0</v>
      </c>
      <c r="T104" s="16" t="n">
        <f>21</f>
        <v>21.0</v>
      </c>
      <c r="U104" s="16" t="n">
        <v>2.0</v>
      </c>
      <c r="V104" s="16" t="n">
        <f>36000</f>
        <v>36000.0</v>
      </c>
      <c r="W104" s="16" t="n">
        <v>2000.0</v>
      </c>
      <c r="X104" s="16" t="str">
        <f>"－"</f>
        <v>－</v>
      </c>
      <c r="Y104" s="13"/>
      <c r="Z104" s="17" t="n">
        <f>24</f>
        <v>24.0</v>
      </c>
      <c r="AA104" s="18" t="n">
        <f>5</f>
        <v>5.0</v>
      </c>
      <c r="AB104" s="11" t="s">
        <v>203</v>
      </c>
    </row>
    <row r="105">
      <c r="A105" s="11" t="s">
        <v>46</v>
      </c>
      <c r="B105" s="11" t="s">
        <v>47</v>
      </c>
      <c r="C105" s="11" t="s">
        <v>48</v>
      </c>
      <c r="D105" s="11" t="s">
        <v>49</v>
      </c>
      <c r="E105" s="11" t="s">
        <v>201</v>
      </c>
      <c r="F105" s="12" t="n">
        <v>14000.0</v>
      </c>
      <c r="G105" s="13" t="s">
        <v>50</v>
      </c>
      <c r="H105" s="14" t="s">
        <v>65</v>
      </c>
      <c r="I105" s="13" t="s">
        <v>50</v>
      </c>
      <c r="J105" s="14" t="s">
        <v>65</v>
      </c>
      <c r="K105" s="13" t="s">
        <v>60</v>
      </c>
      <c r="L105" s="14" t="s">
        <v>59</v>
      </c>
      <c r="M105" s="13" t="s">
        <v>61</v>
      </c>
      <c r="N105" s="14" t="s">
        <v>51</v>
      </c>
      <c r="O105" s="13" t="s">
        <v>56</v>
      </c>
      <c r="P105" s="14" t="s">
        <v>51</v>
      </c>
      <c r="Q105" s="13" t="s">
        <v>207</v>
      </c>
      <c r="R105" s="14" t="s">
        <v>51</v>
      </c>
      <c r="S105" s="15" t="n">
        <f>1.78</f>
        <v>1.78</v>
      </c>
      <c r="T105" s="16" t="n">
        <f>302</f>
        <v>302.0</v>
      </c>
      <c r="U105" s="16" t="n">
        <v>14.0</v>
      </c>
      <c r="V105" s="16" t="n">
        <f>513000</f>
        <v>513000.0</v>
      </c>
      <c r="W105" s="16" t="n">
        <v>24000.0</v>
      </c>
      <c r="X105" s="16" t="str">
        <f>"－"</f>
        <v>－</v>
      </c>
      <c r="Y105" s="13"/>
      <c r="Z105" s="17" t="n">
        <f>1579</f>
        <v>1579.0</v>
      </c>
      <c r="AA105" s="18" t="n">
        <f>9</f>
        <v>9.0</v>
      </c>
      <c r="AB105" s="11" t="s">
        <v>203</v>
      </c>
    </row>
    <row r="106">
      <c r="A106" s="11" t="s">
        <v>46</v>
      </c>
      <c r="B106" s="11" t="s">
        <v>47</v>
      </c>
      <c r="C106" s="11" t="s">
        <v>48</v>
      </c>
      <c r="D106" s="11" t="s">
        <v>49</v>
      </c>
      <c r="E106" s="11" t="s">
        <v>201</v>
      </c>
      <c r="F106" s="12" t="n">
        <v>14250.0</v>
      </c>
      <c r="G106" s="13" t="s">
        <v>50</v>
      </c>
      <c r="H106" s="14" t="s">
        <v>64</v>
      </c>
      <c r="I106" s="13" t="s">
        <v>50</v>
      </c>
      <c r="J106" s="14" t="s">
        <v>64</v>
      </c>
      <c r="K106" s="13" t="s">
        <v>202</v>
      </c>
      <c r="L106" s="14" t="s">
        <v>59</v>
      </c>
      <c r="M106" s="13" t="s">
        <v>205</v>
      </c>
      <c r="N106" s="14" t="s">
        <v>51</v>
      </c>
      <c r="O106" s="13" t="s">
        <v>205</v>
      </c>
      <c r="P106" s="14" t="s">
        <v>51</v>
      </c>
      <c r="Q106" s="13" t="s">
        <v>207</v>
      </c>
      <c r="R106" s="14" t="s">
        <v>51</v>
      </c>
      <c r="S106" s="15" t="n">
        <f>1.8</f>
        <v>1.8</v>
      </c>
      <c r="T106" s="16" t="n">
        <f>133</f>
        <v>133.0</v>
      </c>
      <c r="U106" s="16" t="n">
        <v>58.0</v>
      </c>
      <c r="V106" s="16" t="n">
        <f>142000</f>
        <v>142000.0</v>
      </c>
      <c r="W106" s="16" t="n">
        <v>59000.0</v>
      </c>
      <c r="X106" s="16" t="str">
        <f>"－"</f>
        <v>－</v>
      </c>
      <c r="Y106" s="13"/>
      <c r="Z106" s="17" t="n">
        <f>111</f>
        <v>111.0</v>
      </c>
      <c r="AA106" s="18" t="n">
        <f>5</f>
        <v>5.0</v>
      </c>
      <c r="AB106" s="11" t="s">
        <v>203</v>
      </c>
    </row>
    <row r="107">
      <c r="A107" s="11" t="s">
        <v>46</v>
      </c>
      <c r="B107" s="11" t="s">
        <v>47</v>
      </c>
      <c r="C107" s="11" t="s">
        <v>48</v>
      </c>
      <c r="D107" s="11" t="s">
        <v>49</v>
      </c>
      <c r="E107" s="11" t="s">
        <v>201</v>
      </c>
      <c r="F107" s="12" t="n">
        <v>14500.0</v>
      </c>
      <c r="G107" s="13" t="s">
        <v>50</v>
      </c>
      <c r="H107" s="14" t="s">
        <v>64</v>
      </c>
      <c r="I107" s="13" t="s">
        <v>50</v>
      </c>
      <c r="J107" s="14" t="s">
        <v>64</v>
      </c>
      <c r="K107" s="13" t="s">
        <v>63</v>
      </c>
      <c r="L107" s="14" t="s">
        <v>62</v>
      </c>
      <c r="M107" s="13" t="s">
        <v>205</v>
      </c>
      <c r="N107" s="14" t="s">
        <v>51</v>
      </c>
      <c r="O107" s="13" t="s">
        <v>61</v>
      </c>
      <c r="P107" s="14" t="s">
        <v>51</v>
      </c>
      <c r="Q107" s="13" t="s">
        <v>208</v>
      </c>
      <c r="R107" s="14" t="s">
        <v>51</v>
      </c>
      <c r="S107" s="15" t="n">
        <f>1.75</f>
        <v>1.75</v>
      </c>
      <c r="T107" s="16" t="n">
        <f>266</f>
        <v>266.0</v>
      </c>
      <c r="U107" s="16" t="n">
        <v>63.0</v>
      </c>
      <c r="V107" s="16" t="n">
        <f>295000</f>
        <v>295000.0</v>
      </c>
      <c r="W107" s="16" t="n">
        <v>65000.0</v>
      </c>
      <c r="X107" s="16" t="str">
        <f>"－"</f>
        <v>－</v>
      </c>
      <c r="Y107" s="13"/>
      <c r="Z107" s="17" t="n">
        <f>250</f>
        <v>250.0</v>
      </c>
      <c r="AA107" s="18" t="n">
        <f>8</f>
        <v>8.0</v>
      </c>
      <c r="AB107" s="11" t="s">
        <v>203</v>
      </c>
    </row>
    <row r="108">
      <c r="A108" s="11" t="s">
        <v>46</v>
      </c>
      <c r="B108" s="11" t="s">
        <v>47</v>
      </c>
      <c r="C108" s="11" t="s">
        <v>48</v>
      </c>
      <c r="D108" s="11" t="s">
        <v>49</v>
      </c>
      <c r="E108" s="11" t="s">
        <v>201</v>
      </c>
      <c r="F108" s="12" t="n">
        <v>14750.0</v>
      </c>
      <c r="G108" s="13" t="s">
        <v>50</v>
      </c>
      <c r="H108" s="14" t="s">
        <v>65</v>
      </c>
      <c r="I108" s="13" t="s">
        <v>50</v>
      </c>
      <c r="J108" s="14" t="s">
        <v>65</v>
      </c>
      <c r="K108" s="13" t="s">
        <v>50</v>
      </c>
      <c r="L108" s="14" t="s">
        <v>64</v>
      </c>
      <c r="M108" s="13" t="s">
        <v>52</v>
      </c>
      <c r="N108" s="14" t="s">
        <v>51</v>
      </c>
      <c r="O108" s="13" t="s">
        <v>205</v>
      </c>
      <c r="P108" s="14" t="s">
        <v>51</v>
      </c>
      <c r="Q108" s="13" t="s">
        <v>208</v>
      </c>
      <c r="R108" s="14" t="s">
        <v>51</v>
      </c>
      <c r="S108" s="15" t="n">
        <f>1.89</f>
        <v>1.89</v>
      </c>
      <c r="T108" s="16" t="n">
        <f>191</f>
        <v>191.0</v>
      </c>
      <c r="U108" s="16" t="n">
        <v>36.0</v>
      </c>
      <c r="V108" s="16" t="n">
        <f>248000</f>
        <v>248000.0</v>
      </c>
      <c r="W108" s="16" t="n">
        <v>52000.0</v>
      </c>
      <c r="X108" s="16" t="str">
        <f>"－"</f>
        <v>－</v>
      </c>
      <c r="Y108" s="13"/>
      <c r="Z108" s="17" t="n">
        <f>133</f>
        <v>133.0</v>
      </c>
      <c r="AA108" s="18" t="n">
        <f>9</f>
        <v>9.0</v>
      </c>
      <c r="AB108" s="11" t="s">
        <v>203</v>
      </c>
    </row>
    <row r="109">
      <c r="A109" s="11" t="s">
        <v>46</v>
      </c>
      <c r="B109" s="11" t="s">
        <v>47</v>
      </c>
      <c r="C109" s="11" t="s">
        <v>48</v>
      </c>
      <c r="D109" s="11" t="s">
        <v>49</v>
      </c>
      <c r="E109" s="11" t="s">
        <v>201</v>
      </c>
      <c r="F109" s="12" t="n">
        <v>15000.0</v>
      </c>
      <c r="G109" s="13" t="s">
        <v>50</v>
      </c>
      <c r="H109" s="14" t="s">
        <v>65</v>
      </c>
      <c r="I109" s="13" t="s">
        <v>50</v>
      </c>
      <c r="J109" s="14" t="s">
        <v>66</v>
      </c>
      <c r="K109" s="13" t="s">
        <v>50</v>
      </c>
      <c r="L109" s="14" t="s">
        <v>66</v>
      </c>
      <c r="M109" s="13" t="s">
        <v>61</v>
      </c>
      <c r="N109" s="14" t="s">
        <v>51</v>
      </c>
      <c r="O109" s="13" t="s">
        <v>205</v>
      </c>
      <c r="P109" s="14" t="s">
        <v>51</v>
      </c>
      <c r="Q109" s="13" t="s">
        <v>208</v>
      </c>
      <c r="R109" s="14" t="s">
        <v>51</v>
      </c>
      <c r="S109" s="15" t="n">
        <f>1.93</f>
        <v>1.93</v>
      </c>
      <c r="T109" s="16" t="n">
        <f>1044</f>
        <v>1044.0</v>
      </c>
      <c r="U109" s="16" t="n">
        <v>196.0</v>
      </c>
      <c r="V109" s="16" t="n">
        <f>1711000</f>
        <v>1711000.0</v>
      </c>
      <c r="W109" s="16" t="n">
        <v>415000.0</v>
      </c>
      <c r="X109" s="16" t="str">
        <f>"－"</f>
        <v>－</v>
      </c>
      <c r="Y109" s="13"/>
      <c r="Z109" s="17" t="n">
        <f>1237</f>
        <v>1237.0</v>
      </c>
      <c r="AA109" s="18" t="n">
        <f>14</f>
        <v>14.0</v>
      </c>
      <c r="AB109" s="11" t="s">
        <v>203</v>
      </c>
    </row>
    <row r="110">
      <c r="A110" s="11" t="s">
        <v>46</v>
      </c>
      <c r="B110" s="11" t="s">
        <v>47</v>
      </c>
      <c r="C110" s="11" t="s">
        <v>48</v>
      </c>
      <c r="D110" s="11" t="s">
        <v>49</v>
      </c>
      <c r="E110" s="11" t="s">
        <v>201</v>
      </c>
      <c r="F110" s="12" t="n">
        <v>15250.0</v>
      </c>
      <c r="G110" s="13" t="s">
        <v>63</v>
      </c>
      <c r="H110" s="14" t="s">
        <v>62</v>
      </c>
      <c r="I110" s="13" t="s">
        <v>63</v>
      </c>
      <c r="J110" s="14" t="s">
        <v>62</v>
      </c>
      <c r="K110" s="13" t="s">
        <v>56</v>
      </c>
      <c r="L110" s="14" t="s">
        <v>59</v>
      </c>
      <c r="M110" s="13" t="s">
        <v>205</v>
      </c>
      <c r="N110" s="14" t="s">
        <v>51</v>
      </c>
      <c r="O110" s="13" t="s">
        <v>56</v>
      </c>
      <c r="P110" s="14" t="s">
        <v>59</v>
      </c>
      <c r="Q110" s="13" t="s">
        <v>207</v>
      </c>
      <c r="R110" s="14" t="s">
        <v>51</v>
      </c>
      <c r="S110" s="15" t="n">
        <f>1.71</f>
        <v>1.71</v>
      </c>
      <c r="T110" s="16" t="n">
        <f>84</f>
        <v>84.0</v>
      </c>
      <c r="U110" s="16" t="n">
        <v>1.0</v>
      </c>
      <c r="V110" s="16" t="n">
        <f>133000</f>
        <v>133000.0</v>
      </c>
      <c r="W110" s="16" t="n">
        <v>2000.0</v>
      </c>
      <c r="X110" s="16" t="str">
        <f>"－"</f>
        <v>－</v>
      </c>
      <c r="Y110" s="13"/>
      <c r="Z110" s="17" t="n">
        <f>70</f>
        <v>70.0</v>
      </c>
      <c r="AA110" s="18" t="n">
        <f>7</f>
        <v>7.0</v>
      </c>
      <c r="AB110" s="11" t="s">
        <v>203</v>
      </c>
    </row>
    <row r="111">
      <c r="A111" s="11" t="s">
        <v>46</v>
      </c>
      <c r="B111" s="11" t="s">
        <v>47</v>
      </c>
      <c r="C111" s="11" t="s">
        <v>48</v>
      </c>
      <c r="D111" s="11" t="s">
        <v>49</v>
      </c>
      <c r="E111" s="11" t="s">
        <v>201</v>
      </c>
      <c r="F111" s="12" t="n">
        <v>15500.0</v>
      </c>
      <c r="G111" s="13" t="s">
        <v>50</v>
      </c>
      <c r="H111" s="14" t="s">
        <v>67</v>
      </c>
      <c r="I111" s="13" t="s">
        <v>50</v>
      </c>
      <c r="J111" s="14" t="s">
        <v>69</v>
      </c>
      <c r="K111" s="13" t="s">
        <v>206</v>
      </c>
      <c r="L111" s="14" t="s">
        <v>59</v>
      </c>
      <c r="M111" s="13" t="s">
        <v>205</v>
      </c>
      <c r="N111" s="14" t="s">
        <v>51</v>
      </c>
      <c r="O111" s="13" t="s">
        <v>204</v>
      </c>
      <c r="P111" s="14" t="s">
        <v>209</v>
      </c>
      <c r="Q111" s="13" t="s">
        <v>210</v>
      </c>
      <c r="R111" s="14" t="s">
        <v>51</v>
      </c>
      <c r="S111" s="15" t="n">
        <f>2.23</f>
        <v>2.23</v>
      </c>
      <c r="T111" s="16" t="n">
        <f>287</f>
        <v>287.0</v>
      </c>
      <c r="U111" s="16" t="n">
        <v>67.0</v>
      </c>
      <c r="V111" s="16" t="n">
        <f>453790</f>
        <v>453790.0</v>
      </c>
      <c r="W111" s="16" t="n">
        <v>35790.0</v>
      </c>
      <c r="X111" s="16" t="str">
        <f>"－"</f>
        <v>－</v>
      </c>
      <c r="Y111" s="13"/>
      <c r="Z111" s="17" t="n">
        <f>294</f>
        <v>294.0</v>
      </c>
      <c r="AA111" s="18" t="n">
        <f>13</f>
        <v>13.0</v>
      </c>
      <c r="AB111" s="11" t="s">
        <v>203</v>
      </c>
    </row>
    <row r="112">
      <c r="A112" s="11" t="s">
        <v>46</v>
      </c>
      <c r="B112" s="11" t="s">
        <v>47</v>
      </c>
      <c r="C112" s="11" t="s">
        <v>48</v>
      </c>
      <c r="D112" s="11" t="s">
        <v>49</v>
      </c>
      <c r="E112" s="11" t="s">
        <v>201</v>
      </c>
      <c r="F112" s="12" t="n">
        <v>15750.0</v>
      </c>
      <c r="G112" s="13" t="s">
        <v>55</v>
      </c>
      <c r="H112" s="14" t="s">
        <v>65</v>
      </c>
      <c r="I112" s="13" t="s">
        <v>55</v>
      </c>
      <c r="J112" s="14" t="s">
        <v>65</v>
      </c>
      <c r="K112" s="13" t="s">
        <v>63</v>
      </c>
      <c r="L112" s="14" t="s">
        <v>64</v>
      </c>
      <c r="M112" s="13" t="s">
        <v>61</v>
      </c>
      <c r="N112" s="14" t="s">
        <v>51</v>
      </c>
      <c r="O112" s="13" t="s">
        <v>211</v>
      </c>
      <c r="P112" s="14" t="s">
        <v>51</v>
      </c>
      <c r="Q112" s="13" t="s">
        <v>204</v>
      </c>
      <c r="R112" s="14" t="s">
        <v>51</v>
      </c>
      <c r="S112" s="15" t="n">
        <f>2</f>
        <v>2.0</v>
      </c>
      <c r="T112" s="16" t="n">
        <f>382</f>
        <v>382.0</v>
      </c>
      <c r="U112" s="16" t="n">
        <v>27.0</v>
      </c>
      <c r="V112" s="16" t="n">
        <f>582000</f>
        <v>582000.0</v>
      </c>
      <c r="W112" s="16" t="n">
        <v>49000.0</v>
      </c>
      <c r="X112" s="16" t="str">
        <f>"－"</f>
        <v>－</v>
      </c>
      <c r="Y112" s="13"/>
      <c r="Z112" s="17" t="n">
        <f>192</f>
        <v>192.0</v>
      </c>
      <c r="AA112" s="18" t="n">
        <f>12</f>
        <v>12.0</v>
      </c>
      <c r="AB112" s="11" t="s">
        <v>203</v>
      </c>
    </row>
    <row r="113">
      <c r="A113" s="11" t="s">
        <v>46</v>
      </c>
      <c r="B113" s="11" t="s">
        <v>47</v>
      </c>
      <c r="C113" s="11" t="s">
        <v>48</v>
      </c>
      <c r="D113" s="11" t="s">
        <v>49</v>
      </c>
      <c r="E113" s="11" t="s">
        <v>201</v>
      </c>
      <c r="F113" s="12" t="n">
        <v>16000.0</v>
      </c>
      <c r="G113" s="13" t="s">
        <v>50</v>
      </c>
      <c r="H113" s="14" t="s">
        <v>70</v>
      </c>
      <c r="I113" s="13" t="s">
        <v>50</v>
      </c>
      <c r="J113" s="14" t="s">
        <v>70</v>
      </c>
      <c r="K113" s="13" t="s">
        <v>50</v>
      </c>
      <c r="L113" s="14" t="s">
        <v>69</v>
      </c>
      <c r="M113" s="13" t="s">
        <v>202</v>
      </c>
      <c r="N113" s="14" t="s">
        <v>51</v>
      </c>
      <c r="O113" s="13" t="s">
        <v>56</v>
      </c>
      <c r="P113" s="14" t="s">
        <v>51</v>
      </c>
      <c r="Q113" s="13" t="s">
        <v>204</v>
      </c>
      <c r="R113" s="14" t="s">
        <v>51</v>
      </c>
      <c r="S113" s="15" t="n">
        <f>2.31</f>
        <v>2.31</v>
      </c>
      <c r="T113" s="16" t="n">
        <f>602</f>
        <v>602.0</v>
      </c>
      <c r="U113" s="16" t="n">
        <v>114.0</v>
      </c>
      <c r="V113" s="16" t="n">
        <f>1598000</f>
        <v>1598000.0</v>
      </c>
      <c r="W113" s="16" t="n">
        <v>272000.0</v>
      </c>
      <c r="X113" s="16" t="str">
        <f>"－"</f>
        <v>－</v>
      </c>
      <c r="Y113" s="13"/>
      <c r="Z113" s="17" t="n">
        <f>3283</f>
        <v>3283.0</v>
      </c>
      <c r="AA113" s="18" t="n">
        <f>16</f>
        <v>16.0</v>
      </c>
      <c r="AB113" s="11" t="s">
        <v>203</v>
      </c>
    </row>
    <row r="114">
      <c r="A114" s="11" t="s">
        <v>46</v>
      </c>
      <c r="B114" s="11" t="s">
        <v>47</v>
      </c>
      <c r="C114" s="11" t="s">
        <v>48</v>
      </c>
      <c r="D114" s="11" t="s">
        <v>49</v>
      </c>
      <c r="E114" s="11" t="s">
        <v>201</v>
      </c>
      <c r="F114" s="12" t="n">
        <v>16250.0</v>
      </c>
      <c r="G114" s="13" t="s">
        <v>50</v>
      </c>
      <c r="H114" s="14" t="s">
        <v>71</v>
      </c>
      <c r="I114" s="13" t="s">
        <v>50</v>
      </c>
      <c r="J114" s="14" t="s">
        <v>71</v>
      </c>
      <c r="K114" s="13" t="s">
        <v>55</v>
      </c>
      <c r="L114" s="14" t="s">
        <v>67</v>
      </c>
      <c r="M114" s="13" t="s">
        <v>202</v>
      </c>
      <c r="N114" s="14" t="s">
        <v>51</v>
      </c>
      <c r="O114" s="13" t="s">
        <v>202</v>
      </c>
      <c r="P114" s="14" t="s">
        <v>51</v>
      </c>
      <c r="Q114" s="13" t="s">
        <v>204</v>
      </c>
      <c r="R114" s="14" t="s">
        <v>51</v>
      </c>
      <c r="S114" s="15" t="n">
        <f>2.33</f>
        <v>2.33</v>
      </c>
      <c r="T114" s="16" t="n">
        <f>253</f>
        <v>253.0</v>
      </c>
      <c r="U114" s="16" t="n">
        <v>10.0</v>
      </c>
      <c r="V114" s="16" t="n">
        <f>593000</f>
        <v>593000.0</v>
      </c>
      <c r="W114" s="16" t="n">
        <v>23000.0</v>
      </c>
      <c r="X114" s="16" t="str">
        <f>"－"</f>
        <v>－</v>
      </c>
      <c r="Y114" s="13"/>
      <c r="Z114" s="17" t="n">
        <f>142</f>
        <v>142.0</v>
      </c>
      <c r="AA114" s="18" t="n">
        <f>12</f>
        <v>12.0</v>
      </c>
      <c r="AB114" s="11" t="s">
        <v>203</v>
      </c>
    </row>
    <row r="115">
      <c r="A115" s="11" t="s">
        <v>46</v>
      </c>
      <c r="B115" s="11" t="s">
        <v>47</v>
      </c>
      <c r="C115" s="11" t="s">
        <v>48</v>
      </c>
      <c r="D115" s="11" t="s">
        <v>49</v>
      </c>
      <c r="E115" s="11" t="s">
        <v>201</v>
      </c>
      <c r="F115" s="12" t="n">
        <v>16500.0</v>
      </c>
      <c r="G115" s="13" t="s">
        <v>50</v>
      </c>
      <c r="H115" s="14" t="s">
        <v>72</v>
      </c>
      <c r="I115" s="13" t="s">
        <v>50</v>
      </c>
      <c r="J115" s="14" t="s">
        <v>72</v>
      </c>
      <c r="K115" s="13" t="s">
        <v>63</v>
      </c>
      <c r="L115" s="14" t="s">
        <v>62</v>
      </c>
      <c r="M115" s="13" t="s">
        <v>208</v>
      </c>
      <c r="N115" s="14" t="s">
        <v>51</v>
      </c>
      <c r="O115" s="13" t="s">
        <v>211</v>
      </c>
      <c r="P115" s="14" t="s">
        <v>51</v>
      </c>
      <c r="Q115" s="13" t="s">
        <v>204</v>
      </c>
      <c r="R115" s="14" t="s">
        <v>51</v>
      </c>
      <c r="S115" s="15" t="n">
        <f>2.67</f>
        <v>2.67</v>
      </c>
      <c r="T115" s="16" t="n">
        <f>510</f>
        <v>510.0</v>
      </c>
      <c r="U115" s="16" t="n">
        <v>122.0</v>
      </c>
      <c r="V115" s="16" t="n">
        <f>1174000</f>
        <v>1174000.0</v>
      </c>
      <c r="W115" s="16" t="n">
        <v>206000.0</v>
      </c>
      <c r="X115" s="16" t="str">
        <f>"－"</f>
        <v>－</v>
      </c>
      <c r="Y115" s="13"/>
      <c r="Z115" s="17" t="n">
        <f>1234</f>
        <v>1234.0</v>
      </c>
      <c r="AA115" s="18" t="n">
        <f>15</f>
        <v>15.0</v>
      </c>
      <c r="AB115" s="11" t="s">
        <v>203</v>
      </c>
    </row>
    <row r="116">
      <c r="A116" s="11" t="s">
        <v>46</v>
      </c>
      <c r="B116" s="11" t="s">
        <v>47</v>
      </c>
      <c r="C116" s="11" t="s">
        <v>48</v>
      </c>
      <c r="D116" s="11" t="s">
        <v>49</v>
      </c>
      <c r="E116" s="11" t="s">
        <v>201</v>
      </c>
      <c r="F116" s="12" t="n">
        <v>16750.0</v>
      </c>
      <c r="G116" s="13" t="s">
        <v>50</v>
      </c>
      <c r="H116" s="14" t="s">
        <v>70</v>
      </c>
      <c r="I116" s="13" t="s">
        <v>50</v>
      </c>
      <c r="J116" s="14" t="s">
        <v>70</v>
      </c>
      <c r="K116" s="13" t="s">
        <v>63</v>
      </c>
      <c r="L116" s="14" t="s">
        <v>64</v>
      </c>
      <c r="M116" s="13" t="s">
        <v>202</v>
      </c>
      <c r="N116" s="14" t="s">
        <v>51</v>
      </c>
      <c r="O116" s="13" t="s">
        <v>202</v>
      </c>
      <c r="P116" s="14" t="s">
        <v>51</v>
      </c>
      <c r="Q116" s="13" t="s">
        <v>204</v>
      </c>
      <c r="R116" s="14" t="s">
        <v>51</v>
      </c>
      <c r="S116" s="15" t="n">
        <f>2.75</f>
        <v>2.75</v>
      </c>
      <c r="T116" s="16" t="n">
        <f>185</f>
        <v>185.0</v>
      </c>
      <c r="U116" s="16" t="n">
        <v>22.0</v>
      </c>
      <c r="V116" s="16" t="n">
        <f>319000</f>
        <v>319000.0</v>
      </c>
      <c r="W116" s="16" t="n">
        <v>37000.0</v>
      </c>
      <c r="X116" s="16" t="str">
        <f>"－"</f>
        <v>－</v>
      </c>
      <c r="Y116" s="13"/>
      <c r="Z116" s="17" t="n">
        <f>555</f>
        <v>555.0</v>
      </c>
      <c r="AA116" s="18" t="n">
        <f>12</f>
        <v>12.0</v>
      </c>
      <c r="AB116" s="11" t="s">
        <v>203</v>
      </c>
    </row>
    <row r="117">
      <c r="A117" s="11" t="s">
        <v>46</v>
      </c>
      <c r="B117" s="11" t="s">
        <v>47</v>
      </c>
      <c r="C117" s="11" t="s">
        <v>48</v>
      </c>
      <c r="D117" s="11" t="s">
        <v>49</v>
      </c>
      <c r="E117" s="11" t="s">
        <v>201</v>
      </c>
      <c r="F117" s="12" t="n">
        <v>17000.0</v>
      </c>
      <c r="G117" s="13" t="s">
        <v>50</v>
      </c>
      <c r="H117" s="14" t="s">
        <v>73</v>
      </c>
      <c r="I117" s="13" t="s">
        <v>50</v>
      </c>
      <c r="J117" s="14" t="s">
        <v>73</v>
      </c>
      <c r="K117" s="13" t="s">
        <v>50</v>
      </c>
      <c r="L117" s="14" t="s">
        <v>72</v>
      </c>
      <c r="M117" s="13" t="s">
        <v>205</v>
      </c>
      <c r="N117" s="14" t="s">
        <v>51</v>
      </c>
      <c r="O117" s="13" t="s">
        <v>207</v>
      </c>
      <c r="P117" s="14" t="s">
        <v>51</v>
      </c>
      <c r="Q117" s="13" t="s">
        <v>204</v>
      </c>
      <c r="R117" s="14" t="s">
        <v>51</v>
      </c>
      <c r="S117" s="15" t="n">
        <f>2.83</f>
        <v>2.83</v>
      </c>
      <c r="T117" s="16" t="n">
        <f>775</f>
        <v>775.0</v>
      </c>
      <c r="U117" s="16" t="n">
        <v>65.0</v>
      </c>
      <c r="V117" s="16" t="n">
        <f>2933000</f>
        <v>2933000.0</v>
      </c>
      <c r="W117" s="16" t="n">
        <v>196000.0</v>
      </c>
      <c r="X117" s="16" t="str">
        <f>"－"</f>
        <v>－</v>
      </c>
      <c r="Y117" s="13"/>
      <c r="Z117" s="17" t="n">
        <f>2110</f>
        <v>2110.0</v>
      </c>
      <c r="AA117" s="18" t="n">
        <f>18</f>
        <v>18.0</v>
      </c>
      <c r="AB117" s="11" t="s">
        <v>203</v>
      </c>
    </row>
    <row r="118">
      <c r="A118" s="11" t="s">
        <v>46</v>
      </c>
      <c r="B118" s="11" t="s">
        <v>47</v>
      </c>
      <c r="C118" s="11" t="s">
        <v>48</v>
      </c>
      <c r="D118" s="11" t="s">
        <v>49</v>
      </c>
      <c r="E118" s="11" t="s">
        <v>201</v>
      </c>
      <c r="F118" s="12" t="n">
        <v>17250.0</v>
      </c>
      <c r="G118" s="13" t="s">
        <v>50</v>
      </c>
      <c r="H118" s="14" t="s">
        <v>181</v>
      </c>
      <c r="I118" s="13" t="s">
        <v>50</v>
      </c>
      <c r="J118" s="14" t="s">
        <v>73</v>
      </c>
      <c r="K118" s="13" t="s">
        <v>60</v>
      </c>
      <c r="L118" s="14" t="s">
        <v>64</v>
      </c>
      <c r="M118" s="13" t="s">
        <v>210</v>
      </c>
      <c r="N118" s="14" t="s">
        <v>51</v>
      </c>
      <c r="O118" s="13" t="s">
        <v>211</v>
      </c>
      <c r="P118" s="14" t="s">
        <v>51</v>
      </c>
      <c r="Q118" s="13" t="s">
        <v>204</v>
      </c>
      <c r="R118" s="14" t="s">
        <v>51</v>
      </c>
      <c r="S118" s="15" t="n">
        <f>2.94</f>
        <v>2.94</v>
      </c>
      <c r="T118" s="16" t="n">
        <f>243</f>
        <v>243.0</v>
      </c>
      <c r="U118" s="16" t="n">
        <v>9.0</v>
      </c>
      <c r="V118" s="16" t="n">
        <f>718000</f>
        <v>718000.0</v>
      </c>
      <c r="W118" s="16" t="n">
        <v>19000.0</v>
      </c>
      <c r="X118" s="16" t="str">
        <f>"－"</f>
        <v>－</v>
      </c>
      <c r="Y118" s="13"/>
      <c r="Z118" s="17" t="n">
        <f>83</f>
        <v>83.0</v>
      </c>
      <c r="AA118" s="18" t="n">
        <f>16</f>
        <v>16.0</v>
      </c>
      <c r="AB118" s="11" t="s">
        <v>203</v>
      </c>
    </row>
    <row r="119">
      <c r="A119" s="11" t="s">
        <v>46</v>
      </c>
      <c r="B119" s="11" t="s">
        <v>47</v>
      </c>
      <c r="C119" s="11" t="s">
        <v>48</v>
      </c>
      <c r="D119" s="11" t="s">
        <v>49</v>
      </c>
      <c r="E119" s="11" t="s">
        <v>201</v>
      </c>
      <c r="F119" s="12" t="n">
        <v>17500.0</v>
      </c>
      <c r="G119" s="13" t="s">
        <v>50</v>
      </c>
      <c r="H119" s="14" t="s">
        <v>78</v>
      </c>
      <c r="I119" s="13" t="s">
        <v>50</v>
      </c>
      <c r="J119" s="14" t="s">
        <v>78</v>
      </c>
      <c r="K119" s="13" t="s">
        <v>63</v>
      </c>
      <c r="L119" s="14" t="s">
        <v>66</v>
      </c>
      <c r="M119" s="13" t="s">
        <v>202</v>
      </c>
      <c r="N119" s="14" t="s">
        <v>51</v>
      </c>
      <c r="O119" s="13" t="s">
        <v>204</v>
      </c>
      <c r="P119" s="14" t="s">
        <v>212</v>
      </c>
      <c r="Q119" s="13" t="s">
        <v>204</v>
      </c>
      <c r="R119" s="14" t="s">
        <v>51</v>
      </c>
      <c r="S119" s="15" t="n">
        <f>3.24</f>
        <v>3.24</v>
      </c>
      <c r="T119" s="16" t="n">
        <f>744</f>
        <v>744.0</v>
      </c>
      <c r="U119" s="16" t="n">
        <v>144.0</v>
      </c>
      <c r="V119" s="16" t="n">
        <f>2157000</f>
        <v>2157000.0</v>
      </c>
      <c r="W119" s="16" t="n">
        <v>256000.0</v>
      </c>
      <c r="X119" s="16" t="str">
        <f>"－"</f>
        <v>－</v>
      </c>
      <c r="Y119" s="13"/>
      <c r="Z119" s="17" t="n">
        <f>887</f>
        <v>887.0</v>
      </c>
      <c r="AA119" s="18" t="n">
        <f>17</f>
        <v>17.0</v>
      </c>
      <c r="AB119" s="11" t="s">
        <v>203</v>
      </c>
    </row>
    <row r="120">
      <c r="A120" s="11" t="s">
        <v>46</v>
      </c>
      <c r="B120" s="11" t="s">
        <v>47</v>
      </c>
      <c r="C120" s="11" t="s">
        <v>48</v>
      </c>
      <c r="D120" s="11" t="s">
        <v>49</v>
      </c>
      <c r="E120" s="11" t="s">
        <v>201</v>
      </c>
      <c r="F120" s="12" t="n">
        <v>17750.0</v>
      </c>
      <c r="G120" s="13" t="s">
        <v>50</v>
      </c>
      <c r="H120" s="14" t="s">
        <v>213</v>
      </c>
      <c r="I120" s="13" t="s">
        <v>50</v>
      </c>
      <c r="J120" s="14" t="s">
        <v>213</v>
      </c>
      <c r="K120" s="13" t="s">
        <v>60</v>
      </c>
      <c r="L120" s="14" t="s">
        <v>65</v>
      </c>
      <c r="M120" s="13" t="s">
        <v>202</v>
      </c>
      <c r="N120" s="14" t="s">
        <v>51</v>
      </c>
      <c r="O120" s="13" t="s">
        <v>211</v>
      </c>
      <c r="P120" s="14" t="s">
        <v>51</v>
      </c>
      <c r="Q120" s="13" t="s">
        <v>204</v>
      </c>
      <c r="R120" s="14" t="s">
        <v>51</v>
      </c>
      <c r="S120" s="15" t="n">
        <f>3.77</f>
        <v>3.77</v>
      </c>
      <c r="T120" s="16" t="n">
        <f>436</f>
        <v>436.0</v>
      </c>
      <c r="U120" s="16" t="n">
        <v>27.0</v>
      </c>
      <c r="V120" s="16" t="n">
        <f>1281000</f>
        <v>1281000.0</v>
      </c>
      <c r="W120" s="16" t="n">
        <v>54000.0</v>
      </c>
      <c r="X120" s="16" t="str">
        <f>"－"</f>
        <v>－</v>
      </c>
      <c r="Y120" s="13"/>
      <c r="Z120" s="17" t="n">
        <f>196</f>
        <v>196.0</v>
      </c>
      <c r="AA120" s="18" t="n">
        <f>13</f>
        <v>13.0</v>
      </c>
      <c r="AB120" s="11" t="s">
        <v>203</v>
      </c>
    </row>
    <row r="121">
      <c r="A121" s="11" t="s">
        <v>46</v>
      </c>
      <c r="B121" s="11" t="s">
        <v>47</v>
      </c>
      <c r="C121" s="11" t="s">
        <v>48</v>
      </c>
      <c r="D121" s="11" t="s">
        <v>49</v>
      </c>
      <c r="E121" s="11" t="s">
        <v>201</v>
      </c>
      <c r="F121" s="12" t="n">
        <v>18000.0</v>
      </c>
      <c r="G121" s="13" t="s">
        <v>50</v>
      </c>
      <c r="H121" s="14" t="s">
        <v>74</v>
      </c>
      <c r="I121" s="13" t="s">
        <v>50</v>
      </c>
      <c r="J121" s="14" t="s">
        <v>74</v>
      </c>
      <c r="K121" s="13" t="s">
        <v>50</v>
      </c>
      <c r="L121" s="14" t="s">
        <v>213</v>
      </c>
      <c r="M121" s="13" t="s">
        <v>205</v>
      </c>
      <c r="N121" s="14" t="s">
        <v>51</v>
      </c>
      <c r="O121" s="13" t="s">
        <v>204</v>
      </c>
      <c r="P121" s="14" t="s">
        <v>51</v>
      </c>
      <c r="Q121" s="13" t="s">
        <v>204</v>
      </c>
      <c r="R121" s="14" t="s">
        <v>51</v>
      </c>
      <c r="S121" s="15" t="n">
        <f>3.59</f>
        <v>3.59</v>
      </c>
      <c r="T121" s="16" t="n">
        <f>1751</f>
        <v>1751.0</v>
      </c>
      <c r="U121" s="16" t="n">
        <v>239.0</v>
      </c>
      <c r="V121" s="16" t="n">
        <f>5701000</f>
        <v>5701000.0</v>
      </c>
      <c r="W121" s="16" t="n">
        <v>774000.0</v>
      </c>
      <c r="X121" s="16" t="str">
        <f>"－"</f>
        <v>－</v>
      </c>
      <c r="Y121" s="13"/>
      <c r="Z121" s="17" t="n">
        <f>4297</f>
        <v>4297.0</v>
      </c>
      <c r="AA121" s="18" t="n">
        <f>17</f>
        <v>17.0</v>
      </c>
      <c r="AB121" s="11" t="s">
        <v>203</v>
      </c>
    </row>
    <row r="122">
      <c r="A122" s="11" t="s">
        <v>46</v>
      </c>
      <c r="B122" s="11" t="s">
        <v>47</v>
      </c>
      <c r="C122" s="11" t="s">
        <v>48</v>
      </c>
      <c r="D122" s="11" t="s">
        <v>49</v>
      </c>
      <c r="E122" s="11" t="s">
        <v>201</v>
      </c>
      <c r="F122" s="12" t="n">
        <v>18250.0</v>
      </c>
      <c r="G122" s="13" t="s">
        <v>50</v>
      </c>
      <c r="H122" s="14" t="s">
        <v>214</v>
      </c>
      <c r="I122" s="13" t="s">
        <v>50</v>
      </c>
      <c r="J122" s="14" t="s">
        <v>214</v>
      </c>
      <c r="K122" s="13" t="s">
        <v>58</v>
      </c>
      <c r="L122" s="14" t="s">
        <v>64</v>
      </c>
      <c r="M122" s="13" t="s">
        <v>202</v>
      </c>
      <c r="N122" s="14" t="s">
        <v>51</v>
      </c>
      <c r="O122" s="13" t="s">
        <v>205</v>
      </c>
      <c r="P122" s="14" t="s">
        <v>59</v>
      </c>
      <c r="Q122" s="13" t="s">
        <v>204</v>
      </c>
      <c r="R122" s="14" t="s">
        <v>51</v>
      </c>
      <c r="S122" s="15" t="n">
        <f>4.06</f>
        <v>4.06</v>
      </c>
      <c r="T122" s="16" t="n">
        <f>718</f>
        <v>718.0</v>
      </c>
      <c r="U122" s="16" t="n">
        <v>37.0</v>
      </c>
      <c r="V122" s="16" t="n">
        <f>2922000</f>
        <v>2922000.0</v>
      </c>
      <c r="W122" s="16" t="n">
        <v>110000.0</v>
      </c>
      <c r="X122" s="16" t="str">
        <f>"－"</f>
        <v>－</v>
      </c>
      <c r="Y122" s="13"/>
      <c r="Z122" s="17" t="n">
        <f>187</f>
        <v>187.0</v>
      </c>
      <c r="AA122" s="18" t="n">
        <f>17</f>
        <v>17.0</v>
      </c>
      <c r="AB122" s="11" t="s">
        <v>203</v>
      </c>
    </row>
    <row r="123">
      <c r="A123" s="11" t="s">
        <v>46</v>
      </c>
      <c r="B123" s="11" t="s">
        <v>47</v>
      </c>
      <c r="C123" s="11" t="s">
        <v>48</v>
      </c>
      <c r="D123" s="11" t="s">
        <v>49</v>
      </c>
      <c r="E123" s="11" t="s">
        <v>201</v>
      </c>
      <c r="F123" s="12" t="n">
        <v>18500.0</v>
      </c>
      <c r="G123" s="13" t="s">
        <v>50</v>
      </c>
      <c r="H123" s="14" t="s">
        <v>83</v>
      </c>
      <c r="I123" s="13" t="s">
        <v>50</v>
      </c>
      <c r="J123" s="14" t="s">
        <v>83</v>
      </c>
      <c r="K123" s="13" t="s">
        <v>63</v>
      </c>
      <c r="L123" s="14" t="s">
        <v>69</v>
      </c>
      <c r="M123" s="13" t="s">
        <v>215</v>
      </c>
      <c r="N123" s="14" t="s">
        <v>51</v>
      </c>
      <c r="O123" s="13" t="s">
        <v>215</v>
      </c>
      <c r="P123" s="14" t="s">
        <v>51</v>
      </c>
      <c r="Q123" s="13" t="s">
        <v>204</v>
      </c>
      <c r="R123" s="14" t="s">
        <v>59</v>
      </c>
      <c r="S123" s="15" t="n">
        <f>4.39</f>
        <v>4.39</v>
      </c>
      <c r="T123" s="16" t="n">
        <f>848</f>
        <v>848.0</v>
      </c>
      <c r="U123" s="16" t="n">
        <v>154.0</v>
      </c>
      <c r="V123" s="16" t="n">
        <f>3319000</f>
        <v>3319000.0</v>
      </c>
      <c r="W123" s="16" t="n">
        <v>697000.0</v>
      </c>
      <c r="X123" s="16" t="str">
        <f>"－"</f>
        <v>－</v>
      </c>
      <c r="Y123" s="13"/>
      <c r="Z123" s="17" t="n">
        <f>1098</f>
        <v>1098.0</v>
      </c>
      <c r="AA123" s="18" t="n">
        <f>18</f>
        <v>18.0</v>
      </c>
      <c r="AB123" s="11" t="s">
        <v>203</v>
      </c>
    </row>
    <row r="124">
      <c r="A124" s="11" t="s">
        <v>46</v>
      </c>
      <c r="B124" s="11" t="s">
        <v>47</v>
      </c>
      <c r="C124" s="11" t="s">
        <v>48</v>
      </c>
      <c r="D124" s="11" t="s">
        <v>49</v>
      </c>
      <c r="E124" s="11" t="s">
        <v>201</v>
      </c>
      <c r="F124" s="12" t="n">
        <v>18750.0</v>
      </c>
      <c r="G124" s="13" t="s">
        <v>50</v>
      </c>
      <c r="H124" s="14" t="s">
        <v>83</v>
      </c>
      <c r="I124" s="13" t="s">
        <v>50</v>
      </c>
      <c r="J124" s="14" t="s">
        <v>79</v>
      </c>
      <c r="K124" s="13" t="s">
        <v>50</v>
      </c>
      <c r="L124" s="14" t="s">
        <v>76</v>
      </c>
      <c r="M124" s="13" t="s">
        <v>215</v>
      </c>
      <c r="N124" s="14" t="s">
        <v>51</v>
      </c>
      <c r="O124" s="13" t="s">
        <v>211</v>
      </c>
      <c r="P124" s="14" t="s">
        <v>59</v>
      </c>
      <c r="Q124" s="13" t="s">
        <v>204</v>
      </c>
      <c r="R124" s="14" t="s">
        <v>59</v>
      </c>
      <c r="S124" s="15" t="n">
        <f>4.24</f>
        <v>4.24</v>
      </c>
      <c r="T124" s="16" t="n">
        <f>488</f>
        <v>488.0</v>
      </c>
      <c r="U124" s="16" t="n">
        <v>22.0</v>
      </c>
      <c r="V124" s="16" t="n">
        <f>1986000</f>
        <v>1986000.0</v>
      </c>
      <c r="W124" s="16" t="n">
        <v>155000.0</v>
      </c>
      <c r="X124" s="16" t="str">
        <f>"－"</f>
        <v>－</v>
      </c>
      <c r="Y124" s="13"/>
      <c r="Z124" s="17" t="n">
        <f>370</f>
        <v>370.0</v>
      </c>
      <c r="AA124" s="18" t="n">
        <f>17</f>
        <v>17.0</v>
      </c>
      <c r="AB124" s="11" t="s">
        <v>203</v>
      </c>
    </row>
    <row r="125">
      <c r="A125" s="11" t="s">
        <v>46</v>
      </c>
      <c r="B125" s="11" t="s">
        <v>47</v>
      </c>
      <c r="C125" s="11" t="s">
        <v>48</v>
      </c>
      <c r="D125" s="11" t="s">
        <v>49</v>
      </c>
      <c r="E125" s="11" t="s">
        <v>201</v>
      </c>
      <c r="F125" s="12" t="n">
        <v>19000.0</v>
      </c>
      <c r="G125" s="13" t="s">
        <v>50</v>
      </c>
      <c r="H125" s="14" t="s">
        <v>82</v>
      </c>
      <c r="I125" s="13" t="s">
        <v>50</v>
      </c>
      <c r="J125" s="14" t="s">
        <v>85</v>
      </c>
      <c r="K125" s="13" t="s">
        <v>50</v>
      </c>
      <c r="L125" s="14" t="s">
        <v>82</v>
      </c>
      <c r="M125" s="13" t="s">
        <v>215</v>
      </c>
      <c r="N125" s="14" t="s">
        <v>51</v>
      </c>
      <c r="O125" s="13" t="s">
        <v>210</v>
      </c>
      <c r="P125" s="14" t="s">
        <v>51</v>
      </c>
      <c r="Q125" s="13" t="s">
        <v>204</v>
      </c>
      <c r="R125" s="14" t="s">
        <v>59</v>
      </c>
      <c r="S125" s="15" t="n">
        <f>5.11</f>
        <v>5.11</v>
      </c>
      <c r="T125" s="16" t="n">
        <f>2270</f>
        <v>2270.0</v>
      </c>
      <c r="U125" s="16" t="n">
        <v>226.0</v>
      </c>
      <c r="V125" s="16" t="n">
        <f>13936000</f>
        <v>1.3936E7</v>
      </c>
      <c r="W125" s="16" t="n">
        <v>1359000.0</v>
      </c>
      <c r="X125" s="16" t="str">
        <f>"－"</f>
        <v>－</v>
      </c>
      <c r="Y125" s="13"/>
      <c r="Z125" s="17" t="n">
        <f>4386</f>
        <v>4386.0</v>
      </c>
      <c r="AA125" s="18" t="n">
        <f>18</f>
        <v>18.0</v>
      </c>
      <c r="AB125" s="11" t="s">
        <v>203</v>
      </c>
    </row>
    <row r="126">
      <c r="A126" s="11" t="s">
        <v>46</v>
      </c>
      <c r="B126" s="11" t="s">
        <v>47</v>
      </c>
      <c r="C126" s="11" t="s">
        <v>48</v>
      </c>
      <c r="D126" s="11" t="s">
        <v>49</v>
      </c>
      <c r="E126" s="11" t="s">
        <v>201</v>
      </c>
      <c r="F126" s="12" t="n">
        <v>19250.0</v>
      </c>
      <c r="G126" s="13" t="s">
        <v>50</v>
      </c>
      <c r="H126" s="14" t="s">
        <v>85</v>
      </c>
      <c r="I126" s="13" t="s">
        <v>50</v>
      </c>
      <c r="J126" s="14" t="s">
        <v>184</v>
      </c>
      <c r="K126" s="13" t="s">
        <v>50</v>
      </c>
      <c r="L126" s="14" t="s">
        <v>79</v>
      </c>
      <c r="M126" s="13" t="s">
        <v>215</v>
      </c>
      <c r="N126" s="14" t="s">
        <v>51</v>
      </c>
      <c r="O126" s="13" t="s">
        <v>210</v>
      </c>
      <c r="P126" s="14" t="s">
        <v>59</v>
      </c>
      <c r="Q126" s="13" t="s">
        <v>204</v>
      </c>
      <c r="R126" s="14" t="s">
        <v>59</v>
      </c>
      <c r="S126" s="15" t="n">
        <f>5.56</f>
        <v>5.56</v>
      </c>
      <c r="T126" s="16" t="n">
        <f>945</f>
        <v>945.0</v>
      </c>
      <c r="U126" s="16" t="n">
        <v>58.0</v>
      </c>
      <c r="V126" s="16" t="n">
        <f>6076000</f>
        <v>6076000.0</v>
      </c>
      <c r="W126" s="16" t="n">
        <v>516000.0</v>
      </c>
      <c r="X126" s="16" t="str">
        <f>"－"</f>
        <v>－</v>
      </c>
      <c r="Y126" s="13"/>
      <c r="Z126" s="17" t="n">
        <f>391</f>
        <v>391.0</v>
      </c>
      <c r="AA126" s="18" t="n">
        <f>18</f>
        <v>18.0</v>
      </c>
      <c r="AB126" s="11" t="s">
        <v>203</v>
      </c>
    </row>
    <row r="127">
      <c r="A127" s="11" t="s">
        <v>46</v>
      </c>
      <c r="B127" s="11" t="s">
        <v>47</v>
      </c>
      <c r="C127" s="11" t="s">
        <v>48</v>
      </c>
      <c r="D127" s="11" t="s">
        <v>49</v>
      </c>
      <c r="E127" s="11" t="s">
        <v>201</v>
      </c>
      <c r="F127" s="12" t="n">
        <v>19500.0</v>
      </c>
      <c r="G127" s="13" t="s">
        <v>50</v>
      </c>
      <c r="H127" s="14" t="s">
        <v>89</v>
      </c>
      <c r="I127" s="13" t="s">
        <v>50</v>
      </c>
      <c r="J127" s="14" t="s">
        <v>89</v>
      </c>
      <c r="K127" s="13" t="s">
        <v>50</v>
      </c>
      <c r="L127" s="14" t="s">
        <v>80</v>
      </c>
      <c r="M127" s="13" t="s">
        <v>211</v>
      </c>
      <c r="N127" s="14" t="s">
        <v>59</v>
      </c>
      <c r="O127" s="13" t="s">
        <v>211</v>
      </c>
      <c r="P127" s="14" t="s">
        <v>59</v>
      </c>
      <c r="Q127" s="13" t="s">
        <v>204</v>
      </c>
      <c r="R127" s="14" t="s">
        <v>59</v>
      </c>
      <c r="S127" s="15" t="n">
        <f>6.11</f>
        <v>6.11</v>
      </c>
      <c r="T127" s="16" t="n">
        <f>1156</f>
        <v>1156.0</v>
      </c>
      <c r="U127" s="16" t="n">
        <v>94.0</v>
      </c>
      <c r="V127" s="16" t="n">
        <f>6157000</f>
        <v>6157000.0</v>
      </c>
      <c r="W127" s="16" t="n">
        <v>569000.0</v>
      </c>
      <c r="X127" s="16" t="str">
        <f>"－"</f>
        <v>－</v>
      </c>
      <c r="Y127" s="13"/>
      <c r="Z127" s="17" t="n">
        <f>1828</f>
        <v>1828.0</v>
      </c>
      <c r="AA127" s="18" t="n">
        <f>18</f>
        <v>18.0</v>
      </c>
      <c r="AB127" s="11" t="s">
        <v>203</v>
      </c>
    </row>
    <row r="128">
      <c r="A128" s="11" t="s">
        <v>46</v>
      </c>
      <c r="B128" s="11" t="s">
        <v>47</v>
      </c>
      <c r="C128" s="11" t="s">
        <v>48</v>
      </c>
      <c r="D128" s="11" t="s">
        <v>49</v>
      </c>
      <c r="E128" s="11" t="s">
        <v>201</v>
      </c>
      <c r="F128" s="12" t="n">
        <v>19750.0</v>
      </c>
      <c r="G128" s="13" t="s">
        <v>50</v>
      </c>
      <c r="H128" s="14" t="s">
        <v>86</v>
      </c>
      <c r="I128" s="13" t="s">
        <v>50</v>
      </c>
      <c r="J128" s="14" t="s">
        <v>86</v>
      </c>
      <c r="K128" s="13" t="s">
        <v>55</v>
      </c>
      <c r="L128" s="14" t="s">
        <v>216</v>
      </c>
      <c r="M128" s="13" t="s">
        <v>215</v>
      </c>
      <c r="N128" s="14" t="s">
        <v>59</v>
      </c>
      <c r="O128" s="13" t="s">
        <v>215</v>
      </c>
      <c r="P128" s="14" t="s">
        <v>51</v>
      </c>
      <c r="Q128" s="13" t="s">
        <v>204</v>
      </c>
      <c r="R128" s="14" t="s">
        <v>59</v>
      </c>
      <c r="S128" s="15" t="n">
        <f>6.72</f>
        <v>6.72</v>
      </c>
      <c r="T128" s="16" t="n">
        <f>2542</f>
        <v>2542.0</v>
      </c>
      <c r="U128" s="16" t="n">
        <v>1572.0</v>
      </c>
      <c r="V128" s="16" t="n">
        <f>24296000</f>
        <v>2.4296E7</v>
      </c>
      <c r="W128" s="16" t="n">
        <v>1.8637E7</v>
      </c>
      <c r="X128" s="16" t="str">
        <f>"－"</f>
        <v>－</v>
      </c>
      <c r="Y128" s="13"/>
      <c r="Z128" s="17" t="n">
        <f>382</f>
        <v>382.0</v>
      </c>
      <c r="AA128" s="18" t="n">
        <f>18</f>
        <v>18.0</v>
      </c>
      <c r="AB128" s="11" t="s">
        <v>203</v>
      </c>
    </row>
    <row r="129">
      <c r="A129" s="11" t="s">
        <v>46</v>
      </c>
      <c r="B129" s="11" t="s">
        <v>47</v>
      </c>
      <c r="C129" s="11" t="s">
        <v>48</v>
      </c>
      <c r="D129" s="11" t="s">
        <v>49</v>
      </c>
      <c r="E129" s="11" t="s">
        <v>201</v>
      </c>
      <c r="F129" s="12" t="n">
        <v>20000.0</v>
      </c>
      <c r="G129" s="13" t="s">
        <v>50</v>
      </c>
      <c r="H129" s="14" t="s">
        <v>86</v>
      </c>
      <c r="I129" s="13" t="s">
        <v>50</v>
      </c>
      <c r="J129" s="14" t="s">
        <v>96</v>
      </c>
      <c r="K129" s="13" t="s">
        <v>50</v>
      </c>
      <c r="L129" s="14" t="s">
        <v>88</v>
      </c>
      <c r="M129" s="13" t="s">
        <v>215</v>
      </c>
      <c r="N129" s="14" t="s">
        <v>51</v>
      </c>
      <c r="O129" s="13" t="s">
        <v>204</v>
      </c>
      <c r="P129" s="14" t="s">
        <v>51</v>
      </c>
      <c r="Q129" s="13" t="s">
        <v>204</v>
      </c>
      <c r="R129" s="14" t="s">
        <v>62</v>
      </c>
      <c r="S129" s="15" t="n">
        <f>7.39</f>
        <v>7.39</v>
      </c>
      <c r="T129" s="16" t="n">
        <f>9468</f>
        <v>9468.0</v>
      </c>
      <c r="U129" s="16" t="n">
        <v>6472.0</v>
      </c>
      <c r="V129" s="16" t="n">
        <f>97687000</f>
        <v>9.7687E7</v>
      </c>
      <c r="W129" s="16" t="n">
        <v>6.6897E7</v>
      </c>
      <c r="X129" s="16" t="str">
        <f>"－"</f>
        <v>－</v>
      </c>
      <c r="Y129" s="13"/>
      <c r="Z129" s="17" t="n">
        <f>4752</f>
        <v>4752.0</v>
      </c>
      <c r="AA129" s="18" t="n">
        <f>18</f>
        <v>18.0</v>
      </c>
      <c r="AB129" s="11" t="s">
        <v>203</v>
      </c>
    </row>
    <row r="130">
      <c r="A130" s="11" t="s">
        <v>46</v>
      </c>
      <c r="B130" s="11" t="s">
        <v>47</v>
      </c>
      <c r="C130" s="11" t="s">
        <v>48</v>
      </c>
      <c r="D130" s="11" t="s">
        <v>49</v>
      </c>
      <c r="E130" s="11" t="s">
        <v>201</v>
      </c>
      <c r="F130" s="12" t="n">
        <v>20250.0</v>
      </c>
      <c r="G130" s="13" t="s">
        <v>50</v>
      </c>
      <c r="H130" s="14" t="s">
        <v>94</v>
      </c>
      <c r="I130" s="13" t="s">
        <v>50</v>
      </c>
      <c r="J130" s="14" t="s">
        <v>94</v>
      </c>
      <c r="K130" s="13" t="s">
        <v>55</v>
      </c>
      <c r="L130" s="14" t="s">
        <v>83</v>
      </c>
      <c r="M130" s="13" t="s">
        <v>215</v>
      </c>
      <c r="N130" s="14" t="s">
        <v>59</v>
      </c>
      <c r="O130" s="13" t="s">
        <v>215</v>
      </c>
      <c r="P130" s="14" t="s">
        <v>59</v>
      </c>
      <c r="Q130" s="13" t="s">
        <v>204</v>
      </c>
      <c r="R130" s="14" t="s">
        <v>62</v>
      </c>
      <c r="S130" s="15" t="n">
        <f>7.94</f>
        <v>7.94</v>
      </c>
      <c r="T130" s="16" t="n">
        <f>1407</f>
        <v>1407.0</v>
      </c>
      <c r="U130" s="16" t="n">
        <v>141.0</v>
      </c>
      <c r="V130" s="16" t="n">
        <f>12374000</f>
        <v>1.2374E7</v>
      </c>
      <c r="W130" s="16" t="n">
        <v>729000.0</v>
      </c>
      <c r="X130" s="16" t="str">
        <f>"－"</f>
        <v>－</v>
      </c>
      <c r="Y130" s="13"/>
      <c r="Z130" s="17" t="n">
        <f>773</f>
        <v>773.0</v>
      </c>
      <c r="AA130" s="18" t="n">
        <f>18</f>
        <v>18.0</v>
      </c>
      <c r="AB130" s="11" t="s">
        <v>203</v>
      </c>
    </row>
    <row r="131">
      <c r="A131" s="11" t="s">
        <v>46</v>
      </c>
      <c r="B131" s="11" t="s">
        <v>47</v>
      </c>
      <c r="C131" s="11" t="s">
        <v>48</v>
      </c>
      <c r="D131" s="11" t="s">
        <v>49</v>
      </c>
      <c r="E131" s="11" t="s">
        <v>201</v>
      </c>
      <c r="F131" s="12" t="n">
        <v>20500.0</v>
      </c>
      <c r="G131" s="13" t="s">
        <v>50</v>
      </c>
      <c r="H131" s="14" t="s">
        <v>88</v>
      </c>
      <c r="I131" s="13" t="s">
        <v>50</v>
      </c>
      <c r="J131" s="14" t="s">
        <v>88</v>
      </c>
      <c r="K131" s="13" t="s">
        <v>50</v>
      </c>
      <c r="L131" s="14" t="s">
        <v>86</v>
      </c>
      <c r="M131" s="13" t="s">
        <v>215</v>
      </c>
      <c r="N131" s="14" t="s">
        <v>59</v>
      </c>
      <c r="O131" s="13" t="s">
        <v>215</v>
      </c>
      <c r="P131" s="14" t="s">
        <v>59</v>
      </c>
      <c r="Q131" s="13" t="s">
        <v>204</v>
      </c>
      <c r="R131" s="14" t="s">
        <v>64</v>
      </c>
      <c r="S131" s="15" t="n">
        <f>8.78</f>
        <v>8.78</v>
      </c>
      <c r="T131" s="16" t="n">
        <f>1912</f>
        <v>1912.0</v>
      </c>
      <c r="U131" s="16" t="n">
        <v>197.0</v>
      </c>
      <c r="V131" s="16" t="n">
        <f>12747000</f>
        <v>1.2747E7</v>
      </c>
      <c r="W131" s="16" t="n">
        <v>1135000.0</v>
      </c>
      <c r="X131" s="16" t="str">
        <f>"－"</f>
        <v>－</v>
      </c>
      <c r="Y131" s="13"/>
      <c r="Z131" s="17" t="n">
        <f>2069</f>
        <v>2069.0</v>
      </c>
      <c r="AA131" s="18" t="n">
        <f>18</f>
        <v>18.0</v>
      </c>
      <c r="AB131" s="11" t="s">
        <v>203</v>
      </c>
    </row>
    <row r="132">
      <c r="A132" s="11" t="s">
        <v>46</v>
      </c>
      <c r="B132" s="11" t="s">
        <v>47</v>
      </c>
      <c r="C132" s="11" t="s">
        <v>48</v>
      </c>
      <c r="D132" s="11" t="s">
        <v>49</v>
      </c>
      <c r="E132" s="11" t="s">
        <v>201</v>
      </c>
      <c r="F132" s="12" t="n">
        <v>20750.0</v>
      </c>
      <c r="G132" s="13" t="s">
        <v>50</v>
      </c>
      <c r="H132" s="14" t="s">
        <v>98</v>
      </c>
      <c r="I132" s="13" t="s">
        <v>50</v>
      </c>
      <c r="J132" s="14" t="s">
        <v>98</v>
      </c>
      <c r="K132" s="13" t="s">
        <v>50</v>
      </c>
      <c r="L132" s="14" t="s">
        <v>88</v>
      </c>
      <c r="M132" s="13" t="s">
        <v>215</v>
      </c>
      <c r="N132" s="14" t="s">
        <v>59</v>
      </c>
      <c r="O132" s="13" t="s">
        <v>204</v>
      </c>
      <c r="P132" s="14" t="s">
        <v>59</v>
      </c>
      <c r="Q132" s="13" t="s">
        <v>204</v>
      </c>
      <c r="R132" s="14" t="s">
        <v>64</v>
      </c>
      <c r="S132" s="15" t="n">
        <f>9.28</f>
        <v>9.28</v>
      </c>
      <c r="T132" s="16" t="n">
        <f>1399</f>
        <v>1399.0</v>
      </c>
      <c r="U132" s="16" t="n">
        <v>153.0</v>
      </c>
      <c r="V132" s="16" t="n">
        <f>9372000</f>
        <v>9372000.0</v>
      </c>
      <c r="W132" s="16" t="n">
        <v>1039000.0</v>
      </c>
      <c r="X132" s="16" t="str">
        <f>"－"</f>
        <v>－</v>
      </c>
      <c r="Y132" s="13"/>
      <c r="Z132" s="17" t="n">
        <f>1202</f>
        <v>1202.0</v>
      </c>
      <c r="AA132" s="18" t="n">
        <f>18</f>
        <v>18.0</v>
      </c>
      <c r="AB132" s="11" t="s">
        <v>203</v>
      </c>
    </row>
    <row r="133">
      <c r="A133" s="11" t="s">
        <v>46</v>
      </c>
      <c r="B133" s="11" t="s">
        <v>47</v>
      </c>
      <c r="C133" s="11" t="s">
        <v>48</v>
      </c>
      <c r="D133" s="11" t="s">
        <v>49</v>
      </c>
      <c r="E133" s="11" t="s">
        <v>201</v>
      </c>
      <c r="F133" s="12" t="n">
        <v>21000.0</v>
      </c>
      <c r="G133" s="13" t="s">
        <v>50</v>
      </c>
      <c r="H133" s="14" t="s">
        <v>188</v>
      </c>
      <c r="I133" s="13" t="s">
        <v>50</v>
      </c>
      <c r="J133" s="14" t="s">
        <v>188</v>
      </c>
      <c r="K133" s="13" t="s">
        <v>50</v>
      </c>
      <c r="L133" s="14" t="s">
        <v>217</v>
      </c>
      <c r="M133" s="13" t="s">
        <v>215</v>
      </c>
      <c r="N133" s="14" t="s">
        <v>59</v>
      </c>
      <c r="O133" s="13" t="s">
        <v>204</v>
      </c>
      <c r="P133" s="14" t="s">
        <v>51</v>
      </c>
      <c r="Q133" s="13" t="s">
        <v>204</v>
      </c>
      <c r="R133" s="14" t="s">
        <v>64</v>
      </c>
      <c r="S133" s="15" t="n">
        <f>10.17</f>
        <v>10.17</v>
      </c>
      <c r="T133" s="16" t="n">
        <f>4899</f>
        <v>4899.0</v>
      </c>
      <c r="U133" s="16" t="n">
        <v>1738.0</v>
      </c>
      <c r="V133" s="16" t="n">
        <f>54961000</f>
        <v>5.4961E7</v>
      </c>
      <c r="W133" s="16" t="n">
        <v>2.507E7</v>
      </c>
      <c r="X133" s="16" t="str">
        <f>"－"</f>
        <v>－</v>
      </c>
      <c r="Y133" s="13"/>
      <c r="Z133" s="17" t="n">
        <f>6440</f>
        <v>6440.0</v>
      </c>
      <c r="AA133" s="18" t="n">
        <f>18</f>
        <v>18.0</v>
      </c>
      <c r="AB133" s="11" t="s">
        <v>203</v>
      </c>
    </row>
    <row r="134">
      <c r="A134" s="11" t="s">
        <v>46</v>
      </c>
      <c r="B134" s="11" t="s">
        <v>47</v>
      </c>
      <c r="C134" s="11" t="s">
        <v>48</v>
      </c>
      <c r="D134" s="11" t="s">
        <v>49</v>
      </c>
      <c r="E134" s="11" t="s">
        <v>201</v>
      </c>
      <c r="F134" s="12" t="n">
        <v>21250.0</v>
      </c>
      <c r="G134" s="13" t="s">
        <v>50</v>
      </c>
      <c r="H134" s="14" t="s">
        <v>218</v>
      </c>
      <c r="I134" s="13" t="s">
        <v>50</v>
      </c>
      <c r="J134" s="14" t="s">
        <v>218</v>
      </c>
      <c r="K134" s="13" t="s">
        <v>50</v>
      </c>
      <c r="L134" s="14" t="s">
        <v>101</v>
      </c>
      <c r="M134" s="13" t="s">
        <v>204</v>
      </c>
      <c r="N134" s="14" t="s">
        <v>59</v>
      </c>
      <c r="O134" s="13" t="s">
        <v>215</v>
      </c>
      <c r="P134" s="14" t="s">
        <v>62</v>
      </c>
      <c r="Q134" s="13" t="s">
        <v>204</v>
      </c>
      <c r="R134" s="14" t="s">
        <v>65</v>
      </c>
      <c r="S134" s="15" t="n">
        <f>11.72</f>
        <v>11.72</v>
      </c>
      <c r="T134" s="16" t="n">
        <f>1452</f>
        <v>1452.0</v>
      </c>
      <c r="U134" s="16" t="n">
        <v>116.0</v>
      </c>
      <c r="V134" s="16" t="n">
        <f>17985000</f>
        <v>1.7985E7</v>
      </c>
      <c r="W134" s="16" t="n">
        <v>1466000.0</v>
      </c>
      <c r="X134" s="16" t="str">
        <f>"－"</f>
        <v>－</v>
      </c>
      <c r="Y134" s="13"/>
      <c r="Z134" s="17" t="n">
        <f>370</f>
        <v>370.0</v>
      </c>
      <c r="AA134" s="18" t="n">
        <f>18</f>
        <v>18.0</v>
      </c>
      <c r="AB134" s="11" t="s">
        <v>203</v>
      </c>
    </row>
    <row r="135">
      <c r="A135" s="11" t="s">
        <v>46</v>
      </c>
      <c r="B135" s="11" t="s">
        <v>47</v>
      </c>
      <c r="C135" s="11" t="s">
        <v>48</v>
      </c>
      <c r="D135" s="11" t="s">
        <v>49</v>
      </c>
      <c r="E135" s="11" t="s">
        <v>201</v>
      </c>
      <c r="F135" s="12" t="n">
        <v>21500.0</v>
      </c>
      <c r="G135" s="13" t="s">
        <v>50</v>
      </c>
      <c r="H135" s="14" t="s">
        <v>219</v>
      </c>
      <c r="I135" s="13" t="s">
        <v>50</v>
      </c>
      <c r="J135" s="14" t="s">
        <v>106</v>
      </c>
      <c r="K135" s="13" t="s">
        <v>50</v>
      </c>
      <c r="L135" s="14" t="s">
        <v>220</v>
      </c>
      <c r="M135" s="13" t="s">
        <v>215</v>
      </c>
      <c r="N135" s="14" t="s">
        <v>59</v>
      </c>
      <c r="O135" s="13" t="s">
        <v>215</v>
      </c>
      <c r="P135" s="14" t="s">
        <v>59</v>
      </c>
      <c r="Q135" s="13" t="s">
        <v>204</v>
      </c>
      <c r="R135" s="14" t="s">
        <v>65</v>
      </c>
      <c r="S135" s="15" t="n">
        <f>12.17</f>
        <v>12.17</v>
      </c>
      <c r="T135" s="16" t="n">
        <f>7354</f>
        <v>7354.0</v>
      </c>
      <c r="U135" s="16" t="n">
        <v>5616.0</v>
      </c>
      <c r="V135" s="16" t="n">
        <f>61065000</f>
        <v>6.1065E7</v>
      </c>
      <c r="W135" s="16" t="n">
        <v>3.9203E7</v>
      </c>
      <c r="X135" s="16" t="str">
        <f>"－"</f>
        <v>－</v>
      </c>
      <c r="Y135" s="13"/>
      <c r="Z135" s="17" t="n">
        <f>5211</f>
        <v>5211.0</v>
      </c>
      <c r="AA135" s="18" t="n">
        <f>18</f>
        <v>18.0</v>
      </c>
      <c r="AB135" s="11" t="s">
        <v>203</v>
      </c>
    </row>
    <row r="136">
      <c r="A136" s="11" t="s">
        <v>46</v>
      </c>
      <c r="B136" s="11" t="s">
        <v>47</v>
      </c>
      <c r="C136" s="11" t="s">
        <v>48</v>
      </c>
      <c r="D136" s="11" t="s">
        <v>49</v>
      </c>
      <c r="E136" s="11" t="s">
        <v>201</v>
      </c>
      <c r="F136" s="12" t="n">
        <v>21750.0</v>
      </c>
      <c r="G136" s="13" t="s">
        <v>50</v>
      </c>
      <c r="H136" s="14" t="s">
        <v>221</v>
      </c>
      <c r="I136" s="13" t="s">
        <v>50</v>
      </c>
      <c r="J136" s="14" t="s">
        <v>222</v>
      </c>
      <c r="K136" s="13" t="s">
        <v>50</v>
      </c>
      <c r="L136" s="14" t="s">
        <v>221</v>
      </c>
      <c r="M136" s="13" t="s">
        <v>215</v>
      </c>
      <c r="N136" s="14" t="s">
        <v>62</v>
      </c>
      <c r="O136" s="13" t="s">
        <v>204</v>
      </c>
      <c r="P136" s="14" t="s">
        <v>59</v>
      </c>
      <c r="Q136" s="13" t="s">
        <v>204</v>
      </c>
      <c r="R136" s="14" t="s">
        <v>66</v>
      </c>
      <c r="S136" s="15" t="n">
        <f>13.61</f>
        <v>13.61</v>
      </c>
      <c r="T136" s="16" t="n">
        <f>1422</f>
        <v>1422.0</v>
      </c>
      <c r="U136" s="16" t="n">
        <v>212.0</v>
      </c>
      <c r="V136" s="16" t="n">
        <f>19485000</f>
        <v>1.9485E7</v>
      </c>
      <c r="W136" s="16" t="n">
        <v>2216000.0</v>
      </c>
      <c r="X136" s="16" t="str">
        <f>"－"</f>
        <v>－</v>
      </c>
      <c r="Y136" s="13"/>
      <c r="Z136" s="17" t="n">
        <f>620</f>
        <v>620.0</v>
      </c>
      <c r="AA136" s="18" t="n">
        <f>18</f>
        <v>18.0</v>
      </c>
      <c r="AB136" s="11" t="s">
        <v>203</v>
      </c>
    </row>
    <row r="137">
      <c r="A137" s="11" t="s">
        <v>46</v>
      </c>
      <c r="B137" s="11" t="s">
        <v>47</v>
      </c>
      <c r="C137" s="11" t="s">
        <v>48</v>
      </c>
      <c r="D137" s="11" t="s">
        <v>49</v>
      </c>
      <c r="E137" s="11" t="s">
        <v>201</v>
      </c>
      <c r="F137" s="12" t="n">
        <v>22000.0</v>
      </c>
      <c r="G137" s="13" t="s">
        <v>50</v>
      </c>
      <c r="H137" s="14" t="s">
        <v>223</v>
      </c>
      <c r="I137" s="13" t="s">
        <v>50</v>
      </c>
      <c r="J137" s="14" t="s">
        <v>224</v>
      </c>
      <c r="K137" s="13" t="s">
        <v>50</v>
      </c>
      <c r="L137" s="14" t="s">
        <v>225</v>
      </c>
      <c r="M137" s="13" t="s">
        <v>215</v>
      </c>
      <c r="N137" s="14" t="s">
        <v>59</v>
      </c>
      <c r="O137" s="13" t="s">
        <v>215</v>
      </c>
      <c r="P137" s="14" t="s">
        <v>62</v>
      </c>
      <c r="Q137" s="13" t="s">
        <v>204</v>
      </c>
      <c r="R137" s="14" t="s">
        <v>67</v>
      </c>
      <c r="S137" s="15" t="n">
        <f>15.06</f>
        <v>15.06</v>
      </c>
      <c r="T137" s="16" t="n">
        <f>6127</f>
        <v>6127.0</v>
      </c>
      <c r="U137" s="16" t="n">
        <v>1424.0</v>
      </c>
      <c r="V137" s="16" t="n">
        <f>78953000</f>
        <v>7.8953E7</v>
      </c>
      <c r="W137" s="16" t="n">
        <v>1.7726E7</v>
      </c>
      <c r="X137" s="16" t="str">
        <f>"－"</f>
        <v>－</v>
      </c>
      <c r="Y137" s="13"/>
      <c r="Z137" s="17" t="n">
        <f>4219</f>
        <v>4219.0</v>
      </c>
      <c r="AA137" s="18" t="n">
        <f>18</f>
        <v>18.0</v>
      </c>
      <c r="AB137" s="11" t="s">
        <v>203</v>
      </c>
    </row>
    <row r="138">
      <c r="A138" s="11" t="s">
        <v>46</v>
      </c>
      <c r="B138" s="11" t="s">
        <v>47</v>
      </c>
      <c r="C138" s="11" t="s">
        <v>48</v>
      </c>
      <c r="D138" s="11" t="s">
        <v>49</v>
      </c>
      <c r="E138" s="11" t="s">
        <v>201</v>
      </c>
      <c r="F138" s="12" t="n">
        <v>22250.0</v>
      </c>
      <c r="G138" s="13" t="s">
        <v>50</v>
      </c>
      <c r="H138" s="14" t="s">
        <v>226</v>
      </c>
      <c r="I138" s="13" t="s">
        <v>50</v>
      </c>
      <c r="J138" s="14" t="s">
        <v>227</v>
      </c>
      <c r="K138" s="13" t="s">
        <v>50</v>
      </c>
      <c r="L138" s="14" t="s">
        <v>106</v>
      </c>
      <c r="M138" s="13" t="s">
        <v>215</v>
      </c>
      <c r="N138" s="14" t="s">
        <v>62</v>
      </c>
      <c r="O138" s="13" t="s">
        <v>215</v>
      </c>
      <c r="P138" s="14" t="s">
        <v>64</v>
      </c>
      <c r="Q138" s="13" t="s">
        <v>204</v>
      </c>
      <c r="R138" s="14" t="s">
        <v>68</v>
      </c>
      <c r="S138" s="15" t="n">
        <f>16.33</f>
        <v>16.33</v>
      </c>
      <c r="T138" s="16" t="n">
        <f>1620</f>
        <v>1620.0</v>
      </c>
      <c r="U138" s="16" t="n">
        <v>148.0</v>
      </c>
      <c r="V138" s="16" t="n">
        <f>35382000</f>
        <v>3.5382E7</v>
      </c>
      <c r="W138" s="16" t="n">
        <v>1452000.0</v>
      </c>
      <c r="X138" s="16" t="str">
        <f>"－"</f>
        <v>－</v>
      </c>
      <c r="Y138" s="13"/>
      <c r="Z138" s="17" t="n">
        <f>1120</f>
        <v>1120.0</v>
      </c>
      <c r="AA138" s="18" t="n">
        <f>18</f>
        <v>18.0</v>
      </c>
      <c r="AB138" s="11" t="s">
        <v>203</v>
      </c>
    </row>
    <row r="139">
      <c r="A139" s="11" t="s">
        <v>46</v>
      </c>
      <c r="B139" s="11" t="s">
        <v>47</v>
      </c>
      <c r="C139" s="11" t="s">
        <v>48</v>
      </c>
      <c r="D139" s="11" t="s">
        <v>49</v>
      </c>
      <c r="E139" s="11" t="s">
        <v>201</v>
      </c>
      <c r="F139" s="12" t="n">
        <v>22500.0</v>
      </c>
      <c r="G139" s="13" t="s">
        <v>50</v>
      </c>
      <c r="H139" s="14" t="s">
        <v>228</v>
      </c>
      <c r="I139" s="13" t="s">
        <v>50</v>
      </c>
      <c r="J139" s="14" t="s">
        <v>229</v>
      </c>
      <c r="K139" s="13" t="s">
        <v>50</v>
      </c>
      <c r="L139" s="14" t="s">
        <v>229</v>
      </c>
      <c r="M139" s="13" t="s">
        <v>215</v>
      </c>
      <c r="N139" s="14" t="s">
        <v>64</v>
      </c>
      <c r="O139" s="13" t="s">
        <v>204</v>
      </c>
      <c r="P139" s="14" t="s">
        <v>62</v>
      </c>
      <c r="Q139" s="13" t="s">
        <v>204</v>
      </c>
      <c r="R139" s="14" t="s">
        <v>69</v>
      </c>
      <c r="S139" s="15" t="n">
        <f>18.33</f>
        <v>18.33</v>
      </c>
      <c r="T139" s="16" t="n">
        <f>6553</f>
        <v>6553.0</v>
      </c>
      <c r="U139" s="16" t="n">
        <v>3391.0</v>
      </c>
      <c r="V139" s="16" t="n">
        <f>78851540</f>
        <v>7.885154E7</v>
      </c>
      <c r="W139" s="16" t="n">
        <v>2.886154E7</v>
      </c>
      <c r="X139" s="16" t="str">
        <f>"－"</f>
        <v>－</v>
      </c>
      <c r="Y139" s="13"/>
      <c r="Z139" s="17" t="n">
        <f>4882</f>
        <v>4882.0</v>
      </c>
      <c r="AA139" s="18" t="n">
        <f>18</f>
        <v>18.0</v>
      </c>
      <c r="AB139" s="11" t="s">
        <v>203</v>
      </c>
    </row>
    <row r="140">
      <c r="A140" s="11" t="s">
        <v>46</v>
      </c>
      <c r="B140" s="11" t="s">
        <v>47</v>
      </c>
      <c r="C140" s="11" t="s">
        <v>48</v>
      </c>
      <c r="D140" s="11" t="s">
        <v>49</v>
      </c>
      <c r="E140" s="11" t="s">
        <v>201</v>
      </c>
      <c r="F140" s="12" t="n">
        <v>22750.0</v>
      </c>
      <c r="G140" s="13" t="s">
        <v>50</v>
      </c>
      <c r="H140" s="14" t="s">
        <v>119</v>
      </c>
      <c r="I140" s="13" t="s">
        <v>50</v>
      </c>
      <c r="J140" s="14" t="s">
        <v>122</v>
      </c>
      <c r="K140" s="13" t="s">
        <v>50</v>
      </c>
      <c r="L140" s="14" t="s">
        <v>115</v>
      </c>
      <c r="M140" s="13" t="s">
        <v>215</v>
      </c>
      <c r="N140" s="14" t="s">
        <v>64</v>
      </c>
      <c r="O140" s="13" t="s">
        <v>204</v>
      </c>
      <c r="P140" s="14" t="s">
        <v>62</v>
      </c>
      <c r="Q140" s="13" t="s">
        <v>204</v>
      </c>
      <c r="R140" s="14" t="s">
        <v>69</v>
      </c>
      <c r="S140" s="15" t="n">
        <f>20.06</f>
        <v>20.06</v>
      </c>
      <c r="T140" s="16" t="n">
        <f>3046</f>
        <v>3046.0</v>
      </c>
      <c r="U140" s="16" t="n">
        <v>349.0</v>
      </c>
      <c r="V140" s="16" t="n">
        <f>58518000</f>
        <v>5.8518E7</v>
      </c>
      <c r="W140" s="16" t="n">
        <v>4099000.0</v>
      </c>
      <c r="X140" s="16" t="str">
        <f>"－"</f>
        <v>－</v>
      </c>
      <c r="Y140" s="13"/>
      <c r="Z140" s="17" t="n">
        <f>679</f>
        <v>679.0</v>
      </c>
      <c r="AA140" s="18" t="n">
        <f>18</f>
        <v>18.0</v>
      </c>
      <c r="AB140" s="11" t="s">
        <v>203</v>
      </c>
    </row>
    <row r="141">
      <c r="A141" s="11" t="s">
        <v>46</v>
      </c>
      <c r="B141" s="11" t="s">
        <v>47</v>
      </c>
      <c r="C141" s="11" t="s">
        <v>48</v>
      </c>
      <c r="D141" s="11" t="s">
        <v>49</v>
      </c>
      <c r="E141" s="11" t="s">
        <v>201</v>
      </c>
      <c r="F141" s="12" t="n">
        <v>23000.0</v>
      </c>
      <c r="G141" s="13" t="s">
        <v>50</v>
      </c>
      <c r="H141" s="14" t="s">
        <v>121</v>
      </c>
      <c r="I141" s="13" t="s">
        <v>50</v>
      </c>
      <c r="J141" s="14" t="s">
        <v>121</v>
      </c>
      <c r="K141" s="13" t="s">
        <v>50</v>
      </c>
      <c r="L141" s="14" t="s">
        <v>122</v>
      </c>
      <c r="M141" s="13" t="s">
        <v>204</v>
      </c>
      <c r="N141" s="14" t="s">
        <v>64</v>
      </c>
      <c r="O141" s="13" t="s">
        <v>204</v>
      </c>
      <c r="P141" s="14" t="s">
        <v>64</v>
      </c>
      <c r="Q141" s="13" t="s">
        <v>204</v>
      </c>
      <c r="R141" s="14" t="s">
        <v>70</v>
      </c>
      <c r="S141" s="15" t="n">
        <f>22.11</f>
        <v>22.11</v>
      </c>
      <c r="T141" s="16" t="n">
        <f>14664</f>
        <v>14664.0</v>
      </c>
      <c r="U141" s="16" t="n">
        <v>6969.0</v>
      </c>
      <c r="V141" s="16" t="n">
        <f>268002000</f>
        <v>2.68002E8</v>
      </c>
      <c r="W141" s="16" t="n">
        <v>1.15712E8</v>
      </c>
      <c r="X141" s="16" t="str">
        <f>"－"</f>
        <v>－</v>
      </c>
      <c r="Y141" s="13"/>
      <c r="Z141" s="17" t="n">
        <f>7397</f>
        <v>7397.0</v>
      </c>
      <c r="AA141" s="18" t="n">
        <f>18</f>
        <v>18.0</v>
      </c>
      <c r="AB141" s="11" t="s">
        <v>203</v>
      </c>
    </row>
    <row r="142">
      <c r="A142" s="11" t="s">
        <v>46</v>
      </c>
      <c r="B142" s="11" t="s">
        <v>47</v>
      </c>
      <c r="C142" s="11" t="s">
        <v>48</v>
      </c>
      <c r="D142" s="11" t="s">
        <v>49</v>
      </c>
      <c r="E142" s="11" t="s">
        <v>201</v>
      </c>
      <c r="F142" s="12" t="n">
        <v>23250.0</v>
      </c>
      <c r="G142" s="13" t="s">
        <v>50</v>
      </c>
      <c r="H142" s="14" t="s">
        <v>120</v>
      </c>
      <c r="I142" s="13" t="s">
        <v>50</v>
      </c>
      <c r="J142" s="14" t="s">
        <v>120</v>
      </c>
      <c r="K142" s="13" t="s">
        <v>50</v>
      </c>
      <c r="L142" s="14" t="s">
        <v>121</v>
      </c>
      <c r="M142" s="13" t="s">
        <v>215</v>
      </c>
      <c r="N142" s="14" t="s">
        <v>65</v>
      </c>
      <c r="O142" s="13" t="s">
        <v>215</v>
      </c>
      <c r="P142" s="14" t="s">
        <v>65</v>
      </c>
      <c r="Q142" s="13" t="s">
        <v>204</v>
      </c>
      <c r="R142" s="14" t="s">
        <v>181</v>
      </c>
      <c r="S142" s="15" t="n">
        <f>24.67</f>
        <v>24.67</v>
      </c>
      <c r="T142" s="16" t="n">
        <f>4022</f>
        <v>4022.0</v>
      </c>
      <c r="U142" s="16" t="n">
        <v>530.0</v>
      </c>
      <c r="V142" s="16" t="n">
        <f>108312000</f>
        <v>1.08312E8</v>
      </c>
      <c r="W142" s="16" t="n">
        <v>1.485E7</v>
      </c>
      <c r="X142" s="16" t="str">
        <f>"－"</f>
        <v>－</v>
      </c>
      <c r="Y142" s="13"/>
      <c r="Z142" s="17" t="n">
        <f>1001</f>
        <v>1001.0</v>
      </c>
      <c r="AA142" s="18" t="n">
        <f>18</f>
        <v>18.0</v>
      </c>
      <c r="AB142" s="11" t="s">
        <v>203</v>
      </c>
    </row>
    <row r="143">
      <c r="A143" s="11" t="s">
        <v>46</v>
      </c>
      <c r="B143" s="11" t="s">
        <v>47</v>
      </c>
      <c r="C143" s="11" t="s">
        <v>48</v>
      </c>
      <c r="D143" s="11" t="s">
        <v>49</v>
      </c>
      <c r="E143" s="11" t="s">
        <v>201</v>
      </c>
      <c r="F143" s="12" t="n">
        <v>23500.0</v>
      </c>
      <c r="G143" s="13" t="s">
        <v>50</v>
      </c>
      <c r="H143" s="14" t="s">
        <v>123</v>
      </c>
      <c r="I143" s="13" t="s">
        <v>50</v>
      </c>
      <c r="J143" s="14" t="s">
        <v>123</v>
      </c>
      <c r="K143" s="13" t="s">
        <v>50</v>
      </c>
      <c r="L143" s="14" t="s">
        <v>118</v>
      </c>
      <c r="M143" s="13" t="s">
        <v>204</v>
      </c>
      <c r="N143" s="14" t="s">
        <v>65</v>
      </c>
      <c r="O143" s="13" t="s">
        <v>204</v>
      </c>
      <c r="P143" s="14" t="s">
        <v>65</v>
      </c>
      <c r="Q143" s="13" t="s">
        <v>204</v>
      </c>
      <c r="R143" s="14" t="s">
        <v>77</v>
      </c>
      <c r="S143" s="15" t="n">
        <f>27.17</f>
        <v>27.17</v>
      </c>
      <c r="T143" s="16" t="n">
        <f>7539</f>
        <v>7539.0</v>
      </c>
      <c r="U143" s="16" t="n">
        <v>2206.0</v>
      </c>
      <c r="V143" s="16" t="n">
        <f>229225000</f>
        <v>2.29225E8</v>
      </c>
      <c r="W143" s="16" t="n">
        <v>1.01786E8</v>
      </c>
      <c r="X143" s="16" t="str">
        <f>"－"</f>
        <v>－</v>
      </c>
      <c r="Y143" s="13"/>
      <c r="Z143" s="17" t="n">
        <f>4435</f>
        <v>4435.0</v>
      </c>
      <c r="AA143" s="18" t="n">
        <f>18</f>
        <v>18.0</v>
      </c>
      <c r="AB143" s="11" t="s">
        <v>203</v>
      </c>
    </row>
    <row r="144">
      <c r="A144" s="11" t="s">
        <v>46</v>
      </c>
      <c r="B144" s="11" t="s">
        <v>47</v>
      </c>
      <c r="C144" s="11" t="s">
        <v>48</v>
      </c>
      <c r="D144" s="11" t="s">
        <v>49</v>
      </c>
      <c r="E144" s="11" t="s">
        <v>201</v>
      </c>
      <c r="F144" s="12" t="n">
        <v>23750.0</v>
      </c>
      <c r="G144" s="13" t="s">
        <v>50</v>
      </c>
      <c r="H144" s="14" t="s">
        <v>120</v>
      </c>
      <c r="I144" s="13" t="s">
        <v>50</v>
      </c>
      <c r="J144" s="14" t="s">
        <v>125</v>
      </c>
      <c r="K144" s="13" t="s">
        <v>50</v>
      </c>
      <c r="L144" s="14" t="s">
        <v>121</v>
      </c>
      <c r="M144" s="13" t="s">
        <v>215</v>
      </c>
      <c r="N144" s="14" t="s">
        <v>66</v>
      </c>
      <c r="O144" s="13" t="s">
        <v>215</v>
      </c>
      <c r="P144" s="14" t="s">
        <v>66</v>
      </c>
      <c r="Q144" s="13" t="s">
        <v>204</v>
      </c>
      <c r="R144" s="14" t="s">
        <v>216</v>
      </c>
      <c r="S144" s="15" t="n">
        <f>30.17</f>
        <v>30.17</v>
      </c>
      <c r="T144" s="16" t="n">
        <f>4404</f>
        <v>4404.0</v>
      </c>
      <c r="U144" s="16" t="n">
        <v>387.0</v>
      </c>
      <c r="V144" s="16" t="n">
        <f>111510000</f>
        <v>1.1151E8</v>
      </c>
      <c r="W144" s="16" t="n">
        <v>7293000.0</v>
      </c>
      <c r="X144" s="16" t="str">
        <f>"－"</f>
        <v>－</v>
      </c>
      <c r="Y144" s="13"/>
      <c r="Z144" s="17" t="n">
        <f>1867</f>
        <v>1867.0</v>
      </c>
      <c r="AA144" s="18" t="n">
        <f>18</f>
        <v>18.0</v>
      </c>
      <c r="AB144" s="11" t="s">
        <v>203</v>
      </c>
    </row>
    <row r="145">
      <c r="A145" s="11" t="s">
        <v>46</v>
      </c>
      <c r="B145" s="11" t="s">
        <v>47</v>
      </c>
      <c r="C145" s="11" t="s">
        <v>48</v>
      </c>
      <c r="D145" s="11" t="s">
        <v>49</v>
      </c>
      <c r="E145" s="11" t="s">
        <v>201</v>
      </c>
      <c r="F145" s="12" t="n">
        <v>24000.0</v>
      </c>
      <c r="G145" s="13" t="s">
        <v>50</v>
      </c>
      <c r="H145" s="14" t="s">
        <v>230</v>
      </c>
      <c r="I145" s="13" t="s">
        <v>50</v>
      </c>
      <c r="J145" s="14" t="s">
        <v>230</v>
      </c>
      <c r="K145" s="13" t="s">
        <v>50</v>
      </c>
      <c r="L145" s="14" t="s">
        <v>231</v>
      </c>
      <c r="M145" s="13" t="s">
        <v>204</v>
      </c>
      <c r="N145" s="14" t="s">
        <v>66</v>
      </c>
      <c r="O145" s="13" t="s">
        <v>204</v>
      </c>
      <c r="P145" s="14" t="s">
        <v>66</v>
      </c>
      <c r="Q145" s="13" t="s">
        <v>204</v>
      </c>
      <c r="R145" s="14" t="s">
        <v>78</v>
      </c>
      <c r="S145" s="15" t="n">
        <f>33.06</f>
        <v>33.06</v>
      </c>
      <c r="T145" s="16" t="n">
        <f>23033</f>
        <v>23033.0</v>
      </c>
      <c r="U145" s="16" t="n">
        <v>11767.0</v>
      </c>
      <c r="V145" s="16" t="n">
        <f>878641000</f>
        <v>8.78641E8</v>
      </c>
      <c r="W145" s="16" t="n">
        <v>5.68913E8</v>
      </c>
      <c r="X145" s="16" t="str">
        <f>"－"</f>
        <v>－</v>
      </c>
      <c r="Y145" s="13"/>
      <c r="Z145" s="17" t="n">
        <f>8958</f>
        <v>8958.0</v>
      </c>
      <c r="AA145" s="18" t="n">
        <f>18</f>
        <v>18.0</v>
      </c>
      <c r="AB145" s="11" t="s">
        <v>203</v>
      </c>
    </row>
    <row r="146">
      <c r="A146" s="11" t="s">
        <v>46</v>
      </c>
      <c r="B146" s="11" t="s">
        <v>47</v>
      </c>
      <c r="C146" s="11" t="s">
        <v>48</v>
      </c>
      <c r="D146" s="11" t="s">
        <v>49</v>
      </c>
      <c r="E146" s="11" t="s">
        <v>201</v>
      </c>
      <c r="F146" s="12" t="n">
        <v>24250.0</v>
      </c>
      <c r="G146" s="13" t="s">
        <v>50</v>
      </c>
      <c r="H146" s="14" t="s">
        <v>232</v>
      </c>
      <c r="I146" s="13" t="s">
        <v>50</v>
      </c>
      <c r="J146" s="14" t="s">
        <v>232</v>
      </c>
      <c r="K146" s="13" t="s">
        <v>50</v>
      </c>
      <c r="L146" s="14" t="s">
        <v>125</v>
      </c>
      <c r="M146" s="13" t="s">
        <v>215</v>
      </c>
      <c r="N146" s="14" t="s">
        <v>68</v>
      </c>
      <c r="O146" s="13" t="s">
        <v>215</v>
      </c>
      <c r="P146" s="14" t="s">
        <v>67</v>
      </c>
      <c r="Q146" s="13" t="s">
        <v>204</v>
      </c>
      <c r="R146" s="14" t="s">
        <v>76</v>
      </c>
      <c r="S146" s="15" t="n">
        <f>36.78</f>
        <v>36.78</v>
      </c>
      <c r="T146" s="16" t="n">
        <f>4188</f>
        <v>4188.0</v>
      </c>
      <c r="U146" s="16" t="n">
        <v>302.0</v>
      </c>
      <c r="V146" s="16" t="n">
        <f>138107000</f>
        <v>1.38107E8</v>
      </c>
      <c r="W146" s="16" t="n">
        <v>6892000.0</v>
      </c>
      <c r="X146" s="16" t="str">
        <f>"－"</f>
        <v>－</v>
      </c>
      <c r="Y146" s="13"/>
      <c r="Z146" s="17" t="n">
        <f>487</f>
        <v>487.0</v>
      </c>
      <c r="AA146" s="18" t="n">
        <f>18</f>
        <v>18.0</v>
      </c>
      <c r="AB146" s="11" t="s">
        <v>203</v>
      </c>
    </row>
    <row r="147">
      <c r="A147" s="11" t="s">
        <v>46</v>
      </c>
      <c r="B147" s="11" t="s">
        <v>47</v>
      </c>
      <c r="C147" s="11" t="s">
        <v>48</v>
      </c>
      <c r="D147" s="11" t="s">
        <v>49</v>
      </c>
      <c r="E147" s="11" t="s">
        <v>201</v>
      </c>
      <c r="F147" s="12" t="n">
        <v>24375.0</v>
      </c>
      <c r="G147" s="13" t="s">
        <v>50</v>
      </c>
      <c r="H147" s="14" t="s">
        <v>132</v>
      </c>
      <c r="I147" s="13" t="s">
        <v>50</v>
      </c>
      <c r="J147" s="14" t="s">
        <v>132</v>
      </c>
      <c r="K147" s="13" t="s">
        <v>63</v>
      </c>
      <c r="L147" s="14" t="s">
        <v>221</v>
      </c>
      <c r="M147" s="13" t="s">
        <v>215</v>
      </c>
      <c r="N147" s="14" t="s">
        <v>68</v>
      </c>
      <c r="O147" s="13" t="s">
        <v>211</v>
      </c>
      <c r="P147" s="14" t="s">
        <v>70</v>
      </c>
      <c r="Q147" s="13" t="s">
        <v>204</v>
      </c>
      <c r="R147" s="14" t="s">
        <v>76</v>
      </c>
      <c r="S147" s="15" t="n">
        <f>39.5</f>
        <v>39.5</v>
      </c>
      <c r="T147" s="16" t="n">
        <f>2583</f>
        <v>2583.0</v>
      </c>
      <c r="U147" s="16" t="n">
        <v>63.0</v>
      </c>
      <c r="V147" s="16" t="n">
        <f>75127000</f>
        <v>7.5127E7</v>
      </c>
      <c r="W147" s="16" t="n">
        <v>1515000.0</v>
      </c>
      <c r="X147" s="16" t="str">
        <f>"－"</f>
        <v>－</v>
      </c>
      <c r="Y147" s="13"/>
      <c r="Z147" s="17" t="n">
        <f>413</f>
        <v>413.0</v>
      </c>
      <c r="AA147" s="18" t="n">
        <f>18</f>
        <v>18.0</v>
      </c>
      <c r="AB147" s="11" t="s">
        <v>203</v>
      </c>
    </row>
    <row r="148">
      <c r="A148" s="11" t="s">
        <v>46</v>
      </c>
      <c r="B148" s="11" t="s">
        <v>47</v>
      </c>
      <c r="C148" s="11" t="s">
        <v>48</v>
      </c>
      <c r="D148" s="11" t="s">
        <v>49</v>
      </c>
      <c r="E148" s="11" t="s">
        <v>201</v>
      </c>
      <c r="F148" s="12" t="n">
        <v>24500.0</v>
      </c>
      <c r="G148" s="13" t="s">
        <v>50</v>
      </c>
      <c r="H148" s="14" t="s">
        <v>135</v>
      </c>
      <c r="I148" s="13" t="s">
        <v>50</v>
      </c>
      <c r="J148" s="14" t="s">
        <v>135</v>
      </c>
      <c r="K148" s="13" t="s">
        <v>50</v>
      </c>
      <c r="L148" s="14" t="s">
        <v>132</v>
      </c>
      <c r="M148" s="13" t="s">
        <v>215</v>
      </c>
      <c r="N148" s="14" t="s">
        <v>68</v>
      </c>
      <c r="O148" s="13" t="s">
        <v>204</v>
      </c>
      <c r="P148" s="14" t="s">
        <v>68</v>
      </c>
      <c r="Q148" s="13" t="s">
        <v>204</v>
      </c>
      <c r="R148" s="14" t="s">
        <v>83</v>
      </c>
      <c r="S148" s="15" t="n">
        <f>41.28</f>
        <v>41.28</v>
      </c>
      <c r="T148" s="16" t="n">
        <f>9949</f>
        <v>9949.0</v>
      </c>
      <c r="U148" s="16" t="n">
        <v>3918.0</v>
      </c>
      <c r="V148" s="16" t="n">
        <f>345385500</f>
        <v>3.453855E8</v>
      </c>
      <c r="W148" s="16" t="n">
        <v>1.328605E8</v>
      </c>
      <c r="X148" s="16" t="str">
        <f>"－"</f>
        <v>－</v>
      </c>
      <c r="Y148" s="13"/>
      <c r="Z148" s="17" t="n">
        <f>4462</f>
        <v>4462.0</v>
      </c>
      <c r="AA148" s="18" t="n">
        <f>18</f>
        <v>18.0</v>
      </c>
      <c r="AB148" s="11" t="s">
        <v>203</v>
      </c>
    </row>
    <row r="149">
      <c r="A149" s="11" t="s">
        <v>46</v>
      </c>
      <c r="B149" s="11" t="s">
        <v>47</v>
      </c>
      <c r="C149" s="11" t="s">
        <v>48</v>
      </c>
      <c r="D149" s="11" t="s">
        <v>49</v>
      </c>
      <c r="E149" s="11" t="s">
        <v>201</v>
      </c>
      <c r="F149" s="12" t="n">
        <v>24625.0</v>
      </c>
      <c r="G149" s="13" t="s">
        <v>50</v>
      </c>
      <c r="H149" s="14" t="s">
        <v>132</v>
      </c>
      <c r="I149" s="13" t="s">
        <v>50</v>
      </c>
      <c r="J149" s="14" t="s">
        <v>132</v>
      </c>
      <c r="K149" s="13" t="s">
        <v>50</v>
      </c>
      <c r="L149" s="14" t="s">
        <v>125</v>
      </c>
      <c r="M149" s="13" t="s">
        <v>215</v>
      </c>
      <c r="N149" s="14" t="s">
        <v>69</v>
      </c>
      <c r="O149" s="13" t="s">
        <v>215</v>
      </c>
      <c r="P149" s="14" t="s">
        <v>71</v>
      </c>
      <c r="Q149" s="13" t="s">
        <v>204</v>
      </c>
      <c r="R149" s="14" t="s">
        <v>79</v>
      </c>
      <c r="S149" s="15" t="n">
        <f>42.5</f>
        <v>42.5</v>
      </c>
      <c r="T149" s="16" t="n">
        <f>2388</f>
        <v>2388.0</v>
      </c>
      <c r="U149" s="16" t="n">
        <v>76.0</v>
      </c>
      <c r="V149" s="16" t="n">
        <f>71308000</f>
        <v>7.1308E7</v>
      </c>
      <c r="W149" s="16" t="n">
        <v>1600000.0</v>
      </c>
      <c r="X149" s="16" t="str">
        <f>"－"</f>
        <v>－</v>
      </c>
      <c r="Y149" s="13"/>
      <c r="Z149" s="17" t="n">
        <f>152</f>
        <v>152.0</v>
      </c>
      <c r="AA149" s="18" t="n">
        <f>18</f>
        <v>18.0</v>
      </c>
      <c r="AB149" s="11" t="s">
        <v>203</v>
      </c>
    </row>
    <row r="150">
      <c r="A150" s="11" t="s">
        <v>46</v>
      </c>
      <c r="B150" s="11" t="s">
        <v>47</v>
      </c>
      <c r="C150" s="11" t="s">
        <v>48</v>
      </c>
      <c r="D150" s="11" t="s">
        <v>49</v>
      </c>
      <c r="E150" s="11" t="s">
        <v>201</v>
      </c>
      <c r="F150" s="12" t="n">
        <v>24750.0</v>
      </c>
      <c r="G150" s="13" t="s">
        <v>50</v>
      </c>
      <c r="H150" s="14" t="s">
        <v>137</v>
      </c>
      <c r="I150" s="13" t="s">
        <v>50</v>
      </c>
      <c r="J150" s="14" t="s">
        <v>137</v>
      </c>
      <c r="K150" s="13" t="s">
        <v>63</v>
      </c>
      <c r="L150" s="14" t="s">
        <v>116</v>
      </c>
      <c r="M150" s="13" t="s">
        <v>204</v>
      </c>
      <c r="N150" s="14" t="s">
        <v>69</v>
      </c>
      <c r="O150" s="13" t="s">
        <v>215</v>
      </c>
      <c r="P150" s="14" t="s">
        <v>181</v>
      </c>
      <c r="Q150" s="13" t="s">
        <v>204</v>
      </c>
      <c r="R150" s="14" t="s">
        <v>85</v>
      </c>
      <c r="S150" s="15" t="n">
        <f>46.56</f>
        <v>46.56</v>
      </c>
      <c r="T150" s="16" t="n">
        <f>5724</f>
        <v>5724.0</v>
      </c>
      <c r="U150" s="16" t="n">
        <v>1400.0</v>
      </c>
      <c r="V150" s="16" t="n">
        <f>200959000</f>
        <v>2.00959E8</v>
      </c>
      <c r="W150" s="16" t="n">
        <v>3.6654E7</v>
      </c>
      <c r="X150" s="16" t="str">
        <f>"－"</f>
        <v>－</v>
      </c>
      <c r="Y150" s="13"/>
      <c r="Z150" s="17" t="n">
        <f>2406</f>
        <v>2406.0</v>
      </c>
      <c r="AA150" s="18" t="n">
        <f>18</f>
        <v>18.0</v>
      </c>
      <c r="AB150" s="11" t="s">
        <v>203</v>
      </c>
    </row>
    <row r="151">
      <c r="A151" s="11" t="s">
        <v>46</v>
      </c>
      <c r="B151" s="11" t="s">
        <v>47</v>
      </c>
      <c r="C151" s="11" t="s">
        <v>48</v>
      </c>
      <c r="D151" s="11" t="s">
        <v>49</v>
      </c>
      <c r="E151" s="11" t="s">
        <v>201</v>
      </c>
      <c r="F151" s="12" t="n">
        <v>24875.0</v>
      </c>
      <c r="G151" s="13" t="s">
        <v>50</v>
      </c>
      <c r="H151" s="14" t="s">
        <v>233</v>
      </c>
      <c r="I151" s="13" t="s">
        <v>50</v>
      </c>
      <c r="J151" s="14" t="s">
        <v>233</v>
      </c>
      <c r="K151" s="13" t="s">
        <v>50</v>
      </c>
      <c r="L151" s="14" t="s">
        <v>135</v>
      </c>
      <c r="M151" s="13" t="s">
        <v>215</v>
      </c>
      <c r="N151" s="14" t="s">
        <v>71</v>
      </c>
      <c r="O151" s="13" t="s">
        <v>204</v>
      </c>
      <c r="P151" s="14" t="s">
        <v>71</v>
      </c>
      <c r="Q151" s="13" t="s">
        <v>204</v>
      </c>
      <c r="R151" s="14" t="s">
        <v>85</v>
      </c>
      <c r="S151" s="15" t="n">
        <f>48.61</f>
        <v>48.61</v>
      </c>
      <c r="T151" s="16" t="n">
        <f>4016</f>
        <v>4016.0</v>
      </c>
      <c r="U151" s="16" t="n">
        <v>150.0</v>
      </c>
      <c r="V151" s="16" t="n">
        <f>146123000</f>
        <v>1.46123E8</v>
      </c>
      <c r="W151" s="16" t="n">
        <v>5589000.0</v>
      </c>
      <c r="X151" s="16" t="str">
        <f>"－"</f>
        <v>－</v>
      </c>
      <c r="Y151" s="13"/>
      <c r="Z151" s="17" t="n">
        <f>562</f>
        <v>562.0</v>
      </c>
      <c r="AA151" s="18" t="n">
        <f>18</f>
        <v>18.0</v>
      </c>
      <c r="AB151" s="11" t="s">
        <v>203</v>
      </c>
    </row>
    <row r="152">
      <c r="A152" s="11" t="s">
        <v>46</v>
      </c>
      <c r="B152" s="11" t="s">
        <v>47</v>
      </c>
      <c r="C152" s="11" t="s">
        <v>48</v>
      </c>
      <c r="D152" s="11" t="s">
        <v>49</v>
      </c>
      <c r="E152" s="11" t="s">
        <v>201</v>
      </c>
      <c r="F152" s="12" t="n">
        <v>25000.0</v>
      </c>
      <c r="G152" s="13" t="s">
        <v>50</v>
      </c>
      <c r="H152" s="14" t="s">
        <v>234</v>
      </c>
      <c r="I152" s="13" t="s">
        <v>50</v>
      </c>
      <c r="J152" s="14" t="s">
        <v>144</v>
      </c>
      <c r="K152" s="13" t="s">
        <v>50</v>
      </c>
      <c r="L152" s="14" t="s">
        <v>234</v>
      </c>
      <c r="M152" s="13" t="s">
        <v>215</v>
      </c>
      <c r="N152" s="14" t="s">
        <v>71</v>
      </c>
      <c r="O152" s="13" t="s">
        <v>204</v>
      </c>
      <c r="P152" s="14" t="s">
        <v>71</v>
      </c>
      <c r="Q152" s="13" t="s">
        <v>204</v>
      </c>
      <c r="R152" s="14" t="s">
        <v>85</v>
      </c>
      <c r="S152" s="15" t="n">
        <f>52.11</f>
        <v>52.11</v>
      </c>
      <c r="T152" s="16" t="n">
        <f>25982</f>
        <v>25982.0</v>
      </c>
      <c r="U152" s="16" t="n">
        <v>8423.0</v>
      </c>
      <c r="V152" s="16" t="n">
        <f>1119262000</f>
        <v>1.119262E9</v>
      </c>
      <c r="W152" s="16" t="n">
        <v>3.68987E8</v>
      </c>
      <c r="X152" s="16" t="str">
        <f>"－"</f>
        <v>－</v>
      </c>
      <c r="Y152" s="13"/>
      <c r="Z152" s="17" t="n">
        <f>9060</f>
        <v>9060.0</v>
      </c>
      <c r="AA152" s="18" t="n">
        <f>18</f>
        <v>18.0</v>
      </c>
      <c r="AB152" s="11" t="s">
        <v>203</v>
      </c>
    </row>
    <row r="153">
      <c r="A153" s="11" t="s">
        <v>46</v>
      </c>
      <c r="B153" s="11" t="s">
        <v>47</v>
      </c>
      <c r="C153" s="11" t="s">
        <v>48</v>
      </c>
      <c r="D153" s="11" t="s">
        <v>49</v>
      </c>
      <c r="E153" s="11" t="s">
        <v>201</v>
      </c>
      <c r="F153" s="12" t="n">
        <v>25125.0</v>
      </c>
      <c r="G153" s="13" t="s">
        <v>50</v>
      </c>
      <c r="H153" s="14" t="s">
        <v>185</v>
      </c>
      <c r="I153" s="13" t="s">
        <v>50</v>
      </c>
      <c r="J153" s="14" t="s">
        <v>185</v>
      </c>
      <c r="K153" s="13" t="s">
        <v>63</v>
      </c>
      <c r="L153" s="14" t="s">
        <v>235</v>
      </c>
      <c r="M153" s="13" t="s">
        <v>215</v>
      </c>
      <c r="N153" s="14" t="s">
        <v>70</v>
      </c>
      <c r="O153" s="13" t="s">
        <v>204</v>
      </c>
      <c r="P153" s="14" t="s">
        <v>70</v>
      </c>
      <c r="Q153" s="13" t="s">
        <v>204</v>
      </c>
      <c r="R153" s="14" t="s">
        <v>236</v>
      </c>
      <c r="S153" s="15" t="n">
        <f>55.06</f>
        <v>55.06</v>
      </c>
      <c r="T153" s="16" t="n">
        <f>3133</f>
        <v>3133.0</v>
      </c>
      <c r="U153" s="16" t="n">
        <v>66.0</v>
      </c>
      <c r="V153" s="16" t="n">
        <f>126619000</f>
        <v>1.26619E8</v>
      </c>
      <c r="W153" s="16" t="n">
        <v>2081000.0</v>
      </c>
      <c r="X153" s="16" t="str">
        <f>"－"</f>
        <v>－</v>
      </c>
      <c r="Y153" s="13"/>
      <c r="Z153" s="17" t="n">
        <f>370</f>
        <v>370.0</v>
      </c>
      <c r="AA153" s="18" t="n">
        <f>18</f>
        <v>18.0</v>
      </c>
      <c r="AB153" s="11" t="s">
        <v>203</v>
      </c>
    </row>
    <row r="154">
      <c r="A154" s="11" t="s">
        <v>46</v>
      </c>
      <c r="B154" s="11" t="s">
        <v>47</v>
      </c>
      <c r="C154" s="11" t="s">
        <v>48</v>
      </c>
      <c r="D154" s="11" t="s">
        <v>49</v>
      </c>
      <c r="E154" s="11" t="s">
        <v>201</v>
      </c>
      <c r="F154" s="12" t="n">
        <v>25250.0</v>
      </c>
      <c r="G154" s="13" t="s">
        <v>50</v>
      </c>
      <c r="H154" s="14" t="s">
        <v>144</v>
      </c>
      <c r="I154" s="13" t="s">
        <v>50</v>
      </c>
      <c r="J154" s="14" t="s">
        <v>142</v>
      </c>
      <c r="K154" s="13" t="s">
        <v>60</v>
      </c>
      <c r="L154" s="14" t="s">
        <v>116</v>
      </c>
      <c r="M154" s="13" t="s">
        <v>215</v>
      </c>
      <c r="N154" s="14" t="s">
        <v>72</v>
      </c>
      <c r="O154" s="13" t="s">
        <v>215</v>
      </c>
      <c r="P154" s="14" t="s">
        <v>181</v>
      </c>
      <c r="Q154" s="13" t="s">
        <v>204</v>
      </c>
      <c r="R154" s="14" t="s">
        <v>91</v>
      </c>
      <c r="S154" s="15" t="n">
        <f>58.78</f>
        <v>58.78</v>
      </c>
      <c r="T154" s="16" t="n">
        <f>5724</f>
        <v>5724.0</v>
      </c>
      <c r="U154" s="16" t="n">
        <v>425.0</v>
      </c>
      <c r="V154" s="16" t="n">
        <f>274080000</f>
        <v>2.7408E8</v>
      </c>
      <c r="W154" s="16" t="n">
        <v>1.4985E7</v>
      </c>
      <c r="X154" s="16" t="str">
        <f>"－"</f>
        <v>－</v>
      </c>
      <c r="Y154" s="13"/>
      <c r="Z154" s="17" t="n">
        <f>1108</f>
        <v>1108.0</v>
      </c>
      <c r="AA154" s="18" t="n">
        <f>18</f>
        <v>18.0</v>
      </c>
      <c r="AB154" s="11" t="s">
        <v>203</v>
      </c>
    </row>
    <row r="155">
      <c r="A155" s="11" t="s">
        <v>46</v>
      </c>
      <c r="B155" s="11" t="s">
        <v>47</v>
      </c>
      <c r="C155" s="11" t="s">
        <v>48</v>
      </c>
      <c r="D155" s="11" t="s">
        <v>49</v>
      </c>
      <c r="E155" s="11" t="s">
        <v>201</v>
      </c>
      <c r="F155" s="12" t="n">
        <v>25375.0</v>
      </c>
      <c r="G155" s="13" t="s">
        <v>50</v>
      </c>
      <c r="H155" s="14" t="s">
        <v>237</v>
      </c>
      <c r="I155" s="13" t="s">
        <v>50</v>
      </c>
      <c r="J155" s="14" t="s">
        <v>237</v>
      </c>
      <c r="K155" s="13" t="s">
        <v>55</v>
      </c>
      <c r="L155" s="14" t="s">
        <v>120</v>
      </c>
      <c r="M155" s="13" t="s">
        <v>215</v>
      </c>
      <c r="N155" s="14" t="s">
        <v>181</v>
      </c>
      <c r="O155" s="13" t="s">
        <v>204</v>
      </c>
      <c r="P155" s="14" t="s">
        <v>73</v>
      </c>
      <c r="Q155" s="13" t="s">
        <v>204</v>
      </c>
      <c r="R155" s="14" t="s">
        <v>91</v>
      </c>
      <c r="S155" s="15" t="n">
        <f>61.89</f>
        <v>61.89</v>
      </c>
      <c r="T155" s="16" t="n">
        <f>2711</f>
        <v>2711.0</v>
      </c>
      <c r="U155" s="16" t="n">
        <v>70.0</v>
      </c>
      <c r="V155" s="16" t="n">
        <f>149596000</f>
        <v>1.49596E8</v>
      </c>
      <c r="W155" s="16" t="n">
        <v>3069000.0</v>
      </c>
      <c r="X155" s="16" t="str">
        <f>"－"</f>
        <v>－</v>
      </c>
      <c r="Y155" s="13"/>
      <c r="Z155" s="17" t="n">
        <f>288</f>
        <v>288.0</v>
      </c>
      <c r="AA155" s="18" t="n">
        <f>18</f>
        <v>18.0</v>
      </c>
      <c r="AB155" s="11" t="s">
        <v>203</v>
      </c>
    </row>
    <row r="156">
      <c r="A156" s="11" t="s">
        <v>46</v>
      </c>
      <c r="B156" s="11" t="s">
        <v>47</v>
      </c>
      <c r="C156" s="11" t="s">
        <v>48</v>
      </c>
      <c r="D156" s="11" t="s">
        <v>49</v>
      </c>
      <c r="E156" s="11" t="s">
        <v>201</v>
      </c>
      <c r="F156" s="12" t="n">
        <v>25500.0</v>
      </c>
      <c r="G156" s="13" t="s">
        <v>50</v>
      </c>
      <c r="H156" s="14" t="s">
        <v>238</v>
      </c>
      <c r="I156" s="13" t="s">
        <v>50</v>
      </c>
      <c r="J156" s="14" t="s">
        <v>238</v>
      </c>
      <c r="K156" s="13" t="s">
        <v>50</v>
      </c>
      <c r="L156" s="14" t="s">
        <v>234</v>
      </c>
      <c r="M156" s="13" t="s">
        <v>215</v>
      </c>
      <c r="N156" s="14" t="s">
        <v>181</v>
      </c>
      <c r="O156" s="13" t="s">
        <v>215</v>
      </c>
      <c r="P156" s="14" t="s">
        <v>181</v>
      </c>
      <c r="Q156" s="13" t="s">
        <v>204</v>
      </c>
      <c r="R156" s="14" t="s">
        <v>86</v>
      </c>
      <c r="S156" s="15" t="n">
        <f>65.44</f>
        <v>65.44</v>
      </c>
      <c r="T156" s="16" t="n">
        <f>15666</f>
        <v>15666.0</v>
      </c>
      <c r="U156" s="16" t="n">
        <v>3994.0</v>
      </c>
      <c r="V156" s="16" t="n">
        <f>1110980000</f>
        <v>1.11098E9</v>
      </c>
      <c r="W156" s="16" t="n">
        <v>3.63787E8</v>
      </c>
      <c r="X156" s="16" t="str">
        <f>"－"</f>
        <v>－</v>
      </c>
      <c r="Y156" s="13"/>
      <c r="Z156" s="17" t="n">
        <f>5275</f>
        <v>5275.0</v>
      </c>
      <c r="AA156" s="18" t="n">
        <f>18</f>
        <v>18.0</v>
      </c>
      <c r="AB156" s="11" t="s">
        <v>203</v>
      </c>
    </row>
    <row r="157">
      <c r="A157" s="11" t="s">
        <v>46</v>
      </c>
      <c r="B157" s="11" t="s">
        <v>47</v>
      </c>
      <c r="C157" s="11" t="s">
        <v>48</v>
      </c>
      <c r="D157" s="11" t="s">
        <v>49</v>
      </c>
      <c r="E157" s="11" t="s">
        <v>201</v>
      </c>
      <c r="F157" s="12" t="n">
        <v>25625.0</v>
      </c>
      <c r="G157" s="13" t="s">
        <v>50</v>
      </c>
      <c r="H157" s="14" t="s">
        <v>141</v>
      </c>
      <c r="I157" s="13" t="s">
        <v>50</v>
      </c>
      <c r="J157" s="14" t="s">
        <v>141</v>
      </c>
      <c r="K157" s="13" t="s">
        <v>50</v>
      </c>
      <c r="L157" s="14" t="s">
        <v>239</v>
      </c>
      <c r="M157" s="13" t="s">
        <v>204</v>
      </c>
      <c r="N157" s="14" t="s">
        <v>77</v>
      </c>
      <c r="O157" s="13" t="s">
        <v>204</v>
      </c>
      <c r="P157" s="14" t="s">
        <v>216</v>
      </c>
      <c r="Q157" s="13" t="s">
        <v>204</v>
      </c>
      <c r="R157" s="14" t="s">
        <v>221</v>
      </c>
      <c r="S157" s="15" t="n">
        <f>72.28</f>
        <v>72.28</v>
      </c>
      <c r="T157" s="16" t="n">
        <f>2796</f>
        <v>2796.0</v>
      </c>
      <c r="U157" s="16" t="n">
        <v>111.0</v>
      </c>
      <c r="V157" s="16" t="n">
        <f>171415000</f>
        <v>1.71415E8</v>
      </c>
      <c r="W157" s="16" t="n">
        <v>6094000.0</v>
      </c>
      <c r="X157" s="16" t="str">
        <f>"－"</f>
        <v>－</v>
      </c>
      <c r="Y157" s="13"/>
      <c r="Z157" s="17" t="n">
        <f>469</f>
        <v>469.0</v>
      </c>
      <c r="AA157" s="18" t="n">
        <f>18</f>
        <v>18.0</v>
      </c>
      <c r="AB157" s="11" t="s">
        <v>203</v>
      </c>
    </row>
    <row r="158">
      <c r="A158" s="11" t="s">
        <v>46</v>
      </c>
      <c r="B158" s="11" t="s">
        <v>47</v>
      </c>
      <c r="C158" s="11" t="s">
        <v>48</v>
      </c>
      <c r="D158" s="11" t="s">
        <v>49</v>
      </c>
      <c r="E158" s="11" t="s">
        <v>201</v>
      </c>
      <c r="F158" s="12" t="n">
        <v>25750.0</v>
      </c>
      <c r="G158" s="13" t="s">
        <v>50</v>
      </c>
      <c r="H158" s="14" t="s">
        <v>145</v>
      </c>
      <c r="I158" s="13" t="s">
        <v>50</v>
      </c>
      <c r="J158" s="14" t="s">
        <v>145</v>
      </c>
      <c r="K158" s="13" t="s">
        <v>50</v>
      </c>
      <c r="L158" s="14" t="s">
        <v>240</v>
      </c>
      <c r="M158" s="13" t="s">
        <v>215</v>
      </c>
      <c r="N158" s="14" t="s">
        <v>216</v>
      </c>
      <c r="O158" s="13" t="s">
        <v>204</v>
      </c>
      <c r="P158" s="14" t="s">
        <v>216</v>
      </c>
      <c r="Q158" s="13" t="s">
        <v>204</v>
      </c>
      <c r="R158" s="14" t="s">
        <v>94</v>
      </c>
      <c r="S158" s="15" t="n">
        <f>74.39</f>
        <v>74.39</v>
      </c>
      <c r="T158" s="16" t="n">
        <f>6167</f>
        <v>6167.0</v>
      </c>
      <c r="U158" s="16" t="n">
        <v>284.0</v>
      </c>
      <c r="V158" s="16" t="n">
        <f>466761650</f>
        <v>4.6676165E8</v>
      </c>
      <c r="W158" s="16" t="n">
        <v>2.490965E7</v>
      </c>
      <c r="X158" s="16" t="str">
        <f>"－"</f>
        <v>－</v>
      </c>
      <c r="Y158" s="13"/>
      <c r="Z158" s="17" t="n">
        <f>2165</f>
        <v>2165.0</v>
      </c>
      <c r="AA158" s="18" t="n">
        <f>18</f>
        <v>18.0</v>
      </c>
      <c r="AB158" s="11" t="s">
        <v>203</v>
      </c>
    </row>
    <row r="159">
      <c r="A159" s="11" t="s">
        <v>46</v>
      </c>
      <c r="B159" s="11" t="s">
        <v>47</v>
      </c>
      <c r="C159" s="11" t="s">
        <v>48</v>
      </c>
      <c r="D159" s="11" t="s">
        <v>49</v>
      </c>
      <c r="E159" s="11" t="s">
        <v>201</v>
      </c>
      <c r="F159" s="12" t="n">
        <v>25875.0</v>
      </c>
      <c r="G159" s="13" t="s">
        <v>50</v>
      </c>
      <c r="H159" s="14" t="s">
        <v>190</v>
      </c>
      <c r="I159" s="13" t="s">
        <v>50</v>
      </c>
      <c r="J159" s="14" t="s">
        <v>180</v>
      </c>
      <c r="K159" s="13" t="s">
        <v>50</v>
      </c>
      <c r="L159" s="14" t="s">
        <v>241</v>
      </c>
      <c r="M159" s="13" t="s">
        <v>215</v>
      </c>
      <c r="N159" s="14" t="s">
        <v>78</v>
      </c>
      <c r="O159" s="13" t="s">
        <v>204</v>
      </c>
      <c r="P159" s="14" t="s">
        <v>78</v>
      </c>
      <c r="Q159" s="13" t="s">
        <v>204</v>
      </c>
      <c r="R159" s="14" t="s">
        <v>98</v>
      </c>
      <c r="S159" s="15" t="n">
        <f>82.28</f>
        <v>82.28</v>
      </c>
      <c r="T159" s="16" t="n">
        <f>3364</f>
        <v>3364.0</v>
      </c>
      <c r="U159" s="16" t="n">
        <v>162.0</v>
      </c>
      <c r="V159" s="16" t="n">
        <f>226386000</f>
        <v>2.26386E8</v>
      </c>
      <c r="W159" s="16" t="n">
        <v>8218000.0</v>
      </c>
      <c r="X159" s="16" t="str">
        <f>"－"</f>
        <v>－</v>
      </c>
      <c r="Y159" s="13"/>
      <c r="Z159" s="17" t="n">
        <f>168</f>
        <v>168.0</v>
      </c>
      <c r="AA159" s="18" t="n">
        <f>18</f>
        <v>18.0</v>
      </c>
      <c r="AB159" s="11" t="s">
        <v>203</v>
      </c>
    </row>
    <row r="160">
      <c r="A160" s="11" t="s">
        <v>46</v>
      </c>
      <c r="B160" s="11" t="s">
        <v>47</v>
      </c>
      <c r="C160" s="11" t="s">
        <v>48</v>
      </c>
      <c r="D160" s="11" t="s">
        <v>49</v>
      </c>
      <c r="E160" s="11" t="s">
        <v>201</v>
      </c>
      <c r="F160" s="12" t="n">
        <v>26000.0</v>
      </c>
      <c r="G160" s="13" t="s">
        <v>50</v>
      </c>
      <c r="H160" s="14" t="s">
        <v>148</v>
      </c>
      <c r="I160" s="13" t="s">
        <v>50</v>
      </c>
      <c r="J160" s="14" t="s">
        <v>148</v>
      </c>
      <c r="K160" s="13" t="s">
        <v>50</v>
      </c>
      <c r="L160" s="14" t="s">
        <v>242</v>
      </c>
      <c r="M160" s="13" t="s">
        <v>215</v>
      </c>
      <c r="N160" s="14" t="s">
        <v>78</v>
      </c>
      <c r="O160" s="13" t="s">
        <v>215</v>
      </c>
      <c r="P160" s="14" t="s">
        <v>78</v>
      </c>
      <c r="Q160" s="13" t="s">
        <v>204</v>
      </c>
      <c r="R160" s="14" t="s">
        <v>100</v>
      </c>
      <c r="S160" s="15" t="n">
        <f>83.5</f>
        <v>83.5</v>
      </c>
      <c r="T160" s="16" t="n">
        <f>36717</f>
        <v>36717.0</v>
      </c>
      <c r="U160" s="16" t="n">
        <v>13630.0</v>
      </c>
      <c r="V160" s="16" t="n">
        <f>2905780500</f>
        <v>2.9057805E9</v>
      </c>
      <c r="W160" s="16" t="n">
        <v>1.2849555E9</v>
      </c>
      <c r="X160" s="16" t="str">
        <f>"－"</f>
        <v>－</v>
      </c>
      <c r="Y160" s="13"/>
      <c r="Z160" s="17" t="n">
        <f>8950</f>
        <v>8950.0</v>
      </c>
      <c r="AA160" s="18" t="n">
        <f>18</f>
        <v>18.0</v>
      </c>
      <c r="AB160" s="11" t="s">
        <v>203</v>
      </c>
    </row>
    <row r="161">
      <c r="A161" s="11" t="s">
        <v>46</v>
      </c>
      <c r="B161" s="11" t="s">
        <v>47</v>
      </c>
      <c r="C161" s="11" t="s">
        <v>48</v>
      </c>
      <c r="D161" s="11" t="s">
        <v>49</v>
      </c>
      <c r="E161" s="11" t="s">
        <v>201</v>
      </c>
      <c r="F161" s="12" t="n">
        <v>26125.0</v>
      </c>
      <c r="G161" s="13" t="s">
        <v>50</v>
      </c>
      <c r="H161" s="14" t="s">
        <v>149</v>
      </c>
      <c r="I161" s="13" t="s">
        <v>50</v>
      </c>
      <c r="J161" s="14" t="s">
        <v>149</v>
      </c>
      <c r="K161" s="13" t="s">
        <v>50</v>
      </c>
      <c r="L161" s="14" t="s">
        <v>243</v>
      </c>
      <c r="M161" s="13" t="s">
        <v>215</v>
      </c>
      <c r="N161" s="14" t="s">
        <v>213</v>
      </c>
      <c r="O161" s="13" t="s">
        <v>204</v>
      </c>
      <c r="P161" s="14" t="s">
        <v>74</v>
      </c>
      <c r="Q161" s="13" t="s">
        <v>204</v>
      </c>
      <c r="R161" s="14" t="s">
        <v>221</v>
      </c>
      <c r="S161" s="15" t="n">
        <f>89.41</f>
        <v>89.41</v>
      </c>
      <c r="T161" s="16" t="n">
        <f>3585</f>
        <v>3585.0</v>
      </c>
      <c r="U161" s="16" t="n">
        <v>141.0</v>
      </c>
      <c r="V161" s="16" t="n">
        <f>257569000</f>
        <v>2.57569E8</v>
      </c>
      <c r="W161" s="16" t="n">
        <v>5605000.0</v>
      </c>
      <c r="X161" s="16" t="str">
        <f>"－"</f>
        <v>－</v>
      </c>
      <c r="Y161" s="13"/>
      <c r="Z161" s="17" t="n">
        <f>286</f>
        <v>286.0</v>
      </c>
      <c r="AA161" s="18" t="n">
        <f>17</f>
        <v>17.0</v>
      </c>
      <c r="AB161" s="11" t="s">
        <v>203</v>
      </c>
    </row>
    <row r="162">
      <c r="A162" s="11" t="s">
        <v>46</v>
      </c>
      <c r="B162" s="11" t="s">
        <v>47</v>
      </c>
      <c r="C162" s="11" t="s">
        <v>48</v>
      </c>
      <c r="D162" s="11" t="s">
        <v>49</v>
      </c>
      <c r="E162" s="11" t="s">
        <v>201</v>
      </c>
      <c r="F162" s="12" t="n">
        <v>26250.0</v>
      </c>
      <c r="G162" s="13" t="s">
        <v>50</v>
      </c>
      <c r="H162" s="14" t="s">
        <v>154</v>
      </c>
      <c r="I162" s="13" t="s">
        <v>50</v>
      </c>
      <c r="J162" s="14" t="s">
        <v>154</v>
      </c>
      <c r="K162" s="13" t="s">
        <v>50</v>
      </c>
      <c r="L162" s="14" t="s">
        <v>177</v>
      </c>
      <c r="M162" s="13" t="s">
        <v>215</v>
      </c>
      <c r="N162" s="14" t="s">
        <v>214</v>
      </c>
      <c r="O162" s="13" t="s">
        <v>215</v>
      </c>
      <c r="P162" s="14" t="s">
        <v>76</v>
      </c>
      <c r="Q162" s="13" t="s">
        <v>204</v>
      </c>
      <c r="R162" s="14" t="s">
        <v>104</v>
      </c>
      <c r="S162" s="15" t="n">
        <f>95.44</f>
        <v>95.44</v>
      </c>
      <c r="T162" s="16" t="n">
        <f>7969</f>
        <v>7969.0</v>
      </c>
      <c r="U162" s="16" t="n">
        <v>1050.0</v>
      </c>
      <c r="V162" s="16" t="n">
        <f>726759000</f>
        <v>7.26759E8</v>
      </c>
      <c r="W162" s="16" t="n">
        <v>1.29102E8</v>
      </c>
      <c r="X162" s="16" t="str">
        <f>"－"</f>
        <v>－</v>
      </c>
      <c r="Y162" s="13"/>
      <c r="Z162" s="17" t="n">
        <f>2383</f>
        <v>2383.0</v>
      </c>
      <c r="AA162" s="18" t="n">
        <f>18</f>
        <v>18.0</v>
      </c>
      <c r="AB162" s="11" t="s">
        <v>203</v>
      </c>
    </row>
    <row r="163">
      <c r="A163" s="11" t="s">
        <v>46</v>
      </c>
      <c r="B163" s="11" t="s">
        <v>47</v>
      </c>
      <c r="C163" s="11" t="s">
        <v>48</v>
      </c>
      <c r="D163" s="11" t="s">
        <v>49</v>
      </c>
      <c r="E163" s="11" t="s">
        <v>201</v>
      </c>
      <c r="F163" s="12" t="n">
        <v>26375.0</v>
      </c>
      <c r="G163" s="13" t="s">
        <v>50</v>
      </c>
      <c r="H163" s="14" t="s">
        <v>244</v>
      </c>
      <c r="I163" s="13" t="s">
        <v>50</v>
      </c>
      <c r="J163" s="14" t="s">
        <v>244</v>
      </c>
      <c r="K163" s="13" t="s">
        <v>60</v>
      </c>
      <c r="L163" s="14" t="s">
        <v>233</v>
      </c>
      <c r="M163" s="13" t="s">
        <v>215</v>
      </c>
      <c r="N163" s="14" t="s">
        <v>81</v>
      </c>
      <c r="O163" s="13" t="s">
        <v>215</v>
      </c>
      <c r="P163" s="14" t="s">
        <v>79</v>
      </c>
      <c r="Q163" s="13" t="s">
        <v>204</v>
      </c>
      <c r="R163" s="14" t="s">
        <v>229</v>
      </c>
      <c r="S163" s="15" t="n">
        <f>104.5</f>
        <v>104.5</v>
      </c>
      <c r="T163" s="16" t="n">
        <f>4806</f>
        <v>4806.0</v>
      </c>
      <c r="U163" s="16" t="n">
        <v>87.0</v>
      </c>
      <c r="V163" s="16" t="n">
        <f>398557000</f>
        <v>3.98557E8</v>
      </c>
      <c r="W163" s="16" t="n">
        <v>5498000.0</v>
      </c>
      <c r="X163" s="16" t="str">
        <f>"－"</f>
        <v>－</v>
      </c>
      <c r="Y163" s="13"/>
      <c r="Z163" s="17" t="n">
        <f>420</f>
        <v>420.0</v>
      </c>
      <c r="AA163" s="18" t="n">
        <f>18</f>
        <v>18.0</v>
      </c>
      <c r="AB163" s="11" t="s">
        <v>203</v>
      </c>
    </row>
    <row r="164">
      <c r="A164" s="11" t="s">
        <v>46</v>
      </c>
      <c r="B164" s="11" t="s">
        <v>47</v>
      </c>
      <c r="C164" s="11" t="s">
        <v>48</v>
      </c>
      <c r="D164" s="11" t="s">
        <v>49</v>
      </c>
      <c r="E164" s="11" t="s">
        <v>201</v>
      </c>
      <c r="F164" s="12" t="n">
        <v>26500.0</v>
      </c>
      <c r="G164" s="13" t="s">
        <v>50</v>
      </c>
      <c r="H164" s="14" t="s">
        <v>245</v>
      </c>
      <c r="I164" s="13" t="s">
        <v>50</v>
      </c>
      <c r="J164" s="14" t="s">
        <v>150</v>
      </c>
      <c r="K164" s="13" t="s">
        <v>50</v>
      </c>
      <c r="L164" s="14" t="s">
        <v>246</v>
      </c>
      <c r="M164" s="13" t="s">
        <v>215</v>
      </c>
      <c r="N164" s="14" t="s">
        <v>83</v>
      </c>
      <c r="O164" s="13" t="s">
        <v>215</v>
      </c>
      <c r="P164" s="14" t="s">
        <v>83</v>
      </c>
      <c r="Q164" s="13" t="s">
        <v>204</v>
      </c>
      <c r="R164" s="14" t="s">
        <v>112</v>
      </c>
      <c r="S164" s="15" t="n">
        <f>109.11</f>
        <v>109.11</v>
      </c>
      <c r="T164" s="16" t="n">
        <f>29534</f>
        <v>29534.0</v>
      </c>
      <c r="U164" s="16" t="n">
        <v>12455.0</v>
      </c>
      <c r="V164" s="16" t="n">
        <f>3469093000</f>
        <v>3.469093E9</v>
      </c>
      <c r="W164" s="16" t="n">
        <v>1.879464E9</v>
      </c>
      <c r="X164" s="16" t="str">
        <f>"－"</f>
        <v>－</v>
      </c>
      <c r="Y164" s="13"/>
      <c r="Z164" s="17" t="n">
        <f>9701</f>
        <v>9701.0</v>
      </c>
      <c r="AA164" s="18" t="n">
        <f>18</f>
        <v>18.0</v>
      </c>
      <c r="AB164" s="11" t="s">
        <v>203</v>
      </c>
    </row>
    <row r="165">
      <c r="A165" s="11" t="s">
        <v>46</v>
      </c>
      <c r="B165" s="11" t="s">
        <v>47</v>
      </c>
      <c r="C165" s="11" t="s">
        <v>48</v>
      </c>
      <c r="D165" s="11" t="s">
        <v>49</v>
      </c>
      <c r="E165" s="11" t="s">
        <v>201</v>
      </c>
      <c r="F165" s="12" t="n">
        <v>26625.0</v>
      </c>
      <c r="G165" s="13" t="s">
        <v>55</v>
      </c>
      <c r="H165" s="14" t="s">
        <v>187</v>
      </c>
      <c r="I165" s="13" t="s">
        <v>55</v>
      </c>
      <c r="J165" s="14" t="s">
        <v>187</v>
      </c>
      <c r="K165" s="13" t="s">
        <v>50</v>
      </c>
      <c r="L165" s="14" t="s">
        <v>151</v>
      </c>
      <c r="M165" s="13" t="s">
        <v>215</v>
      </c>
      <c r="N165" s="14" t="s">
        <v>82</v>
      </c>
      <c r="O165" s="13" t="s">
        <v>215</v>
      </c>
      <c r="P165" s="14" t="s">
        <v>80</v>
      </c>
      <c r="Q165" s="13" t="s">
        <v>204</v>
      </c>
      <c r="R165" s="14" t="s">
        <v>247</v>
      </c>
      <c r="S165" s="15" t="n">
        <f>103.06</f>
        <v>103.06</v>
      </c>
      <c r="T165" s="16" t="n">
        <f>4337</f>
        <v>4337.0</v>
      </c>
      <c r="U165" s="16" t="n">
        <v>92.0</v>
      </c>
      <c r="V165" s="16" t="n">
        <f>355052000</f>
        <v>3.55052E8</v>
      </c>
      <c r="W165" s="16" t="n">
        <v>7189000.0</v>
      </c>
      <c r="X165" s="16" t="str">
        <f>"－"</f>
        <v>－</v>
      </c>
      <c r="Y165" s="13"/>
      <c r="Z165" s="17" t="n">
        <f>681</f>
        <v>681.0</v>
      </c>
      <c r="AA165" s="18" t="n">
        <f>17</f>
        <v>17.0</v>
      </c>
      <c r="AB165" s="11" t="s">
        <v>203</v>
      </c>
    </row>
    <row r="166">
      <c r="A166" s="11" t="s">
        <v>46</v>
      </c>
      <c r="B166" s="11" t="s">
        <v>47</v>
      </c>
      <c r="C166" s="11" t="s">
        <v>48</v>
      </c>
      <c r="D166" s="11" t="s">
        <v>49</v>
      </c>
      <c r="E166" s="11" t="s">
        <v>201</v>
      </c>
      <c r="F166" s="12" t="n">
        <v>26750.0</v>
      </c>
      <c r="G166" s="13" t="s">
        <v>50</v>
      </c>
      <c r="H166" s="14" t="s">
        <v>248</v>
      </c>
      <c r="I166" s="13" t="s">
        <v>50</v>
      </c>
      <c r="J166" s="14" t="s">
        <v>249</v>
      </c>
      <c r="K166" s="13" t="s">
        <v>55</v>
      </c>
      <c r="L166" s="14" t="s">
        <v>140</v>
      </c>
      <c r="M166" s="13" t="s">
        <v>215</v>
      </c>
      <c r="N166" s="14" t="s">
        <v>87</v>
      </c>
      <c r="O166" s="13" t="s">
        <v>215</v>
      </c>
      <c r="P166" s="14" t="s">
        <v>85</v>
      </c>
      <c r="Q166" s="13" t="s">
        <v>204</v>
      </c>
      <c r="R166" s="14" t="s">
        <v>116</v>
      </c>
      <c r="S166" s="15" t="n">
        <f>127.22</f>
        <v>127.22</v>
      </c>
      <c r="T166" s="16" t="n">
        <f>13815</f>
        <v>13815.0</v>
      </c>
      <c r="U166" s="16" t="n">
        <v>6676.0</v>
      </c>
      <c r="V166" s="16" t="n">
        <f>1817925000</f>
        <v>1.817925E9</v>
      </c>
      <c r="W166" s="16" t="n">
        <v>1.184622E9</v>
      </c>
      <c r="X166" s="16" t="str">
        <f>"－"</f>
        <v>－</v>
      </c>
      <c r="Y166" s="13"/>
      <c r="Z166" s="17" t="n">
        <f>6286</f>
        <v>6286.0</v>
      </c>
      <c r="AA166" s="18" t="n">
        <f>18</f>
        <v>18.0</v>
      </c>
      <c r="AB166" s="11" t="s">
        <v>203</v>
      </c>
    </row>
    <row r="167">
      <c r="A167" s="11" t="s">
        <v>46</v>
      </c>
      <c r="B167" s="11" t="s">
        <v>47</v>
      </c>
      <c r="C167" s="11" t="s">
        <v>48</v>
      </c>
      <c r="D167" s="11" t="s">
        <v>49</v>
      </c>
      <c r="E167" s="11" t="s">
        <v>201</v>
      </c>
      <c r="F167" s="12" t="n">
        <v>26875.0</v>
      </c>
      <c r="G167" s="13" t="s">
        <v>50</v>
      </c>
      <c r="H167" s="14" t="s">
        <v>250</v>
      </c>
      <c r="I167" s="13" t="s">
        <v>50</v>
      </c>
      <c r="J167" s="14" t="s">
        <v>250</v>
      </c>
      <c r="K167" s="13" t="s">
        <v>50</v>
      </c>
      <c r="L167" s="14" t="s">
        <v>251</v>
      </c>
      <c r="M167" s="13" t="s">
        <v>215</v>
      </c>
      <c r="N167" s="14" t="s">
        <v>184</v>
      </c>
      <c r="O167" s="13" t="s">
        <v>211</v>
      </c>
      <c r="P167" s="14" t="s">
        <v>90</v>
      </c>
      <c r="Q167" s="13" t="s">
        <v>204</v>
      </c>
      <c r="R167" s="14" t="s">
        <v>115</v>
      </c>
      <c r="S167" s="15" t="n">
        <f>137.78</f>
        <v>137.78</v>
      </c>
      <c r="T167" s="16" t="n">
        <f>4690</f>
        <v>4690.0</v>
      </c>
      <c r="U167" s="16" t="n">
        <v>499.0</v>
      </c>
      <c r="V167" s="16" t="n">
        <f>563629609</f>
        <v>5.63629609E8</v>
      </c>
      <c r="W167" s="16" t="n">
        <v>1.45254609E8</v>
      </c>
      <c r="X167" s="16" t="str">
        <f>"－"</f>
        <v>－</v>
      </c>
      <c r="Y167" s="13"/>
      <c r="Z167" s="17" t="n">
        <f>374</f>
        <v>374.0</v>
      </c>
      <c r="AA167" s="18" t="n">
        <f>18</f>
        <v>18.0</v>
      </c>
      <c r="AB167" s="11" t="s">
        <v>203</v>
      </c>
    </row>
    <row r="168">
      <c r="A168" s="11" t="s">
        <v>46</v>
      </c>
      <c r="B168" s="11" t="s">
        <v>47</v>
      </c>
      <c r="C168" s="11" t="s">
        <v>48</v>
      </c>
      <c r="D168" s="11" t="s">
        <v>49</v>
      </c>
      <c r="E168" s="11" t="s">
        <v>201</v>
      </c>
      <c r="F168" s="12" t="n">
        <v>27000.0</v>
      </c>
      <c r="G168" s="13" t="s">
        <v>50</v>
      </c>
      <c r="H168" s="14" t="s">
        <v>252</v>
      </c>
      <c r="I168" s="13" t="s">
        <v>50</v>
      </c>
      <c r="J168" s="14" t="s">
        <v>252</v>
      </c>
      <c r="K168" s="13" t="s">
        <v>50</v>
      </c>
      <c r="L168" s="14" t="s">
        <v>253</v>
      </c>
      <c r="M168" s="13" t="s">
        <v>215</v>
      </c>
      <c r="N168" s="14" t="s">
        <v>93</v>
      </c>
      <c r="O168" s="13" t="s">
        <v>215</v>
      </c>
      <c r="P168" s="14" t="s">
        <v>93</v>
      </c>
      <c r="Q168" s="13" t="s">
        <v>204</v>
      </c>
      <c r="R168" s="14" t="s">
        <v>117</v>
      </c>
      <c r="S168" s="15" t="n">
        <f>144.67</f>
        <v>144.67</v>
      </c>
      <c r="T168" s="16" t="n">
        <f>34504</f>
        <v>34504.0</v>
      </c>
      <c r="U168" s="16" t="n">
        <v>10464.0</v>
      </c>
      <c r="V168" s="16" t="n">
        <f>4382044138</f>
        <v>4.382044138E9</v>
      </c>
      <c r="W168" s="16" t="n">
        <v>1.621776138E9</v>
      </c>
      <c r="X168" s="16" t="str">
        <f>"－"</f>
        <v>－</v>
      </c>
      <c r="Y168" s="13"/>
      <c r="Z168" s="17" t="n">
        <f>9241</f>
        <v>9241.0</v>
      </c>
      <c r="AA168" s="18" t="n">
        <f>18</f>
        <v>18.0</v>
      </c>
      <c r="AB168" s="11" t="s">
        <v>203</v>
      </c>
    </row>
    <row r="169">
      <c r="A169" s="11" t="s">
        <v>46</v>
      </c>
      <c r="B169" s="11" t="s">
        <v>47</v>
      </c>
      <c r="C169" s="11" t="s">
        <v>48</v>
      </c>
      <c r="D169" s="11" t="s">
        <v>49</v>
      </c>
      <c r="E169" s="11" t="s">
        <v>201</v>
      </c>
      <c r="F169" s="12" t="n">
        <v>27125.0</v>
      </c>
      <c r="G169" s="13" t="s">
        <v>50</v>
      </c>
      <c r="H169" s="14" t="s">
        <v>254</v>
      </c>
      <c r="I169" s="13" t="s">
        <v>50</v>
      </c>
      <c r="J169" s="14" t="s">
        <v>254</v>
      </c>
      <c r="K169" s="13" t="s">
        <v>50</v>
      </c>
      <c r="L169" s="14" t="s">
        <v>154</v>
      </c>
      <c r="M169" s="13" t="s">
        <v>215</v>
      </c>
      <c r="N169" s="14" t="s">
        <v>92</v>
      </c>
      <c r="O169" s="13" t="s">
        <v>215</v>
      </c>
      <c r="P169" s="14" t="s">
        <v>88</v>
      </c>
      <c r="Q169" s="13" t="s">
        <v>204</v>
      </c>
      <c r="R169" s="14" t="s">
        <v>119</v>
      </c>
      <c r="S169" s="15" t="n">
        <f>162.67</f>
        <v>162.67</v>
      </c>
      <c r="T169" s="16" t="n">
        <f>6932</f>
        <v>6932.0</v>
      </c>
      <c r="U169" s="16" t="n">
        <v>1283.0</v>
      </c>
      <c r="V169" s="16" t="n">
        <f>774956040</f>
        <v>7.7495604E8</v>
      </c>
      <c r="W169" s="16" t="n">
        <v>1.6321804E8</v>
      </c>
      <c r="X169" s="16" t="str">
        <f>"－"</f>
        <v>－</v>
      </c>
      <c r="Y169" s="13"/>
      <c r="Z169" s="17" t="n">
        <f>635</f>
        <v>635.0</v>
      </c>
      <c r="AA169" s="18" t="n">
        <f>18</f>
        <v>18.0</v>
      </c>
      <c r="AB169" s="11" t="s">
        <v>203</v>
      </c>
    </row>
    <row r="170">
      <c r="A170" s="11" t="s">
        <v>46</v>
      </c>
      <c r="B170" s="11" t="s">
        <v>47</v>
      </c>
      <c r="C170" s="11" t="s">
        <v>48</v>
      </c>
      <c r="D170" s="11" t="s">
        <v>49</v>
      </c>
      <c r="E170" s="11" t="s">
        <v>201</v>
      </c>
      <c r="F170" s="12" t="n">
        <v>27250.0</v>
      </c>
      <c r="G170" s="13" t="s">
        <v>50</v>
      </c>
      <c r="H170" s="14" t="s">
        <v>255</v>
      </c>
      <c r="I170" s="13" t="s">
        <v>50</v>
      </c>
      <c r="J170" s="14" t="s">
        <v>256</v>
      </c>
      <c r="K170" s="13" t="s">
        <v>63</v>
      </c>
      <c r="L170" s="14" t="s">
        <v>257</v>
      </c>
      <c r="M170" s="13" t="s">
        <v>215</v>
      </c>
      <c r="N170" s="14" t="s">
        <v>95</v>
      </c>
      <c r="O170" s="13" t="s">
        <v>215</v>
      </c>
      <c r="P170" s="14" t="s">
        <v>95</v>
      </c>
      <c r="Q170" s="13" t="s">
        <v>204</v>
      </c>
      <c r="R170" s="14" t="s">
        <v>121</v>
      </c>
      <c r="S170" s="15" t="n">
        <f>168.06</f>
        <v>168.06</v>
      </c>
      <c r="T170" s="16" t="n">
        <f>8498</f>
        <v>8498.0</v>
      </c>
      <c r="U170" s="16" t="n">
        <v>546.0</v>
      </c>
      <c r="V170" s="16" t="n">
        <f>951544000</f>
        <v>9.51544E8</v>
      </c>
      <c r="W170" s="16" t="n">
        <v>5.875E7</v>
      </c>
      <c r="X170" s="16" t="str">
        <f>"－"</f>
        <v>－</v>
      </c>
      <c r="Y170" s="13"/>
      <c r="Z170" s="17" t="n">
        <f>1339</f>
        <v>1339.0</v>
      </c>
      <c r="AA170" s="18" t="n">
        <f>18</f>
        <v>18.0</v>
      </c>
      <c r="AB170" s="11" t="s">
        <v>203</v>
      </c>
    </row>
    <row r="171">
      <c r="A171" s="11" t="s">
        <v>46</v>
      </c>
      <c r="B171" s="11" t="s">
        <v>47</v>
      </c>
      <c r="C171" s="11" t="s">
        <v>48</v>
      </c>
      <c r="D171" s="11" t="s">
        <v>49</v>
      </c>
      <c r="E171" s="11" t="s">
        <v>201</v>
      </c>
      <c r="F171" s="12" t="n">
        <v>27375.0</v>
      </c>
      <c r="G171" s="13" t="s">
        <v>55</v>
      </c>
      <c r="H171" s="14" t="s">
        <v>150</v>
      </c>
      <c r="I171" s="13" t="s">
        <v>55</v>
      </c>
      <c r="J171" s="14" t="s">
        <v>150</v>
      </c>
      <c r="K171" s="13" t="s">
        <v>58</v>
      </c>
      <c r="L171" s="14" t="s">
        <v>137</v>
      </c>
      <c r="M171" s="13" t="s">
        <v>215</v>
      </c>
      <c r="N171" s="14" t="s">
        <v>96</v>
      </c>
      <c r="O171" s="13" t="s">
        <v>204</v>
      </c>
      <c r="P171" s="14" t="s">
        <v>189</v>
      </c>
      <c r="Q171" s="13" t="s">
        <v>204</v>
      </c>
      <c r="R171" s="14" t="s">
        <v>126</v>
      </c>
      <c r="S171" s="15" t="n">
        <f>161.41</f>
        <v>161.41</v>
      </c>
      <c r="T171" s="16" t="n">
        <f>5709</f>
        <v>5709.0</v>
      </c>
      <c r="U171" s="16" t="n">
        <v>198.0</v>
      </c>
      <c r="V171" s="16" t="n">
        <f>618199000</f>
        <v>6.18199E8</v>
      </c>
      <c r="W171" s="16" t="n">
        <v>1.9914E7</v>
      </c>
      <c r="X171" s="16" t="str">
        <f>"－"</f>
        <v>－</v>
      </c>
      <c r="Y171" s="13"/>
      <c r="Z171" s="17" t="n">
        <f>491</f>
        <v>491.0</v>
      </c>
      <c r="AA171" s="18" t="n">
        <f>17</f>
        <v>17.0</v>
      </c>
      <c r="AB171" s="11" t="s">
        <v>203</v>
      </c>
    </row>
    <row r="172">
      <c r="A172" s="11" t="s">
        <v>46</v>
      </c>
      <c r="B172" s="11" t="s">
        <v>47</v>
      </c>
      <c r="C172" s="11" t="s">
        <v>48</v>
      </c>
      <c r="D172" s="11" t="s">
        <v>49</v>
      </c>
      <c r="E172" s="11" t="s">
        <v>201</v>
      </c>
      <c r="F172" s="12" t="n">
        <v>27500.0</v>
      </c>
      <c r="G172" s="13" t="s">
        <v>50</v>
      </c>
      <c r="H172" s="14" t="s">
        <v>258</v>
      </c>
      <c r="I172" s="13" t="s">
        <v>50</v>
      </c>
      <c r="J172" s="14" t="s">
        <v>170</v>
      </c>
      <c r="K172" s="13" t="s">
        <v>50</v>
      </c>
      <c r="L172" s="14" t="s">
        <v>259</v>
      </c>
      <c r="M172" s="13" t="s">
        <v>215</v>
      </c>
      <c r="N172" s="14" t="s">
        <v>260</v>
      </c>
      <c r="O172" s="13" t="s">
        <v>215</v>
      </c>
      <c r="P172" s="14" t="s">
        <v>260</v>
      </c>
      <c r="Q172" s="13" t="s">
        <v>204</v>
      </c>
      <c r="R172" s="14" t="s">
        <v>261</v>
      </c>
      <c r="S172" s="15" t="n">
        <f>193.78</f>
        <v>193.78</v>
      </c>
      <c r="T172" s="16" t="n">
        <f>33120</f>
        <v>33120.0</v>
      </c>
      <c r="U172" s="16" t="n">
        <v>14895.0</v>
      </c>
      <c r="V172" s="16" t="n">
        <f>5971325000</f>
        <v>5.971325E9</v>
      </c>
      <c r="W172" s="16" t="n">
        <v>3.39782E9</v>
      </c>
      <c r="X172" s="16" t="str">
        <f>"－"</f>
        <v>－</v>
      </c>
      <c r="Y172" s="13"/>
      <c r="Z172" s="17" t="n">
        <f>5062</f>
        <v>5062.0</v>
      </c>
      <c r="AA172" s="18" t="n">
        <f>18</f>
        <v>18.0</v>
      </c>
      <c r="AB172" s="11" t="s">
        <v>203</v>
      </c>
    </row>
    <row r="173">
      <c r="A173" s="11" t="s">
        <v>46</v>
      </c>
      <c r="B173" s="11" t="s">
        <v>47</v>
      </c>
      <c r="C173" s="11" t="s">
        <v>48</v>
      </c>
      <c r="D173" s="11" t="s">
        <v>49</v>
      </c>
      <c r="E173" s="11" t="s">
        <v>201</v>
      </c>
      <c r="F173" s="12" t="n">
        <v>27625.0</v>
      </c>
      <c r="G173" s="13" t="s">
        <v>50</v>
      </c>
      <c r="H173" s="14" t="s">
        <v>262</v>
      </c>
      <c r="I173" s="13" t="s">
        <v>50</v>
      </c>
      <c r="J173" s="14" t="s">
        <v>263</v>
      </c>
      <c r="K173" s="13" t="s">
        <v>50</v>
      </c>
      <c r="L173" s="14" t="s">
        <v>263</v>
      </c>
      <c r="M173" s="13" t="s">
        <v>215</v>
      </c>
      <c r="N173" s="14" t="s">
        <v>97</v>
      </c>
      <c r="O173" s="13" t="s">
        <v>204</v>
      </c>
      <c r="P173" s="14" t="s">
        <v>264</v>
      </c>
      <c r="Q173" s="13" t="s">
        <v>204</v>
      </c>
      <c r="R173" s="14" t="s">
        <v>265</v>
      </c>
      <c r="S173" s="15" t="n">
        <f>221.5</f>
        <v>221.5</v>
      </c>
      <c r="T173" s="16" t="n">
        <f>5125</f>
        <v>5125.0</v>
      </c>
      <c r="U173" s="16" t="n">
        <v>229.0</v>
      </c>
      <c r="V173" s="16" t="n">
        <f>759274000</f>
        <v>7.59274E8</v>
      </c>
      <c r="W173" s="16" t="n">
        <v>6.6355E7</v>
      </c>
      <c r="X173" s="16" t="str">
        <f>"－"</f>
        <v>－</v>
      </c>
      <c r="Y173" s="13"/>
      <c r="Z173" s="17" t="n">
        <f>484</f>
        <v>484.0</v>
      </c>
      <c r="AA173" s="18" t="n">
        <f>18</f>
        <v>18.0</v>
      </c>
      <c r="AB173" s="11" t="s">
        <v>203</v>
      </c>
    </row>
    <row r="174">
      <c r="A174" s="11" t="s">
        <v>46</v>
      </c>
      <c r="B174" s="11" t="s">
        <v>47</v>
      </c>
      <c r="C174" s="11" t="s">
        <v>48</v>
      </c>
      <c r="D174" s="11" t="s">
        <v>49</v>
      </c>
      <c r="E174" s="11" t="s">
        <v>201</v>
      </c>
      <c r="F174" s="12" t="n">
        <v>27750.0</v>
      </c>
      <c r="G174" s="13" t="s">
        <v>50</v>
      </c>
      <c r="H174" s="14" t="s">
        <v>262</v>
      </c>
      <c r="I174" s="13" t="s">
        <v>50</v>
      </c>
      <c r="J174" s="14" t="s">
        <v>168</v>
      </c>
      <c r="K174" s="13" t="s">
        <v>50</v>
      </c>
      <c r="L174" s="14" t="s">
        <v>266</v>
      </c>
      <c r="M174" s="13" t="s">
        <v>215</v>
      </c>
      <c r="N174" s="14" t="s">
        <v>267</v>
      </c>
      <c r="O174" s="13" t="s">
        <v>204</v>
      </c>
      <c r="P174" s="14" t="s">
        <v>188</v>
      </c>
      <c r="Q174" s="13" t="s">
        <v>204</v>
      </c>
      <c r="R174" s="14" t="s">
        <v>233</v>
      </c>
      <c r="S174" s="15" t="n">
        <f>225.89</f>
        <v>225.89</v>
      </c>
      <c r="T174" s="16" t="n">
        <f>13015</f>
        <v>13015.0</v>
      </c>
      <c r="U174" s="16" t="n">
        <v>4205.0</v>
      </c>
      <c r="V174" s="16" t="n">
        <f>3186228300</f>
        <v>3.1862283E9</v>
      </c>
      <c r="W174" s="16" t="n">
        <v>1.8084903E9</v>
      </c>
      <c r="X174" s="16" t="str">
        <f>"－"</f>
        <v>－</v>
      </c>
      <c r="Y174" s="13"/>
      <c r="Z174" s="17" t="n">
        <f>4031</f>
        <v>4031.0</v>
      </c>
      <c r="AA174" s="18" t="n">
        <f>18</f>
        <v>18.0</v>
      </c>
      <c r="AB174" s="11" t="s">
        <v>203</v>
      </c>
    </row>
    <row r="175">
      <c r="A175" s="11" t="s">
        <v>46</v>
      </c>
      <c r="B175" s="11" t="s">
        <v>47</v>
      </c>
      <c r="C175" s="11" t="s">
        <v>48</v>
      </c>
      <c r="D175" s="11" t="s">
        <v>49</v>
      </c>
      <c r="E175" s="11" t="s">
        <v>201</v>
      </c>
      <c r="F175" s="12" t="n">
        <v>27875.0</v>
      </c>
      <c r="G175" s="13" t="s">
        <v>50</v>
      </c>
      <c r="H175" s="14" t="s">
        <v>268</v>
      </c>
      <c r="I175" s="13" t="s">
        <v>50</v>
      </c>
      <c r="J175" s="14" t="s">
        <v>268</v>
      </c>
      <c r="K175" s="13" t="s">
        <v>58</v>
      </c>
      <c r="L175" s="14" t="s">
        <v>190</v>
      </c>
      <c r="M175" s="13" t="s">
        <v>215</v>
      </c>
      <c r="N175" s="14" t="s">
        <v>269</v>
      </c>
      <c r="O175" s="13" t="s">
        <v>204</v>
      </c>
      <c r="P175" s="14" t="s">
        <v>270</v>
      </c>
      <c r="Q175" s="13" t="s">
        <v>204</v>
      </c>
      <c r="R175" s="14" t="s">
        <v>265</v>
      </c>
      <c r="S175" s="15" t="n">
        <f>246.22</f>
        <v>246.22</v>
      </c>
      <c r="T175" s="16" t="n">
        <f>4232</f>
        <v>4232.0</v>
      </c>
      <c r="U175" s="16" t="n">
        <v>144.0</v>
      </c>
      <c r="V175" s="16" t="n">
        <f>730178000</f>
        <v>7.30178E8</v>
      </c>
      <c r="W175" s="16" t="n">
        <v>1.6861E7</v>
      </c>
      <c r="X175" s="16" t="str">
        <f>"－"</f>
        <v>－</v>
      </c>
      <c r="Y175" s="13"/>
      <c r="Z175" s="17" t="n">
        <f>411</f>
        <v>411.0</v>
      </c>
      <c r="AA175" s="18" t="n">
        <f>18</f>
        <v>18.0</v>
      </c>
      <c r="AB175" s="11" t="s">
        <v>203</v>
      </c>
    </row>
    <row r="176">
      <c r="A176" s="11" t="s">
        <v>46</v>
      </c>
      <c r="B176" s="11" t="s">
        <v>47</v>
      </c>
      <c r="C176" s="11" t="s">
        <v>48</v>
      </c>
      <c r="D176" s="11" t="s">
        <v>49</v>
      </c>
      <c r="E176" s="11" t="s">
        <v>201</v>
      </c>
      <c r="F176" s="12" t="n">
        <v>28000.0</v>
      </c>
      <c r="G176" s="13" t="s">
        <v>50</v>
      </c>
      <c r="H176" s="14" t="s">
        <v>271</v>
      </c>
      <c r="I176" s="13" t="s">
        <v>50</v>
      </c>
      <c r="J176" s="14" t="s">
        <v>272</v>
      </c>
      <c r="K176" s="13" t="s">
        <v>50</v>
      </c>
      <c r="L176" s="14" t="s">
        <v>273</v>
      </c>
      <c r="M176" s="13" t="s">
        <v>215</v>
      </c>
      <c r="N176" s="14" t="s">
        <v>103</v>
      </c>
      <c r="O176" s="13" t="s">
        <v>50</v>
      </c>
      <c r="P176" s="14" t="s">
        <v>51</v>
      </c>
      <c r="Q176" s="13" t="s">
        <v>204</v>
      </c>
      <c r="R176" s="14" t="s">
        <v>274</v>
      </c>
      <c r="S176" s="15" t="n">
        <f>265.94</f>
        <v>265.94</v>
      </c>
      <c r="T176" s="16" t="n">
        <f>31285</f>
        <v>31285.0</v>
      </c>
      <c r="U176" s="16" t="n">
        <v>10907.0</v>
      </c>
      <c r="V176" s="16" t="n">
        <f>5606110638</f>
        <v>5.606110638E9</v>
      </c>
      <c r="W176" s="16" t="n">
        <v>2.045015638E9</v>
      </c>
      <c r="X176" s="16" t="str">
        <f>"－"</f>
        <v>－</v>
      </c>
      <c r="Y176" s="13"/>
      <c r="Z176" s="17" t="n">
        <f>7756</f>
        <v>7756.0</v>
      </c>
      <c r="AA176" s="18" t="n">
        <f>18</f>
        <v>18.0</v>
      </c>
      <c r="AB176" s="11" t="s">
        <v>203</v>
      </c>
    </row>
    <row r="177">
      <c r="A177" s="11" t="s">
        <v>46</v>
      </c>
      <c r="B177" s="11" t="s">
        <v>47</v>
      </c>
      <c r="C177" s="11" t="s">
        <v>48</v>
      </c>
      <c r="D177" s="11" t="s">
        <v>49</v>
      </c>
      <c r="E177" s="11" t="s">
        <v>201</v>
      </c>
      <c r="F177" s="12" t="n">
        <v>28125.0</v>
      </c>
      <c r="G177" s="13" t="s">
        <v>50</v>
      </c>
      <c r="H177" s="14" t="s">
        <v>275</v>
      </c>
      <c r="I177" s="13" t="s">
        <v>50</v>
      </c>
      <c r="J177" s="14" t="s">
        <v>275</v>
      </c>
      <c r="K177" s="13" t="s">
        <v>58</v>
      </c>
      <c r="L177" s="14" t="s">
        <v>243</v>
      </c>
      <c r="M177" s="13" t="s">
        <v>215</v>
      </c>
      <c r="N177" s="14" t="s">
        <v>276</v>
      </c>
      <c r="O177" s="13" t="s">
        <v>215</v>
      </c>
      <c r="P177" s="14" t="s">
        <v>277</v>
      </c>
      <c r="Q177" s="13" t="s">
        <v>204</v>
      </c>
      <c r="R177" s="14" t="s">
        <v>185</v>
      </c>
      <c r="S177" s="15" t="n">
        <f>283.44</f>
        <v>283.44</v>
      </c>
      <c r="T177" s="16" t="n">
        <f>4576</f>
        <v>4576.0</v>
      </c>
      <c r="U177" s="16" t="n">
        <v>478.0</v>
      </c>
      <c r="V177" s="16" t="n">
        <f>876176000</f>
        <v>8.76176E8</v>
      </c>
      <c r="W177" s="16" t="n">
        <v>9.7973E7</v>
      </c>
      <c r="X177" s="16" t="str">
        <f>"－"</f>
        <v>－</v>
      </c>
      <c r="Y177" s="13"/>
      <c r="Z177" s="17" t="n">
        <f>549</f>
        <v>549.0</v>
      </c>
      <c r="AA177" s="18" t="n">
        <f>18</f>
        <v>18.0</v>
      </c>
      <c r="AB177" s="11" t="s">
        <v>203</v>
      </c>
    </row>
    <row r="178">
      <c r="A178" s="11" t="s">
        <v>46</v>
      </c>
      <c r="B178" s="11" t="s">
        <v>47</v>
      </c>
      <c r="C178" s="11" t="s">
        <v>48</v>
      </c>
      <c r="D178" s="11" t="s">
        <v>49</v>
      </c>
      <c r="E178" s="11" t="s">
        <v>201</v>
      </c>
      <c r="F178" s="12" t="n">
        <v>28250.0</v>
      </c>
      <c r="G178" s="13" t="s">
        <v>50</v>
      </c>
      <c r="H178" s="14" t="s">
        <v>278</v>
      </c>
      <c r="I178" s="13" t="s">
        <v>50</v>
      </c>
      <c r="J178" s="14" t="s">
        <v>278</v>
      </c>
      <c r="K178" s="13" t="s">
        <v>204</v>
      </c>
      <c r="L178" s="14" t="s">
        <v>180</v>
      </c>
      <c r="M178" s="13" t="s">
        <v>215</v>
      </c>
      <c r="N178" s="14" t="s">
        <v>277</v>
      </c>
      <c r="O178" s="13" t="s">
        <v>204</v>
      </c>
      <c r="P178" s="14" t="s">
        <v>225</v>
      </c>
      <c r="Q178" s="13" t="s">
        <v>204</v>
      </c>
      <c r="R178" s="14" t="s">
        <v>138</v>
      </c>
      <c r="S178" s="15" t="n">
        <f>314.89</f>
        <v>314.89</v>
      </c>
      <c r="T178" s="16" t="n">
        <f>6360</f>
        <v>6360.0</v>
      </c>
      <c r="U178" s="16" t="n">
        <v>275.0</v>
      </c>
      <c r="V178" s="16" t="n">
        <f>1296868000</f>
        <v>1.296868E9</v>
      </c>
      <c r="W178" s="16" t="n">
        <v>5.1E7</v>
      </c>
      <c r="X178" s="16" t="str">
        <f>"－"</f>
        <v>－</v>
      </c>
      <c r="Y178" s="13"/>
      <c r="Z178" s="17" t="n">
        <f>1145</f>
        <v>1145.0</v>
      </c>
      <c r="AA178" s="18" t="n">
        <f>18</f>
        <v>18.0</v>
      </c>
      <c r="AB178" s="11" t="s">
        <v>203</v>
      </c>
    </row>
    <row r="179">
      <c r="A179" s="11" t="s">
        <v>46</v>
      </c>
      <c r="B179" s="11" t="s">
        <v>47</v>
      </c>
      <c r="C179" s="11" t="s">
        <v>48</v>
      </c>
      <c r="D179" s="11" t="s">
        <v>49</v>
      </c>
      <c r="E179" s="11" t="s">
        <v>201</v>
      </c>
      <c r="F179" s="12" t="n">
        <v>28375.0</v>
      </c>
      <c r="G179" s="13" t="s">
        <v>50</v>
      </c>
      <c r="H179" s="14" t="s">
        <v>198</v>
      </c>
      <c r="I179" s="13" t="s">
        <v>50</v>
      </c>
      <c r="J179" s="14" t="s">
        <v>198</v>
      </c>
      <c r="K179" s="13" t="s">
        <v>60</v>
      </c>
      <c r="L179" s="14" t="s">
        <v>255</v>
      </c>
      <c r="M179" s="13" t="s">
        <v>215</v>
      </c>
      <c r="N179" s="14" t="s">
        <v>227</v>
      </c>
      <c r="O179" s="13" t="s">
        <v>211</v>
      </c>
      <c r="P179" s="14" t="s">
        <v>115</v>
      </c>
      <c r="Q179" s="13" t="s">
        <v>204</v>
      </c>
      <c r="R179" s="14" t="s">
        <v>140</v>
      </c>
      <c r="S179" s="15" t="n">
        <f>332.47</f>
        <v>332.47</v>
      </c>
      <c r="T179" s="16" t="n">
        <f>5049</f>
        <v>5049.0</v>
      </c>
      <c r="U179" s="16" t="n">
        <v>117.0</v>
      </c>
      <c r="V179" s="16" t="n">
        <f>1106622000</f>
        <v>1.106622E9</v>
      </c>
      <c r="W179" s="16" t="n">
        <v>2.516E7</v>
      </c>
      <c r="X179" s="16" t="str">
        <f>"－"</f>
        <v>－</v>
      </c>
      <c r="Y179" s="13"/>
      <c r="Z179" s="17" t="n">
        <f>1055</f>
        <v>1055.0</v>
      </c>
      <c r="AA179" s="18" t="n">
        <f>17</f>
        <v>17.0</v>
      </c>
      <c r="AB179" s="11" t="s">
        <v>203</v>
      </c>
    </row>
    <row r="180">
      <c r="A180" s="11" t="s">
        <v>46</v>
      </c>
      <c r="B180" s="11" t="s">
        <v>47</v>
      </c>
      <c r="C180" s="11" t="s">
        <v>48</v>
      </c>
      <c r="D180" s="11" t="s">
        <v>49</v>
      </c>
      <c r="E180" s="11" t="s">
        <v>201</v>
      </c>
      <c r="F180" s="12" t="n">
        <v>28500.0</v>
      </c>
      <c r="G180" s="13" t="s">
        <v>55</v>
      </c>
      <c r="H180" s="14" t="s">
        <v>279</v>
      </c>
      <c r="I180" s="13" t="s">
        <v>55</v>
      </c>
      <c r="J180" s="14" t="s">
        <v>279</v>
      </c>
      <c r="K180" s="13" t="s">
        <v>63</v>
      </c>
      <c r="L180" s="14" t="s">
        <v>258</v>
      </c>
      <c r="M180" s="13" t="s">
        <v>211</v>
      </c>
      <c r="N180" s="14" t="s">
        <v>115</v>
      </c>
      <c r="O180" s="13" t="s">
        <v>211</v>
      </c>
      <c r="P180" s="14" t="s">
        <v>115</v>
      </c>
      <c r="Q180" s="13" t="s">
        <v>204</v>
      </c>
      <c r="R180" s="14" t="s">
        <v>241</v>
      </c>
      <c r="S180" s="15" t="n">
        <f>321.18</f>
        <v>321.18</v>
      </c>
      <c r="T180" s="16" t="n">
        <f>24091</f>
        <v>24091.0</v>
      </c>
      <c r="U180" s="16" t="n">
        <v>6876.0</v>
      </c>
      <c r="V180" s="16" t="n">
        <f>5924599440</f>
        <v>5.92459944E9</v>
      </c>
      <c r="W180" s="16" t="n">
        <v>1.88344944E9</v>
      </c>
      <c r="X180" s="16" t="str">
        <f>"－"</f>
        <v>－</v>
      </c>
      <c r="Y180" s="13"/>
      <c r="Z180" s="17" t="n">
        <f>4739</f>
        <v>4739.0</v>
      </c>
      <c r="AA180" s="18" t="n">
        <f>17</f>
        <v>17.0</v>
      </c>
      <c r="AB180" s="11" t="s">
        <v>203</v>
      </c>
    </row>
    <row r="181">
      <c r="A181" s="11" t="s">
        <v>46</v>
      </c>
      <c r="B181" s="11" t="s">
        <v>47</v>
      </c>
      <c r="C181" s="11" t="s">
        <v>48</v>
      </c>
      <c r="D181" s="11" t="s">
        <v>49</v>
      </c>
      <c r="E181" s="11" t="s">
        <v>201</v>
      </c>
      <c r="F181" s="12" t="n">
        <v>28625.0</v>
      </c>
      <c r="G181" s="13" t="s">
        <v>55</v>
      </c>
      <c r="H181" s="14" t="s">
        <v>280</v>
      </c>
      <c r="I181" s="13" t="s">
        <v>55</v>
      </c>
      <c r="J181" s="14" t="s">
        <v>272</v>
      </c>
      <c r="K181" s="13" t="s">
        <v>60</v>
      </c>
      <c r="L181" s="14" t="s">
        <v>281</v>
      </c>
      <c r="M181" s="13" t="s">
        <v>215</v>
      </c>
      <c r="N181" s="14" t="s">
        <v>118</v>
      </c>
      <c r="O181" s="13" t="s">
        <v>211</v>
      </c>
      <c r="P181" s="14" t="s">
        <v>118</v>
      </c>
      <c r="Q181" s="13" t="s">
        <v>204</v>
      </c>
      <c r="R181" s="14" t="s">
        <v>282</v>
      </c>
      <c r="S181" s="15" t="n">
        <f>362.94</f>
        <v>362.94</v>
      </c>
      <c r="T181" s="16" t="n">
        <f>5448</f>
        <v>5448.0</v>
      </c>
      <c r="U181" s="16" t="n">
        <v>108.0</v>
      </c>
      <c r="V181" s="16" t="n">
        <f>1418945000</f>
        <v>1.418945E9</v>
      </c>
      <c r="W181" s="16" t="n">
        <v>2.36E7</v>
      </c>
      <c r="X181" s="16" t="str">
        <f>"－"</f>
        <v>－</v>
      </c>
      <c r="Y181" s="13"/>
      <c r="Z181" s="17" t="n">
        <f>903</f>
        <v>903.0</v>
      </c>
      <c r="AA181" s="18" t="n">
        <f>17</f>
        <v>17.0</v>
      </c>
      <c r="AB181" s="11" t="s">
        <v>203</v>
      </c>
    </row>
    <row r="182">
      <c r="A182" s="11" t="s">
        <v>46</v>
      </c>
      <c r="B182" s="11" t="s">
        <v>47</v>
      </c>
      <c r="C182" s="11" t="s">
        <v>48</v>
      </c>
      <c r="D182" s="11" t="s">
        <v>49</v>
      </c>
      <c r="E182" s="11" t="s">
        <v>201</v>
      </c>
      <c r="F182" s="12" t="n">
        <v>28750.0</v>
      </c>
      <c r="G182" s="13" t="s">
        <v>63</v>
      </c>
      <c r="H182" s="14" t="s">
        <v>283</v>
      </c>
      <c r="I182" s="13" t="s">
        <v>63</v>
      </c>
      <c r="J182" s="14" t="s">
        <v>283</v>
      </c>
      <c r="K182" s="13" t="s">
        <v>58</v>
      </c>
      <c r="L182" s="14" t="s">
        <v>284</v>
      </c>
      <c r="M182" s="13" t="s">
        <v>211</v>
      </c>
      <c r="N182" s="14" t="s">
        <v>122</v>
      </c>
      <c r="O182" s="13" t="s">
        <v>211</v>
      </c>
      <c r="P182" s="14" t="s">
        <v>122</v>
      </c>
      <c r="Q182" s="13" t="s">
        <v>204</v>
      </c>
      <c r="R182" s="14" t="s">
        <v>182</v>
      </c>
      <c r="S182" s="15" t="n">
        <f>346.88</f>
        <v>346.88</v>
      </c>
      <c r="T182" s="16" t="n">
        <f>7937</f>
        <v>7937.0</v>
      </c>
      <c r="U182" s="16" t="n">
        <v>1174.0</v>
      </c>
      <c r="V182" s="16" t="n">
        <f>1965095000</f>
        <v>1.965095E9</v>
      </c>
      <c r="W182" s="16" t="n">
        <v>3.626E8</v>
      </c>
      <c r="X182" s="16" t="str">
        <f>"－"</f>
        <v>－</v>
      </c>
      <c r="Y182" s="13"/>
      <c r="Z182" s="17" t="n">
        <f>1608</f>
        <v>1608.0</v>
      </c>
      <c r="AA182" s="18" t="n">
        <f>16</f>
        <v>16.0</v>
      </c>
      <c r="AB182" s="11" t="s">
        <v>203</v>
      </c>
    </row>
    <row r="183">
      <c r="A183" s="11" t="s">
        <v>46</v>
      </c>
      <c r="B183" s="11" t="s">
        <v>47</v>
      </c>
      <c r="C183" s="11" t="s">
        <v>48</v>
      </c>
      <c r="D183" s="11" t="s">
        <v>49</v>
      </c>
      <c r="E183" s="11" t="s">
        <v>201</v>
      </c>
      <c r="F183" s="12" t="n">
        <v>28875.0</v>
      </c>
      <c r="G183" s="13" t="s">
        <v>50</v>
      </c>
      <c r="H183" s="14" t="s">
        <v>285</v>
      </c>
      <c r="I183" s="13" t="s">
        <v>50</v>
      </c>
      <c r="J183" s="14" t="s">
        <v>285</v>
      </c>
      <c r="K183" s="13" t="s">
        <v>204</v>
      </c>
      <c r="L183" s="14" t="s">
        <v>157</v>
      </c>
      <c r="M183" s="13" t="s">
        <v>211</v>
      </c>
      <c r="N183" s="14" t="s">
        <v>286</v>
      </c>
      <c r="O183" s="13" t="s">
        <v>211</v>
      </c>
      <c r="P183" s="14" t="s">
        <v>286</v>
      </c>
      <c r="Q183" s="13" t="s">
        <v>204</v>
      </c>
      <c r="R183" s="14" t="s">
        <v>196</v>
      </c>
      <c r="S183" s="15" t="n">
        <f>399</f>
        <v>399.0</v>
      </c>
      <c r="T183" s="16" t="n">
        <f>5418</f>
        <v>5418.0</v>
      </c>
      <c r="U183" s="16" t="n">
        <v>345.0</v>
      </c>
      <c r="V183" s="16" t="n">
        <f>1386130000</f>
        <v>1.38613E9</v>
      </c>
      <c r="W183" s="16" t="n">
        <v>8.3645E7</v>
      </c>
      <c r="X183" s="16" t="str">
        <f>"－"</f>
        <v>－</v>
      </c>
      <c r="Y183" s="13"/>
      <c r="Z183" s="17" t="n">
        <f>395</f>
        <v>395.0</v>
      </c>
      <c r="AA183" s="18" t="n">
        <f>15</f>
        <v>15.0</v>
      </c>
      <c r="AB183" s="11" t="s">
        <v>203</v>
      </c>
    </row>
    <row r="184">
      <c r="A184" s="11" t="s">
        <v>46</v>
      </c>
      <c r="B184" s="11" t="s">
        <v>47</v>
      </c>
      <c r="C184" s="11" t="s">
        <v>48</v>
      </c>
      <c r="D184" s="11" t="s">
        <v>49</v>
      </c>
      <c r="E184" s="11" t="s">
        <v>201</v>
      </c>
      <c r="F184" s="12" t="n">
        <v>29000.0</v>
      </c>
      <c r="G184" s="13" t="s">
        <v>63</v>
      </c>
      <c r="H184" s="14" t="s">
        <v>287</v>
      </c>
      <c r="I184" s="13" t="s">
        <v>63</v>
      </c>
      <c r="J184" s="14" t="s">
        <v>287</v>
      </c>
      <c r="K184" s="13" t="s">
        <v>204</v>
      </c>
      <c r="L184" s="14" t="s">
        <v>253</v>
      </c>
      <c r="M184" s="13" t="s">
        <v>211</v>
      </c>
      <c r="N184" s="14" t="s">
        <v>261</v>
      </c>
      <c r="O184" s="13" t="s">
        <v>288</v>
      </c>
      <c r="P184" s="14" t="s">
        <v>95</v>
      </c>
      <c r="Q184" s="13" t="s">
        <v>204</v>
      </c>
      <c r="R184" s="14" t="s">
        <v>289</v>
      </c>
      <c r="S184" s="15" t="n">
        <f>386.67</f>
        <v>386.67</v>
      </c>
      <c r="T184" s="16" t="n">
        <f>36726</f>
        <v>36726.0</v>
      </c>
      <c r="U184" s="16" t="n">
        <v>15062.0</v>
      </c>
      <c r="V184" s="16" t="n">
        <f>10254799312</f>
        <v>1.0254799312E10</v>
      </c>
      <c r="W184" s="16" t="n">
        <v>4.233004312E9</v>
      </c>
      <c r="X184" s="16" t="str">
        <f>"－"</f>
        <v>－</v>
      </c>
      <c r="Y184" s="13"/>
      <c r="Z184" s="17" t="n">
        <f>5816</f>
        <v>5816.0</v>
      </c>
      <c r="AA184" s="18" t="n">
        <f>15</f>
        <v>15.0</v>
      </c>
      <c r="AB184" s="11" t="s">
        <v>203</v>
      </c>
    </row>
    <row r="185">
      <c r="A185" s="11" t="s">
        <v>46</v>
      </c>
      <c r="B185" s="11" t="s">
        <v>47</v>
      </c>
      <c r="C185" s="11" t="s">
        <v>48</v>
      </c>
      <c r="D185" s="11" t="s">
        <v>49</v>
      </c>
      <c r="E185" s="11" t="s">
        <v>201</v>
      </c>
      <c r="F185" s="12" t="n">
        <v>29125.0</v>
      </c>
      <c r="G185" s="13" t="s">
        <v>61</v>
      </c>
      <c r="H185" s="14" t="s">
        <v>253</v>
      </c>
      <c r="I185" s="13" t="s">
        <v>204</v>
      </c>
      <c r="J185" s="14" t="s">
        <v>160</v>
      </c>
      <c r="K185" s="13" t="s">
        <v>206</v>
      </c>
      <c r="L185" s="14" t="s">
        <v>290</v>
      </c>
      <c r="M185" s="13" t="s">
        <v>211</v>
      </c>
      <c r="N185" s="14" t="s">
        <v>129</v>
      </c>
      <c r="O185" s="13" t="s">
        <v>211</v>
      </c>
      <c r="P185" s="14" t="s">
        <v>128</v>
      </c>
      <c r="Q185" s="13" t="s">
        <v>204</v>
      </c>
      <c r="R185" s="14" t="s">
        <v>244</v>
      </c>
      <c r="S185" s="15" t="n">
        <f>351.92</f>
        <v>351.92</v>
      </c>
      <c r="T185" s="16" t="n">
        <f>5201</f>
        <v>5201.0</v>
      </c>
      <c r="U185" s="16" t="n">
        <v>158.0</v>
      </c>
      <c r="V185" s="16" t="n">
        <f>1625435000</f>
        <v>1.625435E9</v>
      </c>
      <c r="W185" s="16" t="n">
        <v>3.61E7</v>
      </c>
      <c r="X185" s="16" t="str">
        <f>"－"</f>
        <v>－</v>
      </c>
      <c r="Y185" s="13"/>
      <c r="Z185" s="17" t="n">
        <f>890</f>
        <v>890.0</v>
      </c>
      <c r="AA185" s="18" t="n">
        <f>13</f>
        <v>13.0</v>
      </c>
      <c r="AB185" s="11" t="s">
        <v>203</v>
      </c>
    </row>
    <row r="186">
      <c r="A186" s="11" t="s">
        <v>46</v>
      </c>
      <c r="B186" s="11" t="s">
        <v>47</v>
      </c>
      <c r="C186" s="11" t="s">
        <v>48</v>
      </c>
      <c r="D186" s="11" t="s">
        <v>49</v>
      </c>
      <c r="E186" s="11" t="s">
        <v>201</v>
      </c>
      <c r="F186" s="12" t="n">
        <v>29250.0</v>
      </c>
      <c r="G186" s="13" t="s">
        <v>63</v>
      </c>
      <c r="H186" s="14" t="s">
        <v>172</v>
      </c>
      <c r="I186" s="13" t="s">
        <v>63</v>
      </c>
      <c r="J186" s="14" t="s">
        <v>172</v>
      </c>
      <c r="K186" s="13" t="s">
        <v>204</v>
      </c>
      <c r="L186" s="14" t="s">
        <v>291</v>
      </c>
      <c r="M186" s="13" t="s">
        <v>211</v>
      </c>
      <c r="N186" s="14" t="s">
        <v>233</v>
      </c>
      <c r="O186" s="13" t="s">
        <v>211</v>
      </c>
      <c r="P186" s="14" t="s">
        <v>233</v>
      </c>
      <c r="Q186" s="13" t="s">
        <v>204</v>
      </c>
      <c r="R186" s="14" t="s">
        <v>174</v>
      </c>
      <c r="S186" s="15" t="n">
        <f>428.21</f>
        <v>428.21</v>
      </c>
      <c r="T186" s="16" t="n">
        <f>10426</f>
        <v>10426.0</v>
      </c>
      <c r="U186" s="16" t="n">
        <v>1721.0</v>
      </c>
      <c r="V186" s="16" t="n">
        <f>3649075000</f>
        <v>3.649075E9</v>
      </c>
      <c r="W186" s="16" t="n">
        <v>6.8468E8</v>
      </c>
      <c r="X186" s="16" t="str">
        <f>"－"</f>
        <v>－</v>
      </c>
      <c r="Y186" s="13"/>
      <c r="Z186" s="17" t="n">
        <f>1235</f>
        <v>1235.0</v>
      </c>
      <c r="AA186" s="18" t="n">
        <f>14</f>
        <v>14.0</v>
      </c>
      <c r="AB186" s="11" t="s">
        <v>203</v>
      </c>
    </row>
    <row r="187">
      <c r="A187" s="11" t="s">
        <v>46</v>
      </c>
      <c r="B187" s="11" t="s">
        <v>47</v>
      </c>
      <c r="C187" s="11" t="s">
        <v>48</v>
      </c>
      <c r="D187" s="11" t="s">
        <v>49</v>
      </c>
      <c r="E187" s="11" t="s">
        <v>201</v>
      </c>
      <c r="F187" s="12" t="n">
        <v>29375.0</v>
      </c>
      <c r="G187" s="13" t="s">
        <v>61</v>
      </c>
      <c r="H187" s="14" t="s">
        <v>166</v>
      </c>
      <c r="I187" s="13" t="s">
        <v>204</v>
      </c>
      <c r="J187" s="14" t="s">
        <v>292</v>
      </c>
      <c r="K187" s="13" t="s">
        <v>61</v>
      </c>
      <c r="L187" s="14" t="s">
        <v>254</v>
      </c>
      <c r="M187" s="13" t="s">
        <v>211</v>
      </c>
      <c r="N187" s="14" t="s">
        <v>293</v>
      </c>
      <c r="O187" s="13" t="s">
        <v>211</v>
      </c>
      <c r="P187" s="14" t="s">
        <v>132</v>
      </c>
      <c r="Q187" s="13" t="s">
        <v>204</v>
      </c>
      <c r="R187" s="14" t="s">
        <v>292</v>
      </c>
      <c r="S187" s="15" t="n">
        <f>430</f>
        <v>430.0</v>
      </c>
      <c r="T187" s="16" t="n">
        <f>4866</f>
        <v>4866.0</v>
      </c>
      <c r="U187" s="16" t="n">
        <v>136.0</v>
      </c>
      <c r="V187" s="16" t="n">
        <f>1796940000</f>
        <v>1.79694E9</v>
      </c>
      <c r="W187" s="16" t="n">
        <v>6.4925E7</v>
      </c>
      <c r="X187" s="16" t="str">
        <f>"－"</f>
        <v>－</v>
      </c>
      <c r="Y187" s="13"/>
      <c r="Z187" s="17" t="n">
        <f>417</f>
        <v>417.0</v>
      </c>
      <c r="AA187" s="18" t="n">
        <f>13</f>
        <v>13.0</v>
      </c>
      <c r="AB187" s="11" t="s">
        <v>203</v>
      </c>
    </row>
    <row r="188">
      <c r="A188" s="11" t="s">
        <v>46</v>
      </c>
      <c r="B188" s="11" t="s">
        <v>47</v>
      </c>
      <c r="C188" s="11" t="s">
        <v>48</v>
      </c>
      <c r="D188" s="11" t="s">
        <v>49</v>
      </c>
      <c r="E188" s="11" t="s">
        <v>201</v>
      </c>
      <c r="F188" s="12" t="n">
        <v>29500.0</v>
      </c>
      <c r="G188" s="13" t="s">
        <v>61</v>
      </c>
      <c r="H188" s="14" t="s">
        <v>294</v>
      </c>
      <c r="I188" s="13" t="s">
        <v>204</v>
      </c>
      <c r="J188" s="14" t="s">
        <v>170</v>
      </c>
      <c r="K188" s="13" t="s">
        <v>206</v>
      </c>
      <c r="L188" s="14" t="s">
        <v>295</v>
      </c>
      <c r="M188" s="13" t="s">
        <v>211</v>
      </c>
      <c r="N188" s="14" t="s">
        <v>131</v>
      </c>
      <c r="O188" s="13" t="s">
        <v>56</v>
      </c>
      <c r="P188" s="14" t="s">
        <v>51</v>
      </c>
      <c r="Q188" s="13" t="s">
        <v>204</v>
      </c>
      <c r="R188" s="14" t="s">
        <v>296</v>
      </c>
      <c r="S188" s="15" t="n">
        <f>471.15</f>
        <v>471.15</v>
      </c>
      <c r="T188" s="16" t="n">
        <f>17666</f>
        <v>17666.0</v>
      </c>
      <c r="U188" s="16" t="n">
        <v>6270.0</v>
      </c>
      <c r="V188" s="16" t="n">
        <f>6766332400</f>
        <v>6.7663324E9</v>
      </c>
      <c r="W188" s="16" t="n">
        <v>2.3507724E9</v>
      </c>
      <c r="X188" s="16" t="str">
        <f>"－"</f>
        <v>－</v>
      </c>
      <c r="Y188" s="13"/>
      <c r="Z188" s="17" t="n">
        <f>4018</f>
        <v>4018.0</v>
      </c>
      <c r="AA188" s="18" t="n">
        <f>13</f>
        <v>13.0</v>
      </c>
      <c r="AB188" s="11" t="s">
        <v>203</v>
      </c>
    </row>
    <row r="189">
      <c r="A189" s="11" t="s">
        <v>46</v>
      </c>
      <c r="B189" s="11" t="s">
        <v>47</v>
      </c>
      <c r="C189" s="11" t="s">
        <v>48</v>
      </c>
      <c r="D189" s="11" t="s">
        <v>49</v>
      </c>
      <c r="E189" s="11" t="s">
        <v>201</v>
      </c>
      <c r="F189" s="12" t="n">
        <v>29625.0</v>
      </c>
      <c r="G189" s="13" t="s">
        <v>52</v>
      </c>
      <c r="H189" s="14" t="s">
        <v>297</v>
      </c>
      <c r="I189" s="13" t="s">
        <v>206</v>
      </c>
      <c r="J189" s="14" t="s">
        <v>284</v>
      </c>
      <c r="K189" s="13" t="s">
        <v>204</v>
      </c>
      <c r="L189" s="14" t="s">
        <v>298</v>
      </c>
      <c r="M189" s="13" t="s">
        <v>211</v>
      </c>
      <c r="N189" s="14" t="s">
        <v>195</v>
      </c>
      <c r="O189" s="13" t="s">
        <v>215</v>
      </c>
      <c r="P189" s="14" t="s">
        <v>234</v>
      </c>
      <c r="Q189" s="13" t="s">
        <v>204</v>
      </c>
      <c r="R189" s="14" t="s">
        <v>164</v>
      </c>
      <c r="S189" s="15" t="n">
        <f>491.67</f>
        <v>491.67</v>
      </c>
      <c r="T189" s="16" t="n">
        <f>4218</f>
        <v>4218.0</v>
      </c>
      <c r="U189" s="16" t="n">
        <v>40.0</v>
      </c>
      <c r="V189" s="16" t="n">
        <f>1694535000</f>
        <v>1.694535E9</v>
      </c>
      <c r="W189" s="16" t="n">
        <v>1.681E7</v>
      </c>
      <c r="X189" s="16" t="str">
        <f>"－"</f>
        <v>－</v>
      </c>
      <c r="Y189" s="13"/>
      <c r="Z189" s="17" t="n">
        <f>182</f>
        <v>182.0</v>
      </c>
      <c r="AA189" s="18" t="n">
        <f>12</f>
        <v>12.0</v>
      </c>
      <c r="AB189" s="11" t="s">
        <v>203</v>
      </c>
    </row>
    <row r="190">
      <c r="A190" s="11" t="s">
        <v>46</v>
      </c>
      <c r="B190" s="11" t="s">
        <v>47</v>
      </c>
      <c r="C190" s="11" t="s">
        <v>48</v>
      </c>
      <c r="D190" s="11" t="s">
        <v>49</v>
      </c>
      <c r="E190" s="11" t="s">
        <v>201</v>
      </c>
      <c r="F190" s="12" t="n">
        <v>29750.0</v>
      </c>
      <c r="G190" s="13" t="s">
        <v>52</v>
      </c>
      <c r="H190" s="14" t="s">
        <v>299</v>
      </c>
      <c r="I190" s="13" t="s">
        <v>204</v>
      </c>
      <c r="J190" s="14" t="s">
        <v>300</v>
      </c>
      <c r="K190" s="13" t="s">
        <v>204</v>
      </c>
      <c r="L190" s="14" t="s">
        <v>271</v>
      </c>
      <c r="M190" s="13" t="s">
        <v>211</v>
      </c>
      <c r="N190" s="14" t="s">
        <v>138</v>
      </c>
      <c r="O190" s="13" t="s">
        <v>211</v>
      </c>
      <c r="P190" s="14" t="s">
        <v>234</v>
      </c>
      <c r="Q190" s="13" t="s">
        <v>204</v>
      </c>
      <c r="R190" s="14" t="s">
        <v>275</v>
      </c>
      <c r="S190" s="15" t="n">
        <f>546.67</f>
        <v>546.67</v>
      </c>
      <c r="T190" s="16" t="n">
        <f>7484</f>
        <v>7484.0</v>
      </c>
      <c r="U190" s="16" t="n">
        <v>905.0</v>
      </c>
      <c r="V190" s="16" t="n">
        <f>3365955000</f>
        <v>3.365955E9</v>
      </c>
      <c r="W190" s="16" t="n">
        <v>4.48885E8</v>
      </c>
      <c r="X190" s="16" t="str">
        <f>"－"</f>
        <v>－</v>
      </c>
      <c r="Y190" s="13"/>
      <c r="Z190" s="17" t="n">
        <f>1472</f>
        <v>1472.0</v>
      </c>
      <c r="AA190" s="18" t="n">
        <f>12</f>
        <v>12.0</v>
      </c>
      <c r="AB190" s="11" t="s">
        <v>203</v>
      </c>
    </row>
    <row r="191">
      <c r="A191" s="11" t="s">
        <v>46</v>
      </c>
      <c r="B191" s="11" t="s">
        <v>47</v>
      </c>
      <c r="C191" s="11" t="s">
        <v>48</v>
      </c>
      <c r="D191" s="11" t="s">
        <v>49</v>
      </c>
      <c r="E191" s="11" t="s">
        <v>201</v>
      </c>
      <c r="F191" s="12" t="n">
        <v>29875.0</v>
      </c>
      <c r="G191" s="13" t="s">
        <v>52</v>
      </c>
      <c r="H191" s="14" t="s">
        <v>268</v>
      </c>
      <c r="I191" s="13" t="s">
        <v>204</v>
      </c>
      <c r="J191" s="14" t="s">
        <v>301</v>
      </c>
      <c r="K191" s="13" t="s">
        <v>205</v>
      </c>
      <c r="L191" s="14" t="s">
        <v>302</v>
      </c>
      <c r="M191" s="13" t="s">
        <v>211</v>
      </c>
      <c r="N191" s="14" t="s">
        <v>142</v>
      </c>
      <c r="O191" s="13" t="s">
        <v>211</v>
      </c>
      <c r="P191" s="14" t="s">
        <v>141</v>
      </c>
      <c r="Q191" s="13" t="s">
        <v>204</v>
      </c>
      <c r="R191" s="14" t="s">
        <v>300</v>
      </c>
      <c r="S191" s="15" t="n">
        <f>594.17</f>
        <v>594.17</v>
      </c>
      <c r="T191" s="16" t="n">
        <f>5841</f>
        <v>5841.0</v>
      </c>
      <c r="U191" s="16" t="n">
        <v>609.0</v>
      </c>
      <c r="V191" s="16" t="n">
        <f>2774330000</f>
        <v>2.77433E9</v>
      </c>
      <c r="W191" s="16" t="n">
        <v>3.1247E8</v>
      </c>
      <c r="X191" s="16" t="str">
        <f>"－"</f>
        <v>－</v>
      </c>
      <c r="Y191" s="13"/>
      <c r="Z191" s="17" t="n">
        <f>911</f>
        <v>911.0</v>
      </c>
      <c r="AA191" s="18" t="n">
        <f>12</f>
        <v>12.0</v>
      </c>
      <c r="AB191" s="11" t="s">
        <v>203</v>
      </c>
    </row>
    <row r="192">
      <c r="A192" s="11" t="s">
        <v>46</v>
      </c>
      <c r="B192" s="11" t="s">
        <v>47</v>
      </c>
      <c r="C192" s="11" t="s">
        <v>48</v>
      </c>
      <c r="D192" s="11" t="s">
        <v>49</v>
      </c>
      <c r="E192" s="11" t="s">
        <v>201</v>
      </c>
      <c r="F192" s="12" t="n">
        <v>30000.0</v>
      </c>
      <c r="G192" s="13" t="s">
        <v>61</v>
      </c>
      <c r="H192" s="14" t="s">
        <v>169</v>
      </c>
      <c r="I192" s="13" t="s">
        <v>204</v>
      </c>
      <c r="J192" s="14" t="s">
        <v>303</v>
      </c>
      <c r="K192" s="13" t="s">
        <v>204</v>
      </c>
      <c r="L192" s="14" t="s">
        <v>304</v>
      </c>
      <c r="M192" s="13" t="s">
        <v>211</v>
      </c>
      <c r="N192" s="14" t="s">
        <v>238</v>
      </c>
      <c r="O192" s="13" t="s">
        <v>211</v>
      </c>
      <c r="P192" s="14" t="s">
        <v>238</v>
      </c>
      <c r="Q192" s="13" t="s">
        <v>204</v>
      </c>
      <c r="R192" s="14" t="s">
        <v>305</v>
      </c>
      <c r="S192" s="15" t="n">
        <f>683.46</f>
        <v>683.46</v>
      </c>
      <c r="T192" s="16" t="n">
        <f>15270</f>
        <v>15270.0</v>
      </c>
      <c r="U192" s="16" t="n">
        <v>5566.0</v>
      </c>
      <c r="V192" s="16" t="n">
        <f>7491827040</f>
        <v>7.49182704E9</v>
      </c>
      <c r="W192" s="16" t="n">
        <v>2.57164704E9</v>
      </c>
      <c r="X192" s="16" t="str">
        <f>"－"</f>
        <v>－</v>
      </c>
      <c r="Y192" s="13"/>
      <c r="Z192" s="17" t="n">
        <f>4390</f>
        <v>4390.0</v>
      </c>
      <c r="AA192" s="18" t="n">
        <f>13</f>
        <v>13.0</v>
      </c>
      <c r="AB192" s="11" t="s">
        <v>203</v>
      </c>
    </row>
    <row r="193">
      <c r="A193" s="11" t="s">
        <v>46</v>
      </c>
      <c r="B193" s="11" t="s">
        <v>47</v>
      </c>
      <c r="C193" s="11" t="s">
        <v>48</v>
      </c>
      <c r="D193" s="11" t="s">
        <v>49</v>
      </c>
      <c r="E193" s="11" t="s">
        <v>201</v>
      </c>
      <c r="F193" s="12" t="n">
        <v>30125.0</v>
      </c>
      <c r="G193" s="13" t="s">
        <v>205</v>
      </c>
      <c r="H193" s="14" t="s">
        <v>169</v>
      </c>
      <c r="I193" s="13" t="s">
        <v>204</v>
      </c>
      <c r="J193" s="14" t="s">
        <v>303</v>
      </c>
      <c r="K193" s="13" t="s">
        <v>204</v>
      </c>
      <c r="L193" s="14" t="s">
        <v>178</v>
      </c>
      <c r="M193" s="13" t="s">
        <v>211</v>
      </c>
      <c r="N193" s="14" t="s">
        <v>145</v>
      </c>
      <c r="O193" s="13" t="s">
        <v>211</v>
      </c>
      <c r="P193" s="14" t="s">
        <v>192</v>
      </c>
      <c r="Q193" s="13" t="s">
        <v>204</v>
      </c>
      <c r="R193" s="14" t="s">
        <v>304</v>
      </c>
      <c r="S193" s="15" t="n">
        <f>619.44</f>
        <v>619.44</v>
      </c>
      <c r="T193" s="16" t="n">
        <f>3268</f>
        <v>3268.0</v>
      </c>
      <c r="U193" s="16" t="n">
        <v>75.0</v>
      </c>
      <c r="V193" s="16" t="n">
        <f>1796981000</f>
        <v>1.796981E9</v>
      </c>
      <c r="W193" s="16" t="n">
        <v>3.9691E7</v>
      </c>
      <c r="X193" s="16" t="str">
        <f>"－"</f>
        <v>－</v>
      </c>
      <c r="Y193" s="13"/>
      <c r="Z193" s="17" t="n">
        <f>426</f>
        <v>426.0</v>
      </c>
      <c r="AA193" s="18" t="n">
        <f>9</f>
        <v>9.0</v>
      </c>
      <c r="AB193" s="11" t="s">
        <v>203</v>
      </c>
    </row>
    <row r="194">
      <c r="A194" s="11" t="s">
        <v>46</v>
      </c>
      <c r="B194" s="11" t="s">
        <v>47</v>
      </c>
      <c r="C194" s="11" t="s">
        <v>48</v>
      </c>
      <c r="D194" s="11" t="s">
        <v>49</v>
      </c>
      <c r="E194" s="11" t="s">
        <v>201</v>
      </c>
      <c r="F194" s="12" t="n">
        <v>30250.0</v>
      </c>
      <c r="G194" s="13" t="s">
        <v>205</v>
      </c>
      <c r="H194" s="14" t="s">
        <v>306</v>
      </c>
      <c r="I194" s="13" t="s">
        <v>204</v>
      </c>
      <c r="J194" s="14" t="s">
        <v>307</v>
      </c>
      <c r="K194" s="13" t="s">
        <v>204</v>
      </c>
      <c r="L194" s="14" t="s">
        <v>308</v>
      </c>
      <c r="M194" s="13" t="s">
        <v>211</v>
      </c>
      <c r="N194" s="14" t="s">
        <v>196</v>
      </c>
      <c r="O194" s="13" t="s">
        <v>211</v>
      </c>
      <c r="P194" s="14" t="s">
        <v>309</v>
      </c>
      <c r="Q194" s="13" t="s">
        <v>204</v>
      </c>
      <c r="R194" s="14" t="s">
        <v>307</v>
      </c>
      <c r="S194" s="15" t="n">
        <f>687.78</f>
        <v>687.78</v>
      </c>
      <c r="T194" s="16" t="n">
        <f>4383</f>
        <v>4383.0</v>
      </c>
      <c r="U194" s="16" t="n">
        <v>986.0</v>
      </c>
      <c r="V194" s="16" t="n">
        <f>2520210000</f>
        <v>2.52021E9</v>
      </c>
      <c r="W194" s="16" t="n">
        <v>5.5288E8</v>
      </c>
      <c r="X194" s="16" t="str">
        <f>"－"</f>
        <v>－</v>
      </c>
      <c r="Y194" s="13"/>
      <c r="Z194" s="17" t="n">
        <f>1249</f>
        <v>1249.0</v>
      </c>
      <c r="AA194" s="18" t="n">
        <f>9</f>
        <v>9.0</v>
      </c>
      <c r="AB194" s="11" t="s">
        <v>203</v>
      </c>
    </row>
    <row r="195">
      <c r="A195" s="11" t="s">
        <v>46</v>
      </c>
      <c r="B195" s="11" t="s">
        <v>47</v>
      </c>
      <c r="C195" s="11" t="s">
        <v>48</v>
      </c>
      <c r="D195" s="11" t="s">
        <v>49</v>
      </c>
      <c r="E195" s="11" t="s">
        <v>201</v>
      </c>
      <c r="F195" s="12" t="n">
        <v>30375.0</v>
      </c>
      <c r="G195" s="13" t="s">
        <v>202</v>
      </c>
      <c r="H195" s="14" t="s">
        <v>310</v>
      </c>
      <c r="I195" s="13" t="s">
        <v>204</v>
      </c>
      <c r="J195" s="14" t="s">
        <v>311</v>
      </c>
      <c r="K195" s="13" t="s">
        <v>208</v>
      </c>
      <c r="L195" s="14" t="s">
        <v>263</v>
      </c>
      <c r="M195" s="13" t="s">
        <v>211</v>
      </c>
      <c r="N195" s="14" t="s">
        <v>312</v>
      </c>
      <c r="O195" s="13" t="s">
        <v>211</v>
      </c>
      <c r="P195" s="14" t="s">
        <v>245</v>
      </c>
      <c r="Q195" s="13" t="s">
        <v>204</v>
      </c>
      <c r="R195" s="14" t="s">
        <v>313</v>
      </c>
      <c r="S195" s="15" t="n">
        <f>742.5</f>
        <v>742.5</v>
      </c>
      <c r="T195" s="16" t="n">
        <f>1892</f>
        <v>1892.0</v>
      </c>
      <c r="U195" s="16" t="n">
        <v>26.0</v>
      </c>
      <c r="V195" s="16" t="n">
        <f>1168660000</f>
        <v>1.16866E9</v>
      </c>
      <c r="W195" s="16" t="n">
        <v>1.5565E7</v>
      </c>
      <c r="X195" s="16" t="str">
        <f>"－"</f>
        <v>－</v>
      </c>
      <c r="Y195" s="13"/>
      <c r="Z195" s="17" t="n">
        <f>307</f>
        <v>307.0</v>
      </c>
      <c r="AA195" s="18" t="n">
        <f>8</f>
        <v>8.0</v>
      </c>
      <c r="AB195" s="11" t="s">
        <v>203</v>
      </c>
    </row>
    <row r="196">
      <c r="A196" s="11" t="s">
        <v>46</v>
      </c>
      <c r="B196" s="11" t="s">
        <v>47</v>
      </c>
      <c r="C196" s="11" t="s">
        <v>48</v>
      </c>
      <c r="D196" s="11" t="s">
        <v>49</v>
      </c>
      <c r="E196" s="11" t="s">
        <v>201</v>
      </c>
      <c r="F196" s="12" t="n">
        <v>30500.0</v>
      </c>
      <c r="G196" s="13" t="s">
        <v>202</v>
      </c>
      <c r="H196" s="14" t="s">
        <v>170</v>
      </c>
      <c r="I196" s="13" t="s">
        <v>204</v>
      </c>
      <c r="J196" s="14" t="s">
        <v>314</v>
      </c>
      <c r="K196" s="13" t="s">
        <v>204</v>
      </c>
      <c r="L196" s="14" t="s">
        <v>308</v>
      </c>
      <c r="M196" s="13" t="s">
        <v>211</v>
      </c>
      <c r="N196" s="14" t="s">
        <v>315</v>
      </c>
      <c r="O196" s="13" t="s">
        <v>211</v>
      </c>
      <c r="P196" s="14" t="s">
        <v>157</v>
      </c>
      <c r="Q196" s="13" t="s">
        <v>204</v>
      </c>
      <c r="R196" s="14" t="s">
        <v>314</v>
      </c>
      <c r="S196" s="15" t="n">
        <f>831.88</f>
        <v>831.88</v>
      </c>
      <c r="T196" s="16" t="n">
        <f>2496</f>
        <v>2496.0</v>
      </c>
      <c r="U196" s="16" t="n">
        <v>800.0</v>
      </c>
      <c r="V196" s="16" t="n">
        <f>1664030500</f>
        <v>1.6640305E9</v>
      </c>
      <c r="W196" s="16" t="n">
        <v>4.964705E8</v>
      </c>
      <c r="X196" s="16" t="str">
        <f>"－"</f>
        <v>－</v>
      </c>
      <c r="Y196" s="13"/>
      <c r="Z196" s="17" t="n">
        <f>674</f>
        <v>674.0</v>
      </c>
      <c r="AA196" s="18" t="n">
        <f>8</f>
        <v>8.0</v>
      </c>
      <c r="AB196" s="11" t="s">
        <v>203</v>
      </c>
    </row>
    <row r="197">
      <c r="A197" s="11" t="s">
        <v>46</v>
      </c>
      <c r="B197" s="11" t="s">
        <v>47</v>
      </c>
      <c r="C197" s="11" t="s">
        <v>48</v>
      </c>
      <c r="D197" s="11" t="s">
        <v>49</v>
      </c>
      <c r="E197" s="11" t="s">
        <v>201</v>
      </c>
      <c r="F197" s="12" t="n">
        <v>30625.0</v>
      </c>
      <c r="G197" s="13" t="s">
        <v>202</v>
      </c>
      <c r="H197" s="14" t="s">
        <v>170</v>
      </c>
      <c r="I197" s="13" t="s">
        <v>204</v>
      </c>
      <c r="J197" s="14" t="s">
        <v>316</v>
      </c>
      <c r="K197" s="13" t="s">
        <v>207</v>
      </c>
      <c r="L197" s="14" t="s">
        <v>317</v>
      </c>
      <c r="M197" s="13" t="s">
        <v>211</v>
      </c>
      <c r="N197" s="14" t="s">
        <v>174</v>
      </c>
      <c r="O197" s="13" t="s">
        <v>202</v>
      </c>
      <c r="P197" s="14" t="s">
        <v>318</v>
      </c>
      <c r="Q197" s="13" t="s">
        <v>204</v>
      </c>
      <c r="R197" s="14" t="s">
        <v>319</v>
      </c>
      <c r="S197" s="15" t="n">
        <f>870.63</f>
        <v>870.63</v>
      </c>
      <c r="T197" s="16" t="n">
        <f>817</f>
        <v>817.0</v>
      </c>
      <c r="U197" s="16" t="n">
        <v>6.0</v>
      </c>
      <c r="V197" s="16" t="n">
        <f>574610000</f>
        <v>5.7461E8</v>
      </c>
      <c r="W197" s="16" t="n">
        <v>4165000.0</v>
      </c>
      <c r="X197" s="16" t="str">
        <f>"－"</f>
        <v>－</v>
      </c>
      <c r="Y197" s="13"/>
      <c r="Z197" s="17" t="n">
        <f>189</f>
        <v>189.0</v>
      </c>
      <c r="AA197" s="18" t="n">
        <f>8</f>
        <v>8.0</v>
      </c>
      <c r="AB197" s="11" t="s">
        <v>203</v>
      </c>
    </row>
    <row r="198">
      <c r="A198" s="11" t="s">
        <v>46</v>
      </c>
      <c r="B198" s="11" t="s">
        <v>47</v>
      </c>
      <c r="C198" s="11" t="s">
        <v>48</v>
      </c>
      <c r="D198" s="11" t="s">
        <v>49</v>
      </c>
      <c r="E198" s="11" t="s">
        <v>201</v>
      </c>
      <c r="F198" s="12" t="n">
        <v>30750.0</v>
      </c>
      <c r="G198" s="13" t="s">
        <v>56</v>
      </c>
      <c r="H198" s="14" t="s">
        <v>320</v>
      </c>
      <c r="I198" s="13" t="s">
        <v>204</v>
      </c>
      <c r="J198" s="14" t="s">
        <v>321</v>
      </c>
      <c r="K198" s="13" t="s">
        <v>202</v>
      </c>
      <c r="L198" s="14" t="s">
        <v>167</v>
      </c>
      <c r="M198" s="13" t="s">
        <v>211</v>
      </c>
      <c r="N198" s="14" t="s">
        <v>159</v>
      </c>
      <c r="O198" s="13" t="s">
        <v>202</v>
      </c>
      <c r="P198" s="14" t="s">
        <v>167</v>
      </c>
      <c r="Q198" s="13" t="s">
        <v>204</v>
      </c>
      <c r="R198" s="14" t="s">
        <v>321</v>
      </c>
      <c r="S198" s="15" t="n">
        <f>1042.22</f>
        <v>1042.22</v>
      </c>
      <c r="T198" s="16" t="n">
        <f>313</f>
        <v>313.0</v>
      </c>
      <c r="U198" s="16" t="n">
        <v>1.0</v>
      </c>
      <c r="V198" s="16" t="n">
        <f>251025000</f>
        <v>2.51025E8</v>
      </c>
      <c r="W198" s="16" t="n">
        <v>700000.0</v>
      </c>
      <c r="X198" s="16" t="str">
        <f>"－"</f>
        <v>－</v>
      </c>
      <c r="Y198" s="13"/>
      <c r="Z198" s="17" t="n">
        <f>58</f>
        <v>58.0</v>
      </c>
      <c r="AA198" s="18" t="n">
        <f>9</f>
        <v>9.0</v>
      </c>
      <c r="AB198" s="11" t="s">
        <v>203</v>
      </c>
    </row>
    <row r="199">
      <c r="A199" s="11" t="s">
        <v>46</v>
      </c>
      <c r="B199" s="11" t="s">
        <v>47</v>
      </c>
      <c r="C199" s="11" t="s">
        <v>48</v>
      </c>
      <c r="D199" s="11" t="s">
        <v>49</v>
      </c>
      <c r="E199" s="11" t="s">
        <v>201</v>
      </c>
      <c r="F199" s="12" t="n">
        <v>30875.0</v>
      </c>
      <c r="G199" s="13" t="s">
        <v>202</v>
      </c>
      <c r="H199" s="14" t="s">
        <v>322</v>
      </c>
      <c r="I199" s="13" t="s">
        <v>202</v>
      </c>
      <c r="J199" s="14" t="s">
        <v>322</v>
      </c>
      <c r="K199" s="13"/>
      <c r="L199" s="14"/>
      <c r="M199" s="13" t="s">
        <v>207</v>
      </c>
      <c r="N199" s="14" t="s">
        <v>258</v>
      </c>
      <c r="O199" s="13"/>
      <c r="P199" s="14"/>
      <c r="Q199" s="13" t="s">
        <v>207</v>
      </c>
      <c r="R199" s="14" t="s">
        <v>258</v>
      </c>
      <c r="S199" s="15" t="n">
        <f>915</f>
        <v>915.0</v>
      </c>
      <c r="T199" s="16" t="n">
        <f>92</f>
        <v>92.0</v>
      </c>
      <c r="U199" s="16"/>
      <c r="V199" s="16" t="n">
        <f>77150000</f>
        <v>7.715E7</v>
      </c>
      <c r="W199" s="16"/>
      <c r="X199" s="16" t="str">
        <f>"－"</f>
        <v>－</v>
      </c>
      <c r="Y199" s="13"/>
      <c r="Z199" s="17" t="n">
        <f>15</f>
        <v>15.0</v>
      </c>
      <c r="AA199" s="18" t="n">
        <f>3</f>
        <v>3.0</v>
      </c>
      <c r="AB199" s="11" t="s">
        <v>203</v>
      </c>
    </row>
    <row r="200">
      <c r="A200" s="11" t="s">
        <v>46</v>
      </c>
      <c r="B200" s="11" t="s">
        <v>47</v>
      </c>
      <c r="C200" s="11" t="s">
        <v>48</v>
      </c>
      <c r="D200" s="11" t="s">
        <v>49</v>
      </c>
      <c r="E200" s="11" t="s">
        <v>201</v>
      </c>
      <c r="F200" s="12" t="n">
        <v>31000.0</v>
      </c>
      <c r="G200" s="13" t="s">
        <v>55</v>
      </c>
      <c r="H200" s="14" t="s">
        <v>323</v>
      </c>
      <c r="I200" s="13" t="s">
        <v>55</v>
      </c>
      <c r="J200" s="14" t="s">
        <v>323</v>
      </c>
      <c r="K200" s="13" t="s">
        <v>210</v>
      </c>
      <c r="L200" s="14" t="s">
        <v>324</v>
      </c>
      <c r="M200" s="13" t="s">
        <v>58</v>
      </c>
      <c r="N200" s="14" t="s">
        <v>325</v>
      </c>
      <c r="O200" s="13" t="s">
        <v>210</v>
      </c>
      <c r="P200" s="14" t="s">
        <v>324</v>
      </c>
      <c r="Q200" s="13" t="s">
        <v>58</v>
      </c>
      <c r="R200" s="14" t="s">
        <v>325</v>
      </c>
      <c r="S200" s="15" t="n">
        <f>2540</f>
        <v>2540.0</v>
      </c>
      <c r="T200" s="16" t="n">
        <f>256</f>
        <v>256.0</v>
      </c>
      <c r="U200" s="16" t="n">
        <v>250.0</v>
      </c>
      <c r="V200" s="16" t="n">
        <f>327240000</f>
        <v>3.2724E8</v>
      </c>
      <c r="W200" s="16" t="n">
        <v>3.12E8</v>
      </c>
      <c r="X200" s="16" t="str">
        <f>"－"</f>
        <v>－</v>
      </c>
      <c r="Y200" s="13"/>
      <c r="Z200" s="17" t="n">
        <f>252</f>
        <v>252.0</v>
      </c>
      <c r="AA200" s="18" t="n">
        <f>2</f>
        <v>2.0</v>
      </c>
      <c r="AB200" s="11" t="s">
        <v>203</v>
      </c>
    </row>
    <row r="201">
      <c r="A201" s="11" t="s">
        <v>46</v>
      </c>
      <c r="B201" s="11" t="s">
        <v>47</v>
      </c>
      <c r="C201" s="11" t="s">
        <v>48</v>
      </c>
      <c r="D201" s="11" t="s">
        <v>49</v>
      </c>
      <c r="E201" s="11" t="s">
        <v>201</v>
      </c>
      <c r="F201" s="12" t="n">
        <v>31125.0</v>
      </c>
      <c r="G201" s="13" t="s">
        <v>202</v>
      </c>
      <c r="H201" s="14" t="s">
        <v>313</v>
      </c>
      <c r="I201" s="13" t="s">
        <v>202</v>
      </c>
      <c r="J201" s="14" t="s">
        <v>198</v>
      </c>
      <c r="K201" s="13"/>
      <c r="L201" s="14"/>
      <c r="M201" s="13" t="s">
        <v>211</v>
      </c>
      <c r="N201" s="14" t="s">
        <v>326</v>
      </c>
      <c r="O201" s="13"/>
      <c r="P201" s="14"/>
      <c r="Q201" s="13" t="s">
        <v>215</v>
      </c>
      <c r="R201" s="14" t="s">
        <v>301</v>
      </c>
      <c r="S201" s="15" t="n">
        <f>1072.5</f>
        <v>1072.5</v>
      </c>
      <c r="T201" s="16" t="n">
        <f>8</f>
        <v>8.0</v>
      </c>
      <c r="U201" s="16"/>
      <c r="V201" s="16" t="n">
        <f>8520000</f>
        <v>8520000.0</v>
      </c>
      <c r="W201" s="16"/>
      <c r="X201" s="16" t="str">
        <f>"－"</f>
        <v>－</v>
      </c>
      <c r="Y201" s="13"/>
      <c r="Z201" s="17" t="n">
        <f>4</f>
        <v>4.0</v>
      </c>
      <c r="AA201" s="18" t="n">
        <f>4</f>
        <v>4.0</v>
      </c>
      <c r="AB201" s="11" t="s">
        <v>203</v>
      </c>
    </row>
    <row r="202">
      <c r="A202" s="11" t="s">
        <v>46</v>
      </c>
      <c r="B202" s="11" t="s">
        <v>47</v>
      </c>
      <c r="C202" s="11" t="s">
        <v>48</v>
      </c>
      <c r="D202" s="11" t="s">
        <v>49</v>
      </c>
      <c r="E202" s="11" t="s">
        <v>201</v>
      </c>
      <c r="F202" s="12" t="n">
        <v>31250.0</v>
      </c>
      <c r="G202" s="13" t="s">
        <v>211</v>
      </c>
      <c r="H202" s="14" t="s">
        <v>301</v>
      </c>
      <c r="I202" s="13" t="s">
        <v>210</v>
      </c>
      <c r="J202" s="14" t="s">
        <v>327</v>
      </c>
      <c r="K202" s="13"/>
      <c r="L202" s="14"/>
      <c r="M202" s="13" t="s">
        <v>211</v>
      </c>
      <c r="N202" s="14" t="s">
        <v>301</v>
      </c>
      <c r="O202" s="13"/>
      <c r="P202" s="14"/>
      <c r="Q202" s="13" t="s">
        <v>210</v>
      </c>
      <c r="R202" s="14" t="s">
        <v>327</v>
      </c>
      <c r="S202" s="15" t="n">
        <f>1190</f>
        <v>1190.0</v>
      </c>
      <c r="T202" s="16" t="n">
        <f>2</f>
        <v>2.0</v>
      </c>
      <c r="U202" s="16"/>
      <c r="V202" s="16" t="n">
        <f>2380000</f>
        <v>2380000.0</v>
      </c>
      <c r="W202" s="16"/>
      <c r="X202" s="16" t="str">
        <f>"－"</f>
        <v>－</v>
      </c>
      <c r="Y202" s="13"/>
      <c r="Z202" s="17" t="str">
        <f>"－"</f>
        <v>－</v>
      </c>
      <c r="AA202" s="18" t="n">
        <f>2</f>
        <v>2.0</v>
      </c>
      <c r="AB202" s="11" t="s">
        <v>203</v>
      </c>
    </row>
    <row r="203">
      <c r="A203" s="11" t="s">
        <v>46</v>
      </c>
      <c r="B203" s="11" t="s">
        <v>47</v>
      </c>
      <c r="C203" s="11" t="s">
        <v>48</v>
      </c>
      <c r="D203" s="11" t="s">
        <v>49</v>
      </c>
      <c r="E203" s="11" t="s">
        <v>201</v>
      </c>
      <c r="F203" s="12" t="n">
        <v>31500.0</v>
      </c>
      <c r="G203" s="13" t="s">
        <v>288</v>
      </c>
      <c r="H203" s="14" t="s">
        <v>307</v>
      </c>
      <c r="I203" s="13" t="s">
        <v>288</v>
      </c>
      <c r="J203" s="14" t="s">
        <v>307</v>
      </c>
      <c r="K203" s="13"/>
      <c r="L203" s="14"/>
      <c r="M203" s="13" t="s">
        <v>288</v>
      </c>
      <c r="N203" s="14" t="s">
        <v>307</v>
      </c>
      <c r="O203" s="13"/>
      <c r="P203" s="14"/>
      <c r="Q203" s="13" t="s">
        <v>288</v>
      </c>
      <c r="R203" s="14" t="s">
        <v>307</v>
      </c>
      <c r="S203" s="15" t="n">
        <f>1280</f>
        <v>1280.0</v>
      </c>
      <c r="T203" s="16" t="n">
        <f>1</f>
        <v>1.0</v>
      </c>
      <c r="U203" s="16"/>
      <c r="V203" s="16" t="n">
        <f>1280000</f>
        <v>1280000.0</v>
      </c>
      <c r="W203" s="16"/>
      <c r="X203" s="16" t="str">
        <f>"－"</f>
        <v>－</v>
      </c>
      <c r="Y203" s="13"/>
      <c r="Z203" s="17" t="n">
        <f>1</f>
        <v>1.0</v>
      </c>
      <c r="AA203" s="18" t="n">
        <f>1</f>
        <v>1.0</v>
      </c>
      <c r="AB203" s="11" t="s">
        <v>203</v>
      </c>
    </row>
    <row r="204">
      <c r="A204" s="11" t="s">
        <v>46</v>
      </c>
      <c r="B204" s="11" t="s">
        <v>47</v>
      </c>
      <c r="C204" s="11" t="s">
        <v>48</v>
      </c>
      <c r="D204" s="11" t="s">
        <v>49</v>
      </c>
      <c r="E204" s="11" t="s">
        <v>201</v>
      </c>
      <c r="F204" s="12" t="n">
        <v>32000.0</v>
      </c>
      <c r="G204" s="13"/>
      <c r="H204" s="14" t="s">
        <v>57</v>
      </c>
      <c r="I204" s="13"/>
      <c r="J204" s="14" t="s">
        <v>57</v>
      </c>
      <c r="K204" s="13"/>
      <c r="L204" s="14"/>
      <c r="M204" s="13"/>
      <c r="N204" s="14" t="s">
        <v>57</v>
      </c>
      <c r="O204" s="13"/>
      <c r="P204" s="14"/>
      <c r="Q204" s="13"/>
      <c r="R204" s="14" t="s">
        <v>57</v>
      </c>
      <c r="S204" s="15" t="str">
        <f>"－"</f>
        <v>－</v>
      </c>
      <c r="T204" s="16" t="str">
        <f>"－"</f>
        <v>－</v>
      </c>
      <c r="U204" s="16"/>
      <c r="V204" s="16" t="str">
        <f>"－"</f>
        <v>－</v>
      </c>
      <c r="W204" s="16"/>
      <c r="X204" s="16" t="str">
        <f>"－"</f>
        <v>－</v>
      </c>
      <c r="Y204" s="13"/>
      <c r="Z204" s="17" t="n">
        <f>2</f>
        <v>2.0</v>
      </c>
      <c r="AA204" s="18" t="str">
        <f>"－"</f>
        <v>－</v>
      </c>
      <c r="AB204" s="11" t="s">
        <v>203</v>
      </c>
    </row>
    <row r="205">
      <c r="A205" s="11" t="s">
        <v>46</v>
      </c>
      <c r="B205" s="11" t="s">
        <v>47</v>
      </c>
      <c r="C205" s="11" t="s">
        <v>48</v>
      </c>
      <c r="D205" s="11" t="s">
        <v>49</v>
      </c>
      <c r="E205" s="11" t="s">
        <v>201</v>
      </c>
      <c r="F205" s="12" t="n">
        <v>33500.0</v>
      </c>
      <c r="G205" s="13"/>
      <c r="H205" s="14" t="s">
        <v>57</v>
      </c>
      <c r="I205" s="13"/>
      <c r="J205" s="14" t="s">
        <v>57</v>
      </c>
      <c r="K205" s="13" t="s">
        <v>202</v>
      </c>
      <c r="L205" s="14" t="s">
        <v>328</v>
      </c>
      <c r="M205" s="13"/>
      <c r="N205" s="14" t="s">
        <v>57</v>
      </c>
      <c r="O205" s="13" t="s">
        <v>202</v>
      </c>
      <c r="P205" s="14" t="s">
        <v>329</v>
      </c>
      <c r="Q205" s="13"/>
      <c r="R205" s="14" t="s">
        <v>57</v>
      </c>
      <c r="S205" s="15" t="str">
        <f>"－"</f>
        <v>－</v>
      </c>
      <c r="T205" s="16" t="n">
        <f>2</f>
        <v>2.0</v>
      </c>
      <c r="U205" s="16" t="n">
        <v>2.0</v>
      </c>
      <c r="V205" s="16" t="n">
        <f>6750000</f>
        <v>6750000.0</v>
      </c>
      <c r="W205" s="16" t="n">
        <v>6750000.0</v>
      </c>
      <c r="X205" s="16" t="str">
        <f>"－"</f>
        <v>－</v>
      </c>
      <c r="Y205" s="13"/>
      <c r="Z205" s="17" t="str">
        <f>"－"</f>
        <v>－</v>
      </c>
      <c r="AA205" s="18" t="str">
        <f>"－"</f>
        <v>－</v>
      </c>
      <c r="AB205" s="11" t="s">
        <v>203</v>
      </c>
    </row>
    <row r="206">
      <c r="A206" s="11" t="s">
        <v>46</v>
      </c>
      <c r="B206" s="11" t="s">
        <v>47</v>
      </c>
      <c r="C206" s="11" t="s">
        <v>48</v>
      </c>
      <c r="D206" s="11" t="s">
        <v>49</v>
      </c>
      <c r="E206" s="11" t="s">
        <v>201</v>
      </c>
      <c r="F206" s="12" t="n">
        <v>35000.0</v>
      </c>
      <c r="G206" s="13" t="s">
        <v>52</v>
      </c>
      <c r="H206" s="14" t="s">
        <v>330</v>
      </c>
      <c r="I206" s="13" t="s">
        <v>52</v>
      </c>
      <c r="J206" s="14" t="s">
        <v>330</v>
      </c>
      <c r="K206" s="13"/>
      <c r="L206" s="14"/>
      <c r="M206" s="13" t="s">
        <v>52</v>
      </c>
      <c r="N206" s="14" t="s">
        <v>330</v>
      </c>
      <c r="O206" s="13"/>
      <c r="P206" s="14"/>
      <c r="Q206" s="13" t="s">
        <v>206</v>
      </c>
      <c r="R206" s="14" t="s">
        <v>330</v>
      </c>
      <c r="S206" s="15" t="n">
        <f>5550</f>
        <v>5550.0</v>
      </c>
      <c r="T206" s="16" t="n">
        <f>7</f>
        <v>7.0</v>
      </c>
      <c r="U206" s="16"/>
      <c r="V206" s="16" t="n">
        <f>38850000</f>
        <v>3.885E7</v>
      </c>
      <c r="W206" s="16"/>
      <c r="X206" s="16" t="str">
        <f>"－"</f>
        <v>－</v>
      </c>
      <c r="Y206" s="13"/>
      <c r="Z206" s="17" t="n">
        <f>7</f>
        <v>7.0</v>
      </c>
      <c r="AA206" s="18" t="n">
        <f>2</f>
        <v>2.0</v>
      </c>
      <c r="AB206" s="11" t="s">
        <v>203</v>
      </c>
    </row>
    <row r="207">
      <c r="A207" s="11" t="s">
        <v>46</v>
      </c>
      <c r="B207" s="11" t="s">
        <v>47</v>
      </c>
      <c r="C207" s="11" t="s">
        <v>48</v>
      </c>
      <c r="D207" s="11" t="s">
        <v>49</v>
      </c>
      <c r="E207" s="11" t="s">
        <v>331</v>
      </c>
      <c r="F207" s="12" t="n">
        <v>15000.0</v>
      </c>
      <c r="G207" s="13" t="s">
        <v>50</v>
      </c>
      <c r="H207" s="14" t="s">
        <v>81</v>
      </c>
      <c r="I207" s="13" t="s">
        <v>50</v>
      </c>
      <c r="J207" s="14" t="s">
        <v>81</v>
      </c>
      <c r="K207" s="13" t="s">
        <v>206</v>
      </c>
      <c r="L207" s="14" t="s">
        <v>67</v>
      </c>
      <c r="M207" s="13" t="s">
        <v>205</v>
      </c>
      <c r="N207" s="14" t="s">
        <v>62</v>
      </c>
      <c r="O207" s="13" t="s">
        <v>215</v>
      </c>
      <c r="P207" s="14" t="s">
        <v>59</v>
      </c>
      <c r="Q207" s="13" t="s">
        <v>204</v>
      </c>
      <c r="R207" s="14" t="s">
        <v>66</v>
      </c>
      <c r="S207" s="15" t="n">
        <f>6.78</f>
        <v>6.78</v>
      </c>
      <c r="T207" s="16" t="n">
        <f>1443</f>
        <v>1443.0</v>
      </c>
      <c r="U207" s="16" t="n">
        <v>425.0</v>
      </c>
      <c r="V207" s="16" t="n">
        <f>7168000</f>
        <v>7168000.0</v>
      </c>
      <c r="W207" s="16" t="n">
        <v>1880000.0</v>
      </c>
      <c r="X207" s="16" t="str">
        <f>"－"</f>
        <v>－</v>
      </c>
      <c r="Y207" s="13"/>
      <c r="Z207" s="17" t="n">
        <f>730</f>
        <v>730.0</v>
      </c>
      <c r="AA207" s="18" t="n">
        <f>18</f>
        <v>18.0</v>
      </c>
      <c r="AB207" s="11" t="s">
        <v>332</v>
      </c>
    </row>
    <row r="208">
      <c r="A208" s="11" t="s">
        <v>46</v>
      </c>
      <c r="B208" s="11" t="s">
        <v>47</v>
      </c>
      <c r="C208" s="11" t="s">
        <v>48</v>
      </c>
      <c r="D208" s="11" t="s">
        <v>49</v>
      </c>
      <c r="E208" s="11" t="s">
        <v>331</v>
      </c>
      <c r="F208" s="12" t="n">
        <v>16000.0</v>
      </c>
      <c r="G208" s="13" t="s">
        <v>50</v>
      </c>
      <c r="H208" s="14" t="s">
        <v>89</v>
      </c>
      <c r="I208" s="13" t="s">
        <v>50</v>
      </c>
      <c r="J208" s="14" t="s">
        <v>89</v>
      </c>
      <c r="K208" s="13" t="s">
        <v>204</v>
      </c>
      <c r="L208" s="14" t="s">
        <v>69</v>
      </c>
      <c r="M208" s="13" t="s">
        <v>215</v>
      </c>
      <c r="N208" s="14" t="s">
        <v>64</v>
      </c>
      <c r="O208" s="13" t="s">
        <v>215</v>
      </c>
      <c r="P208" s="14" t="s">
        <v>65</v>
      </c>
      <c r="Q208" s="13" t="s">
        <v>204</v>
      </c>
      <c r="R208" s="14" t="s">
        <v>67</v>
      </c>
      <c r="S208" s="15" t="n">
        <f>7.54</f>
        <v>7.54</v>
      </c>
      <c r="T208" s="16" t="n">
        <f>233</f>
        <v>233.0</v>
      </c>
      <c r="U208" s="16" t="n">
        <v>22.0</v>
      </c>
      <c r="V208" s="16" t="n">
        <f>1505000</f>
        <v>1505000.0</v>
      </c>
      <c r="W208" s="16" t="n">
        <v>143000.0</v>
      </c>
      <c r="X208" s="16" t="str">
        <f>"－"</f>
        <v>－</v>
      </c>
      <c r="Y208" s="13"/>
      <c r="Z208" s="17" t="n">
        <f>86</f>
        <v>86.0</v>
      </c>
      <c r="AA208" s="18" t="n">
        <f>13</f>
        <v>13.0</v>
      </c>
      <c r="AB208" s="11" t="s">
        <v>332</v>
      </c>
    </row>
    <row r="209">
      <c r="A209" s="11" t="s">
        <v>46</v>
      </c>
      <c r="B209" s="11" t="s">
        <v>47</v>
      </c>
      <c r="C209" s="11" t="s">
        <v>48</v>
      </c>
      <c r="D209" s="11" t="s">
        <v>49</v>
      </c>
      <c r="E209" s="11" t="s">
        <v>331</v>
      </c>
      <c r="F209" s="12" t="n">
        <v>17000.0</v>
      </c>
      <c r="G209" s="13" t="s">
        <v>50</v>
      </c>
      <c r="H209" s="14" t="s">
        <v>85</v>
      </c>
      <c r="I209" s="13" t="s">
        <v>50</v>
      </c>
      <c r="J209" s="14" t="s">
        <v>85</v>
      </c>
      <c r="K209" s="13" t="s">
        <v>208</v>
      </c>
      <c r="L209" s="14" t="s">
        <v>70</v>
      </c>
      <c r="M209" s="13" t="s">
        <v>211</v>
      </c>
      <c r="N209" s="14" t="s">
        <v>65</v>
      </c>
      <c r="O209" s="13" t="s">
        <v>204</v>
      </c>
      <c r="P209" s="14" t="s">
        <v>65</v>
      </c>
      <c r="Q209" s="13" t="s">
        <v>204</v>
      </c>
      <c r="R209" s="14" t="s">
        <v>71</v>
      </c>
      <c r="S209" s="15" t="n">
        <f>10.73</f>
        <v>10.73</v>
      </c>
      <c r="T209" s="16" t="n">
        <f>259</f>
        <v>259.0</v>
      </c>
      <c r="U209" s="16" t="n">
        <v>29.0</v>
      </c>
      <c r="V209" s="16" t="n">
        <f>2186000</f>
        <v>2186000.0</v>
      </c>
      <c r="W209" s="16" t="n">
        <v>248000.0</v>
      </c>
      <c r="X209" s="16" t="str">
        <f>"－"</f>
        <v>－</v>
      </c>
      <c r="Y209" s="13"/>
      <c r="Z209" s="17" t="n">
        <f>131</f>
        <v>131.0</v>
      </c>
      <c r="AA209" s="18" t="n">
        <f>15</f>
        <v>15.0</v>
      </c>
      <c r="AB209" s="11" t="s">
        <v>332</v>
      </c>
    </row>
    <row r="210">
      <c r="A210" s="11" t="s">
        <v>46</v>
      </c>
      <c r="B210" s="11" t="s">
        <v>47</v>
      </c>
      <c r="C210" s="11" t="s">
        <v>48</v>
      </c>
      <c r="D210" s="11" t="s">
        <v>49</v>
      </c>
      <c r="E210" s="11" t="s">
        <v>331</v>
      </c>
      <c r="F210" s="12" t="n">
        <v>17750.0</v>
      </c>
      <c r="G210" s="13" t="s">
        <v>50</v>
      </c>
      <c r="H210" s="14" t="s">
        <v>264</v>
      </c>
      <c r="I210" s="13" t="s">
        <v>50</v>
      </c>
      <c r="J210" s="14" t="s">
        <v>264</v>
      </c>
      <c r="K210" s="13" t="s">
        <v>204</v>
      </c>
      <c r="L210" s="14" t="s">
        <v>73</v>
      </c>
      <c r="M210" s="13" t="s">
        <v>215</v>
      </c>
      <c r="N210" s="14" t="s">
        <v>66</v>
      </c>
      <c r="O210" s="13" t="s">
        <v>211</v>
      </c>
      <c r="P210" s="14" t="s">
        <v>68</v>
      </c>
      <c r="Q210" s="13" t="s">
        <v>204</v>
      </c>
      <c r="R210" s="14" t="s">
        <v>181</v>
      </c>
      <c r="S210" s="15" t="n">
        <f>15.46</f>
        <v>15.46</v>
      </c>
      <c r="T210" s="16" t="n">
        <f>297</f>
        <v>297.0</v>
      </c>
      <c r="U210" s="16" t="n">
        <v>30.0</v>
      </c>
      <c r="V210" s="16" t="n">
        <f>3688000</f>
        <v>3688000.0</v>
      </c>
      <c r="W210" s="16" t="n">
        <v>317000.0</v>
      </c>
      <c r="X210" s="16" t="str">
        <f>"－"</f>
        <v>－</v>
      </c>
      <c r="Y210" s="13"/>
      <c r="Z210" s="17" t="n">
        <f>87</f>
        <v>87.0</v>
      </c>
      <c r="AA210" s="18" t="n">
        <f>13</f>
        <v>13.0</v>
      </c>
      <c r="AB210" s="11" t="s">
        <v>332</v>
      </c>
    </row>
    <row r="211">
      <c r="A211" s="11" t="s">
        <v>46</v>
      </c>
      <c r="B211" s="11" t="s">
        <v>47</v>
      </c>
      <c r="C211" s="11" t="s">
        <v>48</v>
      </c>
      <c r="D211" s="11" t="s">
        <v>49</v>
      </c>
      <c r="E211" s="11" t="s">
        <v>331</v>
      </c>
      <c r="F211" s="12" t="n">
        <v>18000.0</v>
      </c>
      <c r="G211" s="13" t="s">
        <v>50</v>
      </c>
      <c r="H211" s="14" t="s">
        <v>113</v>
      </c>
      <c r="I211" s="13" t="s">
        <v>50</v>
      </c>
      <c r="J211" s="14" t="s">
        <v>113</v>
      </c>
      <c r="K211" s="13" t="s">
        <v>204</v>
      </c>
      <c r="L211" s="14" t="s">
        <v>77</v>
      </c>
      <c r="M211" s="13" t="s">
        <v>215</v>
      </c>
      <c r="N211" s="14" t="s">
        <v>67</v>
      </c>
      <c r="O211" s="13" t="s">
        <v>215</v>
      </c>
      <c r="P211" s="14" t="s">
        <v>67</v>
      </c>
      <c r="Q211" s="13" t="s">
        <v>204</v>
      </c>
      <c r="R211" s="14" t="s">
        <v>73</v>
      </c>
      <c r="S211" s="15" t="n">
        <f>16.89</f>
        <v>16.89</v>
      </c>
      <c r="T211" s="16" t="n">
        <f>1577</f>
        <v>1577.0</v>
      </c>
      <c r="U211" s="16" t="n">
        <v>1233.0</v>
      </c>
      <c r="V211" s="16" t="n">
        <f>19685000</f>
        <v>1.9685E7</v>
      </c>
      <c r="W211" s="16" t="n">
        <v>1.5167E7</v>
      </c>
      <c r="X211" s="16" t="str">
        <f>"－"</f>
        <v>－</v>
      </c>
      <c r="Y211" s="13"/>
      <c r="Z211" s="17" t="n">
        <f>1389</f>
        <v>1389.0</v>
      </c>
      <c r="AA211" s="18" t="n">
        <f>18</f>
        <v>18.0</v>
      </c>
      <c r="AB211" s="11" t="s">
        <v>332</v>
      </c>
    </row>
    <row r="212">
      <c r="A212" s="11" t="s">
        <v>46</v>
      </c>
      <c r="B212" s="11" t="s">
        <v>47</v>
      </c>
      <c r="C212" s="11" t="s">
        <v>48</v>
      </c>
      <c r="D212" s="11" t="s">
        <v>49</v>
      </c>
      <c r="E212" s="11" t="s">
        <v>331</v>
      </c>
      <c r="F212" s="12" t="n">
        <v>18250.0</v>
      </c>
      <c r="G212" s="13" t="s">
        <v>60</v>
      </c>
      <c r="H212" s="14" t="s">
        <v>79</v>
      </c>
      <c r="I212" s="13" t="s">
        <v>60</v>
      </c>
      <c r="J212" s="14" t="s">
        <v>79</v>
      </c>
      <c r="K212" s="13" t="s">
        <v>210</v>
      </c>
      <c r="L212" s="14" t="s">
        <v>70</v>
      </c>
      <c r="M212" s="13" t="s">
        <v>211</v>
      </c>
      <c r="N212" s="14" t="s">
        <v>69</v>
      </c>
      <c r="O212" s="13" t="s">
        <v>215</v>
      </c>
      <c r="P212" s="14" t="s">
        <v>67</v>
      </c>
      <c r="Q212" s="13" t="s">
        <v>215</v>
      </c>
      <c r="R212" s="14" t="s">
        <v>71</v>
      </c>
      <c r="S212" s="15" t="n">
        <f>12.89</f>
        <v>12.89</v>
      </c>
      <c r="T212" s="16" t="n">
        <f>76</f>
        <v>76.0</v>
      </c>
      <c r="U212" s="16" t="n">
        <v>7.0</v>
      </c>
      <c r="V212" s="16" t="n">
        <f>948000</f>
        <v>948000.0</v>
      </c>
      <c r="W212" s="16" t="n">
        <v>71000.0</v>
      </c>
      <c r="X212" s="16" t="str">
        <f>"－"</f>
        <v>－</v>
      </c>
      <c r="Y212" s="13"/>
      <c r="Z212" s="17" t="n">
        <f>67</f>
        <v>67.0</v>
      </c>
      <c r="AA212" s="18" t="n">
        <f>9</f>
        <v>9.0</v>
      </c>
      <c r="AB212" s="11" t="s">
        <v>332</v>
      </c>
    </row>
    <row r="213">
      <c r="A213" s="11" t="s">
        <v>46</v>
      </c>
      <c r="B213" s="11" t="s">
        <v>47</v>
      </c>
      <c r="C213" s="11" t="s">
        <v>48</v>
      </c>
      <c r="D213" s="11" t="s">
        <v>49</v>
      </c>
      <c r="E213" s="11" t="s">
        <v>331</v>
      </c>
      <c r="F213" s="12" t="n">
        <v>18500.0</v>
      </c>
      <c r="G213" s="13" t="s">
        <v>55</v>
      </c>
      <c r="H213" s="14" t="s">
        <v>86</v>
      </c>
      <c r="I213" s="13" t="s">
        <v>55</v>
      </c>
      <c r="J213" s="14" t="s">
        <v>86</v>
      </c>
      <c r="K213" s="13" t="s">
        <v>204</v>
      </c>
      <c r="L213" s="14" t="s">
        <v>213</v>
      </c>
      <c r="M213" s="13" t="s">
        <v>215</v>
      </c>
      <c r="N213" s="14" t="s">
        <v>68</v>
      </c>
      <c r="O213" s="13" t="s">
        <v>215</v>
      </c>
      <c r="P213" s="14" t="s">
        <v>69</v>
      </c>
      <c r="Q213" s="13" t="s">
        <v>204</v>
      </c>
      <c r="R213" s="14" t="s">
        <v>213</v>
      </c>
      <c r="S213" s="15" t="n">
        <f>15.92</f>
        <v>15.92</v>
      </c>
      <c r="T213" s="16" t="n">
        <f>139</f>
        <v>139.0</v>
      </c>
      <c r="U213" s="16" t="n">
        <v>29.0</v>
      </c>
      <c r="V213" s="16" t="n">
        <f>1911000</f>
        <v>1911000.0</v>
      </c>
      <c r="W213" s="16" t="n">
        <v>444000.0</v>
      </c>
      <c r="X213" s="16" t="str">
        <f>"－"</f>
        <v>－</v>
      </c>
      <c r="Y213" s="13"/>
      <c r="Z213" s="17" t="n">
        <f>36</f>
        <v>36.0</v>
      </c>
      <c r="AA213" s="18" t="n">
        <f>13</f>
        <v>13.0</v>
      </c>
      <c r="AB213" s="11" t="s">
        <v>332</v>
      </c>
    </row>
    <row r="214">
      <c r="A214" s="11" t="s">
        <v>46</v>
      </c>
      <c r="B214" s="11" t="s">
        <v>47</v>
      </c>
      <c r="C214" s="11" t="s">
        <v>48</v>
      </c>
      <c r="D214" s="11" t="s">
        <v>49</v>
      </c>
      <c r="E214" s="11" t="s">
        <v>331</v>
      </c>
      <c r="F214" s="12" t="n">
        <v>18750.0</v>
      </c>
      <c r="G214" s="13" t="s">
        <v>206</v>
      </c>
      <c r="H214" s="14" t="s">
        <v>216</v>
      </c>
      <c r="I214" s="13" t="s">
        <v>204</v>
      </c>
      <c r="J214" s="14" t="s">
        <v>213</v>
      </c>
      <c r="K214" s="13"/>
      <c r="L214" s="14"/>
      <c r="M214" s="13" t="s">
        <v>204</v>
      </c>
      <c r="N214" s="14" t="s">
        <v>71</v>
      </c>
      <c r="O214" s="13"/>
      <c r="P214" s="14"/>
      <c r="Q214" s="13" t="s">
        <v>204</v>
      </c>
      <c r="R214" s="14" t="s">
        <v>213</v>
      </c>
      <c r="S214" s="15" t="n">
        <f>14.63</f>
        <v>14.63</v>
      </c>
      <c r="T214" s="16" t="n">
        <f>65</f>
        <v>65.0</v>
      </c>
      <c r="U214" s="16"/>
      <c r="V214" s="16" t="n">
        <f>913000</f>
        <v>913000.0</v>
      </c>
      <c r="W214" s="16"/>
      <c r="X214" s="16" t="str">
        <f>"－"</f>
        <v>－</v>
      </c>
      <c r="Y214" s="13"/>
      <c r="Z214" s="17" t="n">
        <f>15</f>
        <v>15.0</v>
      </c>
      <c r="AA214" s="18" t="n">
        <f>8</f>
        <v>8.0</v>
      </c>
      <c r="AB214" s="11" t="s">
        <v>332</v>
      </c>
    </row>
    <row r="215">
      <c r="A215" s="11" t="s">
        <v>46</v>
      </c>
      <c r="B215" s="11" t="s">
        <v>47</v>
      </c>
      <c r="C215" s="11" t="s">
        <v>48</v>
      </c>
      <c r="D215" s="11" t="s">
        <v>49</v>
      </c>
      <c r="E215" s="11" t="s">
        <v>331</v>
      </c>
      <c r="F215" s="12" t="n">
        <v>19000.0</v>
      </c>
      <c r="G215" s="13" t="s">
        <v>58</v>
      </c>
      <c r="H215" s="14" t="s">
        <v>79</v>
      </c>
      <c r="I215" s="13" t="s">
        <v>58</v>
      </c>
      <c r="J215" s="14" t="s">
        <v>79</v>
      </c>
      <c r="K215" s="13" t="s">
        <v>63</v>
      </c>
      <c r="L215" s="14" t="s">
        <v>95</v>
      </c>
      <c r="M215" s="13" t="s">
        <v>215</v>
      </c>
      <c r="N215" s="14" t="s">
        <v>71</v>
      </c>
      <c r="O215" s="13" t="s">
        <v>55</v>
      </c>
      <c r="P215" s="14" t="s">
        <v>64</v>
      </c>
      <c r="Q215" s="13" t="s">
        <v>204</v>
      </c>
      <c r="R215" s="14" t="s">
        <v>213</v>
      </c>
      <c r="S215" s="15" t="n">
        <f>16.86</f>
        <v>16.86</v>
      </c>
      <c r="T215" s="16" t="n">
        <f>664</f>
        <v>664.0</v>
      </c>
      <c r="U215" s="16" t="n">
        <v>233.0</v>
      </c>
      <c r="V215" s="16" t="n">
        <f>14695000</f>
        <v>1.4695E7</v>
      </c>
      <c r="W215" s="16" t="n">
        <v>7744000.0</v>
      </c>
      <c r="X215" s="16" t="str">
        <f>"－"</f>
        <v>－</v>
      </c>
      <c r="Y215" s="13"/>
      <c r="Z215" s="17" t="n">
        <f>2954</f>
        <v>2954.0</v>
      </c>
      <c r="AA215" s="18" t="n">
        <f>14</f>
        <v>14.0</v>
      </c>
      <c r="AB215" s="11" t="s">
        <v>332</v>
      </c>
    </row>
    <row r="216">
      <c r="A216" s="11" t="s">
        <v>46</v>
      </c>
      <c r="B216" s="11" t="s">
        <v>47</v>
      </c>
      <c r="C216" s="11" t="s">
        <v>48</v>
      </c>
      <c r="D216" s="11" t="s">
        <v>49</v>
      </c>
      <c r="E216" s="11" t="s">
        <v>331</v>
      </c>
      <c r="F216" s="12" t="n">
        <v>19250.0</v>
      </c>
      <c r="G216" s="13" t="s">
        <v>60</v>
      </c>
      <c r="H216" s="14" t="s">
        <v>236</v>
      </c>
      <c r="I216" s="13" t="s">
        <v>60</v>
      </c>
      <c r="J216" s="14" t="s">
        <v>236</v>
      </c>
      <c r="K216" s="13" t="s">
        <v>55</v>
      </c>
      <c r="L216" s="14" t="s">
        <v>333</v>
      </c>
      <c r="M216" s="13" t="s">
        <v>215</v>
      </c>
      <c r="N216" s="14" t="s">
        <v>70</v>
      </c>
      <c r="O216" s="13" t="s">
        <v>211</v>
      </c>
      <c r="P216" s="14" t="s">
        <v>70</v>
      </c>
      <c r="Q216" s="13" t="s">
        <v>204</v>
      </c>
      <c r="R216" s="14" t="s">
        <v>76</v>
      </c>
      <c r="S216" s="15" t="n">
        <f>18.71</f>
        <v>18.71</v>
      </c>
      <c r="T216" s="16" t="n">
        <f>551</f>
        <v>551.0</v>
      </c>
      <c r="U216" s="16" t="n">
        <v>20.0</v>
      </c>
      <c r="V216" s="16" t="n">
        <f>9681000</f>
        <v>9681000.0</v>
      </c>
      <c r="W216" s="16" t="n">
        <v>426000.0</v>
      </c>
      <c r="X216" s="16" t="str">
        <f>"－"</f>
        <v>－</v>
      </c>
      <c r="Y216" s="13"/>
      <c r="Z216" s="17" t="n">
        <f>82</f>
        <v>82.0</v>
      </c>
      <c r="AA216" s="18" t="n">
        <f>14</f>
        <v>14.0</v>
      </c>
      <c r="AB216" s="11" t="s">
        <v>332</v>
      </c>
    </row>
    <row r="217">
      <c r="A217" s="11" t="s">
        <v>46</v>
      </c>
      <c r="B217" s="11" t="s">
        <v>47</v>
      </c>
      <c r="C217" s="11" t="s">
        <v>48</v>
      </c>
      <c r="D217" s="11" t="s">
        <v>49</v>
      </c>
      <c r="E217" s="11" t="s">
        <v>331</v>
      </c>
      <c r="F217" s="12" t="n">
        <v>19500.0</v>
      </c>
      <c r="G217" s="13" t="s">
        <v>55</v>
      </c>
      <c r="H217" s="14" t="s">
        <v>96</v>
      </c>
      <c r="I217" s="13" t="s">
        <v>55</v>
      </c>
      <c r="J217" s="14" t="s">
        <v>94</v>
      </c>
      <c r="K217" s="13" t="s">
        <v>204</v>
      </c>
      <c r="L217" s="14" t="s">
        <v>81</v>
      </c>
      <c r="M217" s="13" t="s">
        <v>204</v>
      </c>
      <c r="N217" s="14" t="s">
        <v>72</v>
      </c>
      <c r="O217" s="13" t="s">
        <v>215</v>
      </c>
      <c r="P217" s="14" t="s">
        <v>70</v>
      </c>
      <c r="Q217" s="13" t="s">
        <v>204</v>
      </c>
      <c r="R217" s="14" t="s">
        <v>80</v>
      </c>
      <c r="S217" s="15" t="n">
        <f>23.57</f>
        <v>23.57</v>
      </c>
      <c r="T217" s="16" t="n">
        <f>269</f>
        <v>269.0</v>
      </c>
      <c r="U217" s="16" t="n">
        <v>71.0</v>
      </c>
      <c r="V217" s="16" t="n">
        <f>5107000</f>
        <v>5107000.0</v>
      </c>
      <c r="W217" s="16" t="n">
        <v>1032000.0</v>
      </c>
      <c r="X217" s="16" t="str">
        <f>"－"</f>
        <v>－</v>
      </c>
      <c r="Y217" s="13"/>
      <c r="Z217" s="17" t="n">
        <f>74</f>
        <v>74.0</v>
      </c>
      <c r="AA217" s="18" t="n">
        <f>14</f>
        <v>14.0</v>
      </c>
      <c r="AB217" s="11" t="s">
        <v>332</v>
      </c>
    </row>
    <row r="218">
      <c r="A218" s="11" t="s">
        <v>46</v>
      </c>
      <c r="B218" s="11" t="s">
        <v>47</v>
      </c>
      <c r="C218" s="11" t="s">
        <v>48</v>
      </c>
      <c r="D218" s="11" t="s">
        <v>49</v>
      </c>
      <c r="E218" s="11" t="s">
        <v>331</v>
      </c>
      <c r="F218" s="12" t="n">
        <v>19750.0</v>
      </c>
      <c r="G218" s="13" t="s">
        <v>52</v>
      </c>
      <c r="H218" s="14" t="s">
        <v>81</v>
      </c>
      <c r="I218" s="13" t="s">
        <v>204</v>
      </c>
      <c r="J218" s="14" t="s">
        <v>87</v>
      </c>
      <c r="K218" s="13" t="s">
        <v>208</v>
      </c>
      <c r="L218" s="14" t="s">
        <v>83</v>
      </c>
      <c r="M218" s="13" t="s">
        <v>215</v>
      </c>
      <c r="N218" s="14" t="s">
        <v>181</v>
      </c>
      <c r="O218" s="13" t="s">
        <v>211</v>
      </c>
      <c r="P218" s="14" t="s">
        <v>73</v>
      </c>
      <c r="Q218" s="13" t="s">
        <v>204</v>
      </c>
      <c r="R218" s="14" t="s">
        <v>334</v>
      </c>
      <c r="S218" s="15" t="n">
        <f>20.67</f>
        <v>20.67</v>
      </c>
      <c r="T218" s="16" t="n">
        <f>213</f>
        <v>213.0</v>
      </c>
      <c r="U218" s="16" t="n">
        <v>18.0</v>
      </c>
      <c r="V218" s="16" t="n">
        <f>4245000</f>
        <v>4245000.0</v>
      </c>
      <c r="W218" s="16" t="n">
        <v>328000.0</v>
      </c>
      <c r="X218" s="16" t="str">
        <f>"－"</f>
        <v>－</v>
      </c>
      <c r="Y218" s="13"/>
      <c r="Z218" s="17" t="n">
        <f>91</f>
        <v>91.0</v>
      </c>
      <c r="AA218" s="18" t="n">
        <f>12</f>
        <v>12.0</v>
      </c>
      <c r="AB218" s="11" t="s">
        <v>332</v>
      </c>
    </row>
    <row r="219">
      <c r="A219" s="11" t="s">
        <v>46</v>
      </c>
      <c r="B219" s="11" t="s">
        <v>47</v>
      </c>
      <c r="C219" s="11" t="s">
        <v>48</v>
      </c>
      <c r="D219" s="11" t="s">
        <v>49</v>
      </c>
      <c r="E219" s="11" t="s">
        <v>331</v>
      </c>
      <c r="F219" s="12" t="n">
        <v>20000.0</v>
      </c>
      <c r="G219" s="13" t="s">
        <v>50</v>
      </c>
      <c r="H219" s="14" t="s">
        <v>191</v>
      </c>
      <c r="I219" s="13" t="s">
        <v>50</v>
      </c>
      <c r="J219" s="14" t="s">
        <v>115</v>
      </c>
      <c r="K219" s="13" t="s">
        <v>204</v>
      </c>
      <c r="L219" s="14" t="s">
        <v>93</v>
      </c>
      <c r="M219" s="13" t="s">
        <v>204</v>
      </c>
      <c r="N219" s="14" t="s">
        <v>181</v>
      </c>
      <c r="O219" s="13" t="s">
        <v>215</v>
      </c>
      <c r="P219" s="14" t="s">
        <v>181</v>
      </c>
      <c r="Q219" s="13" t="s">
        <v>204</v>
      </c>
      <c r="R219" s="14" t="s">
        <v>82</v>
      </c>
      <c r="S219" s="15" t="n">
        <f>32.24</f>
        <v>32.24</v>
      </c>
      <c r="T219" s="16" t="n">
        <f>2316</f>
        <v>2316.0</v>
      </c>
      <c r="U219" s="16" t="n">
        <v>863.0</v>
      </c>
      <c r="V219" s="16" t="n">
        <f>55110000</f>
        <v>5.511E7</v>
      </c>
      <c r="W219" s="16" t="n">
        <v>2.1068E7</v>
      </c>
      <c r="X219" s="16" t="str">
        <f>"－"</f>
        <v>－</v>
      </c>
      <c r="Y219" s="13"/>
      <c r="Z219" s="17" t="n">
        <f>1061</f>
        <v>1061.0</v>
      </c>
      <c r="AA219" s="18" t="n">
        <f>17</f>
        <v>17.0</v>
      </c>
      <c r="AB219" s="11" t="s">
        <v>332</v>
      </c>
    </row>
    <row r="220">
      <c r="A220" s="11" t="s">
        <v>46</v>
      </c>
      <c r="B220" s="11" t="s">
        <v>47</v>
      </c>
      <c r="C220" s="11" t="s">
        <v>48</v>
      </c>
      <c r="D220" s="11" t="s">
        <v>49</v>
      </c>
      <c r="E220" s="11" t="s">
        <v>331</v>
      </c>
      <c r="F220" s="12" t="n">
        <v>20250.0</v>
      </c>
      <c r="G220" s="13" t="s">
        <v>206</v>
      </c>
      <c r="H220" s="14" t="s">
        <v>82</v>
      </c>
      <c r="I220" s="13" t="s">
        <v>204</v>
      </c>
      <c r="J220" s="14" t="s">
        <v>93</v>
      </c>
      <c r="K220" s="13" t="s">
        <v>206</v>
      </c>
      <c r="L220" s="14" t="s">
        <v>80</v>
      </c>
      <c r="M220" s="13" t="s">
        <v>215</v>
      </c>
      <c r="N220" s="14" t="s">
        <v>77</v>
      </c>
      <c r="O220" s="13" t="s">
        <v>207</v>
      </c>
      <c r="P220" s="14" t="s">
        <v>74</v>
      </c>
      <c r="Q220" s="13" t="s">
        <v>204</v>
      </c>
      <c r="R220" s="14" t="s">
        <v>93</v>
      </c>
      <c r="S220" s="15" t="n">
        <f>23.6</f>
        <v>23.6</v>
      </c>
      <c r="T220" s="16" t="n">
        <f>214</f>
        <v>214.0</v>
      </c>
      <c r="U220" s="16" t="n">
        <v>4.0</v>
      </c>
      <c r="V220" s="16" t="n">
        <f>5132000</f>
        <v>5132000.0</v>
      </c>
      <c r="W220" s="16" t="n">
        <v>101000.0</v>
      </c>
      <c r="X220" s="16" t="str">
        <f>"－"</f>
        <v>－</v>
      </c>
      <c r="Y220" s="13"/>
      <c r="Z220" s="17" t="n">
        <f>82</f>
        <v>82.0</v>
      </c>
      <c r="AA220" s="18" t="n">
        <f>10</f>
        <v>10.0</v>
      </c>
      <c r="AB220" s="11" t="s">
        <v>332</v>
      </c>
    </row>
    <row r="221">
      <c r="A221" s="11" t="s">
        <v>46</v>
      </c>
      <c r="B221" s="11" t="s">
        <v>47</v>
      </c>
      <c r="C221" s="11" t="s">
        <v>48</v>
      </c>
      <c r="D221" s="11" t="s">
        <v>49</v>
      </c>
      <c r="E221" s="11" t="s">
        <v>331</v>
      </c>
      <c r="F221" s="12" t="n">
        <v>20500.0</v>
      </c>
      <c r="G221" s="13" t="s">
        <v>206</v>
      </c>
      <c r="H221" s="14" t="s">
        <v>236</v>
      </c>
      <c r="I221" s="13" t="s">
        <v>204</v>
      </c>
      <c r="J221" s="14" t="s">
        <v>335</v>
      </c>
      <c r="K221" s="13" t="s">
        <v>204</v>
      </c>
      <c r="L221" s="14" t="s">
        <v>84</v>
      </c>
      <c r="M221" s="13" t="s">
        <v>215</v>
      </c>
      <c r="N221" s="14" t="s">
        <v>216</v>
      </c>
      <c r="O221" s="13" t="s">
        <v>215</v>
      </c>
      <c r="P221" s="14" t="s">
        <v>75</v>
      </c>
      <c r="Q221" s="13" t="s">
        <v>204</v>
      </c>
      <c r="R221" s="14" t="s">
        <v>335</v>
      </c>
      <c r="S221" s="15" t="n">
        <f>26.4</f>
        <v>26.4</v>
      </c>
      <c r="T221" s="16" t="n">
        <f>431</f>
        <v>431.0</v>
      </c>
      <c r="U221" s="16" t="n">
        <v>11.0</v>
      </c>
      <c r="V221" s="16" t="n">
        <f>10336000</f>
        <v>1.0336E7</v>
      </c>
      <c r="W221" s="16" t="n">
        <v>268000.0</v>
      </c>
      <c r="X221" s="16" t="str">
        <f>"－"</f>
        <v>－</v>
      </c>
      <c r="Y221" s="13"/>
      <c r="Z221" s="17" t="n">
        <f>69</f>
        <v>69.0</v>
      </c>
      <c r="AA221" s="18" t="n">
        <f>10</f>
        <v>10.0</v>
      </c>
      <c r="AB221" s="11" t="s">
        <v>332</v>
      </c>
    </row>
    <row r="222">
      <c r="A222" s="11" t="s">
        <v>46</v>
      </c>
      <c r="B222" s="11" t="s">
        <v>47</v>
      </c>
      <c r="C222" s="11" t="s">
        <v>48</v>
      </c>
      <c r="D222" s="11" t="s">
        <v>49</v>
      </c>
      <c r="E222" s="11" t="s">
        <v>331</v>
      </c>
      <c r="F222" s="12" t="n">
        <v>20750.0</v>
      </c>
      <c r="G222" s="13" t="s">
        <v>60</v>
      </c>
      <c r="H222" s="14" t="s">
        <v>97</v>
      </c>
      <c r="I222" s="13" t="s">
        <v>60</v>
      </c>
      <c r="J222" s="14" t="s">
        <v>97</v>
      </c>
      <c r="K222" s="13" t="s">
        <v>204</v>
      </c>
      <c r="L222" s="14" t="s">
        <v>86</v>
      </c>
      <c r="M222" s="13" t="s">
        <v>215</v>
      </c>
      <c r="N222" s="14" t="s">
        <v>75</v>
      </c>
      <c r="O222" s="13" t="s">
        <v>208</v>
      </c>
      <c r="P222" s="14" t="s">
        <v>85</v>
      </c>
      <c r="Q222" s="13" t="s">
        <v>204</v>
      </c>
      <c r="R222" s="14" t="s">
        <v>90</v>
      </c>
      <c r="S222" s="15" t="n">
        <f>30.3</f>
        <v>30.3</v>
      </c>
      <c r="T222" s="16" t="n">
        <f>379</f>
        <v>379.0</v>
      </c>
      <c r="U222" s="16" t="n">
        <v>11.0</v>
      </c>
      <c r="V222" s="16" t="n">
        <f>10862000</f>
        <v>1.0862E7</v>
      </c>
      <c r="W222" s="16" t="n">
        <v>357000.0</v>
      </c>
      <c r="X222" s="16" t="str">
        <f>"－"</f>
        <v>－</v>
      </c>
      <c r="Y222" s="13"/>
      <c r="Z222" s="17" t="n">
        <f>195</f>
        <v>195.0</v>
      </c>
      <c r="AA222" s="18" t="n">
        <f>10</f>
        <v>10.0</v>
      </c>
      <c r="AB222" s="11" t="s">
        <v>332</v>
      </c>
    </row>
    <row r="223">
      <c r="A223" s="11" t="s">
        <v>46</v>
      </c>
      <c r="B223" s="11" t="s">
        <v>47</v>
      </c>
      <c r="C223" s="11" t="s">
        <v>48</v>
      </c>
      <c r="D223" s="11" t="s">
        <v>49</v>
      </c>
      <c r="E223" s="11" t="s">
        <v>331</v>
      </c>
      <c r="F223" s="12" t="n">
        <v>21000.0</v>
      </c>
      <c r="G223" s="13" t="s">
        <v>61</v>
      </c>
      <c r="H223" s="14" t="s">
        <v>86</v>
      </c>
      <c r="I223" s="13" t="s">
        <v>204</v>
      </c>
      <c r="J223" s="14" t="s">
        <v>217</v>
      </c>
      <c r="K223" s="13" t="s">
        <v>63</v>
      </c>
      <c r="L223" s="14" t="s">
        <v>336</v>
      </c>
      <c r="M223" s="13" t="s">
        <v>215</v>
      </c>
      <c r="N223" s="14" t="s">
        <v>74</v>
      </c>
      <c r="O223" s="13" t="s">
        <v>204</v>
      </c>
      <c r="P223" s="14" t="s">
        <v>214</v>
      </c>
      <c r="Q223" s="13" t="s">
        <v>204</v>
      </c>
      <c r="R223" s="14" t="s">
        <v>335</v>
      </c>
      <c r="S223" s="15" t="n">
        <f>31.83</f>
        <v>31.83</v>
      </c>
      <c r="T223" s="16" t="n">
        <f>1343</f>
        <v>1343.0</v>
      </c>
      <c r="U223" s="16" t="n">
        <v>367.0</v>
      </c>
      <c r="V223" s="16" t="n">
        <f>45804000</f>
        <v>4.5804E7</v>
      </c>
      <c r="W223" s="16" t="n">
        <v>1.7028E7</v>
      </c>
      <c r="X223" s="16" t="str">
        <f>"－"</f>
        <v>－</v>
      </c>
      <c r="Y223" s="13"/>
      <c r="Z223" s="17" t="n">
        <f>1116</f>
        <v>1116.0</v>
      </c>
      <c r="AA223" s="18" t="n">
        <f>12</f>
        <v>12.0</v>
      </c>
      <c r="AB223" s="11" t="s">
        <v>332</v>
      </c>
    </row>
    <row r="224">
      <c r="A224" s="11" t="s">
        <v>46</v>
      </c>
      <c r="B224" s="11" t="s">
        <v>47</v>
      </c>
      <c r="C224" s="11" t="s">
        <v>48</v>
      </c>
      <c r="D224" s="11" t="s">
        <v>49</v>
      </c>
      <c r="E224" s="11" t="s">
        <v>331</v>
      </c>
      <c r="F224" s="12" t="n">
        <v>21250.0</v>
      </c>
      <c r="G224" s="13" t="s">
        <v>206</v>
      </c>
      <c r="H224" s="14" t="s">
        <v>91</v>
      </c>
      <c r="I224" s="13" t="s">
        <v>204</v>
      </c>
      <c r="J224" s="14" t="s">
        <v>113</v>
      </c>
      <c r="K224" s="13" t="s">
        <v>206</v>
      </c>
      <c r="L224" s="14" t="s">
        <v>92</v>
      </c>
      <c r="M224" s="13" t="s">
        <v>215</v>
      </c>
      <c r="N224" s="14" t="s">
        <v>81</v>
      </c>
      <c r="O224" s="13" t="s">
        <v>206</v>
      </c>
      <c r="P224" s="14" t="s">
        <v>92</v>
      </c>
      <c r="Q224" s="13" t="s">
        <v>204</v>
      </c>
      <c r="R224" s="14" t="s">
        <v>96</v>
      </c>
      <c r="S224" s="15" t="n">
        <f>32.8</f>
        <v>32.8</v>
      </c>
      <c r="T224" s="16" t="n">
        <f>289</f>
        <v>289.0</v>
      </c>
      <c r="U224" s="16" t="n">
        <v>4.0</v>
      </c>
      <c r="V224" s="16" t="n">
        <f>9445000</f>
        <v>9445000.0</v>
      </c>
      <c r="W224" s="16" t="n">
        <v>152000.0</v>
      </c>
      <c r="X224" s="16" t="str">
        <f>"－"</f>
        <v>－</v>
      </c>
      <c r="Y224" s="13"/>
      <c r="Z224" s="17" t="n">
        <f>381</f>
        <v>381.0</v>
      </c>
      <c r="AA224" s="18" t="n">
        <f>10</f>
        <v>10.0</v>
      </c>
      <c r="AB224" s="11" t="s">
        <v>332</v>
      </c>
    </row>
    <row r="225">
      <c r="A225" s="11" t="s">
        <v>46</v>
      </c>
      <c r="B225" s="11" t="s">
        <v>47</v>
      </c>
      <c r="C225" s="11" t="s">
        <v>48</v>
      </c>
      <c r="D225" s="11" t="s">
        <v>49</v>
      </c>
      <c r="E225" s="11" t="s">
        <v>331</v>
      </c>
      <c r="F225" s="12" t="n">
        <v>21500.0</v>
      </c>
      <c r="G225" s="13" t="s">
        <v>56</v>
      </c>
      <c r="H225" s="14" t="s">
        <v>99</v>
      </c>
      <c r="I225" s="13" t="s">
        <v>204</v>
      </c>
      <c r="J225" s="14" t="s">
        <v>101</v>
      </c>
      <c r="K225" s="13" t="s">
        <v>204</v>
      </c>
      <c r="L225" s="14" t="s">
        <v>97</v>
      </c>
      <c r="M225" s="13" t="s">
        <v>215</v>
      </c>
      <c r="N225" s="14" t="s">
        <v>76</v>
      </c>
      <c r="O225" s="13" t="s">
        <v>215</v>
      </c>
      <c r="P225" s="14" t="s">
        <v>83</v>
      </c>
      <c r="Q225" s="13" t="s">
        <v>204</v>
      </c>
      <c r="R225" s="14" t="s">
        <v>113</v>
      </c>
      <c r="S225" s="15" t="n">
        <f>35.82</f>
        <v>35.82</v>
      </c>
      <c r="T225" s="16" t="n">
        <f>2490</f>
        <v>2490.0</v>
      </c>
      <c r="U225" s="16" t="n">
        <v>2042.0</v>
      </c>
      <c r="V225" s="16" t="n">
        <f>83323000</f>
        <v>8.3323E7</v>
      </c>
      <c r="W225" s="16" t="n">
        <v>6.7281E7</v>
      </c>
      <c r="X225" s="16" t="str">
        <f>"－"</f>
        <v>－</v>
      </c>
      <c r="Y225" s="13"/>
      <c r="Z225" s="17" t="n">
        <f>1956</f>
        <v>1956.0</v>
      </c>
      <c r="AA225" s="18" t="n">
        <f>11</f>
        <v>11.0</v>
      </c>
      <c r="AB225" s="11" t="s">
        <v>332</v>
      </c>
    </row>
    <row r="226">
      <c r="A226" s="11" t="s">
        <v>46</v>
      </c>
      <c r="B226" s="11" t="s">
        <v>47</v>
      </c>
      <c r="C226" s="11" t="s">
        <v>48</v>
      </c>
      <c r="D226" s="11" t="s">
        <v>49</v>
      </c>
      <c r="E226" s="11" t="s">
        <v>331</v>
      </c>
      <c r="F226" s="12" t="n">
        <v>21750.0</v>
      </c>
      <c r="G226" s="13" t="s">
        <v>56</v>
      </c>
      <c r="H226" s="14" t="s">
        <v>94</v>
      </c>
      <c r="I226" s="13" t="s">
        <v>204</v>
      </c>
      <c r="J226" s="14" t="s">
        <v>105</v>
      </c>
      <c r="K226" s="13" t="s">
        <v>207</v>
      </c>
      <c r="L226" s="14" t="s">
        <v>86</v>
      </c>
      <c r="M226" s="13" t="s">
        <v>215</v>
      </c>
      <c r="N226" s="14" t="s">
        <v>334</v>
      </c>
      <c r="O226" s="13" t="s">
        <v>215</v>
      </c>
      <c r="P226" s="14" t="s">
        <v>79</v>
      </c>
      <c r="Q226" s="13" t="s">
        <v>204</v>
      </c>
      <c r="R226" s="14" t="s">
        <v>105</v>
      </c>
      <c r="S226" s="15" t="n">
        <f>39.55</f>
        <v>39.55</v>
      </c>
      <c r="T226" s="16" t="n">
        <f>223</f>
        <v>223.0</v>
      </c>
      <c r="U226" s="16" t="n">
        <v>5.0</v>
      </c>
      <c r="V226" s="16" t="n">
        <f>8210000</f>
        <v>8210000.0</v>
      </c>
      <c r="W226" s="16" t="n">
        <v>168000.0</v>
      </c>
      <c r="X226" s="16" t="str">
        <f>"－"</f>
        <v>－</v>
      </c>
      <c r="Y226" s="13"/>
      <c r="Z226" s="17" t="n">
        <f>50</f>
        <v>50.0</v>
      </c>
      <c r="AA226" s="18" t="n">
        <f>11</f>
        <v>11.0</v>
      </c>
      <c r="AB226" s="11" t="s">
        <v>332</v>
      </c>
    </row>
    <row r="227">
      <c r="A227" s="11" t="s">
        <v>46</v>
      </c>
      <c r="B227" s="11" t="s">
        <v>47</v>
      </c>
      <c r="C227" s="11" t="s">
        <v>48</v>
      </c>
      <c r="D227" s="11" t="s">
        <v>49</v>
      </c>
      <c r="E227" s="11" t="s">
        <v>331</v>
      </c>
      <c r="F227" s="12" t="n">
        <v>22000.0</v>
      </c>
      <c r="G227" s="13" t="s">
        <v>50</v>
      </c>
      <c r="H227" s="14" t="s">
        <v>125</v>
      </c>
      <c r="I227" s="13" t="s">
        <v>50</v>
      </c>
      <c r="J227" s="14" t="s">
        <v>125</v>
      </c>
      <c r="K227" s="13" t="s">
        <v>60</v>
      </c>
      <c r="L227" s="14" t="s">
        <v>111</v>
      </c>
      <c r="M227" s="13" t="s">
        <v>215</v>
      </c>
      <c r="N227" s="14" t="s">
        <v>82</v>
      </c>
      <c r="O227" s="13" t="s">
        <v>215</v>
      </c>
      <c r="P227" s="14" t="s">
        <v>82</v>
      </c>
      <c r="Q227" s="13" t="s">
        <v>204</v>
      </c>
      <c r="R227" s="14" t="s">
        <v>333</v>
      </c>
      <c r="S227" s="15" t="n">
        <f>59.24</f>
        <v>59.24</v>
      </c>
      <c r="T227" s="16" t="n">
        <f>1923</f>
        <v>1923.0</v>
      </c>
      <c r="U227" s="16" t="n">
        <v>1327.0</v>
      </c>
      <c r="V227" s="16" t="n">
        <f>93161000</f>
        <v>9.3161E7</v>
      </c>
      <c r="W227" s="16" t="n">
        <v>6.4994E7</v>
      </c>
      <c r="X227" s="16" t="str">
        <f>"－"</f>
        <v>－</v>
      </c>
      <c r="Y227" s="13"/>
      <c r="Z227" s="17" t="n">
        <f>1651</f>
        <v>1651.0</v>
      </c>
      <c r="AA227" s="18" t="n">
        <f>17</f>
        <v>17.0</v>
      </c>
      <c r="AB227" s="11" t="s">
        <v>332</v>
      </c>
    </row>
    <row r="228">
      <c r="A228" s="11" t="s">
        <v>46</v>
      </c>
      <c r="B228" s="11" t="s">
        <v>47</v>
      </c>
      <c r="C228" s="11" t="s">
        <v>48</v>
      </c>
      <c r="D228" s="11" t="s">
        <v>49</v>
      </c>
      <c r="E228" s="11" t="s">
        <v>331</v>
      </c>
      <c r="F228" s="12" t="n">
        <v>22250.0</v>
      </c>
      <c r="G228" s="13" t="s">
        <v>55</v>
      </c>
      <c r="H228" s="14" t="s">
        <v>117</v>
      </c>
      <c r="I228" s="13" t="s">
        <v>55</v>
      </c>
      <c r="J228" s="14" t="s">
        <v>117</v>
      </c>
      <c r="K228" s="13" t="s">
        <v>207</v>
      </c>
      <c r="L228" s="14" t="s">
        <v>217</v>
      </c>
      <c r="M228" s="13" t="s">
        <v>215</v>
      </c>
      <c r="N228" s="14" t="s">
        <v>184</v>
      </c>
      <c r="O228" s="13" t="s">
        <v>207</v>
      </c>
      <c r="P228" s="14" t="s">
        <v>335</v>
      </c>
      <c r="Q228" s="13" t="s">
        <v>204</v>
      </c>
      <c r="R228" s="14" t="s">
        <v>218</v>
      </c>
      <c r="S228" s="15" t="n">
        <f>53</f>
        <v>53.0</v>
      </c>
      <c r="T228" s="16" t="n">
        <f>428</f>
        <v>428.0</v>
      </c>
      <c r="U228" s="16" t="n">
        <v>7.0</v>
      </c>
      <c r="V228" s="16" t="n">
        <f>21778000</f>
        <v>2.1778E7</v>
      </c>
      <c r="W228" s="16" t="n">
        <v>305000.0</v>
      </c>
      <c r="X228" s="16" t="str">
        <f>"－"</f>
        <v>－</v>
      </c>
      <c r="Y228" s="13"/>
      <c r="Z228" s="17" t="n">
        <f>32</f>
        <v>32.0</v>
      </c>
      <c r="AA228" s="18" t="n">
        <f>12</f>
        <v>12.0</v>
      </c>
      <c r="AB228" s="11" t="s">
        <v>332</v>
      </c>
    </row>
    <row r="229">
      <c r="A229" s="11" t="s">
        <v>46</v>
      </c>
      <c r="B229" s="11" t="s">
        <v>47</v>
      </c>
      <c r="C229" s="11" t="s">
        <v>48</v>
      </c>
      <c r="D229" s="11" t="s">
        <v>49</v>
      </c>
      <c r="E229" s="11" t="s">
        <v>331</v>
      </c>
      <c r="F229" s="12" t="n">
        <v>22500.0</v>
      </c>
      <c r="G229" s="13" t="s">
        <v>50</v>
      </c>
      <c r="H229" s="14" t="s">
        <v>128</v>
      </c>
      <c r="I229" s="13" t="s">
        <v>50</v>
      </c>
      <c r="J229" s="14" t="s">
        <v>128</v>
      </c>
      <c r="K229" s="13" t="s">
        <v>204</v>
      </c>
      <c r="L229" s="14" t="s">
        <v>337</v>
      </c>
      <c r="M229" s="13" t="s">
        <v>215</v>
      </c>
      <c r="N229" s="14" t="s">
        <v>93</v>
      </c>
      <c r="O229" s="13" t="s">
        <v>215</v>
      </c>
      <c r="P229" s="14" t="s">
        <v>89</v>
      </c>
      <c r="Q229" s="13" t="s">
        <v>204</v>
      </c>
      <c r="R229" s="14" t="s">
        <v>333</v>
      </c>
      <c r="S229" s="15" t="n">
        <f>67</f>
        <v>67.0</v>
      </c>
      <c r="T229" s="16" t="n">
        <f>2056</f>
        <v>2056.0</v>
      </c>
      <c r="U229" s="16" t="n">
        <v>1680.0</v>
      </c>
      <c r="V229" s="16" t="n">
        <f>117874000</f>
        <v>1.17874E8</v>
      </c>
      <c r="W229" s="16" t="n">
        <v>9.7499E7</v>
      </c>
      <c r="X229" s="16" t="str">
        <f>"－"</f>
        <v>－</v>
      </c>
      <c r="Y229" s="13"/>
      <c r="Z229" s="17" t="n">
        <f>93</f>
        <v>93.0</v>
      </c>
      <c r="AA229" s="18" t="n">
        <f>13</f>
        <v>13.0</v>
      </c>
      <c r="AB229" s="11" t="s">
        <v>332</v>
      </c>
    </row>
    <row r="230">
      <c r="A230" s="11" t="s">
        <v>46</v>
      </c>
      <c r="B230" s="11" t="s">
        <v>47</v>
      </c>
      <c r="C230" s="11" t="s">
        <v>48</v>
      </c>
      <c r="D230" s="11" t="s">
        <v>49</v>
      </c>
      <c r="E230" s="11" t="s">
        <v>331</v>
      </c>
      <c r="F230" s="12" t="n">
        <v>22750.0</v>
      </c>
      <c r="G230" s="13" t="s">
        <v>58</v>
      </c>
      <c r="H230" s="14" t="s">
        <v>191</v>
      </c>
      <c r="I230" s="13" t="s">
        <v>58</v>
      </c>
      <c r="J230" s="14" t="s">
        <v>191</v>
      </c>
      <c r="K230" s="13" t="s">
        <v>204</v>
      </c>
      <c r="L230" s="14" t="s">
        <v>270</v>
      </c>
      <c r="M230" s="13" t="s">
        <v>204</v>
      </c>
      <c r="N230" s="14" t="s">
        <v>91</v>
      </c>
      <c r="O230" s="13" t="s">
        <v>210</v>
      </c>
      <c r="P230" s="14" t="s">
        <v>98</v>
      </c>
      <c r="Q230" s="13" t="s">
        <v>204</v>
      </c>
      <c r="R230" s="14" t="s">
        <v>338</v>
      </c>
      <c r="S230" s="15" t="n">
        <f>59.82</f>
        <v>59.82</v>
      </c>
      <c r="T230" s="16" t="n">
        <f>439</f>
        <v>439.0</v>
      </c>
      <c r="U230" s="16" t="n">
        <v>6.0</v>
      </c>
      <c r="V230" s="16" t="n">
        <f>26140000</f>
        <v>2.614E7</v>
      </c>
      <c r="W230" s="16" t="n">
        <v>358000.0</v>
      </c>
      <c r="X230" s="16" t="str">
        <f>"－"</f>
        <v>－</v>
      </c>
      <c r="Y230" s="13"/>
      <c r="Z230" s="17" t="n">
        <f>32</f>
        <v>32.0</v>
      </c>
      <c r="AA230" s="18" t="n">
        <f>11</f>
        <v>11.0</v>
      </c>
      <c r="AB230" s="11" t="s">
        <v>332</v>
      </c>
    </row>
    <row r="231">
      <c r="A231" s="11" t="s">
        <v>46</v>
      </c>
      <c r="B231" s="11" t="s">
        <v>47</v>
      </c>
      <c r="C231" s="11" t="s">
        <v>48</v>
      </c>
      <c r="D231" s="11" t="s">
        <v>49</v>
      </c>
      <c r="E231" s="11" t="s">
        <v>331</v>
      </c>
      <c r="F231" s="12" t="n">
        <v>23000.0</v>
      </c>
      <c r="G231" s="13" t="s">
        <v>50</v>
      </c>
      <c r="H231" s="14" t="s">
        <v>293</v>
      </c>
      <c r="I231" s="13" t="s">
        <v>50</v>
      </c>
      <c r="J231" s="14" t="s">
        <v>293</v>
      </c>
      <c r="K231" s="13" t="s">
        <v>50</v>
      </c>
      <c r="L231" s="14" t="s">
        <v>293</v>
      </c>
      <c r="M231" s="13" t="s">
        <v>215</v>
      </c>
      <c r="N231" s="14" t="s">
        <v>86</v>
      </c>
      <c r="O231" s="13" t="s">
        <v>215</v>
      </c>
      <c r="P231" s="14" t="s">
        <v>95</v>
      </c>
      <c r="Q231" s="13" t="s">
        <v>204</v>
      </c>
      <c r="R231" s="14" t="s">
        <v>339</v>
      </c>
      <c r="S231" s="15" t="n">
        <f>80.71</f>
        <v>80.71</v>
      </c>
      <c r="T231" s="16" t="n">
        <f>2246</f>
        <v>2246.0</v>
      </c>
      <c r="U231" s="16" t="n">
        <v>1627.0</v>
      </c>
      <c r="V231" s="16" t="n">
        <f>148585000</f>
        <v>1.48585E8</v>
      </c>
      <c r="W231" s="16" t="n">
        <v>1.00929E8</v>
      </c>
      <c r="X231" s="16" t="str">
        <f>"－"</f>
        <v>－</v>
      </c>
      <c r="Y231" s="13"/>
      <c r="Z231" s="17" t="n">
        <f>754</f>
        <v>754.0</v>
      </c>
      <c r="AA231" s="18" t="n">
        <f>17</f>
        <v>17.0</v>
      </c>
      <c r="AB231" s="11" t="s">
        <v>332</v>
      </c>
    </row>
    <row r="232">
      <c r="A232" s="11" t="s">
        <v>46</v>
      </c>
      <c r="B232" s="11" t="s">
        <v>47</v>
      </c>
      <c r="C232" s="11" t="s">
        <v>48</v>
      </c>
      <c r="D232" s="11" t="s">
        <v>49</v>
      </c>
      <c r="E232" s="11" t="s">
        <v>331</v>
      </c>
      <c r="F232" s="12" t="n">
        <v>23250.0</v>
      </c>
      <c r="G232" s="13" t="s">
        <v>50</v>
      </c>
      <c r="H232" s="14" t="s">
        <v>134</v>
      </c>
      <c r="I232" s="13" t="s">
        <v>50</v>
      </c>
      <c r="J232" s="14" t="s">
        <v>134</v>
      </c>
      <c r="K232" s="13" t="s">
        <v>50</v>
      </c>
      <c r="L232" s="14" t="s">
        <v>340</v>
      </c>
      <c r="M232" s="13" t="s">
        <v>204</v>
      </c>
      <c r="N232" s="14" t="s">
        <v>96</v>
      </c>
      <c r="O232" s="13" t="s">
        <v>215</v>
      </c>
      <c r="P232" s="14" t="s">
        <v>102</v>
      </c>
      <c r="Q232" s="13" t="s">
        <v>204</v>
      </c>
      <c r="R232" s="14" t="s">
        <v>341</v>
      </c>
      <c r="S232" s="15" t="n">
        <f>83.14</f>
        <v>83.14</v>
      </c>
      <c r="T232" s="16" t="n">
        <f>1044</f>
        <v>1044.0</v>
      </c>
      <c r="U232" s="16" t="n">
        <v>313.0</v>
      </c>
      <c r="V232" s="16" t="n">
        <f>132033000</f>
        <v>1.32033E8</v>
      </c>
      <c r="W232" s="16" t="n">
        <v>4.3348E7</v>
      </c>
      <c r="X232" s="16" t="str">
        <f>"－"</f>
        <v>－</v>
      </c>
      <c r="Y232" s="13"/>
      <c r="Z232" s="17" t="n">
        <f>508</f>
        <v>508.0</v>
      </c>
      <c r="AA232" s="18" t="n">
        <f>14</f>
        <v>14.0</v>
      </c>
      <c r="AB232" s="11" t="s">
        <v>332</v>
      </c>
    </row>
    <row r="233">
      <c r="A233" s="11" t="s">
        <v>46</v>
      </c>
      <c r="B233" s="11" t="s">
        <v>47</v>
      </c>
      <c r="C233" s="11" t="s">
        <v>48</v>
      </c>
      <c r="D233" s="11" t="s">
        <v>49</v>
      </c>
      <c r="E233" s="11" t="s">
        <v>331</v>
      </c>
      <c r="F233" s="12" t="n">
        <v>23500.0</v>
      </c>
      <c r="G233" s="13" t="s">
        <v>50</v>
      </c>
      <c r="H233" s="14" t="s">
        <v>137</v>
      </c>
      <c r="I233" s="13" t="s">
        <v>50</v>
      </c>
      <c r="J233" s="14" t="s">
        <v>342</v>
      </c>
      <c r="K233" s="13" t="s">
        <v>204</v>
      </c>
      <c r="L233" s="14" t="s">
        <v>343</v>
      </c>
      <c r="M233" s="13" t="s">
        <v>215</v>
      </c>
      <c r="N233" s="14" t="s">
        <v>217</v>
      </c>
      <c r="O233" s="13" t="s">
        <v>202</v>
      </c>
      <c r="P233" s="14" t="s">
        <v>97</v>
      </c>
      <c r="Q233" s="13" t="s">
        <v>204</v>
      </c>
      <c r="R233" s="14" t="s">
        <v>116</v>
      </c>
      <c r="S233" s="15" t="n">
        <f>99.83</f>
        <v>99.83</v>
      </c>
      <c r="T233" s="16" t="n">
        <f>1402</f>
        <v>1402.0</v>
      </c>
      <c r="U233" s="16" t="n">
        <v>664.0</v>
      </c>
      <c r="V233" s="16" t="n">
        <f>148210000</f>
        <v>1.4821E8</v>
      </c>
      <c r="W233" s="16" t="n">
        <v>6.816E7</v>
      </c>
      <c r="X233" s="16" t="str">
        <f>"－"</f>
        <v>－</v>
      </c>
      <c r="Y233" s="13"/>
      <c r="Z233" s="17" t="n">
        <f>463</f>
        <v>463.0</v>
      </c>
      <c r="AA233" s="18" t="n">
        <f>18</f>
        <v>18.0</v>
      </c>
      <c r="AB233" s="11" t="s">
        <v>332</v>
      </c>
    </row>
    <row r="234">
      <c r="A234" s="11" t="s">
        <v>46</v>
      </c>
      <c r="B234" s="11" t="s">
        <v>47</v>
      </c>
      <c r="C234" s="11" t="s">
        <v>48</v>
      </c>
      <c r="D234" s="11" t="s">
        <v>49</v>
      </c>
      <c r="E234" s="11" t="s">
        <v>331</v>
      </c>
      <c r="F234" s="12" t="n">
        <v>23750.0</v>
      </c>
      <c r="G234" s="13" t="s">
        <v>50</v>
      </c>
      <c r="H234" s="14" t="s">
        <v>144</v>
      </c>
      <c r="I234" s="13" t="s">
        <v>50</v>
      </c>
      <c r="J234" s="14" t="s">
        <v>140</v>
      </c>
      <c r="K234" s="13" t="s">
        <v>204</v>
      </c>
      <c r="L234" s="14" t="s">
        <v>115</v>
      </c>
      <c r="M234" s="13" t="s">
        <v>215</v>
      </c>
      <c r="N234" s="14" t="s">
        <v>100</v>
      </c>
      <c r="O234" s="13" t="s">
        <v>215</v>
      </c>
      <c r="P234" s="14" t="s">
        <v>344</v>
      </c>
      <c r="Q234" s="13" t="s">
        <v>204</v>
      </c>
      <c r="R234" s="14" t="s">
        <v>122</v>
      </c>
      <c r="S234" s="15" t="n">
        <f>110.22</f>
        <v>110.22</v>
      </c>
      <c r="T234" s="16" t="n">
        <f>649</f>
        <v>649.0</v>
      </c>
      <c r="U234" s="16" t="n">
        <v>23.0</v>
      </c>
      <c r="V234" s="16" t="n">
        <f>78524000</f>
        <v>7.8524E7</v>
      </c>
      <c r="W234" s="16" t="n">
        <v>1735000.0</v>
      </c>
      <c r="X234" s="16" t="str">
        <f>"－"</f>
        <v>－</v>
      </c>
      <c r="Y234" s="13"/>
      <c r="Z234" s="17" t="n">
        <f>78</f>
        <v>78.0</v>
      </c>
      <c r="AA234" s="18" t="n">
        <f>18</f>
        <v>18.0</v>
      </c>
      <c r="AB234" s="11" t="s">
        <v>332</v>
      </c>
    </row>
    <row r="235">
      <c r="A235" s="11" t="s">
        <v>46</v>
      </c>
      <c r="B235" s="11" t="s">
        <v>47</v>
      </c>
      <c r="C235" s="11" t="s">
        <v>48</v>
      </c>
      <c r="D235" s="11" t="s">
        <v>49</v>
      </c>
      <c r="E235" s="11" t="s">
        <v>331</v>
      </c>
      <c r="F235" s="12" t="n">
        <v>24000.0</v>
      </c>
      <c r="G235" s="13" t="s">
        <v>50</v>
      </c>
      <c r="H235" s="14" t="s">
        <v>140</v>
      </c>
      <c r="I235" s="13" t="s">
        <v>50</v>
      </c>
      <c r="J235" s="14" t="s">
        <v>140</v>
      </c>
      <c r="K235" s="13" t="s">
        <v>55</v>
      </c>
      <c r="L235" s="14" t="s">
        <v>135</v>
      </c>
      <c r="M235" s="13" t="s">
        <v>215</v>
      </c>
      <c r="N235" s="14" t="s">
        <v>220</v>
      </c>
      <c r="O235" s="13" t="s">
        <v>215</v>
      </c>
      <c r="P235" s="14" t="s">
        <v>105</v>
      </c>
      <c r="Q235" s="13" t="s">
        <v>204</v>
      </c>
      <c r="R235" s="14" t="s">
        <v>122</v>
      </c>
      <c r="S235" s="15" t="n">
        <f>117.44</f>
        <v>117.44</v>
      </c>
      <c r="T235" s="16" t="n">
        <f>3090</f>
        <v>3090.0</v>
      </c>
      <c r="U235" s="16" t="n">
        <v>1433.0</v>
      </c>
      <c r="V235" s="16" t="n">
        <f>320493000</f>
        <v>3.20493E8</v>
      </c>
      <c r="W235" s="16" t="n">
        <v>1.56155E8</v>
      </c>
      <c r="X235" s="16" t="str">
        <f>"－"</f>
        <v>－</v>
      </c>
      <c r="Y235" s="13"/>
      <c r="Z235" s="17" t="n">
        <f>4001</f>
        <v>4001.0</v>
      </c>
      <c r="AA235" s="18" t="n">
        <f>18</f>
        <v>18.0</v>
      </c>
      <c r="AB235" s="11" t="s">
        <v>332</v>
      </c>
    </row>
    <row r="236">
      <c r="A236" s="11" t="s">
        <v>46</v>
      </c>
      <c r="B236" s="11" t="s">
        <v>47</v>
      </c>
      <c r="C236" s="11" t="s">
        <v>48</v>
      </c>
      <c r="D236" s="11" t="s">
        <v>49</v>
      </c>
      <c r="E236" s="11" t="s">
        <v>331</v>
      </c>
      <c r="F236" s="12" t="n">
        <v>24250.0</v>
      </c>
      <c r="G236" s="13" t="s">
        <v>55</v>
      </c>
      <c r="H236" s="14" t="s">
        <v>132</v>
      </c>
      <c r="I236" s="13" t="s">
        <v>63</v>
      </c>
      <c r="J236" s="14" t="s">
        <v>135</v>
      </c>
      <c r="K236" s="13" t="s">
        <v>55</v>
      </c>
      <c r="L236" s="14" t="s">
        <v>274</v>
      </c>
      <c r="M236" s="13" t="s">
        <v>215</v>
      </c>
      <c r="N236" s="14" t="s">
        <v>221</v>
      </c>
      <c r="O236" s="13" t="s">
        <v>207</v>
      </c>
      <c r="P236" s="14" t="s">
        <v>338</v>
      </c>
      <c r="Q236" s="13" t="s">
        <v>204</v>
      </c>
      <c r="R236" s="14" t="s">
        <v>126</v>
      </c>
      <c r="S236" s="15" t="n">
        <f>116.36</f>
        <v>116.36</v>
      </c>
      <c r="T236" s="16" t="n">
        <f>1286</f>
        <v>1286.0</v>
      </c>
      <c r="U236" s="16" t="n">
        <v>307.0</v>
      </c>
      <c r="V236" s="16" t="n">
        <f>151843800</f>
        <v>1.518438E8</v>
      </c>
      <c r="W236" s="16" t="n">
        <v>5.26688E7</v>
      </c>
      <c r="X236" s="16" t="str">
        <f>"－"</f>
        <v>－</v>
      </c>
      <c r="Y236" s="13"/>
      <c r="Z236" s="17" t="n">
        <f>335</f>
        <v>335.0</v>
      </c>
      <c r="AA236" s="18" t="n">
        <f>14</f>
        <v>14.0</v>
      </c>
      <c r="AB236" s="11" t="s">
        <v>332</v>
      </c>
    </row>
    <row r="237">
      <c r="A237" s="11" t="s">
        <v>46</v>
      </c>
      <c r="B237" s="11" t="s">
        <v>47</v>
      </c>
      <c r="C237" s="11" t="s">
        <v>48</v>
      </c>
      <c r="D237" s="11" t="s">
        <v>49</v>
      </c>
      <c r="E237" s="11" t="s">
        <v>331</v>
      </c>
      <c r="F237" s="12" t="n">
        <v>24500.0</v>
      </c>
      <c r="G237" s="13" t="s">
        <v>55</v>
      </c>
      <c r="H237" s="14" t="s">
        <v>345</v>
      </c>
      <c r="I237" s="13" t="s">
        <v>55</v>
      </c>
      <c r="J237" s="14" t="s">
        <v>345</v>
      </c>
      <c r="K237" s="13" t="s">
        <v>60</v>
      </c>
      <c r="L237" s="14" t="s">
        <v>127</v>
      </c>
      <c r="M237" s="13" t="s">
        <v>215</v>
      </c>
      <c r="N237" s="14" t="s">
        <v>103</v>
      </c>
      <c r="O237" s="13" t="s">
        <v>215</v>
      </c>
      <c r="P237" s="14" t="s">
        <v>270</v>
      </c>
      <c r="Q237" s="13" t="s">
        <v>204</v>
      </c>
      <c r="R237" s="14" t="s">
        <v>129</v>
      </c>
      <c r="S237" s="15" t="n">
        <f>130.71</f>
        <v>130.71</v>
      </c>
      <c r="T237" s="16" t="n">
        <f>2198</f>
        <v>2198.0</v>
      </c>
      <c r="U237" s="16" t="n">
        <v>1010.0</v>
      </c>
      <c r="V237" s="16" t="n">
        <f>255407500</f>
        <v>2.554075E8</v>
      </c>
      <c r="W237" s="16" t="n">
        <v>1.249395E8</v>
      </c>
      <c r="X237" s="16" t="str">
        <f>"－"</f>
        <v>－</v>
      </c>
      <c r="Y237" s="13"/>
      <c r="Z237" s="17" t="n">
        <f>6105</f>
        <v>6105.0</v>
      </c>
      <c r="AA237" s="18" t="n">
        <f>17</f>
        <v>17.0</v>
      </c>
      <c r="AB237" s="11" t="s">
        <v>332</v>
      </c>
    </row>
    <row r="238">
      <c r="A238" s="11" t="s">
        <v>46</v>
      </c>
      <c r="B238" s="11" t="s">
        <v>47</v>
      </c>
      <c r="C238" s="11" t="s">
        <v>48</v>
      </c>
      <c r="D238" s="11" t="s">
        <v>49</v>
      </c>
      <c r="E238" s="11" t="s">
        <v>331</v>
      </c>
      <c r="F238" s="12" t="n">
        <v>24750.0</v>
      </c>
      <c r="G238" s="13" t="s">
        <v>55</v>
      </c>
      <c r="H238" s="14" t="s">
        <v>142</v>
      </c>
      <c r="I238" s="13" t="s">
        <v>55</v>
      </c>
      <c r="J238" s="14" t="s">
        <v>142</v>
      </c>
      <c r="K238" s="13" t="s">
        <v>63</v>
      </c>
      <c r="L238" s="14" t="s">
        <v>346</v>
      </c>
      <c r="M238" s="13" t="s">
        <v>215</v>
      </c>
      <c r="N238" s="14" t="s">
        <v>276</v>
      </c>
      <c r="O238" s="13" t="s">
        <v>207</v>
      </c>
      <c r="P238" s="14" t="s">
        <v>115</v>
      </c>
      <c r="Q238" s="13" t="s">
        <v>204</v>
      </c>
      <c r="R238" s="14" t="s">
        <v>129</v>
      </c>
      <c r="S238" s="15" t="n">
        <f>140.27</f>
        <v>140.27</v>
      </c>
      <c r="T238" s="16" t="n">
        <f>1437</f>
        <v>1437.0</v>
      </c>
      <c r="U238" s="16" t="n">
        <v>908.0</v>
      </c>
      <c r="V238" s="16" t="n">
        <f>281681000</f>
        <v>2.81681E8</v>
      </c>
      <c r="W238" s="16" t="n">
        <v>2.23375E8</v>
      </c>
      <c r="X238" s="16" t="str">
        <f>"－"</f>
        <v>－</v>
      </c>
      <c r="Y238" s="13"/>
      <c r="Z238" s="17" t="n">
        <f>1136</f>
        <v>1136.0</v>
      </c>
      <c r="AA238" s="18" t="n">
        <f>15</f>
        <v>15.0</v>
      </c>
      <c r="AB238" s="11" t="s">
        <v>332</v>
      </c>
    </row>
    <row r="239">
      <c r="A239" s="11" t="s">
        <v>46</v>
      </c>
      <c r="B239" s="11" t="s">
        <v>47</v>
      </c>
      <c r="C239" s="11" t="s">
        <v>48</v>
      </c>
      <c r="D239" s="11" t="s">
        <v>49</v>
      </c>
      <c r="E239" s="11" t="s">
        <v>331</v>
      </c>
      <c r="F239" s="12" t="n">
        <v>25000.0</v>
      </c>
      <c r="G239" s="13" t="s">
        <v>50</v>
      </c>
      <c r="H239" s="14" t="s">
        <v>147</v>
      </c>
      <c r="I239" s="13" t="s">
        <v>50</v>
      </c>
      <c r="J239" s="14" t="s">
        <v>147</v>
      </c>
      <c r="K239" s="13" t="s">
        <v>50</v>
      </c>
      <c r="L239" s="14" t="s">
        <v>347</v>
      </c>
      <c r="M239" s="13" t="s">
        <v>215</v>
      </c>
      <c r="N239" s="14" t="s">
        <v>112</v>
      </c>
      <c r="O239" s="13" t="s">
        <v>211</v>
      </c>
      <c r="P239" s="14" t="s">
        <v>348</v>
      </c>
      <c r="Q239" s="13" t="s">
        <v>204</v>
      </c>
      <c r="R239" s="14" t="s">
        <v>128</v>
      </c>
      <c r="S239" s="15" t="n">
        <f>166.67</f>
        <v>166.67</v>
      </c>
      <c r="T239" s="16" t="n">
        <f>4112</f>
        <v>4112.0</v>
      </c>
      <c r="U239" s="16" t="n">
        <v>3141.0</v>
      </c>
      <c r="V239" s="16" t="n">
        <f>568590000</f>
        <v>5.6859E8</v>
      </c>
      <c r="W239" s="16" t="n">
        <v>4.44376E8</v>
      </c>
      <c r="X239" s="16" t="str">
        <f>"－"</f>
        <v>－</v>
      </c>
      <c r="Y239" s="13"/>
      <c r="Z239" s="17" t="n">
        <f>4754</f>
        <v>4754.0</v>
      </c>
      <c r="AA239" s="18" t="n">
        <f>18</f>
        <v>18.0</v>
      </c>
      <c r="AB239" s="11" t="s">
        <v>332</v>
      </c>
    </row>
    <row r="240">
      <c r="A240" s="11" t="s">
        <v>46</v>
      </c>
      <c r="B240" s="11" t="s">
        <v>47</v>
      </c>
      <c r="C240" s="11" t="s">
        <v>48</v>
      </c>
      <c r="D240" s="11" t="s">
        <v>49</v>
      </c>
      <c r="E240" s="11" t="s">
        <v>331</v>
      </c>
      <c r="F240" s="12" t="n">
        <v>25250.0</v>
      </c>
      <c r="G240" s="13" t="s">
        <v>55</v>
      </c>
      <c r="H240" s="14" t="s">
        <v>180</v>
      </c>
      <c r="I240" s="13" t="s">
        <v>55</v>
      </c>
      <c r="J240" s="14" t="s">
        <v>180</v>
      </c>
      <c r="K240" s="13" t="s">
        <v>55</v>
      </c>
      <c r="L240" s="14" t="s">
        <v>239</v>
      </c>
      <c r="M240" s="13" t="s">
        <v>215</v>
      </c>
      <c r="N240" s="14" t="s">
        <v>227</v>
      </c>
      <c r="O240" s="13" t="s">
        <v>202</v>
      </c>
      <c r="P240" s="14" t="s">
        <v>115</v>
      </c>
      <c r="Q240" s="13" t="s">
        <v>204</v>
      </c>
      <c r="R240" s="14" t="s">
        <v>230</v>
      </c>
      <c r="S240" s="15" t="n">
        <f>165.46</f>
        <v>165.46</v>
      </c>
      <c r="T240" s="16" t="n">
        <f>2724</f>
        <v>2724.0</v>
      </c>
      <c r="U240" s="16" t="n">
        <v>2405.0</v>
      </c>
      <c r="V240" s="16" t="n">
        <f>466150000</f>
        <v>4.6615E8</v>
      </c>
      <c r="W240" s="16" t="n">
        <v>4.2327E8</v>
      </c>
      <c r="X240" s="16" t="str">
        <f>"－"</f>
        <v>－</v>
      </c>
      <c r="Y240" s="13"/>
      <c r="Z240" s="17" t="n">
        <f>2693</f>
        <v>2693.0</v>
      </c>
      <c r="AA240" s="18" t="n">
        <f>13</f>
        <v>13.0</v>
      </c>
      <c r="AB240" s="11" t="s">
        <v>332</v>
      </c>
    </row>
    <row r="241">
      <c r="A241" s="11" t="s">
        <v>46</v>
      </c>
      <c r="B241" s="11" t="s">
        <v>47</v>
      </c>
      <c r="C241" s="11" t="s">
        <v>48</v>
      </c>
      <c r="D241" s="11" t="s">
        <v>49</v>
      </c>
      <c r="E241" s="11" t="s">
        <v>331</v>
      </c>
      <c r="F241" s="12" t="n">
        <v>25500.0</v>
      </c>
      <c r="G241" s="13" t="s">
        <v>50</v>
      </c>
      <c r="H241" s="14" t="s">
        <v>248</v>
      </c>
      <c r="I241" s="13" t="s">
        <v>50</v>
      </c>
      <c r="J241" s="14" t="s">
        <v>248</v>
      </c>
      <c r="K241" s="13" t="s">
        <v>55</v>
      </c>
      <c r="L241" s="14" t="s">
        <v>349</v>
      </c>
      <c r="M241" s="13" t="s">
        <v>215</v>
      </c>
      <c r="N241" s="14" t="s">
        <v>116</v>
      </c>
      <c r="O241" s="13" t="s">
        <v>204</v>
      </c>
      <c r="P241" s="14" t="s">
        <v>115</v>
      </c>
      <c r="Q241" s="13" t="s">
        <v>204</v>
      </c>
      <c r="R241" s="14" t="s">
        <v>131</v>
      </c>
      <c r="S241" s="15" t="n">
        <f>197.94</f>
        <v>197.94</v>
      </c>
      <c r="T241" s="16" t="n">
        <f>1618</f>
        <v>1618.0</v>
      </c>
      <c r="U241" s="16" t="n">
        <v>645.0</v>
      </c>
      <c r="V241" s="16" t="n">
        <f>304401840</f>
        <v>3.0440184E8</v>
      </c>
      <c r="W241" s="16" t="n">
        <v>1.3253184E8</v>
      </c>
      <c r="X241" s="16" t="str">
        <f>"－"</f>
        <v>－</v>
      </c>
      <c r="Y241" s="13"/>
      <c r="Z241" s="17" t="n">
        <f>1620</f>
        <v>1620.0</v>
      </c>
      <c r="AA241" s="18" t="n">
        <f>17</f>
        <v>17.0</v>
      </c>
      <c r="AB241" s="11" t="s">
        <v>332</v>
      </c>
    </row>
    <row r="242">
      <c r="A242" s="11" t="s">
        <v>46</v>
      </c>
      <c r="B242" s="11" t="s">
        <v>47</v>
      </c>
      <c r="C242" s="11" t="s">
        <v>48</v>
      </c>
      <c r="D242" s="11" t="s">
        <v>49</v>
      </c>
      <c r="E242" s="11" t="s">
        <v>331</v>
      </c>
      <c r="F242" s="12" t="n">
        <v>25625.0</v>
      </c>
      <c r="G242" s="13" t="s">
        <v>58</v>
      </c>
      <c r="H242" s="14" t="s">
        <v>234</v>
      </c>
      <c r="I242" s="13" t="s">
        <v>58</v>
      </c>
      <c r="J242" s="14" t="s">
        <v>234</v>
      </c>
      <c r="K242" s="13"/>
      <c r="L242" s="14"/>
      <c r="M242" s="13" t="s">
        <v>211</v>
      </c>
      <c r="N242" s="14" t="s">
        <v>118</v>
      </c>
      <c r="O242" s="13"/>
      <c r="P242" s="14"/>
      <c r="Q242" s="13" t="s">
        <v>204</v>
      </c>
      <c r="R242" s="14" t="s">
        <v>135</v>
      </c>
      <c r="S242" s="15" t="n">
        <f>165</f>
        <v>165.0</v>
      </c>
      <c r="T242" s="16" t="n">
        <f>243</f>
        <v>243.0</v>
      </c>
      <c r="U242" s="16"/>
      <c r="V242" s="16" t="n">
        <f>44600000</f>
        <v>4.46E7</v>
      </c>
      <c r="W242" s="16"/>
      <c r="X242" s="16" t="str">
        <f>"－"</f>
        <v>－</v>
      </c>
      <c r="Y242" s="13"/>
      <c r="Z242" s="17" t="n">
        <f>26</f>
        <v>26.0</v>
      </c>
      <c r="AA242" s="18" t="n">
        <f>11</f>
        <v>11.0</v>
      </c>
      <c r="AB242" s="11" t="s">
        <v>332</v>
      </c>
    </row>
    <row r="243">
      <c r="A243" s="11" t="s">
        <v>46</v>
      </c>
      <c r="B243" s="11" t="s">
        <v>47</v>
      </c>
      <c r="C243" s="11" t="s">
        <v>48</v>
      </c>
      <c r="D243" s="11" t="s">
        <v>49</v>
      </c>
      <c r="E243" s="11" t="s">
        <v>331</v>
      </c>
      <c r="F243" s="12" t="n">
        <v>25750.0</v>
      </c>
      <c r="G243" s="13" t="s">
        <v>55</v>
      </c>
      <c r="H243" s="14" t="s">
        <v>193</v>
      </c>
      <c r="I243" s="13" t="s">
        <v>55</v>
      </c>
      <c r="J243" s="14" t="s">
        <v>193</v>
      </c>
      <c r="K243" s="13" t="s">
        <v>60</v>
      </c>
      <c r="L243" s="14" t="s">
        <v>350</v>
      </c>
      <c r="M243" s="13" t="s">
        <v>215</v>
      </c>
      <c r="N243" s="14" t="s">
        <v>118</v>
      </c>
      <c r="O243" s="13" t="s">
        <v>215</v>
      </c>
      <c r="P243" s="14" t="s">
        <v>119</v>
      </c>
      <c r="Q243" s="13" t="s">
        <v>204</v>
      </c>
      <c r="R243" s="14" t="s">
        <v>185</v>
      </c>
      <c r="S243" s="15" t="n">
        <f>201.88</f>
        <v>201.88</v>
      </c>
      <c r="T243" s="16" t="n">
        <f>4836</f>
        <v>4836.0</v>
      </c>
      <c r="U243" s="16" t="n">
        <v>3343.0</v>
      </c>
      <c r="V243" s="16" t="n">
        <f>982255000</f>
        <v>9.82255E8</v>
      </c>
      <c r="W243" s="16" t="n">
        <v>7.21785E8</v>
      </c>
      <c r="X243" s="16" t="str">
        <f>"－"</f>
        <v>－</v>
      </c>
      <c r="Y243" s="13"/>
      <c r="Z243" s="17" t="n">
        <f>1957</f>
        <v>1957.0</v>
      </c>
      <c r="AA243" s="18" t="n">
        <f>16</f>
        <v>16.0</v>
      </c>
      <c r="AB243" s="11" t="s">
        <v>332</v>
      </c>
    </row>
    <row r="244">
      <c r="A244" s="11" t="s">
        <v>46</v>
      </c>
      <c r="B244" s="11" t="s">
        <v>47</v>
      </c>
      <c r="C244" s="11" t="s">
        <v>48</v>
      </c>
      <c r="D244" s="11" t="s">
        <v>49</v>
      </c>
      <c r="E244" s="11" t="s">
        <v>331</v>
      </c>
      <c r="F244" s="12" t="n">
        <v>25875.0</v>
      </c>
      <c r="G244" s="13" t="s">
        <v>61</v>
      </c>
      <c r="H244" s="14" t="s">
        <v>132</v>
      </c>
      <c r="I244" s="13" t="s">
        <v>61</v>
      </c>
      <c r="J244" s="14" t="s">
        <v>132</v>
      </c>
      <c r="K244" s="13" t="s">
        <v>206</v>
      </c>
      <c r="L244" s="14" t="s">
        <v>293</v>
      </c>
      <c r="M244" s="13" t="s">
        <v>204</v>
      </c>
      <c r="N244" s="14" t="s">
        <v>122</v>
      </c>
      <c r="O244" s="13" t="s">
        <v>288</v>
      </c>
      <c r="P244" s="14" t="s">
        <v>123</v>
      </c>
      <c r="Q244" s="13" t="s">
        <v>204</v>
      </c>
      <c r="R244" s="14" t="s">
        <v>124</v>
      </c>
      <c r="S244" s="15" t="n">
        <f>175</f>
        <v>175.0</v>
      </c>
      <c r="T244" s="16" t="n">
        <f>459</f>
        <v>459.0</v>
      </c>
      <c r="U244" s="16" t="n">
        <v>5.0</v>
      </c>
      <c r="V244" s="16" t="n">
        <f>77605000</f>
        <v>7.7605E7</v>
      </c>
      <c r="W244" s="16" t="n">
        <v>815000.0</v>
      </c>
      <c r="X244" s="16" t="str">
        <f>"－"</f>
        <v>－</v>
      </c>
      <c r="Y244" s="13"/>
      <c r="Z244" s="17" t="n">
        <f>233</f>
        <v>233.0</v>
      </c>
      <c r="AA244" s="18" t="n">
        <f>13</f>
        <v>13.0</v>
      </c>
      <c r="AB244" s="11" t="s">
        <v>332</v>
      </c>
    </row>
    <row r="245">
      <c r="A245" s="11" t="s">
        <v>46</v>
      </c>
      <c r="B245" s="11" t="s">
        <v>47</v>
      </c>
      <c r="C245" s="11" t="s">
        <v>48</v>
      </c>
      <c r="D245" s="11" t="s">
        <v>49</v>
      </c>
      <c r="E245" s="11" t="s">
        <v>331</v>
      </c>
      <c r="F245" s="12" t="n">
        <v>26000.0</v>
      </c>
      <c r="G245" s="13" t="s">
        <v>50</v>
      </c>
      <c r="H245" s="14" t="s">
        <v>351</v>
      </c>
      <c r="I245" s="13" t="s">
        <v>50</v>
      </c>
      <c r="J245" s="14" t="s">
        <v>156</v>
      </c>
      <c r="K245" s="13" t="s">
        <v>63</v>
      </c>
      <c r="L245" s="14" t="s">
        <v>352</v>
      </c>
      <c r="M245" s="13" t="s">
        <v>215</v>
      </c>
      <c r="N245" s="14" t="s">
        <v>122</v>
      </c>
      <c r="O245" s="13" t="s">
        <v>202</v>
      </c>
      <c r="P245" s="14" t="s">
        <v>353</v>
      </c>
      <c r="Q245" s="13" t="s">
        <v>204</v>
      </c>
      <c r="R245" s="14" t="s">
        <v>136</v>
      </c>
      <c r="S245" s="15" t="n">
        <f>245.56</f>
        <v>245.56</v>
      </c>
      <c r="T245" s="16" t="n">
        <f>13275</f>
        <v>13275.0</v>
      </c>
      <c r="U245" s="16" t="n">
        <v>10771.0</v>
      </c>
      <c r="V245" s="16" t="n">
        <f>2670227000</f>
        <v>2.670227E9</v>
      </c>
      <c r="W245" s="16" t="n">
        <v>2.137737E9</v>
      </c>
      <c r="X245" s="16" t="str">
        <f>"－"</f>
        <v>－</v>
      </c>
      <c r="Y245" s="13"/>
      <c r="Z245" s="17" t="n">
        <f>7760</f>
        <v>7760.0</v>
      </c>
      <c r="AA245" s="18" t="n">
        <f>18</f>
        <v>18.0</v>
      </c>
      <c r="AB245" s="11" t="s">
        <v>332</v>
      </c>
    </row>
    <row r="246">
      <c r="A246" s="11" t="s">
        <v>46</v>
      </c>
      <c r="B246" s="11" t="s">
        <v>47</v>
      </c>
      <c r="C246" s="11" t="s">
        <v>48</v>
      </c>
      <c r="D246" s="11" t="s">
        <v>49</v>
      </c>
      <c r="E246" s="11" t="s">
        <v>331</v>
      </c>
      <c r="F246" s="12" t="n">
        <v>26125.0</v>
      </c>
      <c r="G246" s="13" t="s">
        <v>61</v>
      </c>
      <c r="H246" s="14" t="s">
        <v>234</v>
      </c>
      <c r="I246" s="13" t="s">
        <v>61</v>
      </c>
      <c r="J246" s="14" t="s">
        <v>234</v>
      </c>
      <c r="K246" s="13"/>
      <c r="L246" s="14"/>
      <c r="M246" s="13" t="s">
        <v>215</v>
      </c>
      <c r="N246" s="14" t="s">
        <v>120</v>
      </c>
      <c r="O246" s="13"/>
      <c r="P246" s="14"/>
      <c r="Q246" s="13" t="s">
        <v>204</v>
      </c>
      <c r="R246" s="14" t="s">
        <v>129</v>
      </c>
      <c r="S246" s="15" t="n">
        <f>191.82</f>
        <v>191.82</v>
      </c>
      <c r="T246" s="16" t="n">
        <f>615</f>
        <v>615.0</v>
      </c>
      <c r="U246" s="16"/>
      <c r="V246" s="16" t="n">
        <f>114345000</f>
        <v>1.14345E8</v>
      </c>
      <c r="W246" s="16"/>
      <c r="X246" s="16" t="str">
        <f>"－"</f>
        <v>－</v>
      </c>
      <c r="Y246" s="13"/>
      <c r="Z246" s="17" t="n">
        <f>107</f>
        <v>107.0</v>
      </c>
      <c r="AA246" s="18" t="n">
        <f>11</f>
        <v>11.0</v>
      </c>
      <c r="AB246" s="11" t="s">
        <v>332</v>
      </c>
    </row>
    <row r="247">
      <c r="A247" s="11" t="s">
        <v>46</v>
      </c>
      <c r="B247" s="11" t="s">
        <v>47</v>
      </c>
      <c r="C247" s="11" t="s">
        <v>48</v>
      </c>
      <c r="D247" s="11" t="s">
        <v>49</v>
      </c>
      <c r="E247" s="11" t="s">
        <v>331</v>
      </c>
      <c r="F247" s="12" t="n">
        <v>26250.0</v>
      </c>
      <c r="G247" s="13" t="s">
        <v>55</v>
      </c>
      <c r="H247" s="14" t="s">
        <v>354</v>
      </c>
      <c r="I247" s="13" t="s">
        <v>55</v>
      </c>
      <c r="J247" s="14" t="s">
        <v>354</v>
      </c>
      <c r="K247" s="13" t="s">
        <v>55</v>
      </c>
      <c r="L247" s="14" t="s">
        <v>248</v>
      </c>
      <c r="M247" s="13" t="s">
        <v>211</v>
      </c>
      <c r="N247" s="14" t="s">
        <v>126</v>
      </c>
      <c r="O247" s="13" t="s">
        <v>204</v>
      </c>
      <c r="P247" s="14" t="s">
        <v>355</v>
      </c>
      <c r="Q247" s="13" t="s">
        <v>204</v>
      </c>
      <c r="R247" s="14" t="s">
        <v>238</v>
      </c>
      <c r="S247" s="15" t="n">
        <f>239.29</f>
        <v>239.29</v>
      </c>
      <c r="T247" s="16" t="n">
        <f>11254</f>
        <v>11254.0</v>
      </c>
      <c r="U247" s="16" t="n">
        <v>10490.0</v>
      </c>
      <c r="V247" s="16" t="n">
        <f>3061292010</f>
        <v>3.06129201E9</v>
      </c>
      <c r="W247" s="16" t="n">
        <v>2.91550201E9</v>
      </c>
      <c r="X247" s="16" t="str">
        <f>"－"</f>
        <v>－</v>
      </c>
      <c r="Y247" s="13"/>
      <c r="Z247" s="17" t="n">
        <f>5341</f>
        <v>5341.0</v>
      </c>
      <c r="AA247" s="18" t="n">
        <f>14</f>
        <v>14.0</v>
      </c>
      <c r="AB247" s="11" t="s">
        <v>332</v>
      </c>
    </row>
    <row r="248">
      <c r="A248" s="11" t="s">
        <v>46</v>
      </c>
      <c r="B248" s="11" t="s">
        <v>47</v>
      </c>
      <c r="C248" s="11" t="s">
        <v>48</v>
      </c>
      <c r="D248" s="11" t="s">
        <v>49</v>
      </c>
      <c r="E248" s="11" t="s">
        <v>331</v>
      </c>
      <c r="F248" s="12" t="n">
        <v>26375.0</v>
      </c>
      <c r="G248" s="13" t="s">
        <v>58</v>
      </c>
      <c r="H248" s="14" t="s">
        <v>145</v>
      </c>
      <c r="I248" s="13" t="s">
        <v>58</v>
      </c>
      <c r="J248" s="14" t="s">
        <v>145</v>
      </c>
      <c r="K248" s="13"/>
      <c r="L248" s="14"/>
      <c r="M248" s="13" t="s">
        <v>211</v>
      </c>
      <c r="N248" s="14" t="s">
        <v>261</v>
      </c>
      <c r="O248" s="13"/>
      <c r="P248" s="14"/>
      <c r="Q248" s="13" t="s">
        <v>204</v>
      </c>
      <c r="R248" s="14" t="s">
        <v>232</v>
      </c>
      <c r="S248" s="15" t="n">
        <f>228.75</f>
        <v>228.75</v>
      </c>
      <c r="T248" s="16" t="n">
        <f>298</f>
        <v>298.0</v>
      </c>
      <c r="U248" s="16"/>
      <c r="V248" s="16" t="n">
        <f>65305000</f>
        <v>6.5305E7</v>
      </c>
      <c r="W248" s="16"/>
      <c r="X248" s="16" t="str">
        <f>"－"</f>
        <v>－</v>
      </c>
      <c r="Y248" s="13"/>
      <c r="Z248" s="17" t="n">
        <f>80</f>
        <v>80.0</v>
      </c>
      <c r="AA248" s="18" t="n">
        <f>12</f>
        <v>12.0</v>
      </c>
      <c r="AB248" s="11" t="s">
        <v>332</v>
      </c>
    </row>
    <row r="249">
      <c r="A249" s="11" t="s">
        <v>46</v>
      </c>
      <c r="B249" s="11" t="s">
        <v>47</v>
      </c>
      <c r="C249" s="11" t="s">
        <v>48</v>
      </c>
      <c r="D249" s="11" t="s">
        <v>49</v>
      </c>
      <c r="E249" s="11" t="s">
        <v>331</v>
      </c>
      <c r="F249" s="12" t="n">
        <v>26500.0</v>
      </c>
      <c r="G249" s="13" t="s">
        <v>50</v>
      </c>
      <c r="H249" s="14" t="s">
        <v>356</v>
      </c>
      <c r="I249" s="13" t="s">
        <v>50</v>
      </c>
      <c r="J249" s="14" t="s">
        <v>356</v>
      </c>
      <c r="K249" s="13" t="s">
        <v>50</v>
      </c>
      <c r="L249" s="14" t="s">
        <v>158</v>
      </c>
      <c r="M249" s="13" t="s">
        <v>215</v>
      </c>
      <c r="N249" s="14" t="s">
        <v>261</v>
      </c>
      <c r="O249" s="13" t="s">
        <v>215</v>
      </c>
      <c r="P249" s="14" t="s">
        <v>357</v>
      </c>
      <c r="Q249" s="13" t="s">
        <v>204</v>
      </c>
      <c r="R249" s="14" t="s">
        <v>238</v>
      </c>
      <c r="S249" s="15" t="n">
        <f>295.28</f>
        <v>295.28</v>
      </c>
      <c r="T249" s="16" t="n">
        <f>20095</f>
        <v>20095.0</v>
      </c>
      <c r="U249" s="16" t="n">
        <v>19279.0</v>
      </c>
      <c r="V249" s="16" t="n">
        <f>5123715000</f>
        <v>5.123715E9</v>
      </c>
      <c r="W249" s="16" t="n">
        <v>4.92661E9</v>
      </c>
      <c r="X249" s="16" t="str">
        <f>"－"</f>
        <v>－</v>
      </c>
      <c r="Y249" s="13"/>
      <c r="Z249" s="17" t="n">
        <f>6207</f>
        <v>6207.0</v>
      </c>
      <c r="AA249" s="18" t="n">
        <f>18</f>
        <v>18.0</v>
      </c>
      <c r="AB249" s="11" t="s">
        <v>332</v>
      </c>
    </row>
    <row r="250">
      <c r="A250" s="11" t="s">
        <v>46</v>
      </c>
      <c r="B250" s="11" t="s">
        <v>47</v>
      </c>
      <c r="C250" s="11" t="s">
        <v>48</v>
      </c>
      <c r="D250" s="11" t="s">
        <v>49</v>
      </c>
      <c r="E250" s="11" t="s">
        <v>331</v>
      </c>
      <c r="F250" s="12" t="n">
        <v>26625.0</v>
      </c>
      <c r="G250" s="13" t="s">
        <v>52</v>
      </c>
      <c r="H250" s="14" t="s">
        <v>144</v>
      </c>
      <c r="I250" s="13" t="s">
        <v>52</v>
      </c>
      <c r="J250" s="14" t="s">
        <v>144</v>
      </c>
      <c r="K250" s="13"/>
      <c r="L250" s="14"/>
      <c r="M250" s="13" t="s">
        <v>211</v>
      </c>
      <c r="N250" s="14" t="s">
        <v>129</v>
      </c>
      <c r="O250" s="13"/>
      <c r="P250" s="14"/>
      <c r="Q250" s="13" t="s">
        <v>204</v>
      </c>
      <c r="R250" s="14" t="s">
        <v>293</v>
      </c>
      <c r="S250" s="15" t="n">
        <f>227.5</f>
        <v>227.5</v>
      </c>
      <c r="T250" s="16" t="n">
        <f>231</f>
        <v>231.0</v>
      </c>
      <c r="U250" s="16"/>
      <c r="V250" s="16" t="n">
        <f>52225000</f>
        <v>5.2225E7</v>
      </c>
      <c r="W250" s="16"/>
      <c r="X250" s="16" t="str">
        <f>"－"</f>
        <v>－</v>
      </c>
      <c r="Y250" s="13"/>
      <c r="Z250" s="17" t="n">
        <f>14</f>
        <v>14.0</v>
      </c>
      <c r="AA250" s="18" t="n">
        <f>10</f>
        <v>10.0</v>
      </c>
      <c r="AB250" s="11" t="s">
        <v>332</v>
      </c>
    </row>
    <row r="251">
      <c r="A251" s="11" t="s">
        <v>46</v>
      </c>
      <c r="B251" s="11" t="s">
        <v>47</v>
      </c>
      <c r="C251" s="11" t="s">
        <v>48</v>
      </c>
      <c r="D251" s="11" t="s">
        <v>49</v>
      </c>
      <c r="E251" s="11" t="s">
        <v>331</v>
      </c>
      <c r="F251" s="12" t="n">
        <v>26750.0</v>
      </c>
      <c r="G251" s="13" t="s">
        <v>55</v>
      </c>
      <c r="H251" s="14" t="s">
        <v>354</v>
      </c>
      <c r="I251" s="13" t="s">
        <v>55</v>
      </c>
      <c r="J251" s="14" t="s">
        <v>249</v>
      </c>
      <c r="K251" s="13" t="s">
        <v>55</v>
      </c>
      <c r="L251" s="14" t="s">
        <v>358</v>
      </c>
      <c r="M251" s="13" t="s">
        <v>204</v>
      </c>
      <c r="N251" s="14" t="s">
        <v>127</v>
      </c>
      <c r="O251" s="13" t="s">
        <v>215</v>
      </c>
      <c r="P251" s="14" t="s">
        <v>128</v>
      </c>
      <c r="Q251" s="13" t="s">
        <v>204</v>
      </c>
      <c r="R251" s="14" t="s">
        <v>190</v>
      </c>
      <c r="S251" s="15" t="n">
        <f>291.33</f>
        <v>291.33</v>
      </c>
      <c r="T251" s="16" t="n">
        <f>1172</f>
        <v>1172.0</v>
      </c>
      <c r="U251" s="16" t="n">
        <v>304.0</v>
      </c>
      <c r="V251" s="16" t="n">
        <f>362695216</f>
        <v>3.62695216E8</v>
      </c>
      <c r="W251" s="16" t="n">
        <v>1.50350216E8</v>
      </c>
      <c r="X251" s="16" t="str">
        <f>"－"</f>
        <v>－</v>
      </c>
      <c r="Y251" s="13"/>
      <c r="Z251" s="17" t="n">
        <f>504</f>
        <v>504.0</v>
      </c>
      <c r="AA251" s="18" t="n">
        <f>15</f>
        <v>15.0</v>
      </c>
      <c r="AB251" s="11" t="s">
        <v>332</v>
      </c>
    </row>
    <row r="252">
      <c r="A252" s="11" t="s">
        <v>46</v>
      </c>
      <c r="B252" s="11" t="s">
        <v>47</v>
      </c>
      <c r="C252" s="11" t="s">
        <v>48</v>
      </c>
      <c r="D252" s="11" t="s">
        <v>49</v>
      </c>
      <c r="E252" s="11" t="s">
        <v>331</v>
      </c>
      <c r="F252" s="12" t="n">
        <v>26875.0</v>
      </c>
      <c r="G252" s="13" t="s">
        <v>58</v>
      </c>
      <c r="H252" s="14" t="s">
        <v>193</v>
      </c>
      <c r="I252" s="13" t="s">
        <v>58</v>
      </c>
      <c r="J252" s="14" t="s">
        <v>193</v>
      </c>
      <c r="K252" s="13"/>
      <c r="L252" s="14"/>
      <c r="M252" s="13" t="s">
        <v>215</v>
      </c>
      <c r="N252" s="14" t="s">
        <v>233</v>
      </c>
      <c r="O252" s="13"/>
      <c r="P252" s="14"/>
      <c r="Q252" s="13" t="s">
        <v>204</v>
      </c>
      <c r="R252" s="14" t="s">
        <v>141</v>
      </c>
      <c r="S252" s="15" t="n">
        <f>277.14</f>
        <v>277.14</v>
      </c>
      <c r="T252" s="16" t="n">
        <f>261</f>
        <v>261.0</v>
      </c>
      <c r="U252" s="16"/>
      <c r="V252" s="16" t="n">
        <f>66520000</f>
        <v>6.652E7</v>
      </c>
      <c r="W252" s="16"/>
      <c r="X252" s="16" t="str">
        <f>"－"</f>
        <v>－</v>
      </c>
      <c r="Y252" s="13"/>
      <c r="Z252" s="17" t="n">
        <f>77</f>
        <v>77.0</v>
      </c>
      <c r="AA252" s="18" t="n">
        <f>14</f>
        <v>14.0</v>
      </c>
      <c r="AB252" s="11" t="s">
        <v>332</v>
      </c>
    </row>
    <row r="253">
      <c r="A253" s="11" t="s">
        <v>46</v>
      </c>
      <c r="B253" s="11" t="s">
        <v>47</v>
      </c>
      <c r="C253" s="11" t="s">
        <v>48</v>
      </c>
      <c r="D253" s="11" t="s">
        <v>49</v>
      </c>
      <c r="E253" s="11" t="s">
        <v>331</v>
      </c>
      <c r="F253" s="12" t="n">
        <v>27000.0</v>
      </c>
      <c r="G253" s="13" t="s">
        <v>50</v>
      </c>
      <c r="H253" s="14" t="s">
        <v>359</v>
      </c>
      <c r="I253" s="13" t="s">
        <v>50</v>
      </c>
      <c r="J253" s="14" t="s">
        <v>359</v>
      </c>
      <c r="K253" s="13" t="s">
        <v>50</v>
      </c>
      <c r="L253" s="14" t="s">
        <v>360</v>
      </c>
      <c r="M253" s="13" t="s">
        <v>211</v>
      </c>
      <c r="N253" s="14" t="s">
        <v>230</v>
      </c>
      <c r="O253" s="13" t="s">
        <v>211</v>
      </c>
      <c r="P253" s="14" t="s">
        <v>361</v>
      </c>
      <c r="Q253" s="13" t="s">
        <v>204</v>
      </c>
      <c r="R253" s="14" t="s">
        <v>151</v>
      </c>
      <c r="S253" s="15" t="n">
        <f>361.47</f>
        <v>361.47</v>
      </c>
      <c r="T253" s="16" t="n">
        <f>7045</f>
        <v>7045.0</v>
      </c>
      <c r="U253" s="16" t="n">
        <v>5743.0</v>
      </c>
      <c r="V253" s="16" t="n">
        <f>1836905000</f>
        <v>1.836905E9</v>
      </c>
      <c r="W253" s="16" t="n">
        <v>1.49595E9</v>
      </c>
      <c r="X253" s="16" t="str">
        <f>"－"</f>
        <v>－</v>
      </c>
      <c r="Y253" s="13"/>
      <c r="Z253" s="17" t="n">
        <f>6237</f>
        <v>6237.0</v>
      </c>
      <c r="AA253" s="18" t="n">
        <f>17</f>
        <v>17.0</v>
      </c>
      <c r="AB253" s="11" t="s">
        <v>332</v>
      </c>
    </row>
    <row r="254">
      <c r="A254" s="11" t="s">
        <v>46</v>
      </c>
      <c r="B254" s="11" t="s">
        <v>47</v>
      </c>
      <c r="C254" s="11" t="s">
        <v>48</v>
      </c>
      <c r="D254" s="11" t="s">
        <v>49</v>
      </c>
      <c r="E254" s="11" t="s">
        <v>331</v>
      </c>
      <c r="F254" s="12" t="n">
        <v>27125.0</v>
      </c>
      <c r="G254" s="13" t="s">
        <v>56</v>
      </c>
      <c r="H254" s="14" t="s">
        <v>190</v>
      </c>
      <c r="I254" s="13" t="s">
        <v>56</v>
      </c>
      <c r="J254" s="14" t="s">
        <v>362</v>
      </c>
      <c r="K254" s="13" t="s">
        <v>63</v>
      </c>
      <c r="L254" s="14" t="s">
        <v>363</v>
      </c>
      <c r="M254" s="13" t="s">
        <v>211</v>
      </c>
      <c r="N254" s="14" t="s">
        <v>130</v>
      </c>
      <c r="O254" s="13" t="s">
        <v>215</v>
      </c>
      <c r="P254" s="14" t="s">
        <v>132</v>
      </c>
      <c r="Q254" s="13" t="s">
        <v>204</v>
      </c>
      <c r="R254" s="14" t="s">
        <v>136</v>
      </c>
      <c r="S254" s="15" t="n">
        <f>272.5</f>
        <v>272.5</v>
      </c>
      <c r="T254" s="16" t="n">
        <f>1223</f>
        <v>1223.0</v>
      </c>
      <c r="U254" s="16" t="n">
        <v>901.0</v>
      </c>
      <c r="V254" s="16" t="n">
        <f>648185000</f>
        <v>6.48185E8</v>
      </c>
      <c r="W254" s="16" t="n">
        <v>5.51915E8</v>
      </c>
      <c r="X254" s="16" t="str">
        <f>"－"</f>
        <v>－</v>
      </c>
      <c r="Y254" s="13"/>
      <c r="Z254" s="17" t="n">
        <f>1023</f>
        <v>1023.0</v>
      </c>
      <c r="AA254" s="18" t="n">
        <f>10</f>
        <v>10.0</v>
      </c>
      <c r="AB254" s="11" t="s">
        <v>332</v>
      </c>
    </row>
    <row r="255">
      <c r="A255" s="11" t="s">
        <v>46</v>
      </c>
      <c r="B255" s="11" t="s">
        <v>47</v>
      </c>
      <c r="C255" s="11" t="s">
        <v>48</v>
      </c>
      <c r="D255" s="11" t="s">
        <v>49</v>
      </c>
      <c r="E255" s="11" t="s">
        <v>331</v>
      </c>
      <c r="F255" s="12" t="n">
        <v>27250.0</v>
      </c>
      <c r="G255" s="13" t="s">
        <v>50</v>
      </c>
      <c r="H255" s="14" t="s">
        <v>299</v>
      </c>
      <c r="I255" s="13" t="s">
        <v>50</v>
      </c>
      <c r="J255" s="14" t="s">
        <v>299</v>
      </c>
      <c r="K255" s="13" t="s">
        <v>60</v>
      </c>
      <c r="L255" s="14" t="s">
        <v>364</v>
      </c>
      <c r="M255" s="13" t="s">
        <v>215</v>
      </c>
      <c r="N255" s="14" t="s">
        <v>132</v>
      </c>
      <c r="O255" s="13" t="s">
        <v>202</v>
      </c>
      <c r="P255" s="14" t="s">
        <v>265</v>
      </c>
      <c r="Q255" s="13" t="s">
        <v>204</v>
      </c>
      <c r="R255" s="14" t="s">
        <v>155</v>
      </c>
      <c r="S255" s="15" t="n">
        <f>390.36</f>
        <v>390.36</v>
      </c>
      <c r="T255" s="16" t="n">
        <f>9396</f>
        <v>9396.0</v>
      </c>
      <c r="U255" s="16" t="n">
        <v>8934.0</v>
      </c>
      <c r="V255" s="16" t="n">
        <f>3977115000</f>
        <v>3.977115E9</v>
      </c>
      <c r="W255" s="16" t="n">
        <v>3.780785E9</v>
      </c>
      <c r="X255" s="16" t="str">
        <f>"－"</f>
        <v>－</v>
      </c>
      <c r="Y255" s="13"/>
      <c r="Z255" s="17" t="n">
        <f>4430</f>
        <v>4430.0</v>
      </c>
      <c r="AA255" s="18" t="n">
        <f>14</f>
        <v>14.0</v>
      </c>
      <c r="AB255" s="11" t="s">
        <v>332</v>
      </c>
    </row>
    <row r="256">
      <c r="A256" s="11" t="s">
        <v>46</v>
      </c>
      <c r="B256" s="11" t="s">
        <v>47</v>
      </c>
      <c r="C256" s="11" t="s">
        <v>48</v>
      </c>
      <c r="D256" s="11" t="s">
        <v>49</v>
      </c>
      <c r="E256" s="11" t="s">
        <v>331</v>
      </c>
      <c r="F256" s="12" t="n">
        <v>27375.0</v>
      </c>
      <c r="G256" s="13" t="s">
        <v>50</v>
      </c>
      <c r="H256" s="14" t="s">
        <v>365</v>
      </c>
      <c r="I256" s="13" t="s">
        <v>50</v>
      </c>
      <c r="J256" s="14" t="s">
        <v>365</v>
      </c>
      <c r="K256" s="13" t="s">
        <v>202</v>
      </c>
      <c r="L256" s="14" t="s">
        <v>134</v>
      </c>
      <c r="M256" s="13" t="s">
        <v>215</v>
      </c>
      <c r="N256" s="14" t="s">
        <v>265</v>
      </c>
      <c r="O256" s="13" t="s">
        <v>202</v>
      </c>
      <c r="P256" s="14" t="s">
        <v>134</v>
      </c>
      <c r="Q256" s="13" t="s">
        <v>204</v>
      </c>
      <c r="R256" s="14" t="s">
        <v>354</v>
      </c>
      <c r="S256" s="15" t="n">
        <f>382.92</f>
        <v>382.92</v>
      </c>
      <c r="T256" s="16" t="n">
        <f>394</f>
        <v>394.0</v>
      </c>
      <c r="U256" s="16" t="n">
        <v>1.0</v>
      </c>
      <c r="V256" s="16" t="n">
        <f>143700000</f>
        <v>1.437E8</v>
      </c>
      <c r="W256" s="16" t="n">
        <v>245000.0</v>
      </c>
      <c r="X256" s="16" t="str">
        <f>"－"</f>
        <v>－</v>
      </c>
      <c r="Y256" s="13"/>
      <c r="Z256" s="17" t="n">
        <f>183</f>
        <v>183.0</v>
      </c>
      <c r="AA256" s="18" t="n">
        <f>12</f>
        <v>12.0</v>
      </c>
      <c r="AB256" s="11" t="s">
        <v>332</v>
      </c>
    </row>
    <row r="257">
      <c r="A257" s="11" t="s">
        <v>46</v>
      </c>
      <c r="B257" s="11" t="s">
        <v>47</v>
      </c>
      <c r="C257" s="11" t="s">
        <v>48</v>
      </c>
      <c r="D257" s="11" t="s">
        <v>49</v>
      </c>
      <c r="E257" s="11" t="s">
        <v>331</v>
      </c>
      <c r="F257" s="12" t="n">
        <v>27500.0</v>
      </c>
      <c r="G257" s="13" t="s">
        <v>50</v>
      </c>
      <c r="H257" s="14" t="s">
        <v>366</v>
      </c>
      <c r="I257" s="13" t="s">
        <v>50</v>
      </c>
      <c r="J257" s="14" t="s">
        <v>366</v>
      </c>
      <c r="K257" s="13" t="s">
        <v>55</v>
      </c>
      <c r="L257" s="14" t="s">
        <v>367</v>
      </c>
      <c r="M257" s="13" t="s">
        <v>211</v>
      </c>
      <c r="N257" s="14" t="s">
        <v>134</v>
      </c>
      <c r="O257" s="13" t="s">
        <v>288</v>
      </c>
      <c r="P257" s="14" t="s">
        <v>368</v>
      </c>
      <c r="Q257" s="13" t="s">
        <v>204</v>
      </c>
      <c r="R257" s="14" t="s">
        <v>369</v>
      </c>
      <c r="S257" s="15" t="n">
        <f>419.06</f>
        <v>419.06</v>
      </c>
      <c r="T257" s="16" t="n">
        <f>20756</f>
        <v>20756.0</v>
      </c>
      <c r="U257" s="16" t="n">
        <v>19300.0</v>
      </c>
      <c r="V257" s="16" t="n">
        <f>8405996564</f>
        <v>8.405996564E9</v>
      </c>
      <c r="W257" s="16" t="n">
        <v>7.873661564E9</v>
      </c>
      <c r="X257" s="16" t="str">
        <f>"－"</f>
        <v>－</v>
      </c>
      <c r="Y257" s="13"/>
      <c r="Z257" s="17" t="n">
        <f>10784</f>
        <v>10784.0</v>
      </c>
      <c r="AA257" s="18" t="n">
        <f>16</f>
        <v>16.0</v>
      </c>
      <c r="AB257" s="11" t="s">
        <v>332</v>
      </c>
    </row>
    <row r="258">
      <c r="A258" s="11" t="s">
        <v>46</v>
      </c>
      <c r="B258" s="11" t="s">
        <v>47</v>
      </c>
      <c r="C258" s="11" t="s">
        <v>48</v>
      </c>
      <c r="D258" s="11" t="s">
        <v>49</v>
      </c>
      <c r="E258" s="11" t="s">
        <v>331</v>
      </c>
      <c r="F258" s="12" t="n">
        <v>27625.0</v>
      </c>
      <c r="G258" s="13" t="s">
        <v>50</v>
      </c>
      <c r="H258" s="14" t="s">
        <v>178</v>
      </c>
      <c r="I258" s="13" t="s">
        <v>50</v>
      </c>
      <c r="J258" s="14" t="s">
        <v>370</v>
      </c>
      <c r="K258" s="13" t="s">
        <v>60</v>
      </c>
      <c r="L258" s="14" t="s">
        <v>371</v>
      </c>
      <c r="M258" s="13" t="s">
        <v>211</v>
      </c>
      <c r="N258" s="14" t="s">
        <v>185</v>
      </c>
      <c r="O258" s="13" t="s">
        <v>207</v>
      </c>
      <c r="P258" s="14" t="s">
        <v>239</v>
      </c>
      <c r="Q258" s="13" t="s">
        <v>204</v>
      </c>
      <c r="R258" s="14" t="s">
        <v>138</v>
      </c>
      <c r="S258" s="15" t="n">
        <f>406.82</f>
        <v>406.82</v>
      </c>
      <c r="T258" s="16" t="n">
        <f>2925</f>
        <v>2925.0</v>
      </c>
      <c r="U258" s="16" t="n">
        <v>2238.0</v>
      </c>
      <c r="V258" s="16" t="n">
        <f>1207869080</f>
        <v>1.20786908E9</v>
      </c>
      <c r="W258" s="16" t="n">
        <v>9.7775408E8</v>
      </c>
      <c r="X258" s="16" t="str">
        <f>"－"</f>
        <v>－</v>
      </c>
      <c r="Y258" s="13"/>
      <c r="Z258" s="17" t="n">
        <f>2505</f>
        <v>2505.0</v>
      </c>
      <c r="AA258" s="18" t="n">
        <f>11</f>
        <v>11.0</v>
      </c>
      <c r="AB258" s="11" t="s">
        <v>332</v>
      </c>
    </row>
    <row r="259">
      <c r="A259" s="11" t="s">
        <v>46</v>
      </c>
      <c r="B259" s="11" t="s">
        <v>47</v>
      </c>
      <c r="C259" s="11" t="s">
        <v>48</v>
      </c>
      <c r="D259" s="11" t="s">
        <v>49</v>
      </c>
      <c r="E259" s="11" t="s">
        <v>331</v>
      </c>
      <c r="F259" s="12" t="n">
        <v>27750.0</v>
      </c>
      <c r="G259" s="13" t="s">
        <v>205</v>
      </c>
      <c r="H259" s="14" t="s">
        <v>243</v>
      </c>
      <c r="I259" s="13" t="s">
        <v>204</v>
      </c>
      <c r="J259" s="14" t="s">
        <v>153</v>
      </c>
      <c r="K259" s="13" t="s">
        <v>204</v>
      </c>
      <c r="L259" s="14" t="s">
        <v>372</v>
      </c>
      <c r="M259" s="13" t="s">
        <v>215</v>
      </c>
      <c r="N259" s="14" t="s">
        <v>138</v>
      </c>
      <c r="O259" s="13" t="s">
        <v>207</v>
      </c>
      <c r="P259" s="14" t="s">
        <v>239</v>
      </c>
      <c r="Q259" s="13" t="s">
        <v>204</v>
      </c>
      <c r="R259" s="14" t="s">
        <v>315</v>
      </c>
      <c r="S259" s="15" t="n">
        <f>365.56</f>
        <v>365.56</v>
      </c>
      <c r="T259" s="16" t="n">
        <f>2992</f>
        <v>2992.0</v>
      </c>
      <c r="U259" s="16" t="n">
        <v>1501.0</v>
      </c>
      <c r="V259" s="16" t="n">
        <f>917320000</f>
        <v>9.1732E8</v>
      </c>
      <c r="W259" s="16" t="n">
        <v>4.4294E8</v>
      </c>
      <c r="X259" s="16" t="str">
        <f>"－"</f>
        <v>－</v>
      </c>
      <c r="Y259" s="13"/>
      <c r="Z259" s="17" t="n">
        <f>1564</f>
        <v>1564.0</v>
      </c>
      <c r="AA259" s="18" t="n">
        <f>9</f>
        <v>9.0</v>
      </c>
      <c r="AB259" s="11" t="s">
        <v>332</v>
      </c>
    </row>
    <row r="260">
      <c r="A260" s="11" t="s">
        <v>46</v>
      </c>
      <c r="B260" s="11" t="s">
        <v>47</v>
      </c>
      <c r="C260" s="11" t="s">
        <v>48</v>
      </c>
      <c r="D260" s="11" t="s">
        <v>49</v>
      </c>
      <c r="E260" s="11" t="s">
        <v>331</v>
      </c>
      <c r="F260" s="12" t="n">
        <v>27875.0</v>
      </c>
      <c r="G260" s="13" t="s">
        <v>56</v>
      </c>
      <c r="H260" s="14" t="s">
        <v>197</v>
      </c>
      <c r="I260" s="13" t="s">
        <v>204</v>
      </c>
      <c r="J260" s="14" t="s">
        <v>290</v>
      </c>
      <c r="K260" s="13" t="s">
        <v>288</v>
      </c>
      <c r="L260" s="14" t="s">
        <v>373</v>
      </c>
      <c r="M260" s="13" t="s">
        <v>215</v>
      </c>
      <c r="N260" s="14" t="s">
        <v>239</v>
      </c>
      <c r="O260" s="13" t="s">
        <v>207</v>
      </c>
      <c r="P260" s="14" t="s">
        <v>141</v>
      </c>
      <c r="Q260" s="13" t="s">
        <v>204</v>
      </c>
      <c r="R260" s="14" t="s">
        <v>290</v>
      </c>
      <c r="S260" s="15" t="n">
        <f>400.56</f>
        <v>400.56</v>
      </c>
      <c r="T260" s="16" t="n">
        <f>561</f>
        <v>561.0</v>
      </c>
      <c r="U260" s="16" t="n">
        <v>301.0</v>
      </c>
      <c r="V260" s="16" t="n">
        <f>206576920</f>
        <v>2.0657692E8</v>
      </c>
      <c r="W260" s="16" t="n">
        <v>1.0622692E8</v>
      </c>
      <c r="X260" s="16" t="str">
        <f>"－"</f>
        <v>－</v>
      </c>
      <c r="Y260" s="13"/>
      <c r="Z260" s="17" t="n">
        <f>387</f>
        <v>387.0</v>
      </c>
      <c r="AA260" s="18" t="n">
        <f>9</f>
        <v>9.0</v>
      </c>
      <c r="AB260" s="11" t="s">
        <v>332</v>
      </c>
    </row>
    <row r="261">
      <c r="A261" s="11" t="s">
        <v>46</v>
      </c>
      <c r="B261" s="11" t="s">
        <v>47</v>
      </c>
      <c r="C261" s="11" t="s">
        <v>48</v>
      </c>
      <c r="D261" s="11" t="s">
        <v>49</v>
      </c>
      <c r="E261" s="11" t="s">
        <v>331</v>
      </c>
      <c r="F261" s="12" t="n">
        <v>28000.0</v>
      </c>
      <c r="G261" s="13" t="s">
        <v>63</v>
      </c>
      <c r="H261" s="14" t="s">
        <v>294</v>
      </c>
      <c r="I261" s="13" t="s">
        <v>63</v>
      </c>
      <c r="J261" s="14" t="s">
        <v>294</v>
      </c>
      <c r="K261" s="13" t="s">
        <v>58</v>
      </c>
      <c r="L261" s="14" t="s">
        <v>374</v>
      </c>
      <c r="M261" s="13" t="s">
        <v>211</v>
      </c>
      <c r="N261" s="14" t="s">
        <v>239</v>
      </c>
      <c r="O261" s="13" t="s">
        <v>202</v>
      </c>
      <c r="P261" s="14" t="s">
        <v>375</v>
      </c>
      <c r="Q261" s="13" t="s">
        <v>204</v>
      </c>
      <c r="R261" s="14" t="s">
        <v>156</v>
      </c>
      <c r="S261" s="15" t="n">
        <f>455</f>
        <v>455.0</v>
      </c>
      <c r="T261" s="16" t="n">
        <f>11515</f>
        <v>11515.0</v>
      </c>
      <c r="U261" s="16" t="n">
        <v>9288.0</v>
      </c>
      <c r="V261" s="16" t="n">
        <f>4937189260</f>
        <v>4.93718926E9</v>
      </c>
      <c r="W261" s="16" t="n">
        <v>4.06206926E9</v>
      </c>
      <c r="X261" s="16" t="str">
        <f>"－"</f>
        <v>－</v>
      </c>
      <c r="Y261" s="13"/>
      <c r="Z261" s="17" t="n">
        <f>6918</f>
        <v>6918.0</v>
      </c>
      <c r="AA261" s="18" t="n">
        <f>13</f>
        <v>13.0</v>
      </c>
      <c r="AB261" s="11" t="s">
        <v>332</v>
      </c>
    </row>
    <row r="262">
      <c r="A262" s="11" t="s">
        <v>46</v>
      </c>
      <c r="B262" s="11" t="s">
        <v>47</v>
      </c>
      <c r="C262" s="11" t="s">
        <v>48</v>
      </c>
      <c r="D262" s="11" t="s">
        <v>49</v>
      </c>
      <c r="E262" s="11" t="s">
        <v>331</v>
      </c>
      <c r="F262" s="12" t="n">
        <v>28125.0</v>
      </c>
      <c r="G262" s="13" t="s">
        <v>52</v>
      </c>
      <c r="H262" s="14" t="s">
        <v>152</v>
      </c>
      <c r="I262" s="13" t="s">
        <v>206</v>
      </c>
      <c r="J262" s="14" t="s">
        <v>376</v>
      </c>
      <c r="K262" s="13" t="s">
        <v>288</v>
      </c>
      <c r="L262" s="14" t="s">
        <v>377</v>
      </c>
      <c r="M262" s="13" t="s">
        <v>215</v>
      </c>
      <c r="N262" s="14" t="s">
        <v>378</v>
      </c>
      <c r="O262" s="13" t="s">
        <v>204</v>
      </c>
      <c r="P262" s="14" t="s">
        <v>237</v>
      </c>
      <c r="Q262" s="13" t="s">
        <v>204</v>
      </c>
      <c r="R262" s="14" t="s">
        <v>143</v>
      </c>
      <c r="S262" s="15" t="n">
        <f>414.44</f>
        <v>414.44</v>
      </c>
      <c r="T262" s="16" t="n">
        <f>1866</f>
        <v>1866.0</v>
      </c>
      <c r="U262" s="16" t="n">
        <v>1670.0</v>
      </c>
      <c r="V262" s="16" t="n">
        <f>657311816</f>
        <v>6.57311816E8</v>
      </c>
      <c r="W262" s="16" t="n">
        <v>5.76701816E8</v>
      </c>
      <c r="X262" s="16" t="str">
        <f>"－"</f>
        <v>－</v>
      </c>
      <c r="Y262" s="13"/>
      <c r="Z262" s="17" t="n">
        <f>864</f>
        <v>864.0</v>
      </c>
      <c r="AA262" s="18" t="n">
        <f>9</f>
        <v>9.0</v>
      </c>
      <c r="AB262" s="11" t="s">
        <v>332</v>
      </c>
    </row>
    <row r="263">
      <c r="A263" s="11" t="s">
        <v>46</v>
      </c>
      <c r="B263" s="11" t="s">
        <v>47</v>
      </c>
      <c r="C263" s="11" t="s">
        <v>48</v>
      </c>
      <c r="D263" s="11" t="s">
        <v>49</v>
      </c>
      <c r="E263" s="11" t="s">
        <v>331</v>
      </c>
      <c r="F263" s="12" t="n">
        <v>28250.0</v>
      </c>
      <c r="G263" s="13" t="s">
        <v>61</v>
      </c>
      <c r="H263" s="14" t="s">
        <v>176</v>
      </c>
      <c r="I263" s="13" t="s">
        <v>61</v>
      </c>
      <c r="J263" s="14" t="s">
        <v>176</v>
      </c>
      <c r="K263" s="13" t="s">
        <v>52</v>
      </c>
      <c r="L263" s="14" t="s">
        <v>379</v>
      </c>
      <c r="M263" s="13" t="s">
        <v>211</v>
      </c>
      <c r="N263" s="14" t="s">
        <v>238</v>
      </c>
      <c r="O263" s="13" t="s">
        <v>204</v>
      </c>
      <c r="P263" s="14" t="s">
        <v>380</v>
      </c>
      <c r="Q263" s="13" t="s">
        <v>204</v>
      </c>
      <c r="R263" s="14" t="s">
        <v>381</v>
      </c>
      <c r="S263" s="15" t="n">
        <f>476.5</f>
        <v>476.5</v>
      </c>
      <c r="T263" s="16" t="n">
        <f>2956</f>
        <v>2956.0</v>
      </c>
      <c r="U263" s="16" t="n">
        <v>2503.0</v>
      </c>
      <c r="V263" s="16" t="n">
        <f>1742723400</f>
        <v>1.7427234E9</v>
      </c>
      <c r="W263" s="16" t="n">
        <v>1.5318234E9</v>
      </c>
      <c r="X263" s="16" t="str">
        <f>"－"</f>
        <v>－</v>
      </c>
      <c r="Y263" s="13"/>
      <c r="Z263" s="17" t="n">
        <f>2554</f>
        <v>2554.0</v>
      </c>
      <c r="AA263" s="18" t="n">
        <f>10</f>
        <v>10.0</v>
      </c>
      <c r="AB263" s="11" t="s">
        <v>332</v>
      </c>
    </row>
    <row r="264">
      <c r="A264" s="11" t="s">
        <v>46</v>
      </c>
      <c r="B264" s="11" t="s">
        <v>47</v>
      </c>
      <c r="C264" s="11" t="s">
        <v>48</v>
      </c>
      <c r="D264" s="11" t="s">
        <v>49</v>
      </c>
      <c r="E264" s="11" t="s">
        <v>331</v>
      </c>
      <c r="F264" s="12" t="n">
        <v>28375.0</v>
      </c>
      <c r="G264" s="13" t="s">
        <v>206</v>
      </c>
      <c r="H264" s="14" t="s">
        <v>256</v>
      </c>
      <c r="I264" s="13" t="s">
        <v>204</v>
      </c>
      <c r="J264" s="14" t="s">
        <v>367</v>
      </c>
      <c r="K264" s="13"/>
      <c r="L264" s="14"/>
      <c r="M264" s="13" t="s">
        <v>204</v>
      </c>
      <c r="N264" s="14" t="s">
        <v>257</v>
      </c>
      <c r="O264" s="13"/>
      <c r="P264" s="14"/>
      <c r="Q264" s="13" t="s">
        <v>204</v>
      </c>
      <c r="R264" s="14" t="s">
        <v>367</v>
      </c>
      <c r="S264" s="15" t="n">
        <f>517.78</f>
        <v>517.78</v>
      </c>
      <c r="T264" s="16" t="n">
        <f>225</f>
        <v>225.0</v>
      </c>
      <c r="U264" s="16"/>
      <c r="V264" s="16" t="n">
        <f>105670000</f>
        <v>1.0567E8</v>
      </c>
      <c r="W264" s="16"/>
      <c r="X264" s="16" t="str">
        <f>"－"</f>
        <v>－</v>
      </c>
      <c r="Y264" s="13"/>
      <c r="Z264" s="17" t="n">
        <f>52</f>
        <v>52.0</v>
      </c>
      <c r="AA264" s="18" t="n">
        <f>9</f>
        <v>9.0</v>
      </c>
      <c r="AB264" s="11" t="s">
        <v>332</v>
      </c>
    </row>
    <row r="265">
      <c r="A265" s="11" t="s">
        <v>46</v>
      </c>
      <c r="B265" s="11" t="s">
        <v>47</v>
      </c>
      <c r="C265" s="11" t="s">
        <v>48</v>
      </c>
      <c r="D265" s="11" t="s">
        <v>49</v>
      </c>
      <c r="E265" s="11" t="s">
        <v>331</v>
      </c>
      <c r="F265" s="12" t="n">
        <v>28500.0</v>
      </c>
      <c r="G265" s="13" t="s">
        <v>58</v>
      </c>
      <c r="H265" s="14" t="s">
        <v>382</v>
      </c>
      <c r="I265" s="13" t="s">
        <v>58</v>
      </c>
      <c r="J265" s="14" t="s">
        <v>171</v>
      </c>
      <c r="K265" s="13" t="s">
        <v>204</v>
      </c>
      <c r="L265" s="14" t="s">
        <v>383</v>
      </c>
      <c r="M265" s="13" t="s">
        <v>215</v>
      </c>
      <c r="N265" s="14" t="s">
        <v>145</v>
      </c>
      <c r="O265" s="13" t="s">
        <v>211</v>
      </c>
      <c r="P265" s="14" t="s">
        <v>145</v>
      </c>
      <c r="Q265" s="13" t="s">
        <v>204</v>
      </c>
      <c r="R265" s="14" t="s">
        <v>258</v>
      </c>
      <c r="S265" s="15" t="n">
        <f>567.69</f>
        <v>567.69</v>
      </c>
      <c r="T265" s="16" t="n">
        <f>7496</f>
        <v>7496.0</v>
      </c>
      <c r="U265" s="16" t="n">
        <v>6515.0</v>
      </c>
      <c r="V265" s="16" t="n">
        <f>4070260000</f>
        <v>4.07026E9</v>
      </c>
      <c r="W265" s="16" t="n">
        <v>3.528635E9</v>
      </c>
      <c r="X265" s="16" t="str">
        <f>"－"</f>
        <v>－</v>
      </c>
      <c r="Y265" s="13"/>
      <c r="Z265" s="17" t="n">
        <f>2793</f>
        <v>2793.0</v>
      </c>
      <c r="AA265" s="18" t="n">
        <f>13</f>
        <v>13.0</v>
      </c>
      <c r="AB265" s="11" t="s">
        <v>332</v>
      </c>
    </row>
    <row r="266">
      <c r="A266" s="11" t="s">
        <v>46</v>
      </c>
      <c r="B266" s="11" t="s">
        <v>47</v>
      </c>
      <c r="C266" s="11" t="s">
        <v>48</v>
      </c>
      <c r="D266" s="11" t="s">
        <v>49</v>
      </c>
      <c r="E266" s="11" t="s">
        <v>331</v>
      </c>
      <c r="F266" s="12" t="n">
        <v>28625.0</v>
      </c>
      <c r="G266" s="13" t="s">
        <v>61</v>
      </c>
      <c r="H266" s="14" t="s">
        <v>384</v>
      </c>
      <c r="I266" s="13" t="s">
        <v>61</v>
      </c>
      <c r="J266" s="14" t="s">
        <v>384</v>
      </c>
      <c r="K266" s="13"/>
      <c r="L266" s="14"/>
      <c r="M266" s="13" t="s">
        <v>211</v>
      </c>
      <c r="N266" s="14" t="s">
        <v>151</v>
      </c>
      <c r="O266" s="13"/>
      <c r="P266" s="14"/>
      <c r="Q266" s="13" t="s">
        <v>204</v>
      </c>
      <c r="R266" s="14" t="s">
        <v>258</v>
      </c>
      <c r="S266" s="15" t="n">
        <f>595.91</f>
        <v>595.91</v>
      </c>
      <c r="T266" s="16" t="n">
        <f>856</f>
        <v>856.0</v>
      </c>
      <c r="U266" s="16"/>
      <c r="V266" s="16" t="n">
        <f>419475000</f>
        <v>4.19475E8</v>
      </c>
      <c r="W266" s="16"/>
      <c r="X266" s="16" t="str">
        <f>"－"</f>
        <v>－</v>
      </c>
      <c r="Y266" s="13"/>
      <c r="Z266" s="17" t="n">
        <f>106</f>
        <v>106.0</v>
      </c>
      <c r="AA266" s="18" t="n">
        <f>11</f>
        <v>11.0</v>
      </c>
      <c r="AB266" s="11" t="s">
        <v>332</v>
      </c>
    </row>
    <row r="267">
      <c r="A267" s="11" t="s">
        <v>46</v>
      </c>
      <c r="B267" s="11" t="s">
        <v>47</v>
      </c>
      <c r="C267" s="11" t="s">
        <v>48</v>
      </c>
      <c r="D267" s="11" t="s">
        <v>49</v>
      </c>
      <c r="E267" s="11" t="s">
        <v>331</v>
      </c>
      <c r="F267" s="12" t="n">
        <v>28750.0</v>
      </c>
      <c r="G267" s="13" t="s">
        <v>61</v>
      </c>
      <c r="H267" s="14" t="s">
        <v>194</v>
      </c>
      <c r="I267" s="13" t="s">
        <v>61</v>
      </c>
      <c r="J267" s="14" t="s">
        <v>194</v>
      </c>
      <c r="K267" s="13" t="s">
        <v>61</v>
      </c>
      <c r="L267" s="14" t="s">
        <v>367</v>
      </c>
      <c r="M267" s="13" t="s">
        <v>202</v>
      </c>
      <c r="N267" s="14" t="s">
        <v>148</v>
      </c>
      <c r="O267" s="13" t="s">
        <v>211</v>
      </c>
      <c r="P267" s="14" t="s">
        <v>196</v>
      </c>
      <c r="Q267" s="13" t="s">
        <v>204</v>
      </c>
      <c r="R267" s="14" t="s">
        <v>326</v>
      </c>
      <c r="S267" s="15" t="n">
        <f>646.67</f>
        <v>646.67</v>
      </c>
      <c r="T267" s="16" t="n">
        <f>817</f>
        <v>817.0</v>
      </c>
      <c r="U267" s="16" t="n">
        <v>310.0</v>
      </c>
      <c r="V267" s="16" t="n">
        <f>477530000</f>
        <v>4.7753E8</v>
      </c>
      <c r="W267" s="16" t="n">
        <v>1.68125E8</v>
      </c>
      <c r="X267" s="16" t="str">
        <f>"－"</f>
        <v>－</v>
      </c>
      <c r="Y267" s="13"/>
      <c r="Z267" s="17" t="n">
        <f>325</f>
        <v>325.0</v>
      </c>
      <c r="AA267" s="18" t="n">
        <f>12</f>
        <v>12.0</v>
      </c>
      <c r="AB267" s="11" t="s">
        <v>332</v>
      </c>
    </row>
    <row r="268">
      <c r="A268" s="11" t="s">
        <v>46</v>
      </c>
      <c r="B268" s="11" t="s">
        <v>47</v>
      </c>
      <c r="C268" s="11" t="s">
        <v>48</v>
      </c>
      <c r="D268" s="11" t="s">
        <v>49</v>
      </c>
      <c r="E268" s="11" t="s">
        <v>331</v>
      </c>
      <c r="F268" s="12" t="n">
        <v>28875.0</v>
      </c>
      <c r="G268" s="13" t="s">
        <v>52</v>
      </c>
      <c r="H268" s="14" t="s">
        <v>359</v>
      </c>
      <c r="I268" s="13" t="s">
        <v>52</v>
      </c>
      <c r="J268" s="14" t="s">
        <v>359</v>
      </c>
      <c r="K268" s="13" t="s">
        <v>207</v>
      </c>
      <c r="L268" s="14" t="s">
        <v>385</v>
      </c>
      <c r="M268" s="13" t="s">
        <v>215</v>
      </c>
      <c r="N268" s="14" t="s">
        <v>289</v>
      </c>
      <c r="O268" s="13" t="s">
        <v>207</v>
      </c>
      <c r="P268" s="14" t="s">
        <v>385</v>
      </c>
      <c r="Q268" s="13" t="s">
        <v>215</v>
      </c>
      <c r="R268" s="14" t="s">
        <v>289</v>
      </c>
      <c r="S268" s="15" t="n">
        <f>626.11</f>
        <v>626.11</v>
      </c>
      <c r="T268" s="16" t="n">
        <f>1671</f>
        <v>1671.0</v>
      </c>
      <c r="U268" s="16" t="n">
        <v>1500.0</v>
      </c>
      <c r="V268" s="16" t="n">
        <f>886600000</f>
        <v>8.866E8</v>
      </c>
      <c r="W268" s="16" t="n">
        <v>7.92E8</v>
      </c>
      <c r="X268" s="16" t="str">
        <f>"－"</f>
        <v>－</v>
      </c>
      <c r="Y268" s="13"/>
      <c r="Z268" s="17" t="n">
        <f>1557</f>
        <v>1557.0</v>
      </c>
      <c r="AA268" s="18" t="n">
        <f>9</f>
        <v>9.0</v>
      </c>
      <c r="AB268" s="11" t="s">
        <v>332</v>
      </c>
    </row>
    <row r="269">
      <c r="A269" s="11" t="s">
        <v>46</v>
      </c>
      <c r="B269" s="11" t="s">
        <v>47</v>
      </c>
      <c r="C269" s="11" t="s">
        <v>48</v>
      </c>
      <c r="D269" s="11" t="s">
        <v>49</v>
      </c>
      <c r="E269" s="11" t="s">
        <v>331</v>
      </c>
      <c r="F269" s="12" t="n">
        <v>29000.0</v>
      </c>
      <c r="G269" s="13" t="s">
        <v>52</v>
      </c>
      <c r="H269" s="14" t="s">
        <v>360</v>
      </c>
      <c r="I269" s="13" t="s">
        <v>204</v>
      </c>
      <c r="J269" s="14" t="s">
        <v>386</v>
      </c>
      <c r="K269" s="13" t="s">
        <v>204</v>
      </c>
      <c r="L269" s="14" t="s">
        <v>387</v>
      </c>
      <c r="M269" s="13" t="s">
        <v>211</v>
      </c>
      <c r="N269" s="14" t="s">
        <v>312</v>
      </c>
      <c r="O269" s="13" t="s">
        <v>288</v>
      </c>
      <c r="P269" s="14" t="s">
        <v>388</v>
      </c>
      <c r="Q269" s="13" t="s">
        <v>204</v>
      </c>
      <c r="R269" s="14" t="s">
        <v>386</v>
      </c>
      <c r="S269" s="15" t="n">
        <f>683.75</f>
        <v>683.75</v>
      </c>
      <c r="T269" s="16" t="n">
        <f>10418</f>
        <v>10418.0</v>
      </c>
      <c r="U269" s="16" t="n">
        <v>8567.0</v>
      </c>
      <c r="V269" s="16" t="n">
        <f>6429914200</f>
        <v>6.4299142E9</v>
      </c>
      <c r="W269" s="16" t="n">
        <v>5.2821992E9</v>
      </c>
      <c r="X269" s="16" t="str">
        <f>"－"</f>
        <v>－</v>
      </c>
      <c r="Y269" s="13"/>
      <c r="Z269" s="17" t="n">
        <f>6356</f>
        <v>6356.0</v>
      </c>
      <c r="AA269" s="18" t="n">
        <f>12</f>
        <v>12.0</v>
      </c>
      <c r="AB269" s="11" t="s">
        <v>332</v>
      </c>
    </row>
    <row r="270">
      <c r="A270" s="11" t="s">
        <v>46</v>
      </c>
      <c r="B270" s="11" t="s">
        <v>47</v>
      </c>
      <c r="C270" s="11" t="s">
        <v>48</v>
      </c>
      <c r="D270" s="11" t="s">
        <v>49</v>
      </c>
      <c r="E270" s="11" t="s">
        <v>331</v>
      </c>
      <c r="F270" s="12" t="n">
        <v>29125.0</v>
      </c>
      <c r="G270" s="13" t="s">
        <v>61</v>
      </c>
      <c r="H270" s="14" t="s">
        <v>298</v>
      </c>
      <c r="I270" s="13" t="s">
        <v>204</v>
      </c>
      <c r="J270" s="14" t="s">
        <v>171</v>
      </c>
      <c r="K270" s="13"/>
      <c r="L270" s="14"/>
      <c r="M270" s="13" t="s">
        <v>211</v>
      </c>
      <c r="N270" s="14" t="s">
        <v>245</v>
      </c>
      <c r="O270" s="13"/>
      <c r="P270" s="14"/>
      <c r="Q270" s="13" t="s">
        <v>204</v>
      </c>
      <c r="R270" s="14" t="s">
        <v>287</v>
      </c>
      <c r="S270" s="15" t="n">
        <f>672.22</f>
        <v>672.22</v>
      </c>
      <c r="T270" s="16" t="n">
        <f>347</f>
        <v>347.0</v>
      </c>
      <c r="U270" s="16"/>
      <c r="V270" s="16" t="n">
        <f>231325000</f>
        <v>2.31325E8</v>
      </c>
      <c r="W270" s="16"/>
      <c r="X270" s="16" t="str">
        <f>"－"</f>
        <v>－</v>
      </c>
      <c r="Y270" s="13"/>
      <c r="Z270" s="17" t="n">
        <f>112</f>
        <v>112.0</v>
      </c>
      <c r="AA270" s="18" t="n">
        <f>9</f>
        <v>9.0</v>
      </c>
      <c r="AB270" s="11" t="s">
        <v>332</v>
      </c>
    </row>
    <row r="271">
      <c r="A271" s="11" t="s">
        <v>46</v>
      </c>
      <c r="B271" s="11" t="s">
        <v>47</v>
      </c>
      <c r="C271" s="11" t="s">
        <v>48</v>
      </c>
      <c r="D271" s="11" t="s">
        <v>49</v>
      </c>
      <c r="E271" s="11" t="s">
        <v>331</v>
      </c>
      <c r="F271" s="12" t="n">
        <v>29250.0</v>
      </c>
      <c r="G271" s="13" t="s">
        <v>52</v>
      </c>
      <c r="H271" s="14" t="s">
        <v>271</v>
      </c>
      <c r="I271" s="13" t="s">
        <v>204</v>
      </c>
      <c r="J271" s="14" t="s">
        <v>370</v>
      </c>
      <c r="K271" s="13" t="s">
        <v>210</v>
      </c>
      <c r="L271" s="14" t="s">
        <v>389</v>
      </c>
      <c r="M271" s="13" t="s">
        <v>211</v>
      </c>
      <c r="N271" s="14" t="s">
        <v>152</v>
      </c>
      <c r="O271" s="13" t="s">
        <v>210</v>
      </c>
      <c r="P271" s="14" t="s">
        <v>389</v>
      </c>
      <c r="Q271" s="13" t="s">
        <v>204</v>
      </c>
      <c r="R271" s="14" t="s">
        <v>370</v>
      </c>
      <c r="S271" s="15" t="n">
        <f>759.55</f>
        <v>759.55</v>
      </c>
      <c r="T271" s="16" t="n">
        <f>592</f>
        <v>592.0</v>
      </c>
      <c r="U271" s="16" t="n">
        <v>100.0</v>
      </c>
      <c r="V271" s="16" t="n">
        <f>426780000</f>
        <v>4.2678E8</v>
      </c>
      <c r="W271" s="16" t="n">
        <v>5.88E7</v>
      </c>
      <c r="X271" s="16" t="str">
        <f>"－"</f>
        <v>－</v>
      </c>
      <c r="Y271" s="13"/>
      <c r="Z271" s="17" t="n">
        <f>263</f>
        <v>263.0</v>
      </c>
      <c r="AA271" s="18" t="n">
        <f>11</f>
        <v>11.0</v>
      </c>
      <c r="AB271" s="11" t="s">
        <v>332</v>
      </c>
    </row>
    <row r="272">
      <c r="A272" s="11" t="s">
        <v>46</v>
      </c>
      <c r="B272" s="11" t="s">
        <v>47</v>
      </c>
      <c r="C272" s="11" t="s">
        <v>48</v>
      </c>
      <c r="D272" s="11" t="s">
        <v>49</v>
      </c>
      <c r="E272" s="11" t="s">
        <v>331</v>
      </c>
      <c r="F272" s="12" t="n">
        <v>29375.0</v>
      </c>
      <c r="G272" s="13" t="s">
        <v>56</v>
      </c>
      <c r="H272" s="14" t="s">
        <v>280</v>
      </c>
      <c r="I272" s="13" t="s">
        <v>56</v>
      </c>
      <c r="J272" s="14" t="s">
        <v>280</v>
      </c>
      <c r="K272" s="13"/>
      <c r="L272" s="14"/>
      <c r="M272" s="13" t="s">
        <v>215</v>
      </c>
      <c r="N272" s="14" t="s">
        <v>174</v>
      </c>
      <c r="O272" s="13"/>
      <c r="P272" s="14"/>
      <c r="Q272" s="13" t="s">
        <v>204</v>
      </c>
      <c r="R272" s="14" t="s">
        <v>256</v>
      </c>
      <c r="S272" s="15" t="n">
        <f>718.33</f>
        <v>718.33</v>
      </c>
      <c r="T272" s="16" t="n">
        <f>247</f>
        <v>247.0</v>
      </c>
      <c r="U272" s="16"/>
      <c r="V272" s="16" t="n">
        <f>171095000</f>
        <v>1.71095E8</v>
      </c>
      <c r="W272" s="16"/>
      <c r="X272" s="16" t="str">
        <f>"－"</f>
        <v>－</v>
      </c>
      <c r="Y272" s="13"/>
      <c r="Z272" s="17" t="n">
        <f>113</f>
        <v>113.0</v>
      </c>
      <c r="AA272" s="18" t="n">
        <f>9</f>
        <v>9.0</v>
      </c>
      <c r="AB272" s="11" t="s">
        <v>332</v>
      </c>
    </row>
    <row r="273">
      <c r="A273" s="11" t="s">
        <v>46</v>
      </c>
      <c r="B273" s="11" t="s">
        <v>47</v>
      </c>
      <c r="C273" s="11" t="s">
        <v>48</v>
      </c>
      <c r="D273" s="11" t="s">
        <v>49</v>
      </c>
      <c r="E273" s="11" t="s">
        <v>331</v>
      </c>
      <c r="F273" s="12" t="n">
        <v>29500.0</v>
      </c>
      <c r="G273" s="13" t="s">
        <v>56</v>
      </c>
      <c r="H273" s="14" t="s">
        <v>386</v>
      </c>
      <c r="I273" s="13" t="s">
        <v>204</v>
      </c>
      <c r="J273" s="14" t="s">
        <v>327</v>
      </c>
      <c r="K273" s="13" t="s">
        <v>204</v>
      </c>
      <c r="L273" s="14" t="s">
        <v>390</v>
      </c>
      <c r="M273" s="13" t="s">
        <v>211</v>
      </c>
      <c r="N273" s="14" t="s">
        <v>253</v>
      </c>
      <c r="O273" s="13" t="s">
        <v>202</v>
      </c>
      <c r="P273" s="14" t="s">
        <v>391</v>
      </c>
      <c r="Q273" s="13" t="s">
        <v>204</v>
      </c>
      <c r="R273" s="14" t="s">
        <v>307</v>
      </c>
      <c r="S273" s="15" t="n">
        <f>852.27</f>
        <v>852.27</v>
      </c>
      <c r="T273" s="16" t="n">
        <f>2070</f>
        <v>2070.0</v>
      </c>
      <c r="U273" s="16" t="n">
        <v>1450.0</v>
      </c>
      <c r="V273" s="16" t="n">
        <f>1574575000</f>
        <v>1.574575E9</v>
      </c>
      <c r="W273" s="16" t="n">
        <v>1.11485E9</v>
      </c>
      <c r="X273" s="16" t="str">
        <f>"－"</f>
        <v>－</v>
      </c>
      <c r="Y273" s="13"/>
      <c r="Z273" s="17" t="n">
        <f>1429</f>
        <v>1429.0</v>
      </c>
      <c r="AA273" s="18" t="n">
        <f>11</f>
        <v>11.0</v>
      </c>
      <c r="AB273" s="11" t="s">
        <v>332</v>
      </c>
    </row>
    <row r="274">
      <c r="A274" s="11" t="s">
        <v>46</v>
      </c>
      <c r="B274" s="11" t="s">
        <v>47</v>
      </c>
      <c r="C274" s="11" t="s">
        <v>48</v>
      </c>
      <c r="D274" s="11" t="s">
        <v>49</v>
      </c>
      <c r="E274" s="11" t="s">
        <v>331</v>
      </c>
      <c r="F274" s="12" t="n">
        <v>29625.0</v>
      </c>
      <c r="G274" s="13" t="s">
        <v>206</v>
      </c>
      <c r="H274" s="14" t="s">
        <v>178</v>
      </c>
      <c r="I274" s="13" t="s">
        <v>206</v>
      </c>
      <c r="J274" s="14" t="s">
        <v>392</v>
      </c>
      <c r="K274" s="13" t="s">
        <v>206</v>
      </c>
      <c r="L274" s="14" t="s">
        <v>370</v>
      </c>
      <c r="M274" s="13" t="s">
        <v>207</v>
      </c>
      <c r="N274" s="14" t="s">
        <v>162</v>
      </c>
      <c r="O274" s="13" t="s">
        <v>206</v>
      </c>
      <c r="P274" s="14" t="s">
        <v>173</v>
      </c>
      <c r="Q274" s="13" t="s">
        <v>204</v>
      </c>
      <c r="R274" s="14" t="s">
        <v>291</v>
      </c>
      <c r="S274" s="15" t="n">
        <f>825.56</f>
        <v>825.56</v>
      </c>
      <c r="T274" s="16" t="n">
        <f>668</f>
        <v>668.0</v>
      </c>
      <c r="U274" s="16" t="n">
        <v>6.0</v>
      </c>
      <c r="V274" s="16" t="n">
        <f>510500000</f>
        <v>5.105E8</v>
      </c>
      <c r="W274" s="16" t="n">
        <v>6690000.0</v>
      </c>
      <c r="X274" s="16" t="str">
        <f>"－"</f>
        <v>－</v>
      </c>
      <c r="Y274" s="13"/>
      <c r="Z274" s="17" t="n">
        <f>403</f>
        <v>403.0</v>
      </c>
      <c r="AA274" s="18" t="n">
        <f>9</f>
        <v>9.0</v>
      </c>
      <c r="AB274" s="11" t="s">
        <v>332</v>
      </c>
    </row>
    <row r="275">
      <c r="A275" s="11" t="s">
        <v>46</v>
      </c>
      <c r="B275" s="11" t="s">
        <v>47</v>
      </c>
      <c r="C275" s="11" t="s">
        <v>48</v>
      </c>
      <c r="D275" s="11" t="s">
        <v>49</v>
      </c>
      <c r="E275" s="11" t="s">
        <v>331</v>
      </c>
      <c r="F275" s="12" t="n">
        <v>29750.0</v>
      </c>
      <c r="G275" s="13" t="s">
        <v>205</v>
      </c>
      <c r="H275" s="14" t="s">
        <v>303</v>
      </c>
      <c r="I275" s="13" t="s">
        <v>204</v>
      </c>
      <c r="J275" s="14" t="s">
        <v>393</v>
      </c>
      <c r="K275" s="13" t="s">
        <v>204</v>
      </c>
      <c r="L275" s="14" t="s">
        <v>394</v>
      </c>
      <c r="M275" s="13" t="s">
        <v>202</v>
      </c>
      <c r="N275" s="14" t="s">
        <v>254</v>
      </c>
      <c r="O275" s="13" t="s">
        <v>288</v>
      </c>
      <c r="P275" s="14" t="s">
        <v>395</v>
      </c>
      <c r="Q275" s="13" t="s">
        <v>204</v>
      </c>
      <c r="R275" s="14" t="s">
        <v>303</v>
      </c>
      <c r="S275" s="15" t="n">
        <f>858.33</f>
        <v>858.33</v>
      </c>
      <c r="T275" s="16" t="n">
        <f>1343</f>
        <v>1343.0</v>
      </c>
      <c r="U275" s="16" t="n">
        <v>824.0</v>
      </c>
      <c r="V275" s="16" t="n">
        <f>1230850000</f>
        <v>1.23085E9</v>
      </c>
      <c r="W275" s="16" t="n">
        <v>8.0931E8</v>
      </c>
      <c r="X275" s="16" t="str">
        <f>"－"</f>
        <v>－</v>
      </c>
      <c r="Y275" s="13"/>
      <c r="Z275" s="17" t="n">
        <f>1150</f>
        <v>1150.0</v>
      </c>
      <c r="AA275" s="18" t="n">
        <f>9</f>
        <v>9.0</v>
      </c>
      <c r="AB275" s="11" t="s">
        <v>332</v>
      </c>
    </row>
    <row r="276">
      <c r="A276" s="11" t="s">
        <v>46</v>
      </c>
      <c r="B276" s="11" t="s">
        <v>47</v>
      </c>
      <c r="C276" s="11" t="s">
        <v>48</v>
      </c>
      <c r="D276" s="11" t="s">
        <v>49</v>
      </c>
      <c r="E276" s="11" t="s">
        <v>331</v>
      </c>
      <c r="F276" s="12" t="n">
        <v>29875.0</v>
      </c>
      <c r="G276" s="13" t="s">
        <v>205</v>
      </c>
      <c r="H276" s="14" t="s">
        <v>386</v>
      </c>
      <c r="I276" s="13" t="s">
        <v>205</v>
      </c>
      <c r="J276" s="14" t="s">
        <v>386</v>
      </c>
      <c r="K276" s="13"/>
      <c r="L276" s="14"/>
      <c r="M276" s="13" t="s">
        <v>211</v>
      </c>
      <c r="N276" s="14" t="s">
        <v>396</v>
      </c>
      <c r="O276" s="13"/>
      <c r="P276" s="14"/>
      <c r="Q276" s="13" t="s">
        <v>204</v>
      </c>
      <c r="R276" s="14" t="s">
        <v>295</v>
      </c>
      <c r="S276" s="15" t="n">
        <f>850.56</f>
        <v>850.56</v>
      </c>
      <c r="T276" s="16" t="n">
        <f>399</f>
        <v>399.0</v>
      </c>
      <c r="U276" s="16"/>
      <c r="V276" s="16" t="n">
        <f>318340000</f>
        <v>3.1834E8</v>
      </c>
      <c r="W276" s="16"/>
      <c r="X276" s="16" t="str">
        <f>"－"</f>
        <v>－</v>
      </c>
      <c r="Y276" s="13"/>
      <c r="Z276" s="17" t="n">
        <f>220</f>
        <v>220.0</v>
      </c>
      <c r="AA276" s="18" t="n">
        <f>9</f>
        <v>9.0</v>
      </c>
      <c r="AB276" s="11" t="s">
        <v>332</v>
      </c>
    </row>
    <row r="277">
      <c r="A277" s="11" t="s">
        <v>46</v>
      </c>
      <c r="B277" s="11" t="s">
        <v>47</v>
      </c>
      <c r="C277" s="11" t="s">
        <v>48</v>
      </c>
      <c r="D277" s="11" t="s">
        <v>49</v>
      </c>
      <c r="E277" s="11" t="s">
        <v>331</v>
      </c>
      <c r="F277" s="12" t="n">
        <v>30000.0</v>
      </c>
      <c r="G277" s="13" t="s">
        <v>205</v>
      </c>
      <c r="H277" s="14" t="s">
        <v>322</v>
      </c>
      <c r="I277" s="13" t="s">
        <v>204</v>
      </c>
      <c r="J277" s="14" t="s">
        <v>397</v>
      </c>
      <c r="K277" s="13" t="s">
        <v>204</v>
      </c>
      <c r="L277" s="14" t="s">
        <v>321</v>
      </c>
      <c r="M277" s="13" t="s">
        <v>211</v>
      </c>
      <c r="N277" s="14" t="s">
        <v>262</v>
      </c>
      <c r="O277" s="13" t="s">
        <v>202</v>
      </c>
      <c r="P277" s="14" t="s">
        <v>398</v>
      </c>
      <c r="Q277" s="13" t="s">
        <v>204</v>
      </c>
      <c r="R277" s="14" t="s">
        <v>397</v>
      </c>
      <c r="S277" s="15" t="n">
        <f>989.44</f>
        <v>989.44</v>
      </c>
      <c r="T277" s="16" t="n">
        <f>4486</f>
        <v>4486.0</v>
      </c>
      <c r="U277" s="16" t="n">
        <v>3937.0</v>
      </c>
      <c r="V277" s="16" t="n">
        <f>4118960000</f>
        <v>4.11896E9</v>
      </c>
      <c r="W277" s="16" t="n">
        <v>3.647275E9</v>
      </c>
      <c r="X277" s="16" t="str">
        <f>"－"</f>
        <v>－</v>
      </c>
      <c r="Y277" s="13"/>
      <c r="Z277" s="17" t="n">
        <f>2726</f>
        <v>2726.0</v>
      </c>
      <c r="AA277" s="18" t="n">
        <f>9</f>
        <v>9.0</v>
      </c>
      <c r="AB277" s="11" t="s">
        <v>332</v>
      </c>
    </row>
    <row r="278">
      <c r="A278" s="11" t="s">
        <v>46</v>
      </c>
      <c r="B278" s="11" t="s">
        <v>47</v>
      </c>
      <c r="C278" s="11" t="s">
        <v>48</v>
      </c>
      <c r="D278" s="11" t="s">
        <v>49</v>
      </c>
      <c r="E278" s="11" t="s">
        <v>331</v>
      </c>
      <c r="F278" s="12" t="n">
        <v>30125.0</v>
      </c>
      <c r="G278" s="13" t="s">
        <v>202</v>
      </c>
      <c r="H278" s="14" t="s">
        <v>298</v>
      </c>
      <c r="I278" s="13" t="s">
        <v>204</v>
      </c>
      <c r="J278" s="14" t="s">
        <v>399</v>
      </c>
      <c r="K278" s="13"/>
      <c r="L278" s="14"/>
      <c r="M278" s="13" t="s">
        <v>202</v>
      </c>
      <c r="N278" s="14" t="s">
        <v>302</v>
      </c>
      <c r="O278" s="13"/>
      <c r="P278" s="14"/>
      <c r="Q278" s="13" t="s">
        <v>204</v>
      </c>
      <c r="R278" s="14" t="s">
        <v>400</v>
      </c>
      <c r="S278" s="15" t="n">
        <f>1013.33</f>
        <v>1013.33</v>
      </c>
      <c r="T278" s="16" t="n">
        <f>140</f>
        <v>140.0</v>
      </c>
      <c r="U278" s="16"/>
      <c r="V278" s="16" t="n">
        <f>132605000</f>
        <v>1.32605E8</v>
      </c>
      <c r="W278" s="16"/>
      <c r="X278" s="16" t="str">
        <f>"－"</f>
        <v>－</v>
      </c>
      <c r="Y278" s="13"/>
      <c r="Z278" s="17" t="n">
        <f>37</f>
        <v>37.0</v>
      </c>
      <c r="AA278" s="18" t="n">
        <f>6</f>
        <v>6.0</v>
      </c>
      <c r="AB278" s="11" t="s">
        <v>332</v>
      </c>
    </row>
    <row r="279">
      <c r="A279" s="11" t="s">
        <v>46</v>
      </c>
      <c r="B279" s="11" t="s">
        <v>47</v>
      </c>
      <c r="C279" s="11" t="s">
        <v>48</v>
      </c>
      <c r="D279" s="11" t="s">
        <v>49</v>
      </c>
      <c r="E279" s="11" t="s">
        <v>331</v>
      </c>
      <c r="F279" s="12" t="n">
        <v>30250.0</v>
      </c>
      <c r="G279" s="13" t="s">
        <v>202</v>
      </c>
      <c r="H279" s="14" t="s">
        <v>401</v>
      </c>
      <c r="I279" s="13" t="s">
        <v>208</v>
      </c>
      <c r="J279" s="14" t="s">
        <v>402</v>
      </c>
      <c r="K279" s="13" t="s">
        <v>208</v>
      </c>
      <c r="L279" s="14" t="s">
        <v>403</v>
      </c>
      <c r="M279" s="13" t="s">
        <v>202</v>
      </c>
      <c r="N279" s="14" t="s">
        <v>298</v>
      </c>
      <c r="O279" s="13" t="s">
        <v>288</v>
      </c>
      <c r="P279" s="14" t="s">
        <v>404</v>
      </c>
      <c r="Q279" s="13" t="s">
        <v>204</v>
      </c>
      <c r="R279" s="14" t="s">
        <v>405</v>
      </c>
      <c r="S279" s="15" t="n">
        <f>982.5</f>
        <v>982.5</v>
      </c>
      <c r="T279" s="16" t="n">
        <f>270</f>
        <v>270.0</v>
      </c>
      <c r="U279" s="16" t="n">
        <v>200.0</v>
      </c>
      <c r="V279" s="16" t="n">
        <f>268501000</f>
        <v>2.68501E8</v>
      </c>
      <c r="W279" s="16" t="n">
        <v>2.01111E8</v>
      </c>
      <c r="X279" s="16" t="str">
        <f>"－"</f>
        <v>－</v>
      </c>
      <c r="Y279" s="13"/>
      <c r="Z279" s="17" t="n">
        <f>35</f>
        <v>35.0</v>
      </c>
      <c r="AA279" s="18" t="n">
        <f>6</f>
        <v>6.0</v>
      </c>
      <c r="AB279" s="11" t="s">
        <v>332</v>
      </c>
    </row>
    <row r="280">
      <c r="A280" s="11" t="s">
        <v>46</v>
      </c>
      <c r="B280" s="11" t="s">
        <v>47</v>
      </c>
      <c r="C280" s="11" t="s">
        <v>48</v>
      </c>
      <c r="D280" s="11" t="s">
        <v>49</v>
      </c>
      <c r="E280" s="11" t="s">
        <v>331</v>
      </c>
      <c r="F280" s="12" t="n">
        <v>30375.0</v>
      </c>
      <c r="G280" s="13" t="s">
        <v>202</v>
      </c>
      <c r="H280" s="14" t="s">
        <v>401</v>
      </c>
      <c r="I280" s="13" t="s">
        <v>288</v>
      </c>
      <c r="J280" s="14" t="s">
        <v>402</v>
      </c>
      <c r="K280" s="13"/>
      <c r="L280" s="14"/>
      <c r="M280" s="13" t="s">
        <v>202</v>
      </c>
      <c r="N280" s="14" t="s">
        <v>401</v>
      </c>
      <c r="O280" s="13"/>
      <c r="P280" s="14"/>
      <c r="Q280" s="13" t="s">
        <v>211</v>
      </c>
      <c r="R280" s="14" t="s">
        <v>402</v>
      </c>
      <c r="S280" s="15" t="n">
        <f>1046.25</f>
        <v>1046.25</v>
      </c>
      <c r="T280" s="16" t="n">
        <f>16</f>
        <v>16.0</v>
      </c>
      <c r="U280" s="16"/>
      <c r="V280" s="16" t="n">
        <f>17145000</f>
        <v>1.7145E7</v>
      </c>
      <c r="W280" s="16"/>
      <c r="X280" s="16" t="str">
        <f>"－"</f>
        <v>－</v>
      </c>
      <c r="Y280" s="13"/>
      <c r="Z280" s="17" t="n">
        <f>2</f>
        <v>2.0</v>
      </c>
      <c r="AA280" s="18" t="n">
        <f>4</f>
        <v>4.0</v>
      </c>
      <c r="AB280" s="11" t="s">
        <v>332</v>
      </c>
    </row>
    <row r="281">
      <c r="A281" s="11" t="s">
        <v>46</v>
      </c>
      <c r="B281" s="11" t="s">
        <v>47</v>
      </c>
      <c r="C281" s="11" t="s">
        <v>48</v>
      </c>
      <c r="D281" s="11" t="s">
        <v>49</v>
      </c>
      <c r="E281" s="11" t="s">
        <v>331</v>
      </c>
      <c r="F281" s="12" t="n">
        <v>30500.0</v>
      </c>
      <c r="G281" s="13" t="s">
        <v>202</v>
      </c>
      <c r="H281" s="14" t="s">
        <v>169</v>
      </c>
      <c r="I281" s="13" t="s">
        <v>208</v>
      </c>
      <c r="J281" s="14" t="s">
        <v>327</v>
      </c>
      <c r="K281" s="13"/>
      <c r="L281" s="14"/>
      <c r="M281" s="13" t="s">
        <v>202</v>
      </c>
      <c r="N281" s="14" t="s">
        <v>169</v>
      </c>
      <c r="O281" s="13"/>
      <c r="P281" s="14"/>
      <c r="Q281" s="13" t="s">
        <v>208</v>
      </c>
      <c r="R281" s="14" t="s">
        <v>327</v>
      </c>
      <c r="S281" s="15" t="n">
        <f>1190</f>
        <v>1190.0</v>
      </c>
      <c r="T281" s="16" t="n">
        <f>31</f>
        <v>31.0</v>
      </c>
      <c r="U281" s="16"/>
      <c r="V281" s="16" t="n">
        <f>32710000</f>
        <v>3.271E7</v>
      </c>
      <c r="W281" s="16"/>
      <c r="X281" s="16" t="str">
        <f>"－"</f>
        <v>－</v>
      </c>
      <c r="Y281" s="13"/>
      <c r="Z281" s="17" t="n">
        <f>19</f>
        <v>19.0</v>
      </c>
      <c r="AA281" s="18" t="n">
        <f>3</f>
        <v>3.0</v>
      </c>
      <c r="AB281" s="11" t="s">
        <v>332</v>
      </c>
    </row>
    <row r="282">
      <c r="A282" s="11" t="s">
        <v>46</v>
      </c>
      <c r="B282" s="11" t="s">
        <v>47</v>
      </c>
      <c r="C282" s="11" t="s">
        <v>48</v>
      </c>
      <c r="D282" s="11" t="s">
        <v>49</v>
      </c>
      <c r="E282" s="11" t="s">
        <v>331</v>
      </c>
      <c r="F282" s="12" t="n">
        <v>30750.0</v>
      </c>
      <c r="G282" s="13" t="s">
        <v>207</v>
      </c>
      <c r="H282" s="14" t="s">
        <v>311</v>
      </c>
      <c r="I282" s="13" t="s">
        <v>207</v>
      </c>
      <c r="J282" s="14" t="s">
        <v>311</v>
      </c>
      <c r="K282" s="13"/>
      <c r="L282" s="14"/>
      <c r="M282" s="13" t="s">
        <v>207</v>
      </c>
      <c r="N282" s="14" t="s">
        <v>311</v>
      </c>
      <c r="O282" s="13"/>
      <c r="P282" s="14"/>
      <c r="Q282" s="13" t="s">
        <v>207</v>
      </c>
      <c r="R282" s="14" t="s">
        <v>311</v>
      </c>
      <c r="S282" s="15" t="n">
        <f>1240</f>
        <v>1240.0</v>
      </c>
      <c r="T282" s="16" t="n">
        <f>10</f>
        <v>10.0</v>
      </c>
      <c r="U282" s="16"/>
      <c r="V282" s="16" t="n">
        <f>12400000</f>
        <v>1.24E7</v>
      </c>
      <c r="W282" s="16"/>
      <c r="X282" s="16" t="str">
        <f>"－"</f>
        <v>－</v>
      </c>
      <c r="Y282" s="13"/>
      <c r="Z282" s="17" t="str">
        <f>"－"</f>
        <v>－</v>
      </c>
      <c r="AA282" s="18" t="n">
        <f>1</f>
        <v>1.0</v>
      </c>
      <c r="AB282" s="11" t="s">
        <v>332</v>
      </c>
    </row>
    <row r="283">
      <c r="A283" s="11" t="s">
        <v>46</v>
      </c>
      <c r="B283" s="11" t="s">
        <v>47</v>
      </c>
      <c r="C283" s="11" t="s">
        <v>48</v>
      </c>
      <c r="D283" s="11" t="s">
        <v>49</v>
      </c>
      <c r="E283" s="11" t="s">
        <v>331</v>
      </c>
      <c r="F283" s="12" t="n">
        <v>33000.0</v>
      </c>
      <c r="G283" s="13" t="s">
        <v>288</v>
      </c>
      <c r="H283" s="14" t="s">
        <v>406</v>
      </c>
      <c r="I283" s="13" t="s">
        <v>204</v>
      </c>
      <c r="J283" s="14" t="s">
        <v>407</v>
      </c>
      <c r="K283" s="13"/>
      <c r="L283" s="14"/>
      <c r="M283" s="13" t="s">
        <v>288</v>
      </c>
      <c r="N283" s="14" t="s">
        <v>406</v>
      </c>
      <c r="O283" s="13"/>
      <c r="P283" s="14"/>
      <c r="Q283" s="13" t="s">
        <v>204</v>
      </c>
      <c r="R283" s="14" t="s">
        <v>407</v>
      </c>
      <c r="S283" s="15" t="n">
        <f>3440</f>
        <v>3440.0</v>
      </c>
      <c r="T283" s="16" t="n">
        <f>9</f>
        <v>9.0</v>
      </c>
      <c r="U283" s="16"/>
      <c r="V283" s="16" t="n">
        <f>30960000</f>
        <v>3.096E7</v>
      </c>
      <c r="W283" s="16"/>
      <c r="X283" s="16" t="str">
        <f>"－"</f>
        <v>－</v>
      </c>
      <c r="Y283" s="13"/>
      <c r="Z283" s="17" t="n">
        <f>9</f>
        <v>9.0</v>
      </c>
      <c r="AA283" s="18" t="n">
        <f>3</f>
        <v>3.0</v>
      </c>
      <c r="AB283" s="11" t="s">
        <v>332</v>
      </c>
    </row>
    <row r="284">
      <c r="A284" s="11" t="s">
        <v>46</v>
      </c>
      <c r="B284" s="11" t="s">
        <v>47</v>
      </c>
      <c r="C284" s="11" t="s">
        <v>48</v>
      </c>
      <c r="D284" s="11" t="s">
        <v>49</v>
      </c>
      <c r="E284" s="11" t="s">
        <v>408</v>
      </c>
      <c r="F284" s="12" t="n">
        <v>19000.0</v>
      </c>
      <c r="G284" s="13" t="s">
        <v>60</v>
      </c>
      <c r="H284" s="14" t="s">
        <v>106</v>
      </c>
      <c r="I284" s="13" t="s">
        <v>60</v>
      </c>
      <c r="J284" s="14" t="s">
        <v>106</v>
      </c>
      <c r="K284" s="13" t="s">
        <v>210</v>
      </c>
      <c r="L284" s="14" t="s">
        <v>189</v>
      </c>
      <c r="M284" s="13" t="s">
        <v>215</v>
      </c>
      <c r="N284" s="14" t="s">
        <v>93</v>
      </c>
      <c r="O284" s="13" t="s">
        <v>215</v>
      </c>
      <c r="P284" s="14" t="s">
        <v>409</v>
      </c>
      <c r="Q284" s="13" t="s">
        <v>204</v>
      </c>
      <c r="R284" s="14" t="s">
        <v>219</v>
      </c>
      <c r="S284" s="15" t="n">
        <f>48.46</f>
        <v>48.46</v>
      </c>
      <c r="T284" s="16" t="n">
        <f>419</f>
        <v>419.0</v>
      </c>
      <c r="U284" s="16" t="n">
        <v>226.0</v>
      </c>
      <c r="V284" s="16" t="n">
        <f>17830250</f>
        <v>1.783025E7</v>
      </c>
      <c r="W284" s="16" t="n">
        <v>9117250.0</v>
      </c>
      <c r="X284" s="16" t="str">
        <f>"－"</f>
        <v>－</v>
      </c>
      <c r="Y284" s="13"/>
      <c r="Z284" s="17" t="n">
        <f>339</f>
        <v>339.0</v>
      </c>
      <c r="AA284" s="18" t="n">
        <f>13</f>
        <v>13.0</v>
      </c>
      <c r="AB284" s="11" t="s">
        <v>410</v>
      </c>
    </row>
    <row r="285">
      <c r="A285" s="11" t="s">
        <v>46</v>
      </c>
      <c r="B285" s="11" t="s">
        <v>47</v>
      </c>
      <c r="C285" s="11" t="s">
        <v>48</v>
      </c>
      <c r="D285" s="11" t="s">
        <v>49</v>
      </c>
      <c r="E285" s="11" t="s">
        <v>408</v>
      </c>
      <c r="F285" s="12" t="n">
        <v>19250.0</v>
      </c>
      <c r="G285" s="13" t="s">
        <v>56</v>
      </c>
      <c r="H285" s="14" t="s">
        <v>107</v>
      </c>
      <c r="I285" s="13" t="s">
        <v>205</v>
      </c>
      <c r="J285" s="14" t="s">
        <v>100</v>
      </c>
      <c r="K285" s="13"/>
      <c r="L285" s="14"/>
      <c r="M285" s="13" t="s">
        <v>202</v>
      </c>
      <c r="N285" s="14" t="s">
        <v>86</v>
      </c>
      <c r="O285" s="13"/>
      <c r="P285" s="14"/>
      <c r="Q285" s="13" t="s">
        <v>210</v>
      </c>
      <c r="R285" s="14" t="s">
        <v>102</v>
      </c>
      <c r="S285" s="15" t="n">
        <f>47.57</f>
        <v>47.57</v>
      </c>
      <c r="T285" s="16" t="n">
        <f>32</f>
        <v>32.0</v>
      </c>
      <c r="U285" s="16"/>
      <c r="V285" s="16" t="n">
        <f>1505000</f>
        <v>1505000.0</v>
      </c>
      <c r="W285" s="16"/>
      <c r="X285" s="16" t="str">
        <f>"－"</f>
        <v>－</v>
      </c>
      <c r="Y285" s="13"/>
      <c r="Z285" s="17" t="n">
        <f>12</f>
        <v>12.0</v>
      </c>
      <c r="AA285" s="18" t="n">
        <f>7</f>
        <v>7.0</v>
      </c>
      <c r="AB285" s="11" t="s">
        <v>410</v>
      </c>
    </row>
    <row r="286">
      <c r="A286" s="11" t="s">
        <v>46</v>
      </c>
      <c r="B286" s="11" t="s">
        <v>47</v>
      </c>
      <c r="C286" s="11" t="s">
        <v>48</v>
      </c>
      <c r="D286" s="11" t="s">
        <v>49</v>
      </c>
      <c r="E286" s="11" t="s">
        <v>408</v>
      </c>
      <c r="F286" s="12" t="n">
        <v>19500.0</v>
      </c>
      <c r="G286" s="13" t="s">
        <v>205</v>
      </c>
      <c r="H286" s="14" t="s">
        <v>101</v>
      </c>
      <c r="I286" s="13" t="s">
        <v>205</v>
      </c>
      <c r="J286" s="14" t="s">
        <v>101</v>
      </c>
      <c r="K286" s="13" t="s">
        <v>204</v>
      </c>
      <c r="L286" s="14" t="s">
        <v>103</v>
      </c>
      <c r="M286" s="13" t="s">
        <v>215</v>
      </c>
      <c r="N286" s="14" t="s">
        <v>95</v>
      </c>
      <c r="O286" s="13" t="s">
        <v>210</v>
      </c>
      <c r="P286" s="14" t="s">
        <v>411</v>
      </c>
      <c r="Q286" s="13" t="s">
        <v>215</v>
      </c>
      <c r="R286" s="14" t="s">
        <v>95</v>
      </c>
      <c r="S286" s="15" t="n">
        <f>50.67</f>
        <v>50.67</v>
      </c>
      <c r="T286" s="16" t="n">
        <f>79</f>
        <v>79.0</v>
      </c>
      <c r="U286" s="16" t="n">
        <v>70.0</v>
      </c>
      <c r="V286" s="16" t="n">
        <f>4718500</f>
        <v>4718500.0</v>
      </c>
      <c r="W286" s="16" t="n">
        <v>4224500.0</v>
      </c>
      <c r="X286" s="16" t="str">
        <f>"－"</f>
        <v>－</v>
      </c>
      <c r="Y286" s="13"/>
      <c r="Z286" s="17" t="n">
        <f>80</f>
        <v>80.0</v>
      </c>
      <c r="AA286" s="18" t="n">
        <f>3</f>
        <v>3.0</v>
      </c>
      <c r="AB286" s="11" t="s">
        <v>410</v>
      </c>
    </row>
    <row r="287">
      <c r="A287" s="11" t="s">
        <v>46</v>
      </c>
      <c r="B287" s="11" t="s">
        <v>47</v>
      </c>
      <c r="C287" s="11" t="s">
        <v>48</v>
      </c>
      <c r="D287" s="11" t="s">
        <v>49</v>
      </c>
      <c r="E287" s="11" t="s">
        <v>408</v>
      </c>
      <c r="F287" s="12" t="n">
        <v>19750.0</v>
      </c>
      <c r="G287" s="13" t="s">
        <v>56</v>
      </c>
      <c r="H287" s="14" t="s">
        <v>188</v>
      </c>
      <c r="I287" s="13" t="s">
        <v>56</v>
      </c>
      <c r="J287" s="14" t="s">
        <v>188</v>
      </c>
      <c r="K287" s="13"/>
      <c r="L287" s="14"/>
      <c r="M287" s="13" t="s">
        <v>202</v>
      </c>
      <c r="N287" s="14" t="s">
        <v>189</v>
      </c>
      <c r="O287" s="13"/>
      <c r="P287" s="14"/>
      <c r="Q287" s="13" t="s">
        <v>202</v>
      </c>
      <c r="R287" s="14" t="s">
        <v>189</v>
      </c>
      <c r="S287" s="15" t="n">
        <f>52.33</f>
        <v>52.33</v>
      </c>
      <c r="T287" s="16" t="n">
        <f>17</f>
        <v>17.0</v>
      </c>
      <c r="U287" s="16"/>
      <c r="V287" s="16" t="n">
        <f>852000</f>
        <v>852000.0</v>
      </c>
      <c r="W287" s="16"/>
      <c r="X287" s="16" t="str">
        <f>"－"</f>
        <v>－</v>
      </c>
      <c r="Y287" s="13"/>
      <c r="Z287" s="17" t="n">
        <f>1</f>
        <v>1.0</v>
      </c>
      <c r="AA287" s="18" t="n">
        <f>3</f>
        <v>3.0</v>
      </c>
      <c r="AB287" s="11" t="s">
        <v>410</v>
      </c>
    </row>
    <row r="288">
      <c r="A288" s="11" t="s">
        <v>46</v>
      </c>
      <c r="B288" s="11" t="s">
        <v>47</v>
      </c>
      <c r="C288" s="11" t="s">
        <v>48</v>
      </c>
      <c r="D288" s="11" t="s">
        <v>49</v>
      </c>
      <c r="E288" s="11" t="s">
        <v>408</v>
      </c>
      <c r="F288" s="12" t="n">
        <v>20000.0</v>
      </c>
      <c r="G288" s="13" t="s">
        <v>50</v>
      </c>
      <c r="H288" s="14" t="s">
        <v>123</v>
      </c>
      <c r="I288" s="13" t="s">
        <v>50</v>
      </c>
      <c r="J288" s="14" t="s">
        <v>123</v>
      </c>
      <c r="K288" s="13"/>
      <c r="L288" s="14"/>
      <c r="M288" s="13" t="s">
        <v>215</v>
      </c>
      <c r="N288" s="14" t="s">
        <v>189</v>
      </c>
      <c r="O288" s="13"/>
      <c r="P288" s="14"/>
      <c r="Q288" s="13" t="s">
        <v>204</v>
      </c>
      <c r="R288" s="14" t="s">
        <v>224</v>
      </c>
      <c r="S288" s="15" t="n">
        <f>72.71</f>
        <v>72.71</v>
      </c>
      <c r="T288" s="16" t="n">
        <f>194</f>
        <v>194.0</v>
      </c>
      <c r="U288" s="16"/>
      <c r="V288" s="16" t="n">
        <f>12648000</f>
        <v>1.2648E7</v>
      </c>
      <c r="W288" s="16"/>
      <c r="X288" s="16" t="str">
        <f>"－"</f>
        <v>－</v>
      </c>
      <c r="Y288" s="13"/>
      <c r="Z288" s="17" t="n">
        <f>132</f>
        <v>132.0</v>
      </c>
      <c r="AA288" s="18" t="n">
        <f>14</f>
        <v>14.0</v>
      </c>
      <c r="AB288" s="11" t="s">
        <v>410</v>
      </c>
    </row>
    <row r="289">
      <c r="A289" s="11" t="s">
        <v>46</v>
      </c>
      <c r="B289" s="11" t="s">
        <v>47</v>
      </c>
      <c r="C289" s="11" t="s">
        <v>48</v>
      </c>
      <c r="D289" s="11" t="s">
        <v>49</v>
      </c>
      <c r="E289" s="11" t="s">
        <v>408</v>
      </c>
      <c r="F289" s="12" t="n">
        <v>20250.0</v>
      </c>
      <c r="G289" s="13" t="s">
        <v>202</v>
      </c>
      <c r="H289" s="14" t="s">
        <v>100</v>
      </c>
      <c r="I289" s="13" t="s">
        <v>288</v>
      </c>
      <c r="J289" s="14" t="s">
        <v>104</v>
      </c>
      <c r="K289" s="13"/>
      <c r="L289" s="14"/>
      <c r="M289" s="13" t="s">
        <v>202</v>
      </c>
      <c r="N289" s="14" t="s">
        <v>100</v>
      </c>
      <c r="O289" s="13"/>
      <c r="P289" s="14"/>
      <c r="Q289" s="13" t="s">
        <v>288</v>
      </c>
      <c r="R289" s="14" t="s">
        <v>104</v>
      </c>
      <c r="S289" s="15" t="n">
        <f>59</f>
        <v>59.0</v>
      </c>
      <c r="T289" s="16" t="n">
        <f>12</f>
        <v>12.0</v>
      </c>
      <c r="U289" s="16"/>
      <c r="V289" s="16" t="n">
        <f>698000</f>
        <v>698000.0</v>
      </c>
      <c r="W289" s="16"/>
      <c r="X289" s="16" t="str">
        <f>"－"</f>
        <v>－</v>
      </c>
      <c r="Y289" s="13"/>
      <c r="Z289" s="17" t="n">
        <f>12</f>
        <v>12.0</v>
      </c>
      <c r="AA289" s="18" t="n">
        <f>2</f>
        <v>2.0</v>
      </c>
      <c r="AB289" s="11" t="s">
        <v>410</v>
      </c>
    </row>
    <row r="290">
      <c r="A290" s="11" t="s">
        <v>46</v>
      </c>
      <c r="B290" s="11" t="s">
        <v>47</v>
      </c>
      <c r="C290" s="11" t="s">
        <v>48</v>
      </c>
      <c r="D290" s="11" t="s">
        <v>49</v>
      </c>
      <c r="E290" s="11" t="s">
        <v>408</v>
      </c>
      <c r="F290" s="12" t="n">
        <v>20500.0</v>
      </c>
      <c r="G290" s="13" t="s">
        <v>202</v>
      </c>
      <c r="H290" s="14" t="s">
        <v>218</v>
      </c>
      <c r="I290" s="13" t="s">
        <v>204</v>
      </c>
      <c r="J290" s="14" t="s">
        <v>116</v>
      </c>
      <c r="K290" s="13" t="s">
        <v>215</v>
      </c>
      <c r="L290" s="14" t="s">
        <v>344</v>
      </c>
      <c r="M290" s="13" t="s">
        <v>204</v>
      </c>
      <c r="N290" s="14" t="s">
        <v>97</v>
      </c>
      <c r="O290" s="13" t="s">
        <v>215</v>
      </c>
      <c r="P290" s="14" t="s">
        <v>344</v>
      </c>
      <c r="Q290" s="13" t="s">
        <v>204</v>
      </c>
      <c r="R290" s="14" t="s">
        <v>116</v>
      </c>
      <c r="S290" s="15" t="n">
        <f>75</f>
        <v>75.0</v>
      </c>
      <c r="T290" s="16" t="n">
        <f>20</f>
        <v>20.0</v>
      </c>
      <c r="U290" s="16" t="n">
        <v>1.0</v>
      </c>
      <c r="V290" s="16" t="n">
        <f>1230000</f>
        <v>1230000.0</v>
      </c>
      <c r="W290" s="16" t="n">
        <v>52000.0</v>
      </c>
      <c r="X290" s="16" t="str">
        <f>"－"</f>
        <v>－</v>
      </c>
      <c r="Y290" s="13"/>
      <c r="Z290" s="17" t="n">
        <f>12</f>
        <v>12.0</v>
      </c>
      <c r="AA290" s="18" t="n">
        <f>3</f>
        <v>3.0</v>
      </c>
      <c r="AB290" s="11" t="s">
        <v>410</v>
      </c>
    </row>
    <row r="291">
      <c r="A291" s="11" t="s">
        <v>46</v>
      </c>
      <c r="B291" s="11" t="s">
        <v>47</v>
      </c>
      <c r="C291" s="11" t="s">
        <v>48</v>
      </c>
      <c r="D291" s="11" t="s">
        <v>49</v>
      </c>
      <c r="E291" s="11" t="s">
        <v>408</v>
      </c>
      <c r="F291" s="12" t="n">
        <v>20750.0</v>
      </c>
      <c r="G291" s="13" t="s">
        <v>204</v>
      </c>
      <c r="H291" s="14" t="s">
        <v>117</v>
      </c>
      <c r="I291" s="13" t="s">
        <v>204</v>
      </c>
      <c r="J291" s="14" t="s">
        <v>117</v>
      </c>
      <c r="K291" s="13"/>
      <c r="L291" s="14"/>
      <c r="M291" s="13" t="s">
        <v>204</v>
      </c>
      <c r="N291" s="14" t="s">
        <v>117</v>
      </c>
      <c r="O291" s="13"/>
      <c r="P291" s="14"/>
      <c r="Q291" s="13" t="s">
        <v>204</v>
      </c>
      <c r="R291" s="14" t="s">
        <v>117</v>
      </c>
      <c r="S291" s="15" t="n">
        <f>110</f>
        <v>110.0</v>
      </c>
      <c r="T291" s="16" t="n">
        <f>1</f>
        <v>1.0</v>
      </c>
      <c r="U291" s="16"/>
      <c r="V291" s="16" t="n">
        <f>110000</f>
        <v>110000.0</v>
      </c>
      <c r="W291" s="16"/>
      <c r="X291" s="16" t="str">
        <f>"－"</f>
        <v>－</v>
      </c>
      <c r="Y291" s="13"/>
      <c r="Z291" s="17" t="n">
        <f>1</f>
        <v>1.0</v>
      </c>
      <c r="AA291" s="18" t="n">
        <f>1</f>
        <v>1.0</v>
      </c>
      <c r="AB291" s="11" t="s">
        <v>410</v>
      </c>
    </row>
    <row r="292">
      <c r="A292" s="11" t="s">
        <v>46</v>
      </c>
      <c r="B292" s="11" t="s">
        <v>47</v>
      </c>
      <c r="C292" s="11" t="s">
        <v>48</v>
      </c>
      <c r="D292" s="11" t="s">
        <v>49</v>
      </c>
      <c r="E292" s="11" t="s">
        <v>408</v>
      </c>
      <c r="F292" s="12" t="n">
        <v>21000.0</v>
      </c>
      <c r="G292" s="13" t="s">
        <v>56</v>
      </c>
      <c r="H292" s="14" t="s">
        <v>412</v>
      </c>
      <c r="I292" s="13" t="s">
        <v>204</v>
      </c>
      <c r="J292" s="14" t="s">
        <v>116</v>
      </c>
      <c r="K292" s="13" t="s">
        <v>205</v>
      </c>
      <c r="L292" s="14" t="s">
        <v>337</v>
      </c>
      <c r="M292" s="13" t="s">
        <v>204</v>
      </c>
      <c r="N292" s="14" t="s">
        <v>188</v>
      </c>
      <c r="O292" s="13" t="s">
        <v>205</v>
      </c>
      <c r="P292" s="14" t="s">
        <v>337</v>
      </c>
      <c r="Q292" s="13" t="s">
        <v>204</v>
      </c>
      <c r="R292" s="14" t="s">
        <v>116</v>
      </c>
      <c r="S292" s="15" t="n">
        <f>77.14</f>
        <v>77.14</v>
      </c>
      <c r="T292" s="16" t="n">
        <f>286</f>
        <v>286.0</v>
      </c>
      <c r="U292" s="16" t="n">
        <v>200.0</v>
      </c>
      <c r="V292" s="16" t="n">
        <f>20871000</f>
        <v>2.0871E7</v>
      </c>
      <c r="W292" s="16" t="n">
        <v>1.44E7</v>
      </c>
      <c r="X292" s="16" t="str">
        <f>"－"</f>
        <v>－</v>
      </c>
      <c r="Y292" s="13"/>
      <c r="Z292" s="17" t="n">
        <f>271</f>
        <v>271.0</v>
      </c>
      <c r="AA292" s="18" t="n">
        <f>7</f>
        <v>7.0</v>
      </c>
      <c r="AB292" s="11" t="s">
        <v>410</v>
      </c>
    </row>
    <row r="293">
      <c r="A293" s="11" t="s">
        <v>46</v>
      </c>
      <c r="B293" s="11" t="s">
        <v>47</v>
      </c>
      <c r="C293" s="11" t="s">
        <v>48</v>
      </c>
      <c r="D293" s="11" t="s">
        <v>49</v>
      </c>
      <c r="E293" s="11" t="s">
        <v>408</v>
      </c>
      <c r="F293" s="12" t="n">
        <v>21250.0</v>
      </c>
      <c r="G293" s="13" t="s">
        <v>288</v>
      </c>
      <c r="H293" s="14" t="s">
        <v>112</v>
      </c>
      <c r="I293" s="13" t="s">
        <v>288</v>
      </c>
      <c r="J293" s="14" t="s">
        <v>112</v>
      </c>
      <c r="K293" s="13"/>
      <c r="L293" s="14"/>
      <c r="M293" s="13" t="s">
        <v>288</v>
      </c>
      <c r="N293" s="14" t="s">
        <v>112</v>
      </c>
      <c r="O293" s="13"/>
      <c r="P293" s="14"/>
      <c r="Q293" s="13" t="s">
        <v>288</v>
      </c>
      <c r="R293" s="14" t="s">
        <v>112</v>
      </c>
      <c r="S293" s="15" t="n">
        <f>85</f>
        <v>85.0</v>
      </c>
      <c r="T293" s="16" t="n">
        <f>1</f>
        <v>1.0</v>
      </c>
      <c r="U293" s="16"/>
      <c r="V293" s="16" t="n">
        <f>85000</f>
        <v>85000.0</v>
      </c>
      <c r="W293" s="16"/>
      <c r="X293" s="16" t="str">
        <f>"－"</f>
        <v>－</v>
      </c>
      <c r="Y293" s="13"/>
      <c r="Z293" s="17" t="n">
        <f>1</f>
        <v>1.0</v>
      </c>
      <c r="AA293" s="18" t="n">
        <f>1</f>
        <v>1.0</v>
      </c>
      <c r="AB293" s="11" t="s">
        <v>410</v>
      </c>
    </row>
    <row r="294">
      <c r="A294" s="11" t="s">
        <v>46</v>
      </c>
      <c r="B294" s="11" t="s">
        <v>47</v>
      </c>
      <c r="C294" s="11" t="s">
        <v>48</v>
      </c>
      <c r="D294" s="11" t="s">
        <v>49</v>
      </c>
      <c r="E294" s="11" t="s">
        <v>408</v>
      </c>
      <c r="F294" s="12" t="n">
        <v>21500.0</v>
      </c>
      <c r="G294" s="13" t="s">
        <v>61</v>
      </c>
      <c r="H294" s="14" t="s">
        <v>227</v>
      </c>
      <c r="I294" s="13" t="s">
        <v>208</v>
      </c>
      <c r="J294" s="14" t="s">
        <v>115</v>
      </c>
      <c r="K294" s="13" t="s">
        <v>55</v>
      </c>
      <c r="L294" s="14" t="s">
        <v>413</v>
      </c>
      <c r="M294" s="13" t="s">
        <v>215</v>
      </c>
      <c r="N294" s="14" t="s">
        <v>111</v>
      </c>
      <c r="O294" s="13" t="s">
        <v>55</v>
      </c>
      <c r="P294" s="14" t="s">
        <v>413</v>
      </c>
      <c r="Q294" s="13" t="s">
        <v>215</v>
      </c>
      <c r="R294" s="14" t="s">
        <v>111</v>
      </c>
      <c r="S294" s="15" t="n">
        <f>90</f>
        <v>90.0</v>
      </c>
      <c r="T294" s="16" t="n">
        <f>130</f>
        <v>130.0</v>
      </c>
      <c r="U294" s="16" t="n">
        <v>100.0</v>
      </c>
      <c r="V294" s="16" t="n">
        <f>17880000</f>
        <v>1.788E7</v>
      </c>
      <c r="W294" s="16" t="n">
        <v>1.52E7</v>
      </c>
      <c r="X294" s="16" t="str">
        <f>"－"</f>
        <v>－</v>
      </c>
      <c r="Y294" s="13"/>
      <c r="Z294" s="17" t="n">
        <f>16</f>
        <v>16.0</v>
      </c>
      <c r="AA294" s="18" t="n">
        <f>6</f>
        <v>6.0</v>
      </c>
      <c r="AB294" s="11" t="s">
        <v>410</v>
      </c>
    </row>
    <row r="295">
      <c r="A295" s="11" t="s">
        <v>46</v>
      </c>
      <c r="B295" s="11" t="s">
        <v>47</v>
      </c>
      <c r="C295" s="11" t="s">
        <v>48</v>
      </c>
      <c r="D295" s="11" t="s">
        <v>49</v>
      </c>
      <c r="E295" s="11" t="s">
        <v>408</v>
      </c>
      <c r="F295" s="12" t="n">
        <v>21750.0</v>
      </c>
      <c r="G295" s="13" t="s">
        <v>210</v>
      </c>
      <c r="H295" s="14" t="s">
        <v>116</v>
      </c>
      <c r="I295" s="13" t="s">
        <v>210</v>
      </c>
      <c r="J295" s="14" t="s">
        <v>116</v>
      </c>
      <c r="K295" s="13"/>
      <c r="L295" s="14"/>
      <c r="M295" s="13" t="s">
        <v>210</v>
      </c>
      <c r="N295" s="14" t="s">
        <v>116</v>
      </c>
      <c r="O295" s="13"/>
      <c r="P295" s="14"/>
      <c r="Q295" s="13" t="s">
        <v>210</v>
      </c>
      <c r="R295" s="14" t="s">
        <v>116</v>
      </c>
      <c r="S295" s="15" t="n">
        <f>105</f>
        <v>105.0</v>
      </c>
      <c r="T295" s="16" t="n">
        <f>1</f>
        <v>1.0</v>
      </c>
      <c r="U295" s="16"/>
      <c r="V295" s="16" t="n">
        <f>105000</f>
        <v>105000.0</v>
      </c>
      <c r="W295" s="16"/>
      <c r="X295" s="16" t="str">
        <f>"－"</f>
        <v>－</v>
      </c>
      <c r="Y295" s="13"/>
      <c r="Z295" s="17" t="n">
        <f>1</f>
        <v>1.0</v>
      </c>
      <c r="AA295" s="18" t="n">
        <f>1</f>
        <v>1.0</v>
      </c>
      <c r="AB295" s="11" t="s">
        <v>410</v>
      </c>
    </row>
    <row r="296">
      <c r="A296" s="11" t="s">
        <v>46</v>
      </c>
      <c r="B296" s="11" t="s">
        <v>47</v>
      </c>
      <c r="C296" s="11" t="s">
        <v>48</v>
      </c>
      <c r="D296" s="11" t="s">
        <v>49</v>
      </c>
      <c r="E296" s="11" t="s">
        <v>408</v>
      </c>
      <c r="F296" s="12" t="n">
        <v>22000.0</v>
      </c>
      <c r="G296" s="13" t="s">
        <v>50</v>
      </c>
      <c r="H296" s="14" t="s">
        <v>136</v>
      </c>
      <c r="I296" s="13" t="s">
        <v>50</v>
      </c>
      <c r="J296" s="14" t="s">
        <v>185</v>
      </c>
      <c r="K296" s="13" t="s">
        <v>56</v>
      </c>
      <c r="L296" s="14" t="s">
        <v>353</v>
      </c>
      <c r="M296" s="13" t="s">
        <v>202</v>
      </c>
      <c r="N296" s="14" t="s">
        <v>223</v>
      </c>
      <c r="O296" s="13" t="s">
        <v>205</v>
      </c>
      <c r="P296" s="14" t="s">
        <v>115</v>
      </c>
      <c r="Q296" s="13" t="s">
        <v>204</v>
      </c>
      <c r="R296" s="14" t="s">
        <v>126</v>
      </c>
      <c r="S296" s="15" t="n">
        <f>121.3</f>
        <v>121.3</v>
      </c>
      <c r="T296" s="16" t="n">
        <f>247</f>
        <v>247.0</v>
      </c>
      <c r="U296" s="16" t="n">
        <v>201.0</v>
      </c>
      <c r="V296" s="16" t="n">
        <f>28030000</f>
        <v>2.803E7</v>
      </c>
      <c r="W296" s="16" t="n">
        <v>2.29E7</v>
      </c>
      <c r="X296" s="16" t="str">
        <f>"－"</f>
        <v>－</v>
      </c>
      <c r="Y296" s="13"/>
      <c r="Z296" s="17" t="n">
        <f>235</f>
        <v>235.0</v>
      </c>
      <c r="AA296" s="18" t="n">
        <f>10</f>
        <v>10.0</v>
      </c>
      <c r="AB296" s="11" t="s">
        <v>410</v>
      </c>
    </row>
    <row r="297">
      <c r="A297" s="11" t="s">
        <v>46</v>
      </c>
      <c r="B297" s="11" t="s">
        <v>47</v>
      </c>
      <c r="C297" s="11" t="s">
        <v>48</v>
      </c>
      <c r="D297" s="11" t="s">
        <v>49</v>
      </c>
      <c r="E297" s="11" t="s">
        <v>408</v>
      </c>
      <c r="F297" s="12" t="n">
        <v>22250.0</v>
      </c>
      <c r="G297" s="13" t="s">
        <v>50</v>
      </c>
      <c r="H297" s="14" t="s">
        <v>137</v>
      </c>
      <c r="I297" s="13" t="s">
        <v>50</v>
      </c>
      <c r="J297" s="14" t="s">
        <v>137</v>
      </c>
      <c r="K297" s="13"/>
      <c r="L297" s="14"/>
      <c r="M297" s="13" t="s">
        <v>202</v>
      </c>
      <c r="N297" s="14" t="s">
        <v>226</v>
      </c>
      <c r="O297" s="13"/>
      <c r="P297" s="14"/>
      <c r="Q297" s="13" t="s">
        <v>208</v>
      </c>
      <c r="R297" s="14" t="s">
        <v>115</v>
      </c>
      <c r="S297" s="15" t="n">
        <f>152.67</f>
        <v>152.67</v>
      </c>
      <c r="T297" s="16" t="n">
        <f>4</f>
        <v>4.0</v>
      </c>
      <c r="U297" s="16"/>
      <c r="V297" s="16" t="n">
        <f>723000</f>
        <v>723000.0</v>
      </c>
      <c r="W297" s="16"/>
      <c r="X297" s="16" t="str">
        <f>"－"</f>
        <v>－</v>
      </c>
      <c r="Y297" s="13"/>
      <c r="Z297" s="17" t="n">
        <f>2</f>
        <v>2.0</v>
      </c>
      <c r="AA297" s="18" t="n">
        <f>3</f>
        <v>3.0</v>
      </c>
      <c r="AB297" s="11" t="s">
        <v>410</v>
      </c>
    </row>
    <row r="298">
      <c r="A298" s="11" t="s">
        <v>46</v>
      </c>
      <c r="B298" s="11" t="s">
        <v>47</v>
      </c>
      <c r="C298" s="11" t="s">
        <v>48</v>
      </c>
      <c r="D298" s="11" t="s">
        <v>49</v>
      </c>
      <c r="E298" s="11" t="s">
        <v>408</v>
      </c>
      <c r="F298" s="12" t="n">
        <v>22500.0</v>
      </c>
      <c r="G298" s="13" t="s">
        <v>50</v>
      </c>
      <c r="H298" s="14" t="s">
        <v>144</v>
      </c>
      <c r="I298" s="13" t="s">
        <v>50</v>
      </c>
      <c r="J298" s="14" t="s">
        <v>144</v>
      </c>
      <c r="K298" s="13" t="s">
        <v>205</v>
      </c>
      <c r="L298" s="14" t="s">
        <v>414</v>
      </c>
      <c r="M298" s="13" t="s">
        <v>202</v>
      </c>
      <c r="N298" s="14" t="s">
        <v>115</v>
      </c>
      <c r="O298" s="13" t="s">
        <v>205</v>
      </c>
      <c r="P298" s="14" t="s">
        <v>117</v>
      </c>
      <c r="Q298" s="13" t="s">
        <v>202</v>
      </c>
      <c r="R298" s="14" t="s">
        <v>115</v>
      </c>
      <c r="S298" s="15" t="n">
        <f>153</f>
        <v>153.0</v>
      </c>
      <c r="T298" s="16" t="n">
        <f>813</f>
        <v>813.0</v>
      </c>
      <c r="U298" s="16" t="n">
        <v>804.0</v>
      </c>
      <c r="V298" s="16" t="n">
        <f>99005000</f>
        <v>9.9005E7</v>
      </c>
      <c r="W298" s="16" t="n">
        <v>9.784E7</v>
      </c>
      <c r="X298" s="16" t="str">
        <f>"－"</f>
        <v>－</v>
      </c>
      <c r="Y298" s="13"/>
      <c r="Z298" s="17" t="n">
        <f>809</f>
        <v>809.0</v>
      </c>
      <c r="AA298" s="18" t="n">
        <f>5</f>
        <v>5.0</v>
      </c>
      <c r="AB298" s="11" t="s">
        <v>410</v>
      </c>
    </row>
    <row r="299">
      <c r="A299" s="11" t="s">
        <v>46</v>
      </c>
      <c r="B299" s="11" t="s">
        <v>47</v>
      </c>
      <c r="C299" s="11" t="s">
        <v>48</v>
      </c>
      <c r="D299" s="11" t="s">
        <v>49</v>
      </c>
      <c r="E299" s="11" t="s">
        <v>408</v>
      </c>
      <c r="F299" s="12" t="n">
        <v>22750.0</v>
      </c>
      <c r="G299" s="13" t="s">
        <v>205</v>
      </c>
      <c r="H299" s="14" t="s">
        <v>122</v>
      </c>
      <c r="I299" s="13" t="s">
        <v>204</v>
      </c>
      <c r="J299" s="14" t="s">
        <v>232</v>
      </c>
      <c r="K299" s="13"/>
      <c r="L299" s="14"/>
      <c r="M299" s="13" t="s">
        <v>202</v>
      </c>
      <c r="N299" s="14" t="s">
        <v>116</v>
      </c>
      <c r="O299" s="13"/>
      <c r="P299" s="14"/>
      <c r="Q299" s="13" t="s">
        <v>204</v>
      </c>
      <c r="R299" s="14" t="s">
        <v>232</v>
      </c>
      <c r="S299" s="15" t="n">
        <f>143.33</f>
        <v>143.33</v>
      </c>
      <c r="T299" s="16" t="n">
        <f>11</f>
        <v>11.0</v>
      </c>
      <c r="U299" s="16"/>
      <c r="V299" s="16" t="n">
        <f>1480000</f>
        <v>1480000.0</v>
      </c>
      <c r="W299" s="16"/>
      <c r="X299" s="16" t="str">
        <f>"－"</f>
        <v>－</v>
      </c>
      <c r="Y299" s="13"/>
      <c r="Z299" s="17" t="n">
        <f>11</f>
        <v>11.0</v>
      </c>
      <c r="AA299" s="18" t="n">
        <f>3</f>
        <v>3.0</v>
      </c>
      <c r="AB299" s="11" t="s">
        <v>410</v>
      </c>
    </row>
    <row r="300">
      <c r="A300" s="11" t="s">
        <v>46</v>
      </c>
      <c r="B300" s="11" t="s">
        <v>47</v>
      </c>
      <c r="C300" s="11" t="s">
        <v>48</v>
      </c>
      <c r="D300" s="11" t="s">
        <v>49</v>
      </c>
      <c r="E300" s="11" t="s">
        <v>408</v>
      </c>
      <c r="F300" s="12" t="n">
        <v>23000.0</v>
      </c>
      <c r="G300" s="13" t="s">
        <v>58</v>
      </c>
      <c r="H300" s="14" t="s">
        <v>230</v>
      </c>
      <c r="I300" s="13" t="s">
        <v>204</v>
      </c>
      <c r="J300" s="14" t="s">
        <v>232</v>
      </c>
      <c r="K300" s="13" t="s">
        <v>204</v>
      </c>
      <c r="L300" s="14" t="s">
        <v>127</v>
      </c>
      <c r="M300" s="13" t="s">
        <v>202</v>
      </c>
      <c r="N300" s="14" t="s">
        <v>117</v>
      </c>
      <c r="O300" s="13" t="s">
        <v>215</v>
      </c>
      <c r="P300" s="14" t="s">
        <v>117</v>
      </c>
      <c r="Q300" s="13" t="s">
        <v>204</v>
      </c>
      <c r="R300" s="14" t="s">
        <v>233</v>
      </c>
      <c r="S300" s="15" t="n">
        <f>142.22</f>
        <v>142.22</v>
      </c>
      <c r="T300" s="16" t="n">
        <f>19</f>
        <v>19.0</v>
      </c>
      <c r="U300" s="16" t="n">
        <v>2.0</v>
      </c>
      <c r="V300" s="16" t="n">
        <f>2790000</f>
        <v>2790000.0</v>
      </c>
      <c r="W300" s="16" t="n">
        <v>290000.0</v>
      </c>
      <c r="X300" s="16" t="str">
        <f>"－"</f>
        <v>－</v>
      </c>
      <c r="Y300" s="13"/>
      <c r="Z300" s="17" t="n">
        <f>13</f>
        <v>13.0</v>
      </c>
      <c r="AA300" s="18" t="n">
        <f>9</f>
        <v>9.0</v>
      </c>
      <c r="AB300" s="11" t="s">
        <v>410</v>
      </c>
    </row>
    <row r="301">
      <c r="A301" s="11" t="s">
        <v>46</v>
      </c>
      <c r="B301" s="11" t="s">
        <v>47</v>
      </c>
      <c r="C301" s="11" t="s">
        <v>48</v>
      </c>
      <c r="D301" s="11" t="s">
        <v>49</v>
      </c>
      <c r="E301" s="11" t="s">
        <v>408</v>
      </c>
      <c r="F301" s="12" t="n">
        <v>23250.0</v>
      </c>
      <c r="G301" s="13" t="s">
        <v>50</v>
      </c>
      <c r="H301" s="14" t="s">
        <v>362</v>
      </c>
      <c r="I301" s="13" t="s">
        <v>50</v>
      </c>
      <c r="J301" s="14" t="s">
        <v>362</v>
      </c>
      <c r="K301" s="13" t="s">
        <v>204</v>
      </c>
      <c r="L301" s="14" t="s">
        <v>230</v>
      </c>
      <c r="M301" s="13" t="s">
        <v>204</v>
      </c>
      <c r="N301" s="14" t="s">
        <v>130</v>
      </c>
      <c r="O301" s="13" t="s">
        <v>204</v>
      </c>
      <c r="P301" s="14" t="s">
        <v>230</v>
      </c>
      <c r="Q301" s="13" t="s">
        <v>204</v>
      </c>
      <c r="R301" s="14" t="s">
        <v>132</v>
      </c>
      <c r="S301" s="15" t="n">
        <f>261.67</f>
        <v>261.67</v>
      </c>
      <c r="T301" s="16" t="n">
        <f>48</f>
        <v>48.0</v>
      </c>
      <c r="U301" s="16" t="n">
        <v>1.0</v>
      </c>
      <c r="V301" s="16" t="n">
        <f>10350000</f>
        <v>1.035E7</v>
      </c>
      <c r="W301" s="16" t="n">
        <v>195000.0</v>
      </c>
      <c r="X301" s="16" t="str">
        <f>"－"</f>
        <v>－</v>
      </c>
      <c r="Y301" s="13"/>
      <c r="Z301" s="17" t="n">
        <f>3</f>
        <v>3.0</v>
      </c>
      <c r="AA301" s="18" t="n">
        <f>3</f>
        <v>3.0</v>
      </c>
      <c r="AB301" s="11" t="s">
        <v>410</v>
      </c>
    </row>
    <row r="302">
      <c r="A302" s="11" t="s">
        <v>46</v>
      </c>
      <c r="B302" s="11" t="s">
        <v>47</v>
      </c>
      <c r="C302" s="11" t="s">
        <v>48</v>
      </c>
      <c r="D302" s="11" t="s">
        <v>49</v>
      </c>
      <c r="E302" s="11" t="s">
        <v>408</v>
      </c>
      <c r="F302" s="12" t="n">
        <v>23500.0</v>
      </c>
      <c r="G302" s="13" t="s">
        <v>58</v>
      </c>
      <c r="H302" s="14" t="s">
        <v>135</v>
      </c>
      <c r="I302" s="13" t="s">
        <v>58</v>
      </c>
      <c r="J302" s="14" t="s">
        <v>135</v>
      </c>
      <c r="K302" s="13"/>
      <c r="L302" s="14"/>
      <c r="M302" s="13" t="s">
        <v>207</v>
      </c>
      <c r="N302" s="14" t="s">
        <v>261</v>
      </c>
      <c r="O302" s="13"/>
      <c r="P302" s="14"/>
      <c r="Q302" s="13" t="s">
        <v>204</v>
      </c>
      <c r="R302" s="14" t="s">
        <v>130</v>
      </c>
      <c r="S302" s="15" t="n">
        <f>182.5</f>
        <v>182.5</v>
      </c>
      <c r="T302" s="16" t="n">
        <f>13</f>
        <v>13.0</v>
      </c>
      <c r="U302" s="16"/>
      <c r="V302" s="16" t="n">
        <f>2320000</f>
        <v>2320000.0</v>
      </c>
      <c r="W302" s="16"/>
      <c r="X302" s="16" t="str">
        <f>"－"</f>
        <v>－</v>
      </c>
      <c r="Y302" s="13"/>
      <c r="Z302" s="17" t="n">
        <f>49</f>
        <v>49.0</v>
      </c>
      <c r="AA302" s="18" t="n">
        <f>4</f>
        <v>4.0</v>
      </c>
      <c r="AB302" s="11" t="s">
        <v>410</v>
      </c>
    </row>
    <row r="303">
      <c r="A303" s="11" t="s">
        <v>46</v>
      </c>
      <c r="B303" s="11" t="s">
        <v>47</v>
      </c>
      <c r="C303" s="11" t="s">
        <v>48</v>
      </c>
      <c r="D303" s="11" t="s">
        <v>49</v>
      </c>
      <c r="E303" s="11" t="s">
        <v>408</v>
      </c>
      <c r="F303" s="12" t="n">
        <v>23750.0</v>
      </c>
      <c r="G303" s="13" t="s">
        <v>60</v>
      </c>
      <c r="H303" s="14" t="s">
        <v>265</v>
      </c>
      <c r="I303" s="13" t="s">
        <v>60</v>
      </c>
      <c r="J303" s="14" t="s">
        <v>265</v>
      </c>
      <c r="K303" s="13"/>
      <c r="L303" s="14"/>
      <c r="M303" s="13" t="s">
        <v>215</v>
      </c>
      <c r="N303" s="14" t="s">
        <v>286</v>
      </c>
      <c r="O303" s="13"/>
      <c r="P303" s="14"/>
      <c r="Q303" s="13" t="s">
        <v>204</v>
      </c>
      <c r="R303" s="14" t="s">
        <v>125</v>
      </c>
      <c r="S303" s="15" t="n">
        <f>178</f>
        <v>178.0</v>
      </c>
      <c r="T303" s="16" t="n">
        <f>44</f>
        <v>44.0</v>
      </c>
      <c r="U303" s="16"/>
      <c r="V303" s="16" t="n">
        <f>9090000</f>
        <v>9090000.0</v>
      </c>
      <c r="W303" s="16"/>
      <c r="X303" s="16" t="str">
        <f>"－"</f>
        <v>－</v>
      </c>
      <c r="Y303" s="13"/>
      <c r="Z303" s="17" t="n">
        <f>18</f>
        <v>18.0</v>
      </c>
      <c r="AA303" s="18" t="n">
        <f>5</f>
        <v>5.0</v>
      </c>
      <c r="AB303" s="11" t="s">
        <v>410</v>
      </c>
    </row>
    <row r="304">
      <c r="A304" s="11" t="s">
        <v>46</v>
      </c>
      <c r="B304" s="11" t="s">
        <v>47</v>
      </c>
      <c r="C304" s="11" t="s">
        <v>48</v>
      </c>
      <c r="D304" s="11" t="s">
        <v>49</v>
      </c>
      <c r="E304" s="11" t="s">
        <v>408</v>
      </c>
      <c r="F304" s="12" t="n">
        <v>24000.0</v>
      </c>
      <c r="G304" s="13" t="s">
        <v>55</v>
      </c>
      <c r="H304" s="14" t="s">
        <v>139</v>
      </c>
      <c r="I304" s="13" t="s">
        <v>55</v>
      </c>
      <c r="J304" s="14" t="s">
        <v>139</v>
      </c>
      <c r="K304" s="13"/>
      <c r="L304" s="14"/>
      <c r="M304" s="13" t="s">
        <v>202</v>
      </c>
      <c r="N304" s="14" t="s">
        <v>123</v>
      </c>
      <c r="O304" s="13"/>
      <c r="P304" s="14"/>
      <c r="Q304" s="13" t="s">
        <v>204</v>
      </c>
      <c r="R304" s="14" t="s">
        <v>185</v>
      </c>
      <c r="S304" s="15" t="n">
        <f>215.45</f>
        <v>215.45</v>
      </c>
      <c r="T304" s="16" t="n">
        <f>74</f>
        <v>74.0</v>
      </c>
      <c r="U304" s="16"/>
      <c r="V304" s="16" t="n">
        <f>17365000</f>
        <v>1.7365E7</v>
      </c>
      <c r="W304" s="16"/>
      <c r="X304" s="16" t="str">
        <f>"－"</f>
        <v>－</v>
      </c>
      <c r="Y304" s="13"/>
      <c r="Z304" s="17" t="n">
        <f>25</f>
        <v>25.0</v>
      </c>
      <c r="AA304" s="18" t="n">
        <f>11</f>
        <v>11.0</v>
      </c>
      <c r="AB304" s="11" t="s">
        <v>410</v>
      </c>
    </row>
    <row r="305">
      <c r="A305" s="11" t="s">
        <v>46</v>
      </c>
      <c r="B305" s="11" t="s">
        <v>47</v>
      </c>
      <c r="C305" s="11" t="s">
        <v>48</v>
      </c>
      <c r="D305" s="11" t="s">
        <v>49</v>
      </c>
      <c r="E305" s="11" t="s">
        <v>408</v>
      </c>
      <c r="F305" s="12" t="n">
        <v>24250.0</v>
      </c>
      <c r="G305" s="13" t="s">
        <v>55</v>
      </c>
      <c r="H305" s="14" t="s">
        <v>415</v>
      </c>
      <c r="I305" s="13" t="s">
        <v>55</v>
      </c>
      <c r="J305" s="14" t="s">
        <v>415</v>
      </c>
      <c r="K305" s="13" t="s">
        <v>204</v>
      </c>
      <c r="L305" s="14" t="s">
        <v>144</v>
      </c>
      <c r="M305" s="13" t="s">
        <v>215</v>
      </c>
      <c r="N305" s="14" t="s">
        <v>125</v>
      </c>
      <c r="O305" s="13" t="s">
        <v>205</v>
      </c>
      <c r="P305" s="14" t="s">
        <v>231</v>
      </c>
      <c r="Q305" s="13" t="s">
        <v>204</v>
      </c>
      <c r="R305" s="14" t="s">
        <v>136</v>
      </c>
      <c r="S305" s="15" t="n">
        <f>230</f>
        <v>230.0</v>
      </c>
      <c r="T305" s="16" t="n">
        <f>29</f>
        <v>29.0</v>
      </c>
      <c r="U305" s="16" t="n">
        <v>2.0</v>
      </c>
      <c r="V305" s="16" t="n">
        <f>5995000</f>
        <v>5995000.0</v>
      </c>
      <c r="W305" s="16" t="n">
        <v>480000.0</v>
      </c>
      <c r="X305" s="16" t="str">
        <f>"－"</f>
        <v>－</v>
      </c>
      <c r="Y305" s="13"/>
      <c r="Z305" s="17" t="n">
        <f>21</f>
        <v>21.0</v>
      </c>
      <c r="AA305" s="18" t="n">
        <f>6</f>
        <v>6.0</v>
      </c>
      <c r="AB305" s="11" t="s">
        <v>410</v>
      </c>
    </row>
    <row r="306">
      <c r="A306" s="11" t="s">
        <v>46</v>
      </c>
      <c r="B306" s="11" t="s">
        <v>47</v>
      </c>
      <c r="C306" s="11" t="s">
        <v>48</v>
      </c>
      <c r="D306" s="11" t="s">
        <v>49</v>
      </c>
      <c r="E306" s="11" t="s">
        <v>408</v>
      </c>
      <c r="F306" s="12" t="n">
        <v>24500.0</v>
      </c>
      <c r="G306" s="13" t="s">
        <v>58</v>
      </c>
      <c r="H306" s="14" t="s">
        <v>237</v>
      </c>
      <c r="I306" s="13" t="s">
        <v>58</v>
      </c>
      <c r="J306" s="14" t="s">
        <v>237</v>
      </c>
      <c r="K306" s="13" t="s">
        <v>205</v>
      </c>
      <c r="L306" s="14" t="s">
        <v>232</v>
      </c>
      <c r="M306" s="13" t="s">
        <v>202</v>
      </c>
      <c r="N306" s="14" t="s">
        <v>129</v>
      </c>
      <c r="O306" s="13" t="s">
        <v>207</v>
      </c>
      <c r="P306" s="14" t="s">
        <v>231</v>
      </c>
      <c r="Q306" s="13" t="s">
        <v>204</v>
      </c>
      <c r="R306" s="14" t="s">
        <v>239</v>
      </c>
      <c r="S306" s="15" t="n">
        <f>225</f>
        <v>225.0</v>
      </c>
      <c r="T306" s="16" t="n">
        <f>307</f>
        <v>307.0</v>
      </c>
      <c r="U306" s="16" t="n">
        <v>101.0</v>
      </c>
      <c r="V306" s="16" t="n">
        <f>66015000</f>
        <v>6.6015E7</v>
      </c>
      <c r="W306" s="16" t="n">
        <v>1.92E7</v>
      </c>
      <c r="X306" s="16" t="str">
        <f>"－"</f>
        <v>－</v>
      </c>
      <c r="Y306" s="13"/>
      <c r="Z306" s="17" t="n">
        <f>168</f>
        <v>168.0</v>
      </c>
      <c r="AA306" s="18" t="n">
        <f>14</f>
        <v>14.0</v>
      </c>
      <c r="AB306" s="11" t="s">
        <v>410</v>
      </c>
    </row>
    <row r="307">
      <c r="A307" s="11" t="s">
        <v>46</v>
      </c>
      <c r="B307" s="11" t="s">
        <v>47</v>
      </c>
      <c r="C307" s="11" t="s">
        <v>48</v>
      </c>
      <c r="D307" s="11" t="s">
        <v>49</v>
      </c>
      <c r="E307" s="11" t="s">
        <v>408</v>
      </c>
      <c r="F307" s="12" t="n">
        <v>24750.0</v>
      </c>
      <c r="G307" s="13" t="s">
        <v>63</v>
      </c>
      <c r="H307" s="14" t="s">
        <v>190</v>
      </c>
      <c r="I307" s="13" t="s">
        <v>63</v>
      </c>
      <c r="J307" s="14" t="s">
        <v>190</v>
      </c>
      <c r="K307" s="13"/>
      <c r="L307" s="14"/>
      <c r="M307" s="13" t="s">
        <v>207</v>
      </c>
      <c r="N307" s="14" t="s">
        <v>232</v>
      </c>
      <c r="O307" s="13"/>
      <c r="P307" s="14"/>
      <c r="Q307" s="13" t="s">
        <v>210</v>
      </c>
      <c r="R307" s="14" t="s">
        <v>274</v>
      </c>
      <c r="S307" s="15" t="n">
        <f>247.5</f>
        <v>247.5</v>
      </c>
      <c r="T307" s="16" t="n">
        <f>55</f>
        <v>55.0</v>
      </c>
      <c r="U307" s="16"/>
      <c r="V307" s="16" t="n">
        <f>14485000</f>
        <v>1.4485E7</v>
      </c>
      <c r="W307" s="16"/>
      <c r="X307" s="16" t="str">
        <f>"－"</f>
        <v>－</v>
      </c>
      <c r="Y307" s="13"/>
      <c r="Z307" s="17" t="n">
        <f>527</f>
        <v>527.0</v>
      </c>
      <c r="AA307" s="18" t="n">
        <f>8</f>
        <v>8.0</v>
      </c>
      <c r="AB307" s="11" t="s">
        <v>410</v>
      </c>
    </row>
    <row r="308">
      <c r="A308" s="11" t="s">
        <v>46</v>
      </c>
      <c r="B308" s="11" t="s">
        <v>47</v>
      </c>
      <c r="C308" s="11" t="s">
        <v>48</v>
      </c>
      <c r="D308" s="11" t="s">
        <v>49</v>
      </c>
      <c r="E308" s="11" t="s">
        <v>408</v>
      </c>
      <c r="F308" s="12" t="n">
        <v>25000.0</v>
      </c>
      <c r="G308" s="13" t="s">
        <v>63</v>
      </c>
      <c r="H308" s="14" t="s">
        <v>180</v>
      </c>
      <c r="I308" s="13" t="s">
        <v>60</v>
      </c>
      <c r="J308" s="14" t="s">
        <v>163</v>
      </c>
      <c r="K308" s="13" t="s">
        <v>204</v>
      </c>
      <c r="L308" s="14" t="s">
        <v>182</v>
      </c>
      <c r="M308" s="13" t="s">
        <v>202</v>
      </c>
      <c r="N308" s="14" t="s">
        <v>230</v>
      </c>
      <c r="O308" s="13" t="s">
        <v>206</v>
      </c>
      <c r="P308" s="14" t="s">
        <v>416</v>
      </c>
      <c r="Q308" s="13" t="s">
        <v>204</v>
      </c>
      <c r="R308" s="14" t="s">
        <v>282</v>
      </c>
      <c r="S308" s="15" t="n">
        <f>274.64</f>
        <v>274.64</v>
      </c>
      <c r="T308" s="16" t="n">
        <f>128</f>
        <v>128.0</v>
      </c>
      <c r="U308" s="16" t="n">
        <v>17.0</v>
      </c>
      <c r="V308" s="16" t="n">
        <f>34295000</f>
        <v>3.4295E7</v>
      </c>
      <c r="W308" s="16" t="n">
        <v>4810000.0</v>
      </c>
      <c r="X308" s="16" t="str">
        <f>"－"</f>
        <v>－</v>
      </c>
      <c r="Y308" s="13"/>
      <c r="Z308" s="17" t="n">
        <f>108</f>
        <v>108.0</v>
      </c>
      <c r="AA308" s="18" t="n">
        <f>14</f>
        <v>14.0</v>
      </c>
      <c r="AB308" s="11" t="s">
        <v>410</v>
      </c>
    </row>
    <row r="309">
      <c r="A309" s="11" t="s">
        <v>46</v>
      </c>
      <c r="B309" s="11" t="s">
        <v>47</v>
      </c>
      <c r="C309" s="11" t="s">
        <v>48</v>
      </c>
      <c r="D309" s="11" t="s">
        <v>49</v>
      </c>
      <c r="E309" s="11" t="s">
        <v>408</v>
      </c>
      <c r="F309" s="12" t="n">
        <v>25250.0</v>
      </c>
      <c r="G309" s="13" t="s">
        <v>55</v>
      </c>
      <c r="H309" s="14" t="s">
        <v>244</v>
      </c>
      <c r="I309" s="13" t="s">
        <v>55</v>
      </c>
      <c r="J309" s="14" t="s">
        <v>244</v>
      </c>
      <c r="K309" s="13" t="s">
        <v>207</v>
      </c>
      <c r="L309" s="14" t="s">
        <v>134</v>
      </c>
      <c r="M309" s="13" t="s">
        <v>207</v>
      </c>
      <c r="N309" s="14" t="s">
        <v>131</v>
      </c>
      <c r="O309" s="13" t="s">
        <v>207</v>
      </c>
      <c r="P309" s="14" t="s">
        <v>134</v>
      </c>
      <c r="Q309" s="13" t="s">
        <v>204</v>
      </c>
      <c r="R309" s="14" t="s">
        <v>163</v>
      </c>
      <c r="S309" s="15" t="n">
        <f>331</f>
        <v>331.0</v>
      </c>
      <c r="T309" s="16" t="n">
        <f>32</f>
        <v>32.0</v>
      </c>
      <c r="U309" s="16" t="n">
        <v>1.0</v>
      </c>
      <c r="V309" s="16" t="n">
        <f>8490000</f>
        <v>8490000.0</v>
      </c>
      <c r="W309" s="16" t="n">
        <v>245000.0</v>
      </c>
      <c r="X309" s="16" t="str">
        <f>"－"</f>
        <v>－</v>
      </c>
      <c r="Y309" s="13"/>
      <c r="Z309" s="17" t="n">
        <f>7</f>
        <v>7.0</v>
      </c>
      <c r="AA309" s="18" t="n">
        <f>5</f>
        <v>5.0</v>
      </c>
      <c r="AB309" s="11" t="s">
        <v>410</v>
      </c>
    </row>
    <row r="310">
      <c r="A310" s="11" t="s">
        <v>46</v>
      </c>
      <c r="B310" s="11" t="s">
        <v>47</v>
      </c>
      <c r="C310" s="11" t="s">
        <v>48</v>
      </c>
      <c r="D310" s="11" t="s">
        <v>49</v>
      </c>
      <c r="E310" s="11" t="s">
        <v>408</v>
      </c>
      <c r="F310" s="12" t="n">
        <v>25500.0</v>
      </c>
      <c r="G310" s="13" t="s">
        <v>61</v>
      </c>
      <c r="H310" s="14" t="s">
        <v>146</v>
      </c>
      <c r="I310" s="13" t="s">
        <v>61</v>
      </c>
      <c r="J310" s="14" t="s">
        <v>146</v>
      </c>
      <c r="K310" s="13" t="s">
        <v>204</v>
      </c>
      <c r="L310" s="14" t="s">
        <v>309</v>
      </c>
      <c r="M310" s="13" t="s">
        <v>202</v>
      </c>
      <c r="N310" s="14" t="s">
        <v>274</v>
      </c>
      <c r="O310" s="13" t="s">
        <v>205</v>
      </c>
      <c r="P310" s="14" t="s">
        <v>234</v>
      </c>
      <c r="Q310" s="13" t="s">
        <v>204</v>
      </c>
      <c r="R310" s="14" t="s">
        <v>142</v>
      </c>
      <c r="S310" s="15" t="n">
        <f>288.64</f>
        <v>288.64</v>
      </c>
      <c r="T310" s="16" t="n">
        <f>344</f>
        <v>344.0</v>
      </c>
      <c r="U310" s="16" t="n">
        <v>202.0</v>
      </c>
      <c r="V310" s="16" t="n">
        <f>121095000</f>
        <v>1.21095E8</v>
      </c>
      <c r="W310" s="16" t="n">
        <v>7.6725E7</v>
      </c>
      <c r="X310" s="16" t="str">
        <f>"－"</f>
        <v>－</v>
      </c>
      <c r="Y310" s="13"/>
      <c r="Z310" s="17" t="n">
        <f>30</f>
        <v>30.0</v>
      </c>
      <c r="AA310" s="18" t="n">
        <f>11</f>
        <v>11.0</v>
      </c>
      <c r="AB310" s="11" t="s">
        <v>410</v>
      </c>
    </row>
    <row r="311">
      <c r="A311" s="11" t="s">
        <v>46</v>
      </c>
      <c r="B311" s="11" t="s">
        <v>47</v>
      </c>
      <c r="C311" s="11" t="s">
        <v>48</v>
      </c>
      <c r="D311" s="11" t="s">
        <v>49</v>
      </c>
      <c r="E311" s="11" t="s">
        <v>408</v>
      </c>
      <c r="F311" s="12" t="n">
        <v>25750.0</v>
      </c>
      <c r="G311" s="13" t="s">
        <v>55</v>
      </c>
      <c r="H311" s="14" t="s">
        <v>174</v>
      </c>
      <c r="I311" s="13" t="s">
        <v>55</v>
      </c>
      <c r="J311" s="14" t="s">
        <v>174</v>
      </c>
      <c r="K311" s="13" t="s">
        <v>50</v>
      </c>
      <c r="L311" s="14" t="s">
        <v>417</v>
      </c>
      <c r="M311" s="13" t="s">
        <v>202</v>
      </c>
      <c r="N311" s="14" t="s">
        <v>345</v>
      </c>
      <c r="O311" s="13" t="s">
        <v>50</v>
      </c>
      <c r="P311" s="14" t="s">
        <v>417</v>
      </c>
      <c r="Q311" s="13" t="s">
        <v>204</v>
      </c>
      <c r="R311" s="14" t="s">
        <v>182</v>
      </c>
      <c r="S311" s="15" t="n">
        <f>373.75</f>
        <v>373.75</v>
      </c>
      <c r="T311" s="16" t="n">
        <f>150</f>
        <v>150.0</v>
      </c>
      <c r="U311" s="16" t="n">
        <v>37.0</v>
      </c>
      <c r="V311" s="16" t="n">
        <f>61564000</f>
        <v>6.1564E7</v>
      </c>
      <c r="W311" s="16" t="n">
        <v>2.5234E7</v>
      </c>
      <c r="X311" s="16" t="str">
        <f>"－"</f>
        <v>－</v>
      </c>
      <c r="Y311" s="13"/>
      <c r="Z311" s="17" t="n">
        <f>55</f>
        <v>55.0</v>
      </c>
      <c r="AA311" s="18" t="n">
        <f>8</f>
        <v>8.0</v>
      </c>
      <c r="AB311" s="11" t="s">
        <v>410</v>
      </c>
    </row>
    <row r="312">
      <c r="A312" s="11" t="s">
        <v>46</v>
      </c>
      <c r="B312" s="11" t="s">
        <v>47</v>
      </c>
      <c r="C312" s="11" t="s">
        <v>48</v>
      </c>
      <c r="D312" s="11" t="s">
        <v>49</v>
      </c>
      <c r="E312" s="11" t="s">
        <v>408</v>
      </c>
      <c r="F312" s="12" t="n">
        <v>26000.0</v>
      </c>
      <c r="G312" s="13" t="s">
        <v>50</v>
      </c>
      <c r="H312" s="14" t="s">
        <v>418</v>
      </c>
      <c r="I312" s="13" t="s">
        <v>50</v>
      </c>
      <c r="J312" s="14" t="s">
        <v>418</v>
      </c>
      <c r="K312" s="13" t="s">
        <v>56</v>
      </c>
      <c r="L312" s="14" t="s">
        <v>146</v>
      </c>
      <c r="M312" s="13" t="s">
        <v>202</v>
      </c>
      <c r="N312" s="14" t="s">
        <v>234</v>
      </c>
      <c r="O312" s="13" t="s">
        <v>215</v>
      </c>
      <c r="P312" s="14" t="s">
        <v>234</v>
      </c>
      <c r="Q312" s="13" t="s">
        <v>204</v>
      </c>
      <c r="R312" s="14" t="s">
        <v>345</v>
      </c>
      <c r="S312" s="15" t="n">
        <f>375.38</f>
        <v>375.38</v>
      </c>
      <c r="T312" s="16" t="n">
        <f>750</f>
        <v>750.0</v>
      </c>
      <c r="U312" s="16" t="n">
        <v>376.0</v>
      </c>
      <c r="V312" s="16" t="n">
        <f>270070000</f>
        <v>2.7007E8</v>
      </c>
      <c r="W312" s="16" t="n">
        <v>1.24805E8</v>
      </c>
      <c r="X312" s="16" t="str">
        <f>"－"</f>
        <v>－</v>
      </c>
      <c r="Y312" s="13"/>
      <c r="Z312" s="17" t="n">
        <f>531</f>
        <v>531.0</v>
      </c>
      <c r="AA312" s="18" t="n">
        <f>13</f>
        <v>13.0</v>
      </c>
      <c r="AB312" s="11" t="s">
        <v>410</v>
      </c>
    </row>
    <row r="313">
      <c r="A313" s="11" t="s">
        <v>46</v>
      </c>
      <c r="B313" s="11" t="s">
        <v>47</v>
      </c>
      <c r="C313" s="11" t="s">
        <v>48</v>
      </c>
      <c r="D313" s="11" t="s">
        <v>49</v>
      </c>
      <c r="E313" s="11" t="s">
        <v>408</v>
      </c>
      <c r="F313" s="12" t="n">
        <v>26250.0</v>
      </c>
      <c r="G313" s="13" t="s">
        <v>55</v>
      </c>
      <c r="H313" s="14" t="s">
        <v>419</v>
      </c>
      <c r="I313" s="13" t="s">
        <v>55</v>
      </c>
      <c r="J313" s="14" t="s">
        <v>420</v>
      </c>
      <c r="K313" s="13" t="s">
        <v>210</v>
      </c>
      <c r="L313" s="14" t="s">
        <v>180</v>
      </c>
      <c r="M313" s="13" t="s">
        <v>202</v>
      </c>
      <c r="N313" s="14" t="s">
        <v>143</v>
      </c>
      <c r="O313" s="13" t="s">
        <v>210</v>
      </c>
      <c r="P313" s="14" t="s">
        <v>180</v>
      </c>
      <c r="Q313" s="13" t="s">
        <v>204</v>
      </c>
      <c r="R313" s="14" t="s">
        <v>149</v>
      </c>
      <c r="S313" s="15" t="n">
        <f>457.86</f>
        <v>457.86</v>
      </c>
      <c r="T313" s="16" t="n">
        <f>33</f>
        <v>33.0</v>
      </c>
      <c r="U313" s="16" t="n">
        <v>1.0</v>
      </c>
      <c r="V313" s="16" t="n">
        <f>14915000</f>
        <v>1.4915E7</v>
      </c>
      <c r="W313" s="16" t="n">
        <v>365000.0</v>
      </c>
      <c r="X313" s="16" t="str">
        <f>"－"</f>
        <v>－</v>
      </c>
      <c r="Y313" s="13"/>
      <c r="Z313" s="17" t="n">
        <f>15</f>
        <v>15.0</v>
      </c>
      <c r="AA313" s="18" t="n">
        <f>7</f>
        <v>7.0</v>
      </c>
      <c r="AB313" s="11" t="s">
        <v>410</v>
      </c>
    </row>
    <row r="314">
      <c r="A314" s="11" t="s">
        <v>46</v>
      </c>
      <c r="B314" s="11" t="s">
        <v>47</v>
      </c>
      <c r="C314" s="11" t="s">
        <v>48</v>
      </c>
      <c r="D314" s="11" t="s">
        <v>49</v>
      </c>
      <c r="E314" s="11" t="s">
        <v>408</v>
      </c>
      <c r="F314" s="12" t="n">
        <v>26500.0</v>
      </c>
      <c r="G314" s="13" t="s">
        <v>60</v>
      </c>
      <c r="H314" s="14" t="s">
        <v>376</v>
      </c>
      <c r="I314" s="13" t="s">
        <v>60</v>
      </c>
      <c r="J314" s="14" t="s">
        <v>376</v>
      </c>
      <c r="K314" s="13" t="s">
        <v>206</v>
      </c>
      <c r="L314" s="14" t="s">
        <v>421</v>
      </c>
      <c r="M314" s="13" t="s">
        <v>202</v>
      </c>
      <c r="N314" s="14" t="s">
        <v>378</v>
      </c>
      <c r="O314" s="13" t="s">
        <v>207</v>
      </c>
      <c r="P314" s="14" t="s">
        <v>143</v>
      </c>
      <c r="Q314" s="13" t="s">
        <v>204</v>
      </c>
      <c r="R314" s="14" t="s">
        <v>155</v>
      </c>
      <c r="S314" s="15" t="n">
        <f>429.29</f>
        <v>429.29</v>
      </c>
      <c r="T314" s="16" t="n">
        <f>174</f>
        <v>174.0</v>
      </c>
      <c r="U314" s="16" t="n">
        <v>116.0</v>
      </c>
      <c r="V314" s="16" t="n">
        <f>67847500</f>
        <v>6.78475E7</v>
      </c>
      <c r="W314" s="16" t="n">
        <v>4.26475E7</v>
      </c>
      <c r="X314" s="16" t="str">
        <f>"－"</f>
        <v>－</v>
      </c>
      <c r="Y314" s="13"/>
      <c r="Z314" s="17" t="n">
        <f>117</f>
        <v>117.0</v>
      </c>
      <c r="AA314" s="18" t="n">
        <f>7</f>
        <v>7.0</v>
      </c>
      <c r="AB314" s="11" t="s">
        <v>410</v>
      </c>
    </row>
    <row r="315">
      <c r="A315" s="11" t="s">
        <v>46</v>
      </c>
      <c r="B315" s="11" t="s">
        <v>47</v>
      </c>
      <c r="C315" s="11" t="s">
        <v>48</v>
      </c>
      <c r="D315" s="11" t="s">
        <v>49</v>
      </c>
      <c r="E315" s="11" t="s">
        <v>408</v>
      </c>
      <c r="F315" s="12" t="n">
        <v>26750.0</v>
      </c>
      <c r="G315" s="13" t="s">
        <v>50</v>
      </c>
      <c r="H315" s="14" t="s">
        <v>172</v>
      </c>
      <c r="I315" s="13" t="s">
        <v>50</v>
      </c>
      <c r="J315" s="14" t="s">
        <v>172</v>
      </c>
      <c r="K315" s="13" t="s">
        <v>288</v>
      </c>
      <c r="L315" s="14" t="s">
        <v>415</v>
      </c>
      <c r="M315" s="13" t="s">
        <v>288</v>
      </c>
      <c r="N315" s="14" t="s">
        <v>180</v>
      </c>
      <c r="O315" s="13" t="s">
        <v>288</v>
      </c>
      <c r="P315" s="14" t="s">
        <v>415</v>
      </c>
      <c r="Q315" s="13" t="s">
        <v>204</v>
      </c>
      <c r="R315" s="14" t="s">
        <v>422</v>
      </c>
      <c r="S315" s="15" t="n">
        <f>541</f>
        <v>541.0</v>
      </c>
      <c r="T315" s="16" t="n">
        <f>158</f>
        <v>158.0</v>
      </c>
      <c r="U315" s="16" t="n">
        <v>1.0</v>
      </c>
      <c r="V315" s="16" t="n">
        <f>71300000</f>
        <v>7.13E7</v>
      </c>
      <c r="W315" s="16" t="n">
        <v>395000.0</v>
      </c>
      <c r="X315" s="16" t="str">
        <f>"－"</f>
        <v>－</v>
      </c>
      <c r="Y315" s="13"/>
      <c r="Z315" s="17" t="n">
        <f>63</f>
        <v>63.0</v>
      </c>
      <c r="AA315" s="18" t="n">
        <f>5</f>
        <v>5.0</v>
      </c>
      <c r="AB315" s="11" t="s">
        <v>410</v>
      </c>
    </row>
    <row r="316">
      <c r="A316" s="11" t="s">
        <v>46</v>
      </c>
      <c r="B316" s="11" t="s">
        <v>47</v>
      </c>
      <c r="C316" s="11" t="s">
        <v>48</v>
      </c>
      <c r="D316" s="11" t="s">
        <v>49</v>
      </c>
      <c r="E316" s="11" t="s">
        <v>408</v>
      </c>
      <c r="F316" s="12" t="n">
        <v>27000.0</v>
      </c>
      <c r="G316" s="13" t="s">
        <v>50</v>
      </c>
      <c r="H316" s="14" t="s">
        <v>423</v>
      </c>
      <c r="I316" s="13" t="s">
        <v>50</v>
      </c>
      <c r="J316" s="14" t="s">
        <v>402</v>
      </c>
      <c r="K316" s="13" t="s">
        <v>206</v>
      </c>
      <c r="L316" s="14" t="s">
        <v>152</v>
      </c>
      <c r="M316" s="13" t="s">
        <v>288</v>
      </c>
      <c r="N316" s="14" t="s">
        <v>415</v>
      </c>
      <c r="O316" s="13" t="s">
        <v>204</v>
      </c>
      <c r="P316" s="14" t="s">
        <v>424</v>
      </c>
      <c r="Q316" s="13" t="s">
        <v>215</v>
      </c>
      <c r="R316" s="14" t="s">
        <v>415</v>
      </c>
      <c r="S316" s="15" t="n">
        <f>595</f>
        <v>595.0</v>
      </c>
      <c r="T316" s="16" t="n">
        <f>1152</f>
        <v>1152.0</v>
      </c>
      <c r="U316" s="16" t="n">
        <v>1102.0</v>
      </c>
      <c r="V316" s="16" t="n">
        <f>457005900</f>
        <v>4.570059E8</v>
      </c>
      <c r="W316" s="16" t="n">
        <v>4.295959E8</v>
      </c>
      <c r="X316" s="16" t="str">
        <f>"－"</f>
        <v>－</v>
      </c>
      <c r="Y316" s="13"/>
      <c r="Z316" s="17" t="n">
        <f>1109</f>
        <v>1109.0</v>
      </c>
      <c r="AA316" s="18" t="n">
        <f>12</f>
        <v>12.0</v>
      </c>
      <c r="AB316" s="11" t="s">
        <v>410</v>
      </c>
    </row>
    <row r="317">
      <c r="A317" s="11" t="s">
        <v>46</v>
      </c>
      <c r="B317" s="11" t="s">
        <v>47</v>
      </c>
      <c r="C317" s="11" t="s">
        <v>48</v>
      </c>
      <c r="D317" s="11" t="s">
        <v>49</v>
      </c>
      <c r="E317" s="11" t="s">
        <v>408</v>
      </c>
      <c r="F317" s="12" t="n">
        <v>27250.0</v>
      </c>
      <c r="G317" s="13" t="s">
        <v>50</v>
      </c>
      <c r="H317" s="14" t="s">
        <v>425</v>
      </c>
      <c r="I317" s="13" t="s">
        <v>50</v>
      </c>
      <c r="J317" s="14" t="s">
        <v>425</v>
      </c>
      <c r="K317" s="13" t="s">
        <v>202</v>
      </c>
      <c r="L317" s="14" t="s">
        <v>426</v>
      </c>
      <c r="M317" s="13" t="s">
        <v>207</v>
      </c>
      <c r="N317" s="14" t="s">
        <v>309</v>
      </c>
      <c r="O317" s="13" t="s">
        <v>202</v>
      </c>
      <c r="P317" s="14" t="s">
        <v>426</v>
      </c>
      <c r="Q317" s="13" t="s">
        <v>210</v>
      </c>
      <c r="R317" s="14" t="s">
        <v>245</v>
      </c>
      <c r="S317" s="15" t="n">
        <f>697</f>
        <v>697.0</v>
      </c>
      <c r="T317" s="16" t="n">
        <f>30</f>
        <v>30.0</v>
      </c>
      <c r="U317" s="16" t="n">
        <v>1.0</v>
      </c>
      <c r="V317" s="16" t="n">
        <f>15505000</f>
        <v>1.5505E7</v>
      </c>
      <c r="W317" s="16" t="n">
        <v>415000.0</v>
      </c>
      <c r="X317" s="16" t="str">
        <f>"－"</f>
        <v>－</v>
      </c>
      <c r="Y317" s="13"/>
      <c r="Z317" s="17" t="n">
        <f>14</f>
        <v>14.0</v>
      </c>
      <c r="AA317" s="18" t="n">
        <f>5</f>
        <v>5.0</v>
      </c>
      <c r="AB317" s="11" t="s">
        <v>410</v>
      </c>
    </row>
    <row r="318">
      <c r="A318" s="11" t="s">
        <v>46</v>
      </c>
      <c r="B318" s="11" t="s">
        <v>47</v>
      </c>
      <c r="C318" s="11" t="s">
        <v>48</v>
      </c>
      <c r="D318" s="11" t="s">
        <v>49</v>
      </c>
      <c r="E318" s="11" t="s">
        <v>408</v>
      </c>
      <c r="F318" s="12" t="n">
        <v>27500.0</v>
      </c>
      <c r="G318" s="13" t="s">
        <v>60</v>
      </c>
      <c r="H318" s="14" t="s">
        <v>298</v>
      </c>
      <c r="I318" s="13" t="s">
        <v>60</v>
      </c>
      <c r="J318" s="14" t="s">
        <v>298</v>
      </c>
      <c r="K318" s="13" t="s">
        <v>215</v>
      </c>
      <c r="L318" s="14" t="s">
        <v>153</v>
      </c>
      <c r="M318" s="13" t="s">
        <v>202</v>
      </c>
      <c r="N318" s="14" t="s">
        <v>177</v>
      </c>
      <c r="O318" s="13" t="s">
        <v>207</v>
      </c>
      <c r="P318" s="14" t="s">
        <v>149</v>
      </c>
      <c r="Q318" s="13" t="s">
        <v>215</v>
      </c>
      <c r="R318" s="14" t="s">
        <v>175</v>
      </c>
      <c r="S318" s="15" t="n">
        <f>600.71</f>
        <v>600.71</v>
      </c>
      <c r="T318" s="16" t="n">
        <f>457</f>
        <v>457.0</v>
      </c>
      <c r="U318" s="16" t="n">
        <v>400.0</v>
      </c>
      <c r="V318" s="16" t="n">
        <f>231910000</f>
        <v>2.3191E8</v>
      </c>
      <c r="W318" s="16" t="n">
        <v>2.032E8</v>
      </c>
      <c r="X318" s="16" t="str">
        <f>"－"</f>
        <v>－</v>
      </c>
      <c r="Y318" s="13"/>
      <c r="Z318" s="17" t="n">
        <f>438</f>
        <v>438.0</v>
      </c>
      <c r="AA318" s="18" t="n">
        <f>7</f>
        <v>7.0</v>
      </c>
      <c r="AB318" s="11" t="s">
        <v>410</v>
      </c>
    </row>
    <row r="319">
      <c r="A319" s="11" t="s">
        <v>46</v>
      </c>
      <c r="B319" s="11" t="s">
        <v>47</v>
      </c>
      <c r="C319" s="11" t="s">
        <v>48</v>
      </c>
      <c r="D319" s="11" t="s">
        <v>49</v>
      </c>
      <c r="E319" s="11" t="s">
        <v>408</v>
      </c>
      <c r="F319" s="12" t="n">
        <v>27625.0</v>
      </c>
      <c r="G319" s="13" t="s">
        <v>207</v>
      </c>
      <c r="H319" s="14" t="s">
        <v>245</v>
      </c>
      <c r="I319" s="13" t="s">
        <v>207</v>
      </c>
      <c r="J319" s="14" t="s">
        <v>245</v>
      </c>
      <c r="K319" s="13"/>
      <c r="L319" s="14"/>
      <c r="M319" s="13" t="s">
        <v>207</v>
      </c>
      <c r="N319" s="14" t="s">
        <v>245</v>
      </c>
      <c r="O319" s="13"/>
      <c r="P319" s="14"/>
      <c r="Q319" s="13" t="s">
        <v>207</v>
      </c>
      <c r="R319" s="14" t="s">
        <v>245</v>
      </c>
      <c r="S319" s="15" t="n">
        <f>500</f>
        <v>500.0</v>
      </c>
      <c r="T319" s="16" t="n">
        <f>4</f>
        <v>4.0</v>
      </c>
      <c r="U319" s="16"/>
      <c r="V319" s="16" t="n">
        <f>2000000</f>
        <v>2000000.0</v>
      </c>
      <c r="W319" s="16"/>
      <c r="X319" s="16" t="str">
        <f>"－"</f>
        <v>－</v>
      </c>
      <c r="Y319" s="13"/>
      <c r="Z319" s="17" t="n">
        <f>4</f>
        <v>4.0</v>
      </c>
      <c r="AA319" s="18" t="n">
        <f>1</f>
        <v>1.0</v>
      </c>
      <c r="AB319" s="11" t="s">
        <v>410</v>
      </c>
    </row>
    <row r="320">
      <c r="A320" s="11" t="s">
        <v>46</v>
      </c>
      <c r="B320" s="11" t="s">
        <v>47</v>
      </c>
      <c r="C320" s="11" t="s">
        <v>48</v>
      </c>
      <c r="D320" s="11" t="s">
        <v>49</v>
      </c>
      <c r="E320" s="11" t="s">
        <v>408</v>
      </c>
      <c r="F320" s="12" t="n">
        <v>27750.0</v>
      </c>
      <c r="G320" s="13" t="s">
        <v>61</v>
      </c>
      <c r="H320" s="14" t="s">
        <v>170</v>
      </c>
      <c r="I320" s="13" t="s">
        <v>61</v>
      </c>
      <c r="J320" s="14" t="s">
        <v>170</v>
      </c>
      <c r="K320" s="13" t="s">
        <v>207</v>
      </c>
      <c r="L320" s="14" t="s">
        <v>427</v>
      </c>
      <c r="M320" s="13" t="s">
        <v>207</v>
      </c>
      <c r="N320" s="14" t="s">
        <v>244</v>
      </c>
      <c r="O320" s="13" t="s">
        <v>207</v>
      </c>
      <c r="P320" s="14" t="s">
        <v>427</v>
      </c>
      <c r="Q320" s="13" t="s">
        <v>204</v>
      </c>
      <c r="R320" s="14" t="s">
        <v>283</v>
      </c>
      <c r="S320" s="15" t="n">
        <f>676.25</f>
        <v>676.25</v>
      </c>
      <c r="T320" s="16" t="n">
        <f>356</f>
        <v>356.0</v>
      </c>
      <c r="U320" s="16" t="n">
        <v>332.0</v>
      </c>
      <c r="V320" s="16" t="n">
        <f>196262000</f>
        <v>1.96262E8</v>
      </c>
      <c r="W320" s="16" t="n">
        <v>1.82932E8</v>
      </c>
      <c r="X320" s="16" t="str">
        <f>"－"</f>
        <v>－</v>
      </c>
      <c r="Y320" s="13"/>
      <c r="Z320" s="17" t="n">
        <f>364</f>
        <v>364.0</v>
      </c>
      <c r="AA320" s="18" t="n">
        <f>4</f>
        <v>4.0</v>
      </c>
      <c r="AB320" s="11" t="s">
        <v>410</v>
      </c>
    </row>
    <row r="321">
      <c r="A321" s="11" t="s">
        <v>46</v>
      </c>
      <c r="B321" s="11" t="s">
        <v>47</v>
      </c>
      <c r="C321" s="11" t="s">
        <v>48</v>
      </c>
      <c r="D321" s="11" t="s">
        <v>49</v>
      </c>
      <c r="E321" s="11" t="s">
        <v>408</v>
      </c>
      <c r="F321" s="12" t="n">
        <v>27875.0</v>
      </c>
      <c r="G321" s="13" t="s">
        <v>288</v>
      </c>
      <c r="H321" s="14" t="s">
        <v>156</v>
      </c>
      <c r="I321" s="13" t="s">
        <v>204</v>
      </c>
      <c r="J321" s="14" t="s">
        <v>258</v>
      </c>
      <c r="K321" s="13"/>
      <c r="L321" s="14"/>
      <c r="M321" s="13" t="s">
        <v>207</v>
      </c>
      <c r="N321" s="14" t="s">
        <v>315</v>
      </c>
      <c r="O321" s="13"/>
      <c r="P321" s="14"/>
      <c r="Q321" s="13" t="s">
        <v>204</v>
      </c>
      <c r="R321" s="14" t="s">
        <v>258</v>
      </c>
      <c r="S321" s="15" t="n">
        <f>631.25</f>
        <v>631.25</v>
      </c>
      <c r="T321" s="16" t="n">
        <f>45</f>
        <v>45.0</v>
      </c>
      <c r="U321" s="16"/>
      <c r="V321" s="16" t="n">
        <f>26945000</f>
        <v>2.6945E7</v>
      </c>
      <c r="W321" s="16"/>
      <c r="X321" s="16" t="str">
        <f>"－"</f>
        <v>－</v>
      </c>
      <c r="Y321" s="13"/>
      <c r="Z321" s="17" t="n">
        <f>5</f>
        <v>5.0</v>
      </c>
      <c r="AA321" s="18" t="n">
        <f>4</f>
        <v>4.0</v>
      </c>
      <c r="AB321" s="11" t="s">
        <v>410</v>
      </c>
    </row>
    <row r="322">
      <c r="A322" s="11" t="s">
        <v>46</v>
      </c>
      <c r="B322" s="11" t="s">
        <v>47</v>
      </c>
      <c r="C322" s="11" t="s">
        <v>48</v>
      </c>
      <c r="D322" s="11" t="s">
        <v>49</v>
      </c>
      <c r="E322" s="11" t="s">
        <v>408</v>
      </c>
      <c r="F322" s="12" t="n">
        <v>28000.0</v>
      </c>
      <c r="G322" s="13" t="s">
        <v>63</v>
      </c>
      <c r="H322" s="14" t="s">
        <v>322</v>
      </c>
      <c r="I322" s="13" t="s">
        <v>63</v>
      </c>
      <c r="J322" s="14" t="s">
        <v>322</v>
      </c>
      <c r="K322" s="13" t="s">
        <v>210</v>
      </c>
      <c r="L322" s="14" t="s">
        <v>160</v>
      </c>
      <c r="M322" s="13" t="s">
        <v>288</v>
      </c>
      <c r="N322" s="14" t="s">
        <v>156</v>
      </c>
      <c r="O322" s="13" t="s">
        <v>211</v>
      </c>
      <c r="P322" s="14" t="s">
        <v>315</v>
      </c>
      <c r="Q322" s="13" t="s">
        <v>204</v>
      </c>
      <c r="R322" s="14" t="s">
        <v>295</v>
      </c>
      <c r="S322" s="15" t="n">
        <f>822.5</f>
        <v>822.5</v>
      </c>
      <c r="T322" s="16" t="n">
        <f>2517</f>
        <v>2517.0</v>
      </c>
      <c r="U322" s="16" t="n">
        <v>1950.0</v>
      </c>
      <c r="V322" s="16" t="n">
        <f>1561385000</f>
        <v>1.561385E9</v>
      </c>
      <c r="W322" s="16" t="n">
        <v>1.18188E9</v>
      </c>
      <c r="X322" s="16" t="str">
        <f>"－"</f>
        <v>－</v>
      </c>
      <c r="Y322" s="13"/>
      <c r="Z322" s="17" t="n">
        <f>2102</f>
        <v>2102.0</v>
      </c>
      <c r="AA322" s="18" t="n">
        <f>6</f>
        <v>6.0</v>
      </c>
      <c r="AB322" s="11" t="s">
        <v>410</v>
      </c>
    </row>
    <row r="323">
      <c r="A323" s="11" t="s">
        <v>46</v>
      </c>
      <c r="B323" s="11" t="s">
        <v>47</v>
      </c>
      <c r="C323" s="11" t="s">
        <v>48</v>
      </c>
      <c r="D323" s="11" t="s">
        <v>49</v>
      </c>
      <c r="E323" s="11" t="s">
        <v>408</v>
      </c>
      <c r="F323" s="12" t="n">
        <v>28125.0</v>
      </c>
      <c r="G323" s="13" t="s">
        <v>205</v>
      </c>
      <c r="H323" s="14" t="s">
        <v>170</v>
      </c>
      <c r="I323" s="13" t="s">
        <v>205</v>
      </c>
      <c r="J323" s="14" t="s">
        <v>170</v>
      </c>
      <c r="K323" s="13"/>
      <c r="L323" s="14"/>
      <c r="M323" s="13" t="s">
        <v>207</v>
      </c>
      <c r="N323" s="14" t="s">
        <v>376</v>
      </c>
      <c r="O323" s="13"/>
      <c r="P323" s="14"/>
      <c r="Q323" s="13" t="s">
        <v>207</v>
      </c>
      <c r="R323" s="14" t="s">
        <v>376</v>
      </c>
      <c r="S323" s="15" t="n">
        <f>705</f>
        <v>705.0</v>
      </c>
      <c r="T323" s="16" t="n">
        <f>40</f>
        <v>40.0</v>
      </c>
      <c r="U323" s="16"/>
      <c r="V323" s="16" t="n">
        <f>28200000</f>
        <v>2.82E7</v>
      </c>
      <c r="W323" s="16"/>
      <c r="X323" s="16" t="str">
        <f>"－"</f>
        <v>－</v>
      </c>
      <c r="Y323" s="13"/>
      <c r="Z323" s="17" t="str">
        <f>"－"</f>
        <v>－</v>
      </c>
      <c r="AA323" s="18" t="n">
        <f>2</f>
        <v>2.0</v>
      </c>
      <c r="AB323" s="11" t="s">
        <v>410</v>
      </c>
    </row>
    <row r="324">
      <c r="A324" s="11" t="s">
        <v>46</v>
      </c>
      <c r="B324" s="11" t="s">
        <v>47</v>
      </c>
      <c r="C324" s="11" t="s">
        <v>48</v>
      </c>
      <c r="D324" s="11" t="s">
        <v>49</v>
      </c>
      <c r="E324" s="11" t="s">
        <v>408</v>
      </c>
      <c r="F324" s="12" t="n">
        <v>28250.0</v>
      </c>
      <c r="G324" s="13" t="s">
        <v>202</v>
      </c>
      <c r="H324" s="14" t="s">
        <v>160</v>
      </c>
      <c r="I324" s="13" t="s">
        <v>204</v>
      </c>
      <c r="J324" s="14" t="s">
        <v>428</v>
      </c>
      <c r="K324" s="13" t="s">
        <v>204</v>
      </c>
      <c r="L324" s="14" t="s">
        <v>429</v>
      </c>
      <c r="M324" s="13" t="s">
        <v>202</v>
      </c>
      <c r="N324" s="14" t="s">
        <v>160</v>
      </c>
      <c r="O324" s="13" t="s">
        <v>56</v>
      </c>
      <c r="P324" s="14" t="s">
        <v>430</v>
      </c>
      <c r="Q324" s="13" t="s">
        <v>204</v>
      </c>
      <c r="R324" s="14" t="s">
        <v>428</v>
      </c>
      <c r="S324" s="15" t="n">
        <f>800</f>
        <v>800.0</v>
      </c>
      <c r="T324" s="16" t="n">
        <f>359</f>
        <v>359.0</v>
      </c>
      <c r="U324" s="16" t="n">
        <v>357.0</v>
      </c>
      <c r="V324" s="16" t="n">
        <f>299826400</f>
        <v>2.998264E8</v>
      </c>
      <c r="W324" s="16" t="n">
        <v>2.982264E8</v>
      </c>
      <c r="X324" s="16" t="str">
        <f>"－"</f>
        <v>－</v>
      </c>
      <c r="Y324" s="13"/>
      <c r="Z324" s="17" t="n">
        <f>359</f>
        <v>359.0</v>
      </c>
      <c r="AA324" s="18" t="n">
        <f>2</f>
        <v>2.0</v>
      </c>
      <c r="AB324" s="11" t="s">
        <v>410</v>
      </c>
    </row>
    <row r="325">
      <c r="A325" s="11" t="s">
        <v>46</v>
      </c>
      <c r="B325" s="11" t="s">
        <v>47</v>
      </c>
      <c r="C325" s="11" t="s">
        <v>48</v>
      </c>
      <c r="D325" s="11" t="s">
        <v>49</v>
      </c>
      <c r="E325" s="11" t="s">
        <v>408</v>
      </c>
      <c r="F325" s="12" t="n">
        <v>28375.0</v>
      </c>
      <c r="G325" s="13" t="s">
        <v>205</v>
      </c>
      <c r="H325" s="14" t="s">
        <v>431</v>
      </c>
      <c r="I325" s="13" t="s">
        <v>205</v>
      </c>
      <c r="J325" s="14" t="s">
        <v>431</v>
      </c>
      <c r="K325" s="13"/>
      <c r="L325" s="14"/>
      <c r="M325" s="13" t="s">
        <v>208</v>
      </c>
      <c r="N325" s="14" t="s">
        <v>317</v>
      </c>
      <c r="O325" s="13"/>
      <c r="P325" s="14"/>
      <c r="Q325" s="13" t="s">
        <v>208</v>
      </c>
      <c r="R325" s="14" t="s">
        <v>317</v>
      </c>
      <c r="S325" s="15" t="n">
        <f>807.5</f>
        <v>807.5</v>
      </c>
      <c r="T325" s="16" t="n">
        <f>40</f>
        <v>40.0</v>
      </c>
      <c r="U325" s="16"/>
      <c r="V325" s="16" t="n">
        <f>32300000</f>
        <v>3.23E7</v>
      </c>
      <c r="W325" s="16"/>
      <c r="X325" s="16" t="str">
        <f>"－"</f>
        <v>－</v>
      </c>
      <c r="Y325" s="13"/>
      <c r="Z325" s="17" t="str">
        <f>"－"</f>
        <v>－</v>
      </c>
      <c r="AA325" s="18" t="n">
        <f>2</f>
        <v>2.0</v>
      </c>
      <c r="AB325" s="11" t="s">
        <v>410</v>
      </c>
    </row>
    <row r="326">
      <c r="A326" s="11" t="s">
        <v>46</v>
      </c>
      <c r="B326" s="11" t="s">
        <v>47</v>
      </c>
      <c r="C326" s="11" t="s">
        <v>48</v>
      </c>
      <c r="D326" s="11" t="s">
        <v>49</v>
      </c>
      <c r="E326" s="11" t="s">
        <v>408</v>
      </c>
      <c r="F326" s="12" t="n">
        <v>28500.0</v>
      </c>
      <c r="G326" s="13" t="s">
        <v>52</v>
      </c>
      <c r="H326" s="14" t="s">
        <v>432</v>
      </c>
      <c r="I326" s="13" t="s">
        <v>204</v>
      </c>
      <c r="J326" s="14" t="s">
        <v>402</v>
      </c>
      <c r="K326" s="13" t="s">
        <v>61</v>
      </c>
      <c r="L326" s="14" t="s">
        <v>433</v>
      </c>
      <c r="M326" s="13" t="s">
        <v>207</v>
      </c>
      <c r="N326" s="14" t="s">
        <v>281</v>
      </c>
      <c r="O326" s="13" t="s">
        <v>288</v>
      </c>
      <c r="P326" s="14" t="s">
        <v>167</v>
      </c>
      <c r="Q326" s="13" t="s">
        <v>204</v>
      </c>
      <c r="R326" s="14" t="s">
        <v>402</v>
      </c>
      <c r="S326" s="15" t="n">
        <f>818.33</f>
        <v>818.33</v>
      </c>
      <c r="T326" s="16" t="n">
        <f>1095</f>
        <v>1095.0</v>
      </c>
      <c r="U326" s="16" t="n">
        <v>460.0</v>
      </c>
      <c r="V326" s="16" t="n">
        <f>920819550</f>
        <v>9.2081955E8</v>
      </c>
      <c r="W326" s="16" t="n">
        <v>4.1229455E8</v>
      </c>
      <c r="X326" s="16" t="str">
        <f>"－"</f>
        <v>－</v>
      </c>
      <c r="Y326" s="13"/>
      <c r="Z326" s="17" t="n">
        <f>1035</f>
        <v>1035.0</v>
      </c>
      <c r="AA326" s="18" t="n">
        <f>9</f>
        <v>9.0</v>
      </c>
      <c r="AB326" s="11" t="s">
        <v>410</v>
      </c>
    </row>
    <row r="327">
      <c r="A327" s="11" t="s">
        <v>46</v>
      </c>
      <c r="B327" s="11" t="s">
        <v>47</v>
      </c>
      <c r="C327" s="11" t="s">
        <v>48</v>
      </c>
      <c r="D327" s="11" t="s">
        <v>49</v>
      </c>
      <c r="E327" s="11" t="s">
        <v>408</v>
      </c>
      <c r="F327" s="12" t="n">
        <v>28625.0</v>
      </c>
      <c r="G327" s="13" t="s">
        <v>207</v>
      </c>
      <c r="H327" s="14" t="s">
        <v>306</v>
      </c>
      <c r="I327" s="13" t="s">
        <v>204</v>
      </c>
      <c r="J327" s="14" t="s">
        <v>300</v>
      </c>
      <c r="K327" s="13"/>
      <c r="L327" s="14"/>
      <c r="M327" s="13" t="s">
        <v>207</v>
      </c>
      <c r="N327" s="14" t="s">
        <v>306</v>
      </c>
      <c r="O327" s="13"/>
      <c r="P327" s="14"/>
      <c r="Q327" s="13" t="s">
        <v>204</v>
      </c>
      <c r="R327" s="14" t="s">
        <v>300</v>
      </c>
      <c r="S327" s="15" t="n">
        <f>870</f>
        <v>870.0</v>
      </c>
      <c r="T327" s="16" t="n">
        <f>21</f>
        <v>21.0</v>
      </c>
      <c r="U327" s="16"/>
      <c r="V327" s="16" t="n">
        <f>16085000</f>
        <v>1.6085E7</v>
      </c>
      <c r="W327" s="16"/>
      <c r="X327" s="16" t="str">
        <f>"－"</f>
        <v>－</v>
      </c>
      <c r="Y327" s="13"/>
      <c r="Z327" s="17" t="n">
        <f>1</f>
        <v>1.0</v>
      </c>
      <c r="AA327" s="18" t="n">
        <f>2</f>
        <v>2.0</v>
      </c>
      <c r="AB327" s="11" t="s">
        <v>410</v>
      </c>
    </row>
    <row r="328">
      <c r="A328" s="11" t="s">
        <v>46</v>
      </c>
      <c r="B328" s="11" t="s">
        <v>47</v>
      </c>
      <c r="C328" s="11" t="s">
        <v>48</v>
      </c>
      <c r="D328" s="11" t="s">
        <v>49</v>
      </c>
      <c r="E328" s="11" t="s">
        <v>408</v>
      </c>
      <c r="F328" s="12" t="n">
        <v>28750.0</v>
      </c>
      <c r="G328" s="13" t="s">
        <v>206</v>
      </c>
      <c r="H328" s="14" t="s">
        <v>172</v>
      </c>
      <c r="I328" s="13" t="s">
        <v>206</v>
      </c>
      <c r="J328" s="14" t="s">
        <v>172</v>
      </c>
      <c r="K328" s="13"/>
      <c r="L328" s="14"/>
      <c r="M328" s="13" t="s">
        <v>207</v>
      </c>
      <c r="N328" s="14" t="s">
        <v>367</v>
      </c>
      <c r="O328" s="13"/>
      <c r="P328" s="14"/>
      <c r="Q328" s="13" t="s">
        <v>210</v>
      </c>
      <c r="R328" s="14" t="s">
        <v>268</v>
      </c>
      <c r="S328" s="15" t="n">
        <f>846.25</f>
        <v>846.25</v>
      </c>
      <c r="T328" s="16" t="n">
        <f>51</f>
        <v>51.0</v>
      </c>
      <c r="U328" s="16"/>
      <c r="V328" s="16" t="n">
        <f>39555000</f>
        <v>3.9555E7</v>
      </c>
      <c r="W328" s="16"/>
      <c r="X328" s="16" t="str">
        <f>"－"</f>
        <v>－</v>
      </c>
      <c r="Y328" s="13"/>
      <c r="Z328" s="17" t="n">
        <f>11</f>
        <v>11.0</v>
      </c>
      <c r="AA328" s="18" t="n">
        <f>4</f>
        <v>4.0</v>
      </c>
      <c r="AB328" s="11" t="s">
        <v>410</v>
      </c>
    </row>
    <row r="329">
      <c r="A329" s="11" t="s">
        <v>46</v>
      </c>
      <c r="B329" s="11" t="s">
        <v>47</v>
      </c>
      <c r="C329" s="11" t="s">
        <v>48</v>
      </c>
      <c r="D329" s="11" t="s">
        <v>49</v>
      </c>
      <c r="E329" s="11" t="s">
        <v>408</v>
      </c>
      <c r="F329" s="12" t="n">
        <v>28875.0</v>
      </c>
      <c r="G329" s="13" t="s">
        <v>288</v>
      </c>
      <c r="H329" s="14" t="s">
        <v>296</v>
      </c>
      <c r="I329" s="13" t="s">
        <v>210</v>
      </c>
      <c r="J329" s="14" t="s">
        <v>434</v>
      </c>
      <c r="K329" s="13"/>
      <c r="L329" s="14"/>
      <c r="M329" s="13" t="s">
        <v>288</v>
      </c>
      <c r="N329" s="14" t="s">
        <v>296</v>
      </c>
      <c r="O329" s="13"/>
      <c r="P329" s="14"/>
      <c r="Q329" s="13" t="s">
        <v>210</v>
      </c>
      <c r="R329" s="14" t="s">
        <v>434</v>
      </c>
      <c r="S329" s="15" t="n">
        <f>820</f>
        <v>820.0</v>
      </c>
      <c r="T329" s="16" t="n">
        <f>4</f>
        <v>4.0</v>
      </c>
      <c r="U329" s="16"/>
      <c r="V329" s="16" t="n">
        <f>3120000</f>
        <v>3120000.0</v>
      </c>
      <c r="W329" s="16"/>
      <c r="X329" s="16" t="str">
        <f>"－"</f>
        <v>－</v>
      </c>
      <c r="Y329" s="13"/>
      <c r="Z329" s="17" t="n">
        <f>4</f>
        <v>4.0</v>
      </c>
      <c r="AA329" s="18" t="n">
        <f>2</f>
        <v>2.0</v>
      </c>
      <c r="AB329" s="11" t="s">
        <v>410</v>
      </c>
    </row>
    <row r="330">
      <c r="A330" s="11" t="s">
        <v>46</v>
      </c>
      <c r="B330" s="11" t="s">
        <v>47</v>
      </c>
      <c r="C330" s="11" t="s">
        <v>48</v>
      </c>
      <c r="D330" s="11" t="s">
        <v>49</v>
      </c>
      <c r="E330" s="11" t="s">
        <v>408</v>
      </c>
      <c r="F330" s="12" t="n">
        <v>29000.0</v>
      </c>
      <c r="G330" s="13" t="s">
        <v>61</v>
      </c>
      <c r="H330" s="14" t="s">
        <v>435</v>
      </c>
      <c r="I330" s="13" t="s">
        <v>61</v>
      </c>
      <c r="J330" s="14" t="s">
        <v>435</v>
      </c>
      <c r="K330" s="13" t="s">
        <v>206</v>
      </c>
      <c r="L330" s="14" t="s">
        <v>173</v>
      </c>
      <c r="M330" s="13" t="s">
        <v>207</v>
      </c>
      <c r="N330" s="14" t="s">
        <v>170</v>
      </c>
      <c r="O330" s="13" t="s">
        <v>288</v>
      </c>
      <c r="P330" s="14" t="s">
        <v>436</v>
      </c>
      <c r="Q330" s="13" t="s">
        <v>204</v>
      </c>
      <c r="R330" s="14" t="s">
        <v>304</v>
      </c>
      <c r="S330" s="15" t="n">
        <f>1022</f>
        <v>1022.0</v>
      </c>
      <c r="T330" s="16" t="n">
        <f>545</f>
        <v>545.0</v>
      </c>
      <c r="U330" s="16" t="n">
        <v>503.0</v>
      </c>
      <c r="V330" s="16" t="n">
        <f>523665000</f>
        <v>5.23665E8</v>
      </c>
      <c r="W330" s="16" t="n">
        <v>4.8698E8</v>
      </c>
      <c r="X330" s="16" t="str">
        <f>"－"</f>
        <v>－</v>
      </c>
      <c r="Y330" s="13"/>
      <c r="Z330" s="17" t="n">
        <f>416</f>
        <v>416.0</v>
      </c>
      <c r="AA330" s="18" t="n">
        <f>5</f>
        <v>5.0</v>
      </c>
      <c r="AB330" s="11" t="s">
        <v>410</v>
      </c>
    </row>
    <row r="331">
      <c r="A331" s="11" t="s">
        <v>46</v>
      </c>
      <c r="B331" s="11" t="s">
        <v>47</v>
      </c>
      <c r="C331" s="11" t="s">
        <v>48</v>
      </c>
      <c r="D331" s="11" t="s">
        <v>49</v>
      </c>
      <c r="E331" s="11" t="s">
        <v>408</v>
      </c>
      <c r="F331" s="12" t="n">
        <v>29250.0</v>
      </c>
      <c r="G331" s="13" t="s">
        <v>56</v>
      </c>
      <c r="H331" s="14" t="s">
        <v>319</v>
      </c>
      <c r="I331" s="13" t="s">
        <v>56</v>
      </c>
      <c r="J331" s="14" t="s">
        <v>319</v>
      </c>
      <c r="K331" s="13" t="s">
        <v>210</v>
      </c>
      <c r="L331" s="14" t="s">
        <v>366</v>
      </c>
      <c r="M331" s="13" t="s">
        <v>202</v>
      </c>
      <c r="N331" s="14" t="s">
        <v>360</v>
      </c>
      <c r="O331" s="13" t="s">
        <v>207</v>
      </c>
      <c r="P331" s="14" t="s">
        <v>437</v>
      </c>
      <c r="Q331" s="13" t="s">
        <v>202</v>
      </c>
      <c r="R331" s="14" t="s">
        <v>284</v>
      </c>
      <c r="S331" s="15" t="n">
        <f>1015</f>
        <v>1015.0</v>
      </c>
      <c r="T331" s="16" t="n">
        <f>266</f>
        <v>266.0</v>
      </c>
      <c r="U331" s="16" t="n">
        <v>256.0</v>
      </c>
      <c r="V331" s="16" t="n">
        <f>245171469</f>
        <v>2.45171469E8</v>
      </c>
      <c r="W331" s="16" t="n">
        <v>2.36686469E8</v>
      </c>
      <c r="X331" s="16" t="str">
        <f>"－"</f>
        <v>－</v>
      </c>
      <c r="Y331" s="13"/>
      <c r="Z331" s="17" t="n">
        <f>262</f>
        <v>262.0</v>
      </c>
      <c r="AA331" s="18" t="n">
        <f>2</f>
        <v>2.0</v>
      </c>
      <c r="AB331" s="11" t="s">
        <v>410</v>
      </c>
    </row>
    <row r="332">
      <c r="A332" s="11" t="s">
        <v>46</v>
      </c>
      <c r="B332" s="11" t="s">
        <v>47</v>
      </c>
      <c r="C332" s="11" t="s">
        <v>48</v>
      </c>
      <c r="D332" s="11" t="s">
        <v>49</v>
      </c>
      <c r="E332" s="11" t="s">
        <v>408</v>
      </c>
      <c r="F332" s="12" t="n">
        <v>29375.0</v>
      </c>
      <c r="G332" s="13" t="s">
        <v>288</v>
      </c>
      <c r="H332" s="14" t="s">
        <v>431</v>
      </c>
      <c r="I332" s="13" t="s">
        <v>288</v>
      </c>
      <c r="J332" s="14" t="s">
        <v>431</v>
      </c>
      <c r="K332" s="13" t="s">
        <v>215</v>
      </c>
      <c r="L332" s="14" t="s">
        <v>432</v>
      </c>
      <c r="M332" s="13" t="s">
        <v>288</v>
      </c>
      <c r="N332" s="14" t="s">
        <v>431</v>
      </c>
      <c r="O332" s="13" t="s">
        <v>215</v>
      </c>
      <c r="P332" s="14" t="s">
        <v>432</v>
      </c>
      <c r="Q332" s="13" t="s">
        <v>288</v>
      </c>
      <c r="R332" s="14" t="s">
        <v>431</v>
      </c>
      <c r="S332" s="15" t="n">
        <f>895</f>
        <v>895.0</v>
      </c>
      <c r="T332" s="16" t="n">
        <f>4</f>
        <v>4.0</v>
      </c>
      <c r="U332" s="16" t="n">
        <v>1.0</v>
      </c>
      <c r="V332" s="16" t="n">
        <f>3600000</f>
        <v>3600000.0</v>
      </c>
      <c r="W332" s="16" t="n">
        <v>915000.0</v>
      </c>
      <c r="X332" s="16" t="str">
        <f>"－"</f>
        <v>－</v>
      </c>
      <c r="Y332" s="13"/>
      <c r="Z332" s="17" t="n">
        <f>4</f>
        <v>4.0</v>
      </c>
      <c r="AA332" s="18" t="n">
        <f>1</f>
        <v>1.0</v>
      </c>
      <c r="AB332" s="11" t="s">
        <v>410</v>
      </c>
    </row>
    <row r="333">
      <c r="A333" s="11" t="s">
        <v>46</v>
      </c>
      <c r="B333" s="11" t="s">
        <v>47</v>
      </c>
      <c r="C333" s="11" t="s">
        <v>48</v>
      </c>
      <c r="D333" s="11" t="s">
        <v>49</v>
      </c>
      <c r="E333" s="11" t="s">
        <v>408</v>
      </c>
      <c r="F333" s="12" t="n">
        <v>29500.0</v>
      </c>
      <c r="G333" s="13" t="s">
        <v>208</v>
      </c>
      <c r="H333" s="14" t="s">
        <v>280</v>
      </c>
      <c r="I333" s="13" t="s">
        <v>208</v>
      </c>
      <c r="J333" s="14" t="s">
        <v>425</v>
      </c>
      <c r="K333" s="13" t="s">
        <v>208</v>
      </c>
      <c r="L333" s="14" t="s">
        <v>169</v>
      </c>
      <c r="M333" s="13" t="s">
        <v>208</v>
      </c>
      <c r="N333" s="14" t="s">
        <v>280</v>
      </c>
      <c r="O333" s="13" t="s">
        <v>208</v>
      </c>
      <c r="P333" s="14" t="s">
        <v>169</v>
      </c>
      <c r="Q333" s="13" t="s">
        <v>210</v>
      </c>
      <c r="R333" s="14" t="s">
        <v>402</v>
      </c>
      <c r="S333" s="15" t="n">
        <f>1115</f>
        <v>1115.0</v>
      </c>
      <c r="T333" s="16" t="n">
        <f>127</f>
        <v>127.0</v>
      </c>
      <c r="U333" s="16" t="n">
        <v>100.0</v>
      </c>
      <c r="V333" s="16" t="n">
        <f>130840000</f>
        <v>1.3084E8</v>
      </c>
      <c r="W333" s="16" t="n">
        <v>1.0E8</v>
      </c>
      <c r="X333" s="16" t="str">
        <f>"－"</f>
        <v>－</v>
      </c>
      <c r="Y333" s="13"/>
      <c r="Z333" s="17" t="n">
        <f>101</f>
        <v>101.0</v>
      </c>
      <c r="AA333" s="18" t="n">
        <f>2</f>
        <v>2.0</v>
      </c>
      <c r="AB333" s="11" t="s">
        <v>410</v>
      </c>
    </row>
    <row r="334">
      <c r="A334" s="11" t="s">
        <v>46</v>
      </c>
      <c r="B334" s="11" t="s">
        <v>47</v>
      </c>
      <c r="C334" s="11" t="s">
        <v>48</v>
      </c>
      <c r="D334" s="11" t="s">
        <v>49</v>
      </c>
      <c r="E334" s="11" t="s">
        <v>408</v>
      </c>
      <c r="F334" s="12" t="n">
        <v>29625.0</v>
      </c>
      <c r="G334" s="13" t="s">
        <v>288</v>
      </c>
      <c r="H334" s="14" t="s">
        <v>405</v>
      </c>
      <c r="I334" s="13" t="s">
        <v>208</v>
      </c>
      <c r="J334" s="14" t="s">
        <v>179</v>
      </c>
      <c r="K334" s="13"/>
      <c r="L334" s="14"/>
      <c r="M334" s="13" t="s">
        <v>288</v>
      </c>
      <c r="N334" s="14" t="s">
        <v>405</v>
      </c>
      <c r="O334" s="13"/>
      <c r="P334" s="14"/>
      <c r="Q334" s="13" t="s">
        <v>208</v>
      </c>
      <c r="R334" s="14" t="s">
        <v>179</v>
      </c>
      <c r="S334" s="15" t="n">
        <f>1087.5</f>
        <v>1087.5</v>
      </c>
      <c r="T334" s="16" t="n">
        <f>28</f>
        <v>28.0</v>
      </c>
      <c r="U334" s="16"/>
      <c r="V334" s="16" t="n">
        <f>33145000</f>
        <v>3.3145E7</v>
      </c>
      <c r="W334" s="16"/>
      <c r="X334" s="16" t="str">
        <f>"－"</f>
        <v>－</v>
      </c>
      <c r="Y334" s="13"/>
      <c r="Z334" s="17" t="n">
        <f>28</f>
        <v>28.0</v>
      </c>
      <c r="AA334" s="18" t="n">
        <f>2</f>
        <v>2.0</v>
      </c>
      <c r="AB334" s="11" t="s">
        <v>410</v>
      </c>
    </row>
    <row r="335">
      <c r="A335" s="11" t="s">
        <v>46</v>
      </c>
      <c r="B335" s="11" t="s">
        <v>47</v>
      </c>
      <c r="C335" s="11" t="s">
        <v>48</v>
      </c>
      <c r="D335" s="11" t="s">
        <v>49</v>
      </c>
      <c r="E335" s="11" t="s">
        <v>408</v>
      </c>
      <c r="F335" s="12" t="n">
        <v>29750.0</v>
      </c>
      <c r="G335" s="13" t="s">
        <v>208</v>
      </c>
      <c r="H335" s="14" t="s">
        <v>311</v>
      </c>
      <c r="I335" s="13" t="s">
        <v>208</v>
      </c>
      <c r="J335" s="14" t="s">
        <v>311</v>
      </c>
      <c r="K335" s="13"/>
      <c r="L335" s="14"/>
      <c r="M335" s="13" t="s">
        <v>215</v>
      </c>
      <c r="N335" s="14" t="s">
        <v>366</v>
      </c>
      <c r="O335" s="13"/>
      <c r="P335" s="14"/>
      <c r="Q335" s="13" t="s">
        <v>215</v>
      </c>
      <c r="R335" s="14" t="s">
        <v>366</v>
      </c>
      <c r="S335" s="15" t="n">
        <f>1160</f>
        <v>1160.0</v>
      </c>
      <c r="T335" s="16" t="n">
        <f>77</f>
        <v>77.0</v>
      </c>
      <c r="U335" s="16"/>
      <c r="V335" s="16" t="n">
        <f>90280000</f>
        <v>9.028E7</v>
      </c>
      <c r="W335" s="16"/>
      <c r="X335" s="16" t="str">
        <f>"－"</f>
        <v>－</v>
      </c>
      <c r="Y335" s="13"/>
      <c r="Z335" s="17" t="n">
        <f>75</f>
        <v>75.0</v>
      </c>
      <c r="AA335" s="18" t="n">
        <f>3</f>
        <v>3.0</v>
      </c>
      <c r="AB335" s="11" t="s">
        <v>410</v>
      </c>
    </row>
    <row r="336">
      <c r="A336" s="11" t="s">
        <v>46</v>
      </c>
      <c r="B336" s="11" t="s">
        <v>47</v>
      </c>
      <c r="C336" s="11" t="s">
        <v>48</v>
      </c>
      <c r="D336" s="11" t="s">
        <v>49</v>
      </c>
      <c r="E336" s="11" t="s">
        <v>408</v>
      </c>
      <c r="F336" s="12" t="n">
        <v>29875.0</v>
      </c>
      <c r="G336" s="13" t="s">
        <v>202</v>
      </c>
      <c r="H336" s="14" t="s">
        <v>370</v>
      </c>
      <c r="I336" s="13" t="s">
        <v>202</v>
      </c>
      <c r="J336" s="14" t="s">
        <v>370</v>
      </c>
      <c r="K336" s="13"/>
      <c r="L336" s="14"/>
      <c r="M336" s="13" t="s">
        <v>202</v>
      </c>
      <c r="N336" s="14" t="s">
        <v>370</v>
      </c>
      <c r="O336" s="13"/>
      <c r="P336" s="14"/>
      <c r="Q336" s="13" t="s">
        <v>202</v>
      </c>
      <c r="R336" s="14" t="s">
        <v>370</v>
      </c>
      <c r="S336" s="15" t="n">
        <f>1130</f>
        <v>1130.0</v>
      </c>
      <c r="T336" s="16" t="n">
        <f>1</f>
        <v>1.0</v>
      </c>
      <c r="U336" s="16"/>
      <c r="V336" s="16" t="n">
        <f>1130000</f>
        <v>1130000.0</v>
      </c>
      <c r="W336" s="16"/>
      <c r="X336" s="16" t="str">
        <f>"－"</f>
        <v>－</v>
      </c>
      <c r="Y336" s="13"/>
      <c r="Z336" s="17" t="n">
        <f>1</f>
        <v>1.0</v>
      </c>
      <c r="AA336" s="18" t="n">
        <f>1</f>
        <v>1.0</v>
      </c>
      <c r="AB336" s="11" t="s">
        <v>410</v>
      </c>
    </row>
    <row r="337">
      <c r="A337" s="11" t="s">
        <v>46</v>
      </c>
      <c r="B337" s="11" t="s">
        <v>47</v>
      </c>
      <c r="C337" s="11" t="s">
        <v>48</v>
      </c>
      <c r="D337" s="11" t="s">
        <v>49</v>
      </c>
      <c r="E337" s="11" t="s">
        <v>408</v>
      </c>
      <c r="F337" s="12" t="n">
        <v>30000.0</v>
      </c>
      <c r="G337" s="13" t="s">
        <v>202</v>
      </c>
      <c r="H337" s="14" t="s">
        <v>438</v>
      </c>
      <c r="I337" s="13" t="s">
        <v>208</v>
      </c>
      <c r="J337" s="14" t="s">
        <v>439</v>
      </c>
      <c r="K337" s="13" t="s">
        <v>210</v>
      </c>
      <c r="L337" s="14" t="s">
        <v>440</v>
      </c>
      <c r="M337" s="13" t="s">
        <v>207</v>
      </c>
      <c r="N337" s="14" t="s">
        <v>392</v>
      </c>
      <c r="O337" s="13" t="s">
        <v>211</v>
      </c>
      <c r="P337" s="14" t="s">
        <v>441</v>
      </c>
      <c r="Q337" s="13" t="s">
        <v>215</v>
      </c>
      <c r="R337" s="14" t="s">
        <v>442</v>
      </c>
      <c r="S337" s="15" t="n">
        <f>1232.5</f>
        <v>1232.5</v>
      </c>
      <c r="T337" s="16" t="n">
        <f>848</f>
        <v>848.0</v>
      </c>
      <c r="U337" s="16" t="n">
        <v>700.0</v>
      </c>
      <c r="V337" s="16" t="n">
        <f>1064620000</f>
        <v>1.06462E9</v>
      </c>
      <c r="W337" s="16" t="n">
        <v>8.7892E8</v>
      </c>
      <c r="X337" s="16" t="str">
        <f>"－"</f>
        <v>－</v>
      </c>
      <c r="Y337" s="13"/>
      <c r="Z337" s="17" t="n">
        <f>847</f>
        <v>847.0</v>
      </c>
      <c r="AA337" s="18" t="n">
        <f>4</f>
        <v>4.0</v>
      </c>
      <c r="AB337" s="11" t="s">
        <v>410</v>
      </c>
    </row>
    <row r="338">
      <c r="A338" s="11" t="s">
        <v>46</v>
      </c>
      <c r="B338" s="11" t="s">
        <v>47</v>
      </c>
      <c r="C338" s="11" t="s">
        <v>48</v>
      </c>
      <c r="D338" s="11" t="s">
        <v>49</v>
      </c>
      <c r="E338" s="11" t="s">
        <v>408</v>
      </c>
      <c r="F338" s="12" t="n">
        <v>30125.0</v>
      </c>
      <c r="G338" s="13" t="s">
        <v>211</v>
      </c>
      <c r="H338" s="14" t="s">
        <v>443</v>
      </c>
      <c r="I338" s="13" t="s">
        <v>211</v>
      </c>
      <c r="J338" s="14" t="s">
        <v>443</v>
      </c>
      <c r="K338" s="13"/>
      <c r="L338" s="14"/>
      <c r="M338" s="13" t="s">
        <v>211</v>
      </c>
      <c r="N338" s="14" t="s">
        <v>443</v>
      </c>
      <c r="O338" s="13"/>
      <c r="P338" s="14"/>
      <c r="Q338" s="13" t="s">
        <v>211</v>
      </c>
      <c r="R338" s="14" t="s">
        <v>443</v>
      </c>
      <c r="S338" s="15" t="n">
        <f>1190</f>
        <v>1190.0</v>
      </c>
      <c r="T338" s="16" t="n">
        <f>1</f>
        <v>1.0</v>
      </c>
      <c r="U338" s="16"/>
      <c r="V338" s="16" t="n">
        <f>1190000</f>
        <v>1190000.0</v>
      </c>
      <c r="W338" s="16"/>
      <c r="X338" s="16" t="str">
        <f>"－"</f>
        <v>－</v>
      </c>
      <c r="Y338" s="13"/>
      <c r="Z338" s="17" t="str">
        <f>"－"</f>
        <v>－</v>
      </c>
      <c r="AA338" s="18" t="n">
        <f>1</f>
        <v>1.0</v>
      </c>
      <c r="AB338" s="11" t="s">
        <v>410</v>
      </c>
    </row>
    <row r="339">
      <c r="A339" s="11" t="s">
        <v>46</v>
      </c>
      <c r="B339" s="11" t="s">
        <v>47</v>
      </c>
      <c r="C339" s="11" t="s">
        <v>48</v>
      </c>
      <c r="D339" s="11" t="s">
        <v>49</v>
      </c>
      <c r="E339" s="11" t="s">
        <v>408</v>
      </c>
      <c r="F339" s="12" t="n">
        <v>30250.0</v>
      </c>
      <c r="G339" s="13" t="s">
        <v>208</v>
      </c>
      <c r="H339" s="14" t="s">
        <v>285</v>
      </c>
      <c r="I339" s="13" t="s">
        <v>208</v>
      </c>
      <c r="J339" s="14" t="s">
        <v>320</v>
      </c>
      <c r="K339" s="13"/>
      <c r="L339" s="14"/>
      <c r="M339" s="13" t="s">
        <v>208</v>
      </c>
      <c r="N339" s="14" t="s">
        <v>285</v>
      </c>
      <c r="O339" s="13"/>
      <c r="P339" s="14"/>
      <c r="Q339" s="13" t="s">
        <v>208</v>
      </c>
      <c r="R339" s="14" t="s">
        <v>320</v>
      </c>
      <c r="S339" s="15" t="n">
        <f>1520</f>
        <v>1520.0</v>
      </c>
      <c r="T339" s="16" t="n">
        <f>2</f>
        <v>2.0</v>
      </c>
      <c r="U339" s="16"/>
      <c r="V339" s="16" t="n">
        <f>2910000</f>
        <v>2910000.0</v>
      </c>
      <c r="W339" s="16"/>
      <c r="X339" s="16" t="str">
        <f>"－"</f>
        <v>－</v>
      </c>
      <c r="Y339" s="13"/>
      <c r="Z339" s="17" t="n">
        <f>1</f>
        <v>1.0</v>
      </c>
      <c r="AA339" s="18" t="n">
        <f>1</f>
        <v>1.0</v>
      </c>
      <c r="AB339" s="11" t="s">
        <v>410</v>
      </c>
    </row>
    <row r="340">
      <c r="A340" s="11" t="s">
        <v>46</v>
      </c>
      <c r="B340" s="11" t="s">
        <v>47</v>
      </c>
      <c r="C340" s="11" t="s">
        <v>48</v>
      </c>
      <c r="D340" s="11" t="s">
        <v>49</v>
      </c>
      <c r="E340" s="11" t="s">
        <v>408</v>
      </c>
      <c r="F340" s="12" t="n">
        <v>30875.0</v>
      </c>
      <c r="G340" s="13" t="s">
        <v>205</v>
      </c>
      <c r="H340" s="14" t="s">
        <v>444</v>
      </c>
      <c r="I340" s="13" t="s">
        <v>205</v>
      </c>
      <c r="J340" s="14" t="s">
        <v>444</v>
      </c>
      <c r="K340" s="13"/>
      <c r="L340" s="14"/>
      <c r="M340" s="13" t="s">
        <v>205</v>
      </c>
      <c r="N340" s="14" t="s">
        <v>444</v>
      </c>
      <c r="O340" s="13"/>
      <c r="P340" s="14"/>
      <c r="Q340" s="13" t="s">
        <v>205</v>
      </c>
      <c r="R340" s="14" t="s">
        <v>444</v>
      </c>
      <c r="S340" s="15" t="n">
        <f>1750</f>
        <v>1750.0</v>
      </c>
      <c r="T340" s="16" t="n">
        <f>1</f>
        <v>1.0</v>
      </c>
      <c r="U340" s="16"/>
      <c r="V340" s="16" t="n">
        <f>1750000</f>
        <v>1750000.0</v>
      </c>
      <c r="W340" s="16"/>
      <c r="X340" s="16" t="str">
        <f>"－"</f>
        <v>－</v>
      </c>
      <c r="Y340" s="13"/>
      <c r="Z340" s="17" t="n">
        <f>1</f>
        <v>1.0</v>
      </c>
      <c r="AA340" s="18" t="n">
        <f>1</f>
        <v>1.0</v>
      </c>
      <c r="AB340" s="11" t="s">
        <v>410</v>
      </c>
    </row>
    <row r="341">
      <c r="A341" s="11" t="s">
        <v>46</v>
      </c>
      <c r="B341" s="11" t="s">
        <v>47</v>
      </c>
      <c r="C341" s="11" t="s">
        <v>48</v>
      </c>
      <c r="D341" s="11" t="s">
        <v>49</v>
      </c>
      <c r="E341" s="11" t="s">
        <v>408</v>
      </c>
      <c r="F341" s="12" t="n">
        <v>31000.0</v>
      </c>
      <c r="G341" s="13" t="s">
        <v>205</v>
      </c>
      <c r="H341" s="14" t="s">
        <v>445</v>
      </c>
      <c r="I341" s="13" t="s">
        <v>205</v>
      </c>
      <c r="J341" s="14" t="s">
        <v>445</v>
      </c>
      <c r="K341" s="13"/>
      <c r="L341" s="14"/>
      <c r="M341" s="13" t="s">
        <v>205</v>
      </c>
      <c r="N341" s="14" t="s">
        <v>445</v>
      </c>
      <c r="O341" s="13"/>
      <c r="P341" s="14"/>
      <c r="Q341" s="13" t="s">
        <v>205</v>
      </c>
      <c r="R341" s="14" t="s">
        <v>445</v>
      </c>
      <c r="S341" s="15" t="n">
        <f>1830</f>
        <v>1830.0</v>
      </c>
      <c r="T341" s="16" t="n">
        <f>1</f>
        <v>1.0</v>
      </c>
      <c r="U341" s="16"/>
      <c r="V341" s="16" t="n">
        <f>1830000</f>
        <v>1830000.0</v>
      </c>
      <c r="W341" s="16"/>
      <c r="X341" s="16" t="str">
        <f>"－"</f>
        <v>－</v>
      </c>
      <c r="Y341" s="13"/>
      <c r="Z341" s="17" t="n">
        <f>1</f>
        <v>1.0</v>
      </c>
      <c r="AA341" s="18" t="n">
        <f>1</f>
        <v>1.0</v>
      </c>
      <c r="AB341" s="11" t="s">
        <v>410</v>
      </c>
    </row>
    <row r="342">
      <c r="A342" s="11" t="s">
        <v>46</v>
      </c>
      <c r="B342" s="11" t="s">
        <v>47</v>
      </c>
      <c r="C342" s="11" t="s">
        <v>48</v>
      </c>
      <c r="D342" s="11" t="s">
        <v>49</v>
      </c>
      <c r="E342" s="11" t="s">
        <v>408</v>
      </c>
      <c r="F342" s="12" t="n">
        <v>33000.0</v>
      </c>
      <c r="G342" s="13" t="s">
        <v>202</v>
      </c>
      <c r="H342" s="14" t="s">
        <v>446</v>
      </c>
      <c r="I342" s="13" t="s">
        <v>202</v>
      </c>
      <c r="J342" s="14" t="s">
        <v>446</v>
      </c>
      <c r="K342" s="13"/>
      <c r="L342" s="14"/>
      <c r="M342" s="13" t="s">
        <v>202</v>
      </c>
      <c r="N342" s="14" t="s">
        <v>446</v>
      </c>
      <c r="O342" s="13"/>
      <c r="P342" s="14"/>
      <c r="Q342" s="13" t="s">
        <v>202</v>
      </c>
      <c r="R342" s="14" t="s">
        <v>446</v>
      </c>
      <c r="S342" s="15" t="n">
        <f>3150</f>
        <v>3150.0</v>
      </c>
      <c r="T342" s="16" t="n">
        <f>1</f>
        <v>1.0</v>
      </c>
      <c r="U342" s="16"/>
      <c r="V342" s="16" t="n">
        <f>3150000</f>
        <v>3150000.0</v>
      </c>
      <c r="W342" s="16"/>
      <c r="X342" s="16" t="str">
        <f>"－"</f>
        <v>－</v>
      </c>
      <c r="Y342" s="13"/>
      <c r="Z342" s="17" t="n">
        <f>1</f>
        <v>1.0</v>
      </c>
      <c r="AA342" s="18" t="n">
        <f>1</f>
        <v>1.0</v>
      </c>
      <c r="AB342" s="11" t="s">
        <v>410</v>
      </c>
    </row>
    <row r="343">
      <c r="A343" s="11" t="s">
        <v>46</v>
      </c>
      <c r="B343" s="11" t="s">
        <v>47</v>
      </c>
      <c r="C343" s="11" t="s">
        <v>48</v>
      </c>
      <c r="D343" s="11" t="s">
        <v>49</v>
      </c>
      <c r="E343" s="11" t="s">
        <v>447</v>
      </c>
      <c r="F343" s="12" t="n">
        <v>10000.0</v>
      </c>
      <c r="G343" s="13" t="s">
        <v>50</v>
      </c>
      <c r="H343" s="14" t="s">
        <v>77</v>
      </c>
      <c r="I343" s="13" t="s">
        <v>50</v>
      </c>
      <c r="J343" s="14" t="s">
        <v>77</v>
      </c>
      <c r="K343" s="13"/>
      <c r="L343" s="14"/>
      <c r="M343" s="13" t="s">
        <v>205</v>
      </c>
      <c r="N343" s="14" t="s">
        <v>65</v>
      </c>
      <c r="O343" s="13"/>
      <c r="P343" s="14"/>
      <c r="Q343" s="13" t="s">
        <v>204</v>
      </c>
      <c r="R343" s="14" t="s">
        <v>67</v>
      </c>
      <c r="S343" s="15" t="n">
        <f>6.79</f>
        <v>6.79</v>
      </c>
      <c r="T343" s="16" t="n">
        <f>454</f>
        <v>454.0</v>
      </c>
      <c r="U343" s="16"/>
      <c r="V343" s="16" t="n">
        <f>2677000</f>
        <v>2677000.0</v>
      </c>
      <c r="W343" s="16"/>
      <c r="X343" s="16" t="str">
        <f>"－"</f>
        <v>－</v>
      </c>
      <c r="Y343" s="13"/>
      <c r="Z343" s="17" t="n">
        <f>323</f>
        <v>323.0</v>
      </c>
      <c r="AA343" s="18" t="n">
        <f>14</f>
        <v>14.0</v>
      </c>
      <c r="AB343" s="11" t="s">
        <v>448</v>
      </c>
    </row>
    <row r="344">
      <c r="A344" s="11" t="s">
        <v>46</v>
      </c>
      <c r="B344" s="11" t="s">
        <v>47</v>
      </c>
      <c r="C344" s="11" t="s">
        <v>48</v>
      </c>
      <c r="D344" s="11" t="s">
        <v>49</v>
      </c>
      <c r="E344" s="11" t="s">
        <v>447</v>
      </c>
      <c r="F344" s="12" t="n">
        <v>10500.0</v>
      </c>
      <c r="G344" s="13" t="s">
        <v>50</v>
      </c>
      <c r="H344" s="14" t="s">
        <v>216</v>
      </c>
      <c r="I344" s="13" t="s">
        <v>50</v>
      </c>
      <c r="J344" s="14" t="s">
        <v>216</v>
      </c>
      <c r="K344" s="13"/>
      <c r="L344" s="14"/>
      <c r="M344" s="13" t="s">
        <v>205</v>
      </c>
      <c r="N344" s="14" t="s">
        <v>66</v>
      </c>
      <c r="O344" s="13"/>
      <c r="P344" s="14"/>
      <c r="Q344" s="13" t="s">
        <v>204</v>
      </c>
      <c r="R344" s="14" t="s">
        <v>68</v>
      </c>
      <c r="S344" s="15" t="n">
        <f>8.38</f>
        <v>8.38</v>
      </c>
      <c r="T344" s="16" t="n">
        <f>219</f>
        <v>219.0</v>
      </c>
      <c r="U344" s="16"/>
      <c r="V344" s="16" t="n">
        <f>1613000</f>
        <v>1613000.0</v>
      </c>
      <c r="W344" s="16"/>
      <c r="X344" s="16" t="str">
        <f>"－"</f>
        <v>－</v>
      </c>
      <c r="Y344" s="13"/>
      <c r="Z344" s="17" t="n">
        <f>192</f>
        <v>192.0</v>
      </c>
      <c r="AA344" s="18" t="n">
        <f>13</f>
        <v>13.0</v>
      </c>
      <c r="AB344" s="11" t="s">
        <v>448</v>
      </c>
    </row>
    <row r="345">
      <c r="A345" s="11" t="s">
        <v>46</v>
      </c>
      <c r="B345" s="11" t="s">
        <v>47</v>
      </c>
      <c r="C345" s="11" t="s">
        <v>48</v>
      </c>
      <c r="D345" s="11" t="s">
        <v>49</v>
      </c>
      <c r="E345" s="11" t="s">
        <v>447</v>
      </c>
      <c r="F345" s="12" t="n">
        <v>11000.0</v>
      </c>
      <c r="G345" s="13" t="s">
        <v>60</v>
      </c>
      <c r="H345" s="14" t="s">
        <v>216</v>
      </c>
      <c r="I345" s="13" t="s">
        <v>60</v>
      </c>
      <c r="J345" s="14" t="s">
        <v>216</v>
      </c>
      <c r="K345" s="13" t="s">
        <v>55</v>
      </c>
      <c r="L345" s="14" t="s">
        <v>74</v>
      </c>
      <c r="M345" s="13" t="s">
        <v>211</v>
      </c>
      <c r="N345" s="14" t="s">
        <v>66</v>
      </c>
      <c r="O345" s="13" t="s">
        <v>55</v>
      </c>
      <c r="P345" s="14" t="s">
        <v>74</v>
      </c>
      <c r="Q345" s="13" t="s">
        <v>211</v>
      </c>
      <c r="R345" s="14" t="s">
        <v>66</v>
      </c>
      <c r="S345" s="15" t="n">
        <f>11</f>
        <v>11.0</v>
      </c>
      <c r="T345" s="16" t="n">
        <f>353</f>
        <v>353.0</v>
      </c>
      <c r="U345" s="16" t="n">
        <v>350.0</v>
      </c>
      <c r="V345" s="16" t="n">
        <f>7038000</f>
        <v>7038000.0</v>
      </c>
      <c r="W345" s="16" t="n">
        <v>7000000.0</v>
      </c>
      <c r="X345" s="16" t="str">
        <f>"－"</f>
        <v>－</v>
      </c>
      <c r="Y345" s="13"/>
      <c r="Z345" s="17" t="n">
        <f>2020</f>
        <v>2020.0</v>
      </c>
      <c r="AA345" s="18" t="n">
        <f>2</f>
        <v>2.0</v>
      </c>
      <c r="AB345" s="11" t="s">
        <v>448</v>
      </c>
    </row>
    <row r="346">
      <c r="A346" s="11" t="s">
        <v>46</v>
      </c>
      <c r="B346" s="11" t="s">
        <v>47</v>
      </c>
      <c r="C346" s="11" t="s">
        <v>48</v>
      </c>
      <c r="D346" s="11" t="s">
        <v>49</v>
      </c>
      <c r="E346" s="11" t="s">
        <v>447</v>
      </c>
      <c r="F346" s="12" t="n">
        <v>11500.0</v>
      </c>
      <c r="G346" s="13"/>
      <c r="H346" s="14" t="s">
        <v>57</v>
      </c>
      <c r="I346" s="13"/>
      <c r="J346" s="14" t="s">
        <v>57</v>
      </c>
      <c r="K346" s="13"/>
      <c r="L346" s="14"/>
      <c r="M346" s="13"/>
      <c r="N346" s="14" t="s">
        <v>57</v>
      </c>
      <c r="O346" s="13"/>
      <c r="P346" s="14"/>
      <c r="Q346" s="13"/>
      <c r="R346" s="14" t="s">
        <v>57</v>
      </c>
      <c r="S346" s="15" t="str">
        <f>"－"</f>
        <v>－</v>
      </c>
      <c r="T346" s="16" t="str">
        <f>"－"</f>
        <v>－</v>
      </c>
      <c r="U346" s="16"/>
      <c r="V346" s="16" t="str">
        <f>"－"</f>
        <v>－</v>
      </c>
      <c r="W346" s="16"/>
      <c r="X346" s="16" t="str">
        <f>"－"</f>
        <v>－</v>
      </c>
      <c r="Y346" s="13"/>
      <c r="Z346" s="17" t="n">
        <f>28</f>
        <v>28.0</v>
      </c>
      <c r="AA346" s="18" t="str">
        <f>"－"</f>
        <v>－</v>
      </c>
      <c r="AB346" s="11" t="s">
        <v>448</v>
      </c>
    </row>
    <row r="347">
      <c r="A347" s="11" t="s">
        <v>46</v>
      </c>
      <c r="B347" s="11" t="s">
        <v>47</v>
      </c>
      <c r="C347" s="11" t="s">
        <v>48</v>
      </c>
      <c r="D347" s="11" t="s">
        <v>49</v>
      </c>
      <c r="E347" s="11" t="s">
        <v>447</v>
      </c>
      <c r="F347" s="12" t="n">
        <v>12000.0</v>
      </c>
      <c r="G347" s="13"/>
      <c r="H347" s="14" t="s">
        <v>57</v>
      </c>
      <c r="I347" s="13"/>
      <c r="J347" s="14" t="s">
        <v>57</v>
      </c>
      <c r="K347" s="13" t="s">
        <v>55</v>
      </c>
      <c r="L347" s="14" t="s">
        <v>85</v>
      </c>
      <c r="M347" s="13"/>
      <c r="N347" s="14" t="s">
        <v>57</v>
      </c>
      <c r="O347" s="13" t="s">
        <v>55</v>
      </c>
      <c r="P347" s="14" t="s">
        <v>85</v>
      </c>
      <c r="Q347" s="13"/>
      <c r="R347" s="14" t="s">
        <v>57</v>
      </c>
      <c r="S347" s="15" t="str">
        <f>"－"</f>
        <v>－</v>
      </c>
      <c r="T347" s="16" t="n">
        <f>700</f>
        <v>700.0</v>
      </c>
      <c r="U347" s="16" t="n">
        <v>700.0</v>
      </c>
      <c r="V347" s="16" t="n">
        <f>21000000</f>
        <v>2.1E7</v>
      </c>
      <c r="W347" s="16" t="n">
        <v>2.1E7</v>
      </c>
      <c r="X347" s="16" t="str">
        <f>"－"</f>
        <v>－</v>
      </c>
      <c r="Y347" s="13"/>
      <c r="Z347" s="17" t="n">
        <f>1900</f>
        <v>1900.0</v>
      </c>
      <c r="AA347" s="18" t="str">
        <f>"－"</f>
        <v>－</v>
      </c>
      <c r="AB347" s="11" t="s">
        <v>448</v>
      </c>
    </row>
    <row r="348">
      <c r="A348" s="11" t="s">
        <v>46</v>
      </c>
      <c r="B348" s="11" t="s">
        <v>47</v>
      </c>
      <c r="C348" s="11" t="s">
        <v>48</v>
      </c>
      <c r="D348" s="11" t="s">
        <v>49</v>
      </c>
      <c r="E348" s="11" t="s">
        <v>447</v>
      </c>
      <c r="F348" s="12" t="n">
        <v>12500.0</v>
      </c>
      <c r="G348" s="13" t="s">
        <v>210</v>
      </c>
      <c r="H348" s="14" t="s">
        <v>72</v>
      </c>
      <c r="I348" s="13" t="s">
        <v>210</v>
      </c>
      <c r="J348" s="14" t="s">
        <v>72</v>
      </c>
      <c r="K348" s="13"/>
      <c r="L348" s="14"/>
      <c r="M348" s="13" t="s">
        <v>210</v>
      </c>
      <c r="N348" s="14" t="s">
        <v>72</v>
      </c>
      <c r="O348" s="13"/>
      <c r="P348" s="14"/>
      <c r="Q348" s="13" t="s">
        <v>204</v>
      </c>
      <c r="R348" s="14" t="s">
        <v>72</v>
      </c>
      <c r="S348" s="15" t="n">
        <f>12</f>
        <v>12.0</v>
      </c>
      <c r="T348" s="16" t="n">
        <f>73</f>
        <v>73.0</v>
      </c>
      <c r="U348" s="16"/>
      <c r="V348" s="16" t="n">
        <f>876000</f>
        <v>876000.0</v>
      </c>
      <c r="W348" s="16"/>
      <c r="X348" s="16" t="str">
        <f>"－"</f>
        <v>－</v>
      </c>
      <c r="Y348" s="13"/>
      <c r="Z348" s="17" t="n">
        <f>1000</f>
        <v>1000.0</v>
      </c>
      <c r="AA348" s="18" t="n">
        <f>2</f>
        <v>2.0</v>
      </c>
      <c r="AB348" s="11" t="s">
        <v>448</v>
      </c>
    </row>
    <row r="349">
      <c r="A349" s="11" t="s">
        <v>46</v>
      </c>
      <c r="B349" s="11" t="s">
        <v>47</v>
      </c>
      <c r="C349" s="11" t="s">
        <v>48</v>
      </c>
      <c r="D349" s="11" t="s">
        <v>49</v>
      </c>
      <c r="E349" s="11" t="s">
        <v>447</v>
      </c>
      <c r="F349" s="12" t="n">
        <v>13000.0</v>
      </c>
      <c r="G349" s="13" t="s">
        <v>50</v>
      </c>
      <c r="H349" s="14" t="s">
        <v>84</v>
      </c>
      <c r="I349" s="13" t="s">
        <v>50</v>
      </c>
      <c r="J349" s="14" t="s">
        <v>84</v>
      </c>
      <c r="K349" s="13"/>
      <c r="L349" s="14"/>
      <c r="M349" s="13" t="s">
        <v>215</v>
      </c>
      <c r="N349" s="14" t="s">
        <v>72</v>
      </c>
      <c r="O349" s="13"/>
      <c r="P349" s="14"/>
      <c r="Q349" s="13" t="s">
        <v>215</v>
      </c>
      <c r="R349" s="14" t="s">
        <v>72</v>
      </c>
      <c r="S349" s="15" t="n">
        <f>21.67</f>
        <v>21.67</v>
      </c>
      <c r="T349" s="16" t="n">
        <f>57</f>
        <v>57.0</v>
      </c>
      <c r="U349" s="16"/>
      <c r="V349" s="16" t="n">
        <f>713000</f>
        <v>713000.0</v>
      </c>
      <c r="W349" s="16"/>
      <c r="X349" s="16" t="str">
        <f>"－"</f>
        <v>－</v>
      </c>
      <c r="Y349" s="13"/>
      <c r="Z349" s="17" t="n">
        <f>3223</f>
        <v>3223.0</v>
      </c>
      <c r="AA349" s="18" t="n">
        <f>3</f>
        <v>3.0</v>
      </c>
      <c r="AB349" s="11" t="s">
        <v>448</v>
      </c>
    </row>
    <row r="350">
      <c r="A350" s="11" t="s">
        <v>46</v>
      </c>
      <c r="B350" s="11" t="s">
        <v>47</v>
      </c>
      <c r="C350" s="11" t="s">
        <v>48</v>
      </c>
      <c r="D350" s="11" t="s">
        <v>49</v>
      </c>
      <c r="E350" s="11" t="s">
        <v>447</v>
      </c>
      <c r="F350" s="12" t="n">
        <v>13250.0</v>
      </c>
      <c r="G350" s="13" t="s">
        <v>204</v>
      </c>
      <c r="H350" s="14" t="s">
        <v>76</v>
      </c>
      <c r="I350" s="13" t="s">
        <v>204</v>
      </c>
      <c r="J350" s="14" t="s">
        <v>76</v>
      </c>
      <c r="K350" s="13" t="s">
        <v>55</v>
      </c>
      <c r="L350" s="14" t="s">
        <v>189</v>
      </c>
      <c r="M350" s="13" t="s">
        <v>204</v>
      </c>
      <c r="N350" s="14" t="s">
        <v>76</v>
      </c>
      <c r="O350" s="13" t="s">
        <v>55</v>
      </c>
      <c r="P350" s="14" t="s">
        <v>189</v>
      </c>
      <c r="Q350" s="13" t="s">
        <v>204</v>
      </c>
      <c r="R350" s="14" t="s">
        <v>76</v>
      </c>
      <c r="S350" s="15" t="n">
        <f>23</f>
        <v>23.0</v>
      </c>
      <c r="T350" s="16" t="n">
        <f>351</f>
        <v>351.0</v>
      </c>
      <c r="U350" s="16" t="n">
        <v>350.0</v>
      </c>
      <c r="V350" s="16" t="n">
        <f>15773000</f>
        <v>1.5773E7</v>
      </c>
      <c r="W350" s="16" t="n">
        <v>1.575E7</v>
      </c>
      <c r="X350" s="16" t="str">
        <f>"－"</f>
        <v>－</v>
      </c>
      <c r="Y350" s="13"/>
      <c r="Z350" s="17" t="n">
        <f>762</f>
        <v>762.0</v>
      </c>
      <c r="AA350" s="18" t="n">
        <f>1</f>
        <v>1.0</v>
      </c>
      <c r="AB350" s="11" t="s">
        <v>448</v>
      </c>
    </row>
    <row r="351">
      <c r="A351" s="11" t="s">
        <v>46</v>
      </c>
      <c r="B351" s="11" t="s">
        <v>47</v>
      </c>
      <c r="C351" s="11" t="s">
        <v>48</v>
      </c>
      <c r="D351" s="11" t="s">
        <v>49</v>
      </c>
      <c r="E351" s="11" t="s">
        <v>447</v>
      </c>
      <c r="F351" s="12" t="n">
        <v>13500.0</v>
      </c>
      <c r="G351" s="13"/>
      <c r="H351" s="14" t="s">
        <v>57</v>
      </c>
      <c r="I351" s="13"/>
      <c r="J351" s="14" t="s">
        <v>57</v>
      </c>
      <c r="K351" s="13"/>
      <c r="L351" s="14"/>
      <c r="M351" s="13"/>
      <c r="N351" s="14" t="s">
        <v>57</v>
      </c>
      <c r="O351" s="13"/>
      <c r="P351" s="14"/>
      <c r="Q351" s="13"/>
      <c r="R351" s="14" t="s">
        <v>57</v>
      </c>
      <c r="S351" s="15" t="str">
        <f>"－"</f>
        <v>－</v>
      </c>
      <c r="T351" s="16" t="str">
        <f>"－"</f>
        <v>－</v>
      </c>
      <c r="U351" s="16"/>
      <c r="V351" s="16" t="str">
        <f>"－"</f>
        <v>－</v>
      </c>
      <c r="W351" s="16"/>
      <c r="X351" s="16" t="str">
        <f>"－"</f>
        <v>－</v>
      </c>
      <c r="Y351" s="13"/>
      <c r="Z351" s="17" t="n">
        <f>500</f>
        <v>500.0</v>
      </c>
      <c r="AA351" s="18" t="str">
        <f>"－"</f>
        <v>－</v>
      </c>
      <c r="AB351" s="11" t="s">
        <v>448</v>
      </c>
    </row>
    <row r="352">
      <c r="A352" s="11" t="s">
        <v>46</v>
      </c>
      <c r="B352" s="11" t="s">
        <v>47</v>
      </c>
      <c r="C352" s="11" t="s">
        <v>48</v>
      </c>
      <c r="D352" s="11" t="s">
        <v>49</v>
      </c>
      <c r="E352" s="11" t="s">
        <v>447</v>
      </c>
      <c r="F352" s="12" t="n">
        <v>14000.0</v>
      </c>
      <c r="G352" s="13" t="s">
        <v>207</v>
      </c>
      <c r="H352" s="14" t="s">
        <v>76</v>
      </c>
      <c r="I352" s="13" t="s">
        <v>207</v>
      </c>
      <c r="J352" s="14" t="s">
        <v>76</v>
      </c>
      <c r="K352" s="13"/>
      <c r="L352" s="14"/>
      <c r="M352" s="13" t="s">
        <v>215</v>
      </c>
      <c r="N352" s="14" t="s">
        <v>77</v>
      </c>
      <c r="O352" s="13"/>
      <c r="P352" s="14"/>
      <c r="Q352" s="13" t="s">
        <v>215</v>
      </c>
      <c r="R352" s="14" t="s">
        <v>77</v>
      </c>
      <c r="S352" s="15" t="n">
        <f>19</f>
        <v>19.0</v>
      </c>
      <c r="T352" s="16" t="n">
        <f>4</f>
        <v>4.0</v>
      </c>
      <c r="U352" s="16"/>
      <c r="V352" s="16" t="n">
        <f>84000</f>
        <v>84000.0</v>
      </c>
      <c r="W352" s="16"/>
      <c r="X352" s="16" t="str">
        <f>"－"</f>
        <v>－</v>
      </c>
      <c r="Y352" s="13"/>
      <c r="Z352" s="17" t="n">
        <f>2653</f>
        <v>2653.0</v>
      </c>
      <c r="AA352" s="18" t="n">
        <f>2</f>
        <v>2.0</v>
      </c>
      <c r="AB352" s="11" t="s">
        <v>448</v>
      </c>
    </row>
    <row r="353">
      <c r="A353" s="11" t="s">
        <v>46</v>
      </c>
      <c r="B353" s="11" t="s">
        <v>47</v>
      </c>
      <c r="C353" s="11" t="s">
        <v>48</v>
      </c>
      <c r="D353" s="11" t="s">
        <v>49</v>
      </c>
      <c r="E353" s="11" t="s">
        <v>447</v>
      </c>
      <c r="F353" s="12" t="n">
        <v>14500.0</v>
      </c>
      <c r="G353" s="13" t="s">
        <v>288</v>
      </c>
      <c r="H353" s="14" t="s">
        <v>216</v>
      </c>
      <c r="I353" s="13" t="s">
        <v>215</v>
      </c>
      <c r="J353" s="14" t="s">
        <v>74</v>
      </c>
      <c r="K353" s="13" t="s">
        <v>55</v>
      </c>
      <c r="L353" s="14" t="s">
        <v>217</v>
      </c>
      <c r="M353" s="13" t="s">
        <v>288</v>
      </c>
      <c r="N353" s="14" t="s">
        <v>216</v>
      </c>
      <c r="O353" s="13" t="s">
        <v>55</v>
      </c>
      <c r="P353" s="14" t="s">
        <v>217</v>
      </c>
      <c r="Q353" s="13" t="s">
        <v>215</v>
      </c>
      <c r="R353" s="14" t="s">
        <v>74</v>
      </c>
      <c r="S353" s="15" t="n">
        <f>18</f>
        <v>18.0</v>
      </c>
      <c r="T353" s="16" t="n">
        <f>602</f>
        <v>602.0</v>
      </c>
      <c r="U353" s="16" t="n">
        <v>600.0</v>
      </c>
      <c r="V353" s="16" t="n">
        <f>28836000</f>
        <v>2.8836E7</v>
      </c>
      <c r="W353" s="16" t="n">
        <v>2.88E7</v>
      </c>
      <c r="X353" s="16" t="str">
        <f>"－"</f>
        <v>－</v>
      </c>
      <c r="Y353" s="13"/>
      <c r="Z353" s="17" t="n">
        <f>1801</f>
        <v>1801.0</v>
      </c>
      <c r="AA353" s="18" t="n">
        <f>2</f>
        <v>2.0</v>
      </c>
      <c r="AB353" s="11" t="s">
        <v>448</v>
      </c>
    </row>
    <row r="354">
      <c r="A354" s="11" t="s">
        <v>46</v>
      </c>
      <c r="B354" s="11" t="s">
        <v>47</v>
      </c>
      <c r="C354" s="11" t="s">
        <v>48</v>
      </c>
      <c r="D354" s="11" t="s">
        <v>49</v>
      </c>
      <c r="E354" s="11" t="s">
        <v>447</v>
      </c>
      <c r="F354" s="12" t="n">
        <v>15000.0</v>
      </c>
      <c r="G354" s="13" t="s">
        <v>211</v>
      </c>
      <c r="H354" s="14" t="s">
        <v>79</v>
      </c>
      <c r="I354" s="13" t="s">
        <v>204</v>
      </c>
      <c r="J354" s="14" t="s">
        <v>184</v>
      </c>
      <c r="K354" s="13" t="s">
        <v>208</v>
      </c>
      <c r="L354" s="14" t="s">
        <v>78</v>
      </c>
      <c r="M354" s="13" t="s">
        <v>215</v>
      </c>
      <c r="N354" s="14" t="s">
        <v>76</v>
      </c>
      <c r="O354" s="13" t="s">
        <v>208</v>
      </c>
      <c r="P354" s="14" t="s">
        <v>78</v>
      </c>
      <c r="Q354" s="13" t="s">
        <v>204</v>
      </c>
      <c r="R354" s="14" t="s">
        <v>184</v>
      </c>
      <c r="S354" s="15" t="n">
        <f>26.33</f>
        <v>26.33</v>
      </c>
      <c r="T354" s="16" t="n">
        <f>719</f>
        <v>719.0</v>
      </c>
      <c r="U354" s="16" t="n">
        <v>700.0</v>
      </c>
      <c r="V354" s="16" t="n">
        <f>12454000</f>
        <v>1.2454E7</v>
      </c>
      <c r="W354" s="16" t="n">
        <v>1.19E7</v>
      </c>
      <c r="X354" s="16" t="str">
        <f>"－"</f>
        <v>－</v>
      </c>
      <c r="Y354" s="13"/>
      <c r="Z354" s="17" t="n">
        <f>3793</f>
        <v>3793.0</v>
      </c>
      <c r="AA354" s="18" t="n">
        <f>3</f>
        <v>3.0</v>
      </c>
      <c r="AB354" s="11" t="s">
        <v>448</v>
      </c>
    </row>
    <row r="355">
      <c r="A355" s="11" t="s">
        <v>46</v>
      </c>
      <c r="B355" s="11" t="s">
        <v>47</v>
      </c>
      <c r="C355" s="11" t="s">
        <v>48</v>
      </c>
      <c r="D355" s="11" t="s">
        <v>49</v>
      </c>
      <c r="E355" s="11" t="s">
        <v>447</v>
      </c>
      <c r="F355" s="12" t="n">
        <v>15500.0</v>
      </c>
      <c r="G355" s="13"/>
      <c r="H355" s="14" t="s">
        <v>57</v>
      </c>
      <c r="I355" s="13"/>
      <c r="J355" s="14" t="s">
        <v>57</v>
      </c>
      <c r="K355" s="13"/>
      <c r="L355" s="14"/>
      <c r="M355" s="13"/>
      <c r="N355" s="14" t="s">
        <v>57</v>
      </c>
      <c r="O355" s="13"/>
      <c r="P355" s="14"/>
      <c r="Q355" s="13"/>
      <c r="R355" s="14" t="s">
        <v>57</v>
      </c>
      <c r="S355" s="15" t="str">
        <f>"－"</f>
        <v>－</v>
      </c>
      <c r="T355" s="16" t="str">
        <f>"－"</f>
        <v>－</v>
      </c>
      <c r="U355" s="16"/>
      <c r="V355" s="16" t="str">
        <f>"－"</f>
        <v>－</v>
      </c>
      <c r="W355" s="16"/>
      <c r="X355" s="16" t="str">
        <f>"－"</f>
        <v>－</v>
      </c>
      <c r="Y355" s="13"/>
      <c r="Z355" s="17" t="n">
        <f>650</f>
        <v>650.0</v>
      </c>
      <c r="AA355" s="18" t="str">
        <f>"－"</f>
        <v>－</v>
      </c>
      <c r="AB355" s="11" t="s">
        <v>448</v>
      </c>
    </row>
    <row r="356">
      <c r="A356" s="11" t="s">
        <v>46</v>
      </c>
      <c r="B356" s="11" t="s">
        <v>47</v>
      </c>
      <c r="C356" s="11" t="s">
        <v>48</v>
      </c>
      <c r="D356" s="11" t="s">
        <v>49</v>
      </c>
      <c r="E356" s="11" t="s">
        <v>447</v>
      </c>
      <c r="F356" s="12" t="n">
        <v>15750.0</v>
      </c>
      <c r="G356" s="13"/>
      <c r="H356" s="14" t="s">
        <v>57</v>
      </c>
      <c r="I356" s="13"/>
      <c r="J356" s="14" t="s">
        <v>57</v>
      </c>
      <c r="K356" s="13"/>
      <c r="L356" s="14"/>
      <c r="M356" s="13"/>
      <c r="N356" s="14" t="s">
        <v>57</v>
      </c>
      <c r="O356" s="13"/>
      <c r="P356" s="14"/>
      <c r="Q356" s="13"/>
      <c r="R356" s="14" t="s">
        <v>57</v>
      </c>
      <c r="S356" s="15" t="str">
        <f>"－"</f>
        <v>－</v>
      </c>
      <c r="T356" s="16" t="str">
        <f>"－"</f>
        <v>－</v>
      </c>
      <c r="U356" s="16"/>
      <c r="V356" s="16" t="str">
        <f>"－"</f>
        <v>－</v>
      </c>
      <c r="W356" s="16"/>
      <c r="X356" s="16" t="str">
        <f>"－"</f>
        <v>－</v>
      </c>
      <c r="Y356" s="13"/>
      <c r="Z356" s="17" t="n">
        <f>11</f>
        <v>11.0</v>
      </c>
      <c r="AA356" s="18" t="str">
        <f>"－"</f>
        <v>－</v>
      </c>
      <c r="AB356" s="11" t="s">
        <v>448</v>
      </c>
    </row>
    <row r="357">
      <c r="A357" s="11" t="s">
        <v>46</v>
      </c>
      <c r="B357" s="11" t="s">
        <v>47</v>
      </c>
      <c r="C357" s="11" t="s">
        <v>48</v>
      </c>
      <c r="D357" s="11" t="s">
        <v>49</v>
      </c>
      <c r="E357" s="11" t="s">
        <v>447</v>
      </c>
      <c r="F357" s="12" t="n">
        <v>16000.0</v>
      </c>
      <c r="G357" s="13" t="s">
        <v>56</v>
      </c>
      <c r="H357" s="14" t="s">
        <v>92</v>
      </c>
      <c r="I357" s="13" t="s">
        <v>56</v>
      </c>
      <c r="J357" s="14" t="s">
        <v>92</v>
      </c>
      <c r="K357" s="13"/>
      <c r="L357" s="14"/>
      <c r="M357" s="13" t="s">
        <v>207</v>
      </c>
      <c r="N357" s="14" t="s">
        <v>89</v>
      </c>
      <c r="O357" s="13"/>
      <c r="P357" s="14"/>
      <c r="Q357" s="13" t="s">
        <v>207</v>
      </c>
      <c r="R357" s="14" t="s">
        <v>89</v>
      </c>
      <c r="S357" s="15" t="n">
        <f>36.33</f>
        <v>36.33</v>
      </c>
      <c r="T357" s="16" t="n">
        <f>14</f>
        <v>14.0</v>
      </c>
      <c r="U357" s="16"/>
      <c r="V357" s="16" t="n">
        <f>521000</f>
        <v>521000.0</v>
      </c>
      <c r="W357" s="16"/>
      <c r="X357" s="16" t="str">
        <f>"－"</f>
        <v>－</v>
      </c>
      <c r="Y357" s="13"/>
      <c r="Z357" s="17" t="n">
        <f>6061</f>
        <v>6061.0</v>
      </c>
      <c r="AA357" s="18" t="n">
        <f>3</f>
        <v>3.0</v>
      </c>
      <c r="AB357" s="11" t="s">
        <v>448</v>
      </c>
    </row>
    <row r="358">
      <c r="A358" s="11" t="s">
        <v>46</v>
      </c>
      <c r="B358" s="11" t="s">
        <v>47</v>
      </c>
      <c r="C358" s="11" t="s">
        <v>48</v>
      </c>
      <c r="D358" s="11" t="s">
        <v>49</v>
      </c>
      <c r="E358" s="11" t="s">
        <v>447</v>
      </c>
      <c r="F358" s="12" t="n">
        <v>16250.0</v>
      </c>
      <c r="G358" s="13" t="s">
        <v>56</v>
      </c>
      <c r="H358" s="14" t="s">
        <v>88</v>
      </c>
      <c r="I358" s="13" t="s">
        <v>56</v>
      </c>
      <c r="J358" s="14" t="s">
        <v>88</v>
      </c>
      <c r="K358" s="13"/>
      <c r="L358" s="14"/>
      <c r="M358" s="13" t="s">
        <v>56</v>
      </c>
      <c r="N358" s="14" t="s">
        <v>88</v>
      </c>
      <c r="O358" s="13"/>
      <c r="P358" s="14"/>
      <c r="Q358" s="13" t="s">
        <v>56</v>
      </c>
      <c r="R358" s="14" t="s">
        <v>88</v>
      </c>
      <c r="S358" s="15" t="n">
        <f>42</f>
        <v>42.0</v>
      </c>
      <c r="T358" s="16" t="n">
        <f>3</f>
        <v>3.0</v>
      </c>
      <c r="U358" s="16"/>
      <c r="V358" s="16" t="n">
        <f>126000</f>
        <v>126000.0</v>
      </c>
      <c r="W358" s="16"/>
      <c r="X358" s="16" t="str">
        <f>"－"</f>
        <v>－</v>
      </c>
      <c r="Y358" s="13"/>
      <c r="Z358" s="17" t="n">
        <f>333</f>
        <v>333.0</v>
      </c>
      <c r="AA358" s="18" t="n">
        <f>1</f>
        <v>1.0</v>
      </c>
      <c r="AB358" s="11" t="s">
        <v>448</v>
      </c>
    </row>
    <row r="359">
      <c r="A359" s="11" t="s">
        <v>46</v>
      </c>
      <c r="B359" s="11" t="s">
        <v>47</v>
      </c>
      <c r="C359" s="11" t="s">
        <v>48</v>
      </c>
      <c r="D359" s="11" t="s">
        <v>49</v>
      </c>
      <c r="E359" s="11" t="s">
        <v>447</v>
      </c>
      <c r="F359" s="12" t="n">
        <v>16500.0</v>
      </c>
      <c r="G359" s="13" t="s">
        <v>56</v>
      </c>
      <c r="H359" s="14" t="s">
        <v>335</v>
      </c>
      <c r="I359" s="13" t="s">
        <v>206</v>
      </c>
      <c r="J359" s="14" t="s">
        <v>88</v>
      </c>
      <c r="K359" s="13" t="s">
        <v>55</v>
      </c>
      <c r="L359" s="14" t="s">
        <v>277</v>
      </c>
      <c r="M359" s="13" t="s">
        <v>202</v>
      </c>
      <c r="N359" s="14" t="s">
        <v>84</v>
      </c>
      <c r="O359" s="13" t="s">
        <v>55</v>
      </c>
      <c r="P359" s="14" t="s">
        <v>188</v>
      </c>
      <c r="Q359" s="13" t="s">
        <v>211</v>
      </c>
      <c r="R359" s="14" t="s">
        <v>89</v>
      </c>
      <c r="S359" s="15" t="n">
        <f>38</f>
        <v>38.0</v>
      </c>
      <c r="T359" s="16" t="n">
        <f>443</f>
        <v>443.0</v>
      </c>
      <c r="U359" s="16" t="n">
        <v>400.0</v>
      </c>
      <c r="V359" s="16" t="n">
        <f>32729000</f>
        <v>3.2729E7</v>
      </c>
      <c r="W359" s="16" t="n">
        <v>3.12E7</v>
      </c>
      <c r="X359" s="16" t="str">
        <f>"－"</f>
        <v>－</v>
      </c>
      <c r="Y359" s="13"/>
      <c r="Z359" s="17" t="n">
        <f>2496</f>
        <v>2496.0</v>
      </c>
      <c r="AA359" s="18" t="n">
        <f>4</f>
        <v>4.0</v>
      </c>
      <c r="AB359" s="11" t="s">
        <v>448</v>
      </c>
    </row>
    <row r="360">
      <c r="A360" s="11" t="s">
        <v>46</v>
      </c>
      <c r="B360" s="11" t="s">
        <v>47</v>
      </c>
      <c r="C360" s="11" t="s">
        <v>48</v>
      </c>
      <c r="D360" s="11" t="s">
        <v>49</v>
      </c>
      <c r="E360" s="11" t="s">
        <v>447</v>
      </c>
      <c r="F360" s="12" t="n">
        <v>16750.0</v>
      </c>
      <c r="G360" s="13" t="s">
        <v>56</v>
      </c>
      <c r="H360" s="14" t="s">
        <v>96</v>
      </c>
      <c r="I360" s="13" t="s">
        <v>210</v>
      </c>
      <c r="J360" s="14" t="s">
        <v>189</v>
      </c>
      <c r="K360" s="13"/>
      <c r="L360" s="14"/>
      <c r="M360" s="13" t="s">
        <v>202</v>
      </c>
      <c r="N360" s="14" t="s">
        <v>90</v>
      </c>
      <c r="O360" s="13"/>
      <c r="P360" s="14"/>
      <c r="Q360" s="13" t="s">
        <v>210</v>
      </c>
      <c r="R360" s="14" t="s">
        <v>189</v>
      </c>
      <c r="S360" s="15" t="n">
        <f>41.67</f>
        <v>41.67</v>
      </c>
      <c r="T360" s="16" t="n">
        <f>27</f>
        <v>27.0</v>
      </c>
      <c r="U360" s="16"/>
      <c r="V360" s="16" t="n">
        <f>1095000</f>
        <v>1095000.0</v>
      </c>
      <c r="W360" s="16"/>
      <c r="X360" s="16" t="str">
        <f>"－"</f>
        <v>－</v>
      </c>
      <c r="Y360" s="13"/>
      <c r="Z360" s="17" t="n">
        <f>27</f>
        <v>27.0</v>
      </c>
      <c r="AA360" s="18" t="n">
        <f>3</f>
        <v>3.0</v>
      </c>
      <c r="AB360" s="11" t="s">
        <v>448</v>
      </c>
    </row>
    <row r="361">
      <c r="A361" s="11" t="s">
        <v>46</v>
      </c>
      <c r="B361" s="11" t="s">
        <v>47</v>
      </c>
      <c r="C361" s="11" t="s">
        <v>48</v>
      </c>
      <c r="D361" s="11" t="s">
        <v>49</v>
      </c>
      <c r="E361" s="11" t="s">
        <v>447</v>
      </c>
      <c r="F361" s="12" t="n">
        <v>17000.0</v>
      </c>
      <c r="G361" s="13" t="s">
        <v>56</v>
      </c>
      <c r="H361" s="14" t="s">
        <v>217</v>
      </c>
      <c r="I361" s="13" t="s">
        <v>56</v>
      </c>
      <c r="J361" s="14" t="s">
        <v>217</v>
      </c>
      <c r="K361" s="13" t="s">
        <v>60</v>
      </c>
      <c r="L361" s="14" t="s">
        <v>333</v>
      </c>
      <c r="M361" s="13" t="s">
        <v>202</v>
      </c>
      <c r="N361" s="14" t="s">
        <v>86</v>
      </c>
      <c r="O361" s="13" t="s">
        <v>60</v>
      </c>
      <c r="P361" s="14" t="s">
        <v>333</v>
      </c>
      <c r="Q361" s="13" t="s">
        <v>202</v>
      </c>
      <c r="R361" s="14" t="s">
        <v>86</v>
      </c>
      <c r="S361" s="15" t="n">
        <f>43</f>
        <v>43.0</v>
      </c>
      <c r="T361" s="16" t="n">
        <f>161</f>
        <v>161.0</v>
      </c>
      <c r="U361" s="16" t="n">
        <v>150.0</v>
      </c>
      <c r="V361" s="16" t="n">
        <f>10514000</f>
        <v>1.0514E7</v>
      </c>
      <c r="W361" s="16" t="n">
        <v>1.005E7</v>
      </c>
      <c r="X361" s="16" t="str">
        <f>"－"</f>
        <v>－</v>
      </c>
      <c r="Y361" s="13"/>
      <c r="Z361" s="17" t="n">
        <f>3861</f>
        <v>3861.0</v>
      </c>
      <c r="AA361" s="18" t="n">
        <f>2</f>
        <v>2.0</v>
      </c>
      <c r="AB361" s="11" t="s">
        <v>448</v>
      </c>
    </row>
    <row r="362">
      <c r="A362" s="11" t="s">
        <v>46</v>
      </c>
      <c r="B362" s="11" t="s">
        <v>47</v>
      </c>
      <c r="C362" s="11" t="s">
        <v>48</v>
      </c>
      <c r="D362" s="11" t="s">
        <v>49</v>
      </c>
      <c r="E362" s="11" t="s">
        <v>447</v>
      </c>
      <c r="F362" s="12" t="n">
        <v>17250.0</v>
      </c>
      <c r="G362" s="13" t="s">
        <v>202</v>
      </c>
      <c r="H362" s="14" t="s">
        <v>88</v>
      </c>
      <c r="I362" s="13" t="s">
        <v>202</v>
      </c>
      <c r="J362" s="14" t="s">
        <v>88</v>
      </c>
      <c r="K362" s="13"/>
      <c r="L362" s="14"/>
      <c r="M362" s="13" t="s">
        <v>202</v>
      </c>
      <c r="N362" s="14" t="s">
        <v>88</v>
      </c>
      <c r="O362" s="13"/>
      <c r="P362" s="14"/>
      <c r="Q362" s="13" t="s">
        <v>202</v>
      </c>
      <c r="R362" s="14" t="s">
        <v>88</v>
      </c>
      <c r="S362" s="15" t="n">
        <f>42</f>
        <v>42.0</v>
      </c>
      <c r="T362" s="16" t="n">
        <f>6</f>
        <v>6.0</v>
      </c>
      <c r="U362" s="16"/>
      <c r="V362" s="16" t="n">
        <f>252000</f>
        <v>252000.0</v>
      </c>
      <c r="W362" s="16"/>
      <c r="X362" s="16" t="str">
        <f>"－"</f>
        <v>－</v>
      </c>
      <c r="Y362" s="13"/>
      <c r="Z362" s="17" t="n">
        <f>44</f>
        <v>44.0</v>
      </c>
      <c r="AA362" s="18" t="n">
        <f>1</f>
        <v>1.0</v>
      </c>
      <c r="AB362" s="11" t="s">
        <v>448</v>
      </c>
    </row>
    <row r="363">
      <c r="A363" s="11" t="s">
        <v>46</v>
      </c>
      <c r="B363" s="11" t="s">
        <v>47</v>
      </c>
      <c r="C363" s="11" t="s">
        <v>48</v>
      </c>
      <c r="D363" s="11" t="s">
        <v>49</v>
      </c>
      <c r="E363" s="11" t="s">
        <v>447</v>
      </c>
      <c r="F363" s="12" t="n">
        <v>17500.0</v>
      </c>
      <c r="G363" s="13" t="s">
        <v>206</v>
      </c>
      <c r="H363" s="14" t="s">
        <v>264</v>
      </c>
      <c r="I363" s="13" t="s">
        <v>206</v>
      </c>
      <c r="J363" s="14" t="s">
        <v>220</v>
      </c>
      <c r="K363" s="13" t="s">
        <v>55</v>
      </c>
      <c r="L363" s="14" t="s">
        <v>277</v>
      </c>
      <c r="M363" s="13" t="s">
        <v>202</v>
      </c>
      <c r="N363" s="14" t="s">
        <v>96</v>
      </c>
      <c r="O363" s="13" t="s">
        <v>207</v>
      </c>
      <c r="P363" s="14" t="s">
        <v>113</v>
      </c>
      <c r="Q363" s="13" t="s">
        <v>202</v>
      </c>
      <c r="R363" s="14" t="s">
        <v>96</v>
      </c>
      <c r="S363" s="15" t="n">
        <f>51</f>
        <v>51.0</v>
      </c>
      <c r="T363" s="16" t="n">
        <f>617</f>
        <v>617.0</v>
      </c>
      <c r="U363" s="16" t="n">
        <v>600.0</v>
      </c>
      <c r="V363" s="16" t="n">
        <f>44436000</f>
        <v>4.4436E7</v>
      </c>
      <c r="W363" s="16" t="n">
        <v>4.36E7</v>
      </c>
      <c r="X363" s="16" t="str">
        <f>"－"</f>
        <v>－</v>
      </c>
      <c r="Y363" s="13"/>
      <c r="Z363" s="17" t="n">
        <f>2993</f>
        <v>2993.0</v>
      </c>
      <c r="AA363" s="18" t="n">
        <f>2</f>
        <v>2.0</v>
      </c>
      <c r="AB363" s="11" t="s">
        <v>448</v>
      </c>
    </row>
    <row r="364">
      <c r="A364" s="11" t="s">
        <v>46</v>
      </c>
      <c r="B364" s="11" t="s">
        <v>47</v>
      </c>
      <c r="C364" s="11" t="s">
        <v>48</v>
      </c>
      <c r="D364" s="11" t="s">
        <v>49</v>
      </c>
      <c r="E364" s="11" t="s">
        <v>447</v>
      </c>
      <c r="F364" s="12" t="n">
        <v>17750.0</v>
      </c>
      <c r="G364" s="13" t="s">
        <v>208</v>
      </c>
      <c r="H364" s="14" t="s">
        <v>269</v>
      </c>
      <c r="I364" s="13" t="s">
        <v>208</v>
      </c>
      <c r="J364" s="14" t="s">
        <v>269</v>
      </c>
      <c r="K364" s="13"/>
      <c r="L364" s="14"/>
      <c r="M364" s="13" t="s">
        <v>208</v>
      </c>
      <c r="N364" s="14" t="s">
        <v>269</v>
      </c>
      <c r="O364" s="13"/>
      <c r="P364" s="14"/>
      <c r="Q364" s="13" t="s">
        <v>208</v>
      </c>
      <c r="R364" s="14" t="s">
        <v>269</v>
      </c>
      <c r="S364" s="15" t="n">
        <f>63</f>
        <v>63.0</v>
      </c>
      <c r="T364" s="16" t="n">
        <f>7</f>
        <v>7.0</v>
      </c>
      <c r="U364" s="16"/>
      <c r="V364" s="16" t="n">
        <f>441000</f>
        <v>441000.0</v>
      </c>
      <c r="W364" s="16"/>
      <c r="X364" s="16" t="str">
        <f>"－"</f>
        <v>－</v>
      </c>
      <c r="Y364" s="13"/>
      <c r="Z364" s="17" t="n">
        <f>40</f>
        <v>40.0</v>
      </c>
      <c r="AA364" s="18" t="n">
        <f>1</f>
        <v>1.0</v>
      </c>
      <c r="AB364" s="11" t="s">
        <v>448</v>
      </c>
    </row>
    <row r="365">
      <c r="A365" s="11" t="s">
        <v>46</v>
      </c>
      <c r="B365" s="11" t="s">
        <v>47</v>
      </c>
      <c r="C365" s="11" t="s">
        <v>48</v>
      </c>
      <c r="D365" s="11" t="s">
        <v>49</v>
      </c>
      <c r="E365" s="11" t="s">
        <v>447</v>
      </c>
      <c r="F365" s="12" t="n">
        <v>18000.0</v>
      </c>
      <c r="G365" s="13" t="s">
        <v>61</v>
      </c>
      <c r="H365" s="14" t="s">
        <v>219</v>
      </c>
      <c r="I365" s="13" t="s">
        <v>61</v>
      </c>
      <c r="J365" s="14" t="s">
        <v>219</v>
      </c>
      <c r="K365" s="13" t="s">
        <v>60</v>
      </c>
      <c r="L365" s="14" t="s">
        <v>111</v>
      </c>
      <c r="M365" s="13" t="s">
        <v>202</v>
      </c>
      <c r="N365" s="14" t="s">
        <v>113</v>
      </c>
      <c r="O365" s="13" t="s">
        <v>56</v>
      </c>
      <c r="P365" s="14" t="s">
        <v>188</v>
      </c>
      <c r="Q365" s="13" t="s">
        <v>208</v>
      </c>
      <c r="R365" s="14" t="s">
        <v>188</v>
      </c>
      <c r="S365" s="15" t="n">
        <f>59.57</f>
        <v>59.57</v>
      </c>
      <c r="T365" s="16" t="n">
        <f>2266</f>
        <v>2266.0</v>
      </c>
      <c r="U365" s="16" t="n">
        <v>2100.0</v>
      </c>
      <c r="V365" s="16" t="n">
        <f>144403000</f>
        <v>1.44403E8</v>
      </c>
      <c r="W365" s="16" t="n">
        <v>1.342E8</v>
      </c>
      <c r="X365" s="16" t="str">
        <f>"－"</f>
        <v>－</v>
      </c>
      <c r="Y365" s="13"/>
      <c r="Z365" s="17" t="n">
        <f>7813</f>
        <v>7813.0</v>
      </c>
      <c r="AA365" s="18" t="n">
        <f>7</f>
        <v>7.0</v>
      </c>
      <c r="AB365" s="11" t="s">
        <v>448</v>
      </c>
    </row>
    <row r="366">
      <c r="A366" s="11" t="s">
        <v>46</v>
      </c>
      <c r="B366" s="11" t="s">
        <v>47</v>
      </c>
      <c r="C366" s="11" t="s">
        <v>48</v>
      </c>
      <c r="D366" s="11" t="s">
        <v>49</v>
      </c>
      <c r="E366" s="11" t="s">
        <v>447</v>
      </c>
      <c r="F366" s="12" t="n">
        <v>18250.0</v>
      </c>
      <c r="G366" s="13"/>
      <c r="H366" s="14" t="s">
        <v>57</v>
      </c>
      <c r="I366" s="13"/>
      <c r="J366" s="14" t="s">
        <v>57</v>
      </c>
      <c r="K366" s="13"/>
      <c r="L366" s="14"/>
      <c r="M366" s="13"/>
      <c r="N366" s="14" t="s">
        <v>57</v>
      </c>
      <c r="O366" s="13"/>
      <c r="P366" s="14"/>
      <c r="Q366" s="13"/>
      <c r="R366" s="14" t="s">
        <v>57</v>
      </c>
      <c r="S366" s="15" t="str">
        <f>"－"</f>
        <v>－</v>
      </c>
      <c r="T366" s="16" t="str">
        <f>"－"</f>
        <v>－</v>
      </c>
      <c r="U366" s="16"/>
      <c r="V366" s="16" t="str">
        <f>"－"</f>
        <v>－</v>
      </c>
      <c r="W366" s="16"/>
      <c r="X366" s="16" t="str">
        <f>"－"</f>
        <v>－</v>
      </c>
      <c r="Y366" s="13"/>
      <c r="Z366" s="17" t="n">
        <f>554</f>
        <v>554.0</v>
      </c>
      <c r="AA366" s="18" t="str">
        <f>"－"</f>
        <v>－</v>
      </c>
      <c r="AB366" s="11" t="s">
        <v>448</v>
      </c>
    </row>
    <row r="367">
      <c r="A367" s="11" t="s">
        <v>46</v>
      </c>
      <c r="B367" s="11" t="s">
        <v>47</v>
      </c>
      <c r="C367" s="11" t="s">
        <v>48</v>
      </c>
      <c r="D367" s="11" t="s">
        <v>49</v>
      </c>
      <c r="E367" s="11" t="s">
        <v>447</v>
      </c>
      <c r="F367" s="12" t="n">
        <v>18500.0</v>
      </c>
      <c r="G367" s="13" t="s">
        <v>50</v>
      </c>
      <c r="H367" s="14" t="s">
        <v>120</v>
      </c>
      <c r="I367" s="13" t="s">
        <v>50</v>
      </c>
      <c r="J367" s="14" t="s">
        <v>120</v>
      </c>
      <c r="K367" s="13" t="s">
        <v>56</v>
      </c>
      <c r="L367" s="14" t="s">
        <v>106</v>
      </c>
      <c r="M367" s="13" t="s">
        <v>202</v>
      </c>
      <c r="N367" s="14" t="s">
        <v>220</v>
      </c>
      <c r="O367" s="13" t="s">
        <v>56</v>
      </c>
      <c r="P367" s="14" t="s">
        <v>106</v>
      </c>
      <c r="Q367" s="13" t="s">
        <v>207</v>
      </c>
      <c r="R367" s="14" t="s">
        <v>333</v>
      </c>
      <c r="S367" s="15" t="n">
        <f>79.43</f>
        <v>79.43</v>
      </c>
      <c r="T367" s="16" t="n">
        <f>193</f>
        <v>193.0</v>
      </c>
      <c r="U367" s="16" t="n">
        <v>100.0</v>
      </c>
      <c r="V367" s="16" t="n">
        <f>13575000</f>
        <v>1.3575E7</v>
      </c>
      <c r="W367" s="16" t="n">
        <v>7000000.0</v>
      </c>
      <c r="X367" s="16" t="str">
        <f>"－"</f>
        <v>－</v>
      </c>
      <c r="Y367" s="13"/>
      <c r="Z367" s="17" t="n">
        <f>4152</f>
        <v>4152.0</v>
      </c>
      <c r="AA367" s="18" t="n">
        <f>7</f>
        <v>7.0</v>
      </c>
      <c r="AB367" s="11" t="s">
        <v>448</v>
      </c>
    </row>
    <row r="368">
      <c r="A368" s="11" t="s">
        <v>46</v>
      </c>
      <c r="B368" s="11" t="s">
        <v>47</v>
      </c>
      <c r="C368" s="11" t="s">
        <v>48</v>
      </c>
      <c r="D368" s="11" t="s">
        <v>49</v>
      </c>
      <c r="E368" s="11" t="s">
        <v>447</v>
      </c>
      <c r="F368" s="12" t="n">
        <v>18750.0</v>
      </c>
      <c r="G368" s="13" t="s">
        <v>56</v>
      </c>
      <c r="H368" s="14" t="s">
        <v>336</v>
      </c>
      <c r="I368" s="13" t="s">
        <v>208</v>
      </c>
      <c r="J368" s="14" t="s">
        <v>109</v>
      </c>
      <c r="K368" s="13"/>
      <c r="L368" s="14"/>
      <c r="M368" s="13" t="s">
        <v>207</v>
      </c>
      <c r="N368" s="14" t="s">
        <v>103</v>
      </c>
      <c r="O368" s="13"/>
      <c r="P368" s="14"/>
      <c r="Q368" s="13" t="s">
        <v>208</v>
      </c>
      <c r="R368" s="14" t="s">
        <v>109</v>
      </c>
      <c r="S368" s="15" t="n">
        <f>74</f>
        <v>74.0</v>
      </c>
      <c r="T368" s="16" t="n">
        <f>21</f>
        <v>21.0</v>
      </c>
      <c r="U368" s="16"/>
      <c r="V368" s="16" t="n">
        <f>1561000</f>
        <v>1561000.0</v>
      </c>
      <c r="W368" s="16"/>
      <c r="X368" s="16" t="str">
        <f>"－"</f>
        <v>－</v>
      </c>
      <c r="Y368" s="13"/>
      <c r="Z368" s="17" t="n">
        <f>10</f>
        <v>10.0</v>
      </c>
      <c r="AA368" s="18" t="n">
        <f>3</f>
        <v>3.0</v>
      </c>
      <c r="AB368" s="11" t="s">
        <v>448</v>
      </c>
    </row>
    <row r="369">
      <c r="A369" s="11" t="s">
        <v>46</v>
      </c>
      <c r="B369" s="11" t="s">
        <v>47</v>
      </c>
      <c r="C369" s="11" t="s">
        <v>48</v>
      </c>
      <c r="D369" s="11" t="s">
        <v>49</v>
      </c>
      <c r="E369" s="11" t="s">
        <v>447</v>
      </c>
      <c r="F369" s="12" t="n">
        <v>19000.0</v>
      </c>
      <c r="G369" s="13" t="s">
        <v>56</v>
      </c>
      <c r="H369" s="14" t="s">
        <v>276</v>
      </c>
      <c r="I369" s="13" t="s">
        <v>204</v>
      </c>
      <c r="J369" s="14" t="s">
        <v>116</v>
      </c>
      <c r="K369" s="13" t="s">
        <v>55</v>
      </c>
      <c r="L369" s="14" t="s">
        <v>117</v>
      </c>
      <c r="M369" s="13" t="s">
        <v>202</v>
      </c>
      <c r="N369" s="14" t="s">
        <v>221</v>
      </c>
      <c r="O369" s="13" t="s">
        <v>61</v>
      </c>
      <c r="P369" s="14" t="s">
        <v>412</v>
      </c>
      <c r="Q369" s="13" t="s">
        <v>204</v>
      </c>
      <c r="R369" s="14" t="s">
        <v>116</v>
      </c>
      <c r="S369" s="15" t="n">
        <f>81</f>
        <v>81.0</v>
      </c>
      <c r="T369" s="16" t="n">
        <f>790</f>
        <v>790.0</v>
      </c>
      <c r="U369" s="16" t="n">
        <v>750.0</v>
      </c>
      <c r="V369" s="16" t="n">
        <f>75686000</f>
        <v>7.5686E7</v>
      </c>
      <c r="W369" s="16" t="n">
        <v>7.235E7</v>
      </c>
      <c r="X369" s="16" t="str">
        <f>"－"</f>
        <v>－</v>
      </c>
      <c r="Y369" s="13"/>
      <c r="Z369" s="17" t="n">
        <f>6192</f>
        <v>6192.0</v>
      </c>
      <c r="AA369" s="18" t="n">
        <f>5</f>
        <v>5.0</v>
      </c>
      <c r="AB369" s="11" t="s">
        <v>448</v>
      </c>
    </row>
    <row r="370">
      <c r="A370" s="11" t="s">
        <v>46</v>
      </c>
      <c r="B370" s="11" t="s">
        <v>47</v>
      </c>
      <c r="C370" s="11" t="s">
        <v>48</v>
      </c>
      <c r="D370" s="11" t="s">
        <v>49</v>
      </c>
      <c r="E370" s="11" t="s">
        <v>447</v>
      </c>
      <c r="F370" s="12" t="n">
        <v>19250.0</v>
      </c>
      <c r="G370" s="13" t="s">
        <v>207</v>
      </c>
      <c r="H370" s="14" t="s">
        <v>108</v>
      </c>
      <c r="I370" s="13" t="s">
        <v>207</v>
      </c>
      <c r="J370" s="14" t="s">
        <v>108</v>
      </c>
      <c r="K370" s="13"/>
      <c r="L370" s="14"/>
      <c r="M370" s="13" t="s">
        <v>207</v>
      </c>
      <c r="N370" s="14" t="s">
        <v>108</v>
      </c>
      <c r="O370" s="13"/>
      <c r="P370" s="14"/>
      <c r="Q370" s="13" t="s">
        <v>208</v>
      </c>
      <c r="R370" s="14" t="s">
        <v>108</v>
      </c>
      <c r="S370" s="15" t="n">
        <f>79</f>
        <v>79.0</v>
      </c>
      <c r="T370" s="16" t="n">
        <f>10</f>
        <v>10.0</v>
      </c>
      <c r="U370" s="16"/>
      <c r="V370" s="16" t="n">
        <f>790000</f>
        <v>790000.0</v>
      </c>
      <c r="W370" s="16"/>
      <c r="X370" s="16" t="str">
        <f>"－"</f>
        <v>－</v>
      </c>
      <c r="Y370" s="13"/>
      <c r="Z370" s="17" t="n">
        <f>123</f>
        <v>123.0</v>
      </c>
      <c r="AA370" s="18" t="n">
        <f>2</f>
        <v>2.0</v>
      </c>
      <c r="AB370" s="11" t="s">
        <v>448</v>
      </c>
    </row>
    <row r="371">
      <c r="A371" s="11" t="s">
        <v>46</v>
      </c>
      <c r="B371" s="11" t="s">
        <v>47</v>
      </c>
      <c r="C371" s="11" t="s">
        <v>48</v>
      </c>
      <c r="D371" s="11" t="s">
        <v>49</v>
      </c>
      <c r="E371" s="11" t="s">
        <v>447</v>
      </c>
      <c r="F371" s="12" t="n">
        <v>19500.0</v>
      </c>
      <c r="G371" s="13" t="s">
        <v>55</v>
      </c>
      <c r="H371" s="14" t="s">
        <v>126</v>
      </c>
      <c r="I371" s="13" t="s">
        <v>55</v>
      </c>
      <c r="J371" s="14" t="s">
        <v>126</v>
      </c>
      <c r="K371" s="13" t="s">
        <v>63</v>
      </c>
      <c r="L371" s="14" t="s">
        <v>119</v>
      </c>
      <c r="M371" s="13" t="s">
        <v>202</v>
      </c>
      <c r="N371" s="14" t="s">
        <v>108</v>
      </c>
      <c r="O371" s="13" t="s">
        <v>56</v>
      </c>
      <c r="P371" s="14" t="s">
        <v>226</v>
      </c>
      <c r="Q371" s="13" t="s">
        <v>210</v>
      </c>
      <c r="R371" s="14" t="s">
        <v>348</v>
      </c>
      <c r="S371" s="15" t="n">
        <f>97.88</f>
        <v>97.88</v>
      </c>
      <c r="T371" s="16" t="n">
        <f>718</f>
        <v>718.0</v>
      </c>
      <c r="U371" s="16" t="n">
        <v>700.0</v>
      </c>
      <c r="V371" s="16" t="n">
        <f>72189000</f>
        <v>7.2189E7</v>
      </c>
      <c r="W371" s="16" t="n">
        <v>7.05E7</v>
      </c>
      <c r="X371" s="16" t="str">
        <f>"－"</f>
        <v>－</v>
      </c>
      <c r="Y371" s="13"/>
      <c r="Z371" s="17" t="n">
        <f>6456</f>
        <v>6456.0</v>
      </c>
      <c r="AA371" s="18" t="n">
        <f>8</f>
        <v>8.0</v>
      </c>
      <c r="AB371" s="11" t="s">
        <v>448</v>
      </c>
    </row>
    <row r="372">
      <c r="A372" s="11" t="s">
        <v>46</v>
      </c>
      <c r="B372" s="11" t="s">
        <v>47</v>
      </c>
      <c r="C372" s="11" t="s">
        <v>48</v>
      </c>
      <c r="D372" s="11" t="s">
        <v>49</v>
      </c>
      <c r="E372" s="11" t="s">
        <v>447</v>
      </c>
      <c r="F372" s="12" t="n">
        <v>19750.0</v>
      </c>
      <c r="G372" s="13" t="s">
        <v>56</v>
      </c>
      <c r="H372" s="14" t="s">
        <v>115</v>
      </c>
      <c r="I372" s="13" t="s">
        <v>56</v>
      </c>
      <c r="J372" s="14" t="s">
        <v>115</v>
      </c>
      <c r="K372" s="13"/>
      <c r="L372" s="14"/>
      <c r="M372" s="13" t="s">
        <v>202</v>
      </c>
      <c r="N372" s="14" t="s">
        <v>449</v>
      </c>
      <c r="O372" s="13"/>
      <c r="P372" s="14"/>
      <c r="Q372" s="13" t="s">
        <v>202</v>
      </c>
      <c r="R372" s="14" t="s">
        <v>449</v>
      </c>
      <c r="S372" s="15" t="n">
        <f>88</f>
        <v>88.0</v>
      </c>
      <c r="T372" s="16" t="n">
        <f>13</f>
        <v>13.0</v>
      </c>
      <c r="U372" s="16"/>
      <c r="V372" s="16" t="n">
        <f>1220000</f>
        <v>1220000.0</v>
      </c>
      <c r="W372" s="16"/>
      <c r="X372" s="16" t="str">
        <f>"－"</f>
        <v>－</v>
      </c>
      <c r="Y372" s="13"/>
      <c r="Z372" s="17" t="n">
        <f>157</f>
        <v>157.0</v>
      </c>
      <c r="AA372" s="18" t="n">
        <f>2</f>
        <v>2.0</v>
      </c>
      <c r="AB372" s="11" t="s">
        <v>448</v>
      </c>
    </row>
    <row r="373">
      <c r="A373" s="11" t="s">
        <v>46</v>
      </c>
      <c r="B373" s="11" t="s">
        <v>47</v>
      </c>
      <c r="C373" s="11" t="s">
        <v>48</v>
      </c>
      <c r="D373" s="11" t="s">
        <v>49</v>
      </c>
      <c r="E373" s="11" t="s">
        <v>447</v>
      </c>
      <c r="F373" s="12" t="n">
        <v>20000.0</v>
      </c>
      <c r="G373" s="13" t="s">
        <v>56</v>
      </c>
      <c r="H373" s="14" t="s">
        <v>116</v>
      </c>
      <c r="I373" s="13" t="s">
        <v>208</v>
      </c>
      <c r="J373" s="14" t="s">
        <v>117</v>
      </c>
      <c r="K373" s="13" t="s">
        <v>50</v>
      </c>
      <c r="L373" s="14" t="s">
        <v>450</v>
      </c>
      <c r="M373" s="13" t="s">
        <v>202</v>
      </c>
      <c r="N373" s="14" t="s">
        <v>449</v>
      </c>
      <c r="O373" s="13" t="s">
        <v>52</v>
      </c>
      <c r="P373" s="14" t="s">
        <v>51</v>
      </c>
      <c r="Q373" s="13" t="s">
        <v>210</v>
      </c>
      <c r="R373" s="14" t="s">
        <v>116</v>
      </c>
      <c r="S373" s="15" t="n">
        <f>100.25</f>
        <v>100.25</v>
      </c>
      <c r="T373" s="16" t="n">
        <f>2813</f>
        <v>2813.0</v>
      </c>
      <c r="U373" s="16" t="n">
        <v>2800.0</v>
      </c>
      <c r="V373" s="16" t="n">
        <f>344750000</f>
        <v>3.4475E8</v>
      </c>
      <c r="W373" s="16" t="n">
        <v>3.435E8</v>
      </c>
      <c r="X373" s="16" t="str">
        <f>"－"</f>
        <v>－</v>
      </c>
      <c r="Y373" s="13"/>
      <c r="Z373" s="17" t="n">
        <f>7908</f>
        <v>7908.0</v>
      </c>
      <c r="AA373" s="18" t="n">
        <f>4</f>
        <v>4.0</v>
      </c>
      <c r="AB373" s="11" t="s">
        <v>448</v>
      </c>
    </row>
    <row r="374">
      <c r="A374" s="11" t="s">
        <v>46</v>
      </c>
      <c r="B374" s="11" t="s">
        <v>47</v>
      </c>
      <c r="C374" s="11" t="s">
        <v>48</v>
      </c>
      <c r="D374" s="11" t="s">
        <v>49</v>
      </c>
      <c r="E374" s="11" t="s">
        <v>447</v>
      </c>
      <c r="F374" s="12" t="n">
        <v>20250.0</v>
      </c>
      <c r="G374" s="13" t="s">
        <v>211</v>
      </c>
      <c r="H374" s="14" t="s">
        <v>226</v>
      </c>
      <c r="I374" s="13" t="s">
        <v>211</v>
      </c>
      <c r="J374" s="14" t="s">
        <v>226</v>
      </c>
      <c r="K374" s="13" t="s">
        <v>61</v>
      </c>
      <c r="L374" s="14" t="s">
        <v>451</v>
      </c>
      <c r="M374" s="13" t="s">
        <v>211</v>
      </c>
      <c r="N374" s="14" t="s">
        <v>226</v>
      </c>
      <c r="O374" s="13" t="s">
        <v>61</v>
      </c>
      <c r="P374" s="14" t="s">
        <v>451</v>
      </c>
      <c r="Q374" s="13" t="s">
        <v>211</v>
      </c>
      <c r="R374" s="14" t="s">
        <v>226</v>
      </c>
      <c r="S374" s="15" t="n">
        <f>93</f>
        <v>93.0</v>
      </c>
      <c r="T374" s="16" t="n">
        <f>109</f>
        <v>109.0</v>
      </c>
      <c r="U374" s="16" t="n">
        <v>100.0</v>
      </c>
      <c r="V374" s="16" t="n">
        <f>12737000</f>
        <v>1.2737E7</v>
      </c>
      <c r="W374" s="16" t="n">
        <v>1.19E7</v>
      </c>
      <c r="X374" s="16" t="str">
        <f>"－"</f>
        <v>－</v>
      </c>
      <c r="Y374" s="13"/>
      <c r="Z374" s="17" t="n">
        <f>130</f>
        <v>130.0</v>
      </c>
      <c r="AA374" s="18" t="n">
        <f>1</f>
        <v>1.0</v>
      </c>
      <c r="AB374" s="11" t="s">
        <v>448</v>
      </c>
    </row>
    <row r="375">
      <c r="A375" s="11" t="s">
        <v>46</v>
      </c>
      <c r="B375" s="11" t="s">
        <v>47</v>
      </c>
      <c r="C375" s="11" t="s">
        <v>48</v>
      </c>
      <c r="D375" s="11" t="s">
        <v>49</v>
      </c>
      <c r="E375" s="11" t="s">
        <v>447</v>
      </c>
      <c r="F375" s="12" t="n">
        <v>20500.0</v>
      </c>
      <c r="G375" s="13" t="s">
        <v>63</v>
      </c>
      <c r="H375" s="14" t="s">
        <v>126</v>
      </c>
      <c r="I375" s="13" t="s">
        <v>63</v>
      </c>
      <c r="J375" s="14" t="s">
        <v>126</v>
      </c>
      <c r="K375" s="13"/>
      <c r="L375" s="14"/>
      <c r="M375" s="13" t="s">
        <v>202</v>
      </c>
      <c r="N375" s="14" t="s">
        <v>191</v>
      </c>
      <c r="O375" s="13"/>
      <c r="P375" s="14"/>
      <c r="Q375" s="13" t="s">
        <v>215</v>
      </c>
      <c r="R375" s="14" t="s">
        <v>117</v>
      </c>
      <c r="S375" s="15" t="n">
        <f>113.8</f>
        <v>113.8</v>
      </c>
      <c r="T375" s="16" t="n">
        <f>26</f>
        <v>26.0</v>
      </c>
      <c r="U375" s="16"/>
      <c r="V375" s="16" t="n">
        <f>2807000</f>
        <v>2807000.0</v>
      </c>
      <c r="W375" s="16"/>
      <c r="X375" s="16" t="str">
        <f>"－"</f>
        <v>－</v>
      </c>
      <c r="Y375" s="13"/>
      <c r="Z375" s="17" t="n">
        <f>4229</f>
        <v>4229.0</v>
      </c>
      <c r="AA375" s="18" t="n">
        <f>5</f>
        <v>5.0</v>
      </c>
      <c r="AB375" s="11" t="s">
        <v>448</v>
      </c>
    </row>
    <row r="376">
      <c r="A376" s="11" t="s">
        <v>46</v>
      </c>
      <c r="B376" s="11" t="s">
        <v>47</v>
      </c>
      <c r="C376" s="11" t="s">
        <v>48</v>
      </c>
      <c r="D376" s="11" t="s">
        <v>49</v>
      </c>
      <c r="E376" s="11" t="s">
        <v>447</v>
      </c>
      <c r="F376" s="12" t="n">
        <v>20750.0</v>
      </c>
      <c r="G376" s="13" t="s">
        <v>205</v>
      </c>
      <c r="H376" s="14" t="s">
        <v>117</v>
      </c>
      <c r="I376" s="13" t="s">
        <v>204</v>
      </c>
      <c r="J376" s="14" t="s">
        <v>124</v>
      </c>
      <c r="K376" s="13"/>
      <c r="L376" s="14"/>
      <c r="M376" s="13" t="s">
        <v>205</v>
      </c>
      <c r="N376" s="14" t="s">
        <v>117</v>
      </c>
      <c r="O376" s="13"/>
      <c r="P376" s="14"/>
      <c r="Q376" s="13" t="s">
        <v>204</v>
      </c>
      <c r="R376" s="14" t="s">
        <v>123</v>
      </c>
      <c r="S376" s="15" t="n">
        <f>130</f>
        <v>130.0</v>
      </c>
      <c r="T376" s="16" t="n">
        <f>13</f>
        <v>13.0</v>
      </c>
      <c r="U376" s="16"/>
      <c r="V376" s="16" t="n">
        <f>1820000</f>
        <v>1820000.0</v>
      </c>
      <c r="W376" s="16"/>
      <c r="X376" s="16" t="str">
        <f>"－"</f>
        <v>－</v>
      </c>
      <c r="Y376" s="13"/>
      <c r="Z376" s="17" t="n">
        <f>1238</f>
        <v>1238.0</v>
      </c>
      <c r="AA376" s="18" t="n">
        <f>2</f>
        <v>2.0</v>
      </c>
      <c r="AB376" s="11" t="s">
        <v>448</v>
      </c>
    </row>
    <row r="377">
      <c r="A377" s="11" t="s">
        <v>46</v>
      </c>
      <c r="B377" s="11" t="s">
        <v>47</v>
      </c>
      <c r="C377" s="11" t="s">
        <v>48</v>
      </c>
      <c r="D377" s="11" t="s">
        <v>49</v>
      </c>
      <c r="E377" s="11" t="s">
        <v>447</v>
      </c>
      <c r="F377" s="12" t="n">
        <v>21000.0</v>
      </c>
      <c r="G377" s="13" t="s">
        <v>56</v>
      </c>
      <c r="H377" s="14" t="s">
        <v>120</v>
      </c>
      <c r="I377" s="13" t="s">
        <v>210</v>
      </c>
      <c r="J377" s="14" t="s">
        <v>286</v>
      </c>
      <c r="K377" s="13" t="s">
        <v>52</v>
      </c>
      <c r="L377" s="14" t="s">
        <v>286</v>
      </c>
      <c r="M377" s="13" t="s">
        <v>202</v>
      </c>
      <c r="N377" s="14" t="s">
        <v>117</v>
      </c>
      <c r="O377" s="13" t="s">
        <v>202</v>
      </c>
      <c r="P377" s="14" t="s">
        <v>117</v>
      </c>
      <c r="Q377" s="13" t="s">
        <v>210</v>
      </c>
      <c r="R377" s="14" t="s">
        <v>286</v>
      </c>
      <c r="S377" s="15" t="n">
        <f>127.5</f>
        <v>127.5</v>
      </c>
      <c r="T377" s="16" t="n">
        <f>1816</f>
        <v>1816.0</v>
      </c>
      <c r="U377" s="16" t="n">
        <v>1800.0</v>
      </c>
      <c r="V377" s="16" t="n">
        <f>241635000</f>
        <v>2.41635E8</v>
      </c>
      <c r="W377" s="16" t="n">
        <v>2.3955E8</v>
      </c>
      <c r="X377" s="16" t="str">
        <f>"－"</f>
        <v>－</v>
      </c>
      <c r="Y377" s="13"/>
      <c r="Z377" s="17" t="n">
        <f>5929</f>
        <v>5929.0</v>
      </c>
      <c r="AA377" s="18" t="n">
        <f>4</f>
        <v>4.0</v>
      </c>
      <c r="AB377" s="11" t="s">
        <v>448</v>
      </c>
    </row>
    <row r="378">
      <c r="A378" s="11" t="s">
        <v>46</v>
      </c>
      <c r="B378" s="11" t="s">
        <v>47</v>
      </c>
      <c r="C378" s="11" t="s">
        <v>48</v>
      </c>
      <c r="D378" s="11" t="s">
        <v>49</v>
      </c>
      <c r="E378" s="11" t="s">
        <v>447</v>
      </c>
      <c r="F378" s="12" t="n">
        <v>21250.0</v>
      </c>
      <c r="G378" s="13" t="s">
        <v>56</v>
      </c>
      <c r="H378" s="14" t="s">
        <v>126</v>
      </c>
      <c r="I378" s="13" t="s">
        <v>56</v>
      </c>
      <c r="J378" s="14" t="s">
        <v>126</v>
      </c>
      <c r="K378" s="13"/>
      <c r="L378" s="14"/>
      <c r="M378" s="13" t="s">
        <v>211</v>
      </c>
      <c r="N378" s="14" t="s">
        <v>119</v>
      </c>
      <c r="O378" s="13"/>
      <c r="P378" s="14"/>
      <c r="Q378" s="13" t="s">
        <v>211</v>
      </c>
      <c r="R378" s="14" t="s">
        <v>119</v>
      </c>
      <c r="S378" s="15" t="n">
        <f>135</f>
        <v>135.0</v>
      </c>
      <c r="T378" s="16" t="n">
        <f>18</f>
        <v>18.0</v>
      </c>
      <c r="U378" s="16"/>
      <c r="V378" s="16" t="n">
        <f>2405000</f>
        <v>2405000.0</v>
      </c>
      <c r="W378" s="16"/>
      <c r="X378" s="16" t="str">
        <f>"－"</f>
        <v>－</v>
      </c>
      <c r="Y378" s="13"/>
      <c r="Z378" s="17" t="n">
        <f>627</f>
        <v>627.0</v>
      </c>
      <c r="AA378" s="18" t="n">
        <f>4</f>
        <v>4.0</v>
      </c>
      <c r="AB378" s="11" t="s">
        <v>448</v>
      </c>
    </row>
    <row r="379">
      <c r="A379" s="11" t="s">
        <v>46</v>
      </c>
      <c r="B379" s="11" t="s">
        <v>47</v>
      </c>
      <c r="C379" s="11" t="s">
        <v>48</v>
      </c>
      <c r="D379" s="11" t="s">
        <v>49</v>
      </c>
      <c r="E379" s="11" t="s">
        <v>447</v>
      </c>
      <c r="F379" s="12" t="n">
        <v>21500.0</v>
      </c>
      <c r="G379" s="13" t="s">
        <v>50</v>
      </c>
      <c r="H379" s="14" t="s">
        <v>140</v>
      </c>
      <c r="I379" s="13" t="s">
        <v>50</v>
      </c>
      <c r="J379" s="14" t="s">
        <v>140</v>
      </c>
      <c r="K379" s="13" t="s">
        <v>55</v>
      </c>
      <c r="L379" s="14" t="s">
        <v>135</v>
      </c>
      <c r="M379" s="13" t="s">
        <v>205</v>
      </c>
      <c r="N379" s="14" t="s">
        <v>121</v>
      </c>
      <c r="O379" s="13" t="s">
        <v>52</v>
      </c>
      <c r="P379" s="14" t="s">
        <v>452</v>
      </c>
      <c r="Q379" s="13" t="s">
        <v>210</v>
      </c>
      <c r="R379" s="14" t="s">
        <v>123</v>
      </c>
      <c r="S379" s="15" t="n">
        <f>193.33</f>
        <v>193.33</v>
      </c>
      <c r="T379" s="16" t="n">
        <f>1211</f>
        <v>1211.0</v>
      </c>
      <c r="U379" s="16" t="n">
        <v>1200.0</v>
      </c>
      <c r="V379" s="16" t="n">
        <f>202960000</f>
        <v>2.0296E8</v>
      </c>
      <c r="W379" s="16" t="n">
        <v>2.012E8</v>
      </c>
      <c r="X379" s="16" t="str">
        <f>"－"</f>
        <v>－</v>
      </c>
      <c r="Y379" s="13"/>
      <c r="Z379" s="17" t="n">
        <f>3328</f>
        <v>3328.0</v>
      </c>
      <c r="AA379" s="18" t="n">
        <f>3</f>
        <v>3.0</v>
      </c>
      <c r="AB379" s="11" t="s">
        <v>448</v>
      </c>
    </row>
    <row r="380">
      <c r="A380" s="11" t="s">
        <v>46</v>
      </c>
      <c r="B380" s="11" t="s">
        <v>47</v>
      </c>
      <c r="C380" s="11" t="s">
        <v>48</v>
      </c>
      <c r="D380" s="11" t="s">
        <v>49</v>
      </c>
      <c r="E380" s="11" t="s">
        <v>447</v>
      </c>
      <c r="F380" s="12" t="n">
        <v>21750.0</v>
      </c>
      <c r="G380" s="13" t="s">
        <v>202</v>
      </c>
      <c r="H380" s="14" t="s">
        <v>121</v>
      </c>
      <c r="I380" s="13" t="s">
        <v>204</v>
      </c>
      <c r="J380" s="14" t="s">
        <v>131</v>
      </c>
      <c r="K380" s="13"/>
      <c r="L380" s="14"/>
      <c r="M380" s="13" t="s">
        <v>202</v>
      </c>
      <c r="N380" s="14" t="s">
        <v>121</v>
      </c>
      <c r="O380" s="13"/>
      <c r="P380" s="14"/>
      <c r="Q380" s="13" t="s">
        <v>204</v>
      </c>
      <c r="R380" s="14" t="s">
        <v>130</v>
      </c>
      <c r="S380" s="15" t="n">
        <f>166.67</f>
        <v>166.67</v>
      </c>
      <c r="T380" s="16" t="n">
        <f>20</f>
        <v>20.0</v>
      </c>
      <c r="U380" s="16"/>
      <c r="V380" s="16" t="n">
        <f>3535000</f>
        <v>3535000.0</v>
      </c>
      <c r="W380" s="16"/>
      <c r="X380" s="16" t="str">
        <f>"－"</f>
        <v>－</v>
      </c>
      <c r="Y380" s="13"/>
      <c r="Z380" s="17" t="n">
        <f>310</f>
        <v>310.0</v>
      </c>
      <c r="AA380" s="18" t="n">
        <f>3</f>
        <v>3.0</v>
      </c>
      <c r="AB380" s="11" t="s">
        <v>448</v>
      </c>
    </row>
    <row r="381">
      <c r="A381" s="11" t="s">
        <v>46</v>
      </c>
      <c r="B381" s="11" t="s">
        <v>47</v>
      </c>
      <c r="C381" s="11" t="s">
        <v>48</v>
      </c>
      <c r="D381" s="11" t="s">
        <v>49</v>
      </c>
      <c r="E381" s="11" t="s">
        <v>447</v>
      </c>
      <c r="F381" s="12" t="n">
        <v>22000.0</v>
      </c>
      <c r="G381" s="13" t="s">
        <v>60</v>
      </c>
      <c r="H381" s="14" t="s">
        <v>132</v>
      </c>
      <c r="I381" s="13" t="s">
        <v>60</v>
      </c>
      <c r="J381" s="14" t="s">
        <v>132</v>
      </c>
      <c r="K381" s="13" t="s">
        <v>204</v>
      </c>
      <c r="L381" s="14" t="s">
        <v>130</v>
      </c>
      <c r="M381" s="13" t="s">
        <v>202</v>
      </c>
      <c r="N381" s="14" t="s">
        <v>286</v>
      </c>
      <c r="O381" s="13" t="s">
        <v>206</v>
      </c>
      <c r="P381" s="14" t="s">
        <v>127</v>
      </c>
      <c r="Q381" s="13" t="s">
        <v>210</v>
      </c>
      <c r="R381" s="14" t="s">
        <v>127</v>
      </c>
      <c r="S381" s="15" t="n">
        <f>180</f>
        <v>180.0</v>
      </c>
      <c r="T381" s="16" t="n">
        <f>794</f>
        <v>794.0</v>
      </c>
      <c r="U381" s="16" t="n">
        <v>675.0</v>
      </c>
      <c r="V381" s="16" t="n">
        <f>147375000</f>
        <v>1.47375E8</v>
      </c>
      <c r="W381" s="16" t="n">
        <v>1.2675E8</v>
      </c>
      <c r="X381" s="16" t="str">
        <f>"－"</f>
        <v>－</v>
      </c>
      <c r="Y381" s="13"/>
      <c r="Z381" s="17" t="n">
        <f>5547</f>
        <v>5547.0</v>
      </c>
      <c r="AA381" s="18" t="n">
        <f>7</f>
        <v>7.0</v>
      </c>
      <c r="AB381" s="11" t="s">
        <v>448</v>
      </c>
    </row>
    <row r="382">
      <c r="A382" s="11" t="s">
        <v>46</v>
      </c>
      <c r="B382" s="11" t="s">
        <v>47</v>
      </c>
      <c r="C382" s="11" t="s">
        <v>48</v>
      </c>
      <c r="D382" s="11" t="s">
        <v>49</v>
      </c>
      <c r="E382" s="11" t="s">
        <v>447</v>
      </c>
      <c r="F382" s="12" t="n">
        <v>22250.0</v>
      </c>
      <c r="G382" s="13" t="s">
        <v>56</v>
      </c>
      <c r="H382" s="14" t="s">
        <v>233</v>
      </c>
      <c r="I382" s="13" t="s">
        <v>56</v>
      </c>
      <c r="J382" s="14" t="s">
        <v>233</v>
      </c>
      <c r="K382" s="13"/>
      <c r="L382" s="14"/>
      <c r="M382" s="13" t="s">
        <v>202</v>
      </c>
      <c r="N382" s="14" t="s">
        <v>126</v>
      </c>
      <c r="O382" s="13"/>
      <c r="P382" s="14"/>
      <c r="Q382" s="13" t="s">
        <v>288</v>
      </c>
      <c r="R382" s="14" t="s">
        <v>261</v>
      </c>
      <c r="S382" s="15" t="n">
        <f>161.67</f>
        <v>161.67</v>
      </c>
      <c r="T382" s="16" t="n">
        <f>32</f>
        <v>32.0</v>
      </c>
      <c r="U382" s="16"/>
      <c r="V382" s="16" t="n">
        <f>5680000</f>
        <v>5680000.0</v>
      </c>
      <c r="W382" s="16"/>
      <c r="X382" s="16" t="str">
        <f>"－"</f>
        <v>－</v>
      </c>
      <c r="Y382" s="13"/>
      <c r="Z382" s="17" t="n">
        <f>524</f>
        <v>524.0</v>
      </c>
      <c r="AA382" s="18" t="n">
        <f>3</f>
        <v>3.0</v>
      </c>
      <c r="AB382" s="11" t="s">
        <v>448</v>
      </c>
    </row>
    <row r="383">
      <c r="A383" s="11" t="s">
        <v>46</v>
      </c>
      <c r="B383" s="11" t="s">
        <v>47</v>
      </c>
      <c r="C383" s="11" t="s">
        <v>48</v>
      </c>
      <c r="D383" s="11" t="s">
        <v>49</v>
      </c>
      <c r="E383" s="11" t="s">
        <v>447</v>
      </c>
      <c r="F383" s="12" t="n">
        <v>22500.0</v>
      </c>
      <c r="G383" s="13" t="s">
        <v>63</v>
      </c>
      <c r="H383" s="14" t="s">
        <v>185</v>
      </c>
      <c r="I383" s="13" t="s">
        <v>63</v>
      </c>
      <c r="J383" s="14" t="s">
        <v>185</v>
      </c>
      <c r="K383" s="13" t="s">
        <v>55</v>
      </c>
      <c r="L383" s="14" t="s">
        <v>453</v>
      </c>
      <c r="M383" s="13" t="s">
        <v>202</v>
      </c>
      <c r="N383" s="14" t="s">
        <v>261</v>
      </c>
      <c r="O383" s="13" t="s">
        <v>208</v>
      </c>
      <c r="P383" s="14" t="s">
        <v>454</v>
      </c>
      <c r="Q383" s="13" t="s">
        <v>204</v>
      </c>
      <c r="R383" s="14" t="s">
        <v>133</v>
      </c>
      <c r="S383" s="15" t="n">
        <f>212.86</f>
        <v>212.86</v>
      </c>
      <c r="T383" s="16" t="n">
        <f>968</f>
        <v>968.0</v>
      </c>
      <c r="U383" s="16" t="n">
        <v>706.0</v>
      </c>
      <c r="V383" s="16" t="n">
        <f>201800000</f>
        <v>2.018E8</v>
      </c>
      <c r="W383" s="16" t="n">
        <v>1.441E8</v>
      </c>
      <c r="X383" s="16" t="str">
        <f>"－"</f>
        <v>－</v>
      </c>
      <c r="Y383" s="13"/>
      <c r="Z383" s="17" t="n">
        <f>3637</f>
        <v>3637.0</v>
      </c>
      <c r="AA383" s="18" t="n">
        <f>7</f>
        <v>7.0</v>
      </c>
      <c r="AB383" s="11" t="s">
        <v>448</v>
      </c>
    </row>
    <row r="384">
      <c r="A384" s="11" t="s">
        <v>46</v>
      </c>
      <c r="B384" s="11" t="s">
        <v>47</v>
      </c>
      <c r="C384" s="11" t="s">
        <v>48</v>
      </c>
      <c r="D384" s="11" t="s">
        <v>49</v>
      </c>
      <c r="E384" s="11" t="s">
        <v>447</v>
      </c>
      <c r="F384" s="12" t="n">
        <v>22750.0</v>
      </c>
      <c r="G384" s="13" t="s">
        <v>56</v>
      </c>
      <c r="H384" s="14" t="s">
        <v>293</v>
      </c>
      <c r="I384" s="13" t="s">
        <v>56</v>
      </c>
      <c r="J384" s="14" t="s">
        <v>293</v>
      </c>
      <c r="K384" s="13"/>
      <c r="L384" s="14"/>
      <c r="M384" s="13" t="s">
        <v>202</v>
      </c>
      <c r="N384" s="14" t="s">
        <v>125</v>
      </c>
      <c r="O384" s="13"/>
      <c r="P384" s="14"/>
      <c r="Q384" s="13" t="s">
        <v>211</v>
      </c>
      <c r="R384" s="14" t="s">
        <v>127</v>
      </c>
      <c r="S384" s="15" t="n">
        <f>182.5</f>
        <v>182.5</v>
      </c>
      <c r="T384" s="16" t="n">
        <f>46</f>
        <v>46.0</v>
      </c>
      <c r="U384" s="16"/>
      <c r="V384" s="16" t="n">
        <f>7915000</f>
        <v>7915000.0</v>
      </c>
      <c r="W384" s="16"/>
      <c r="X384" s="16" t="str">
        <f>"－"</f>
        <v>－</v>
      </c>
      <c r="Y384" s="13"/>
      <c r="Z384" s="17" t="n">
        <f>261</f>
        <v>261.0</v>
      </c>
      <c r="AA384" s="18" t="n">
        <f>4</f>
        <v>4.0</v>
      </c>
      <c r="AB384" s="11" t="s">
        <v>448</v>
      </c>
    </row>
    <row r="385">
      <c r="A385" s="11" t="s">
        <v>46</v>
      </c>
      <c r="B385" s="11" t="s">
        <v>47</v>
      </c>
      <c r="C385" s="11" t="s">
        <v>48</v>
      </c>
      <c r="D385" s="11" t="s">
        <v>49</v>
      </c>
      <c r="E385" s="11" t="s">
        <v>447</v>
      </c>
      <c r="F385" s="12" t="n">
        <v>23000.0</v>
      </c>
      <c r="G385" s="13" t="s">
        <v>63</v>
      </c>
      <c r="H385" s="14" t="s">
        <v>138</v>
      </c>
      <c r="I385" s="13" t="s">
        <v>63</v>
      </c>
      <c r="J385" s="14" t="s">
        <v>138</v>
      </c>
      <c r="K385" s="13" t="s">
        <v>55</v>
      </c>
      <c r="L385" s="14" t="s">
        <v>455</v>
      </c>
      <c r="M385" s="13" t="s">
        <v>202</v>
      </c>
      <c r="N385" s="14" t="s">
        <v>128</v>
      </c>
      <c r="O385" s="13" t="s">
        <v>210</v>
      </c>
      <c r="P385" s="14" t="s">
        <v>456</v>
      </c>
      <c r="Q385" s="13" t="s">
        <v>204</v>
      </c>
      <c r="R385" s="14" t="s">
        <v>137</v>
      </c>
      <c r="S385" s="15" t="n">
        <f>220.63</f>
        <v>220.63</v>
      </c>
      <c r="T385" s="16" t="n">
        <f>2856</f>
        <v>2856.0</v>
      </c>
      <c r="U385" s="16" t="n">
        <v>2800.0</v>
      </c>
      <c r="V385" s="16" t="n">
        <f>750490000</f>
        <v>7.5049E8</v>
      </c>
      <c r="W385" s="16" t="n">
        <v>7.389E8</v>
      </c>
      <c r="X385" s="16" t="str">
        <f>"－"</f>
        <v>－</v>
      </c>
      <c r="Y385" s="13"/>
      <c r="Z385" s="17" t="n">
        <f>4524</f>
        <v>4524.0</v>
      </c>
      <c r="AA385" s="18" t="n">
        <f>8</f>
        <v>8.0</v>
      </c>
      <c r="AB385" s="11" t="s">
        <v>448</v>
      </c>
    </row>
    <row r="386">
      <c r="A386" s="11" t="s">
        <v>46</v>
      </c>
      <c r="B386" s="11" t="s">
        <v>47</v>
      </c>
      <c r="C386" s="11" t="s">
        <v>48</v>
      </c>
      <c r="D386" s="11" t="s">
        <v>49</v>
      </c>
      <c r="E386" s="11" t="s">
        <v>447</v>
      </c>
      <c r="F386" s="12" t="n">
        <v>23250.0</v>
      </c>
      <c r="G386" s="13" t="s">
        <v>58</v>
      </c>
      <c r="H386" s="14" t="s">
        <v>142</v>
      </c>
      <c r="I386" s="13" t="s">
        <v>204</v>
      </c>
      <c r="J386" s="14" t="s">
        <v>237</v>
      </c>
      <c r="K386" s="13"/>
      <c r="L386" s="14"/>
      <c r="M386" s="13" t="s">
        <v>202</v>
      </c>
      <c r="N386" s="14" t="s">
        <v>233</v>
      </c>
      <c r="O386" s="13"/>
      <c r="P386" s="14"/>
      <c r="Q386" s="13" t="s">
        <v>204</v>
      </c>
      <c r="R386" s="14" t="s">
        <v>237</v>
      </c>
      <c r="S386" s="15" t="n">
        <f>241.88</f>
        <v>241.88</v>
      </c>
      <c r="T386" s="16" t="n">
        <f>68</f>
        <v>68.0</v>
      </c>
      <c r="U386" s="16"/>
      <c r="V386" s="16" t="n">
        <f>16570000</f>
        <v>1.657E7</v>
      </c>
      <c r="W386" s="16"/>
      <c r="X386" s="16" t="str">
        <f>"－"</f>
        <v>－</v>
      </c>
      <c r="Y386" s="13"/>
      <c r="Z386" s="17" t="n">
        <f>2431</f>
        <v>2431.0</v>
      </c>
      <c r="AA386" s="18" t="n">
        <f>8</f>
        <v>8.0</v>
      </c>
      <c r="AB386" s="11" t="s">
        <v>448</v>
      </c>
    </row>
    <row r="387">
      <c r="A387" s="11" t="s">
        <v>46</v>
      </c>
      <c r="B387" s="11" t="s">
        <v>47</v>
      </c>
      <c r="C387" s="11" t="s">
        <v>48</v>
      </c>
      <c r="D387" s="11" t="s">
        <v>49</v>
      </c>
      <c r="E387" s="11" t="s">
        <v>447</v>
      </c>
      <c r="F387" s="12" t="n">
        <v>23500.0</v>
      </c>
      <c r="G387" s="13" t="s">
        <v>50</v>
      </c>
      <c r="H387" s="14" t="s">
        <v>197</v>
      </c>
      <c r="I387" s="13" t="s">
        <v>50</v>
      </c>
      <c r="J387" s="14" t="s">
        <v>197</v>
      </c>
      <c r="K387" s="13" t="s">
        <v>52</v>
      </c>
      <c r="L387" s="14" t="s">
        <v>457</v>
      </c>
      <c r="M387" s="13" t="s">
        <v>202</v>
      </c>
      <c r="N387" s="14" t="s">
        <v>232</v>
      </c>
      <c r="O387" s="13" t="s">
        <v>52</v>
      </c>
      <c r="P387" s="14" t="s">
        <v>457</v>
      </c>
      <c r="Q387" s="13" t="s">
        <v>204</v>
      </c>
      <c r="R387" s="14" t="s">
        <v>135</v>
      </c>
      <c r="S387" s="15" t="n">
        <f>283.57</f>
        <v>283.57</v>
      </c>
      <c r="T387" s="16" t="n">
        <f>853</f>
        <v>853.0</v>
      </c>
      <c r="U387" s="16" t="n">
        <v>800.0</v>
      </c>
      <c r="V387" s="16" t="n">
        <f>214720000</f>
        <v>2.1472E8</v>
      </c>
      <c r="W387" s="16" t="n">
        <v>1.992E8</v>
      </c>
      <c r="X387" s="16" t="str">
        <f>"－"</f>
        <v>－</v>
      </c>
      <c r="Y387" s="13"/>
      <c r="Z387" s="17" t="n">
        <f>4324</f>
        <v>4324.0</v>
      </c>
      <c r="AA387" s="18" t="n">
        <f>7</f>
        <v>7.0</v>
      </c>
      <c r="AB387" s="11" t="s">
        <v>448</v>
      </c>
    </row>
    <row r="388">
      <c r="A388" s="11" t="s">
        <v>46</v>
      </c>
      <c r="B388" s="11" t="s">
        <v>47</v>
      </c>
      <c r="C388" s="11" t="s">
        <v>48</v>
      </c>
      <c r="D388" s="11" t="s">
        <v>49</v>
      </c>
      <c r="E388" s="11" t="s">
        <v>447</v>
      </c>
      <c r="F388" s="12" t="n">
        <v>23750.0</v>
      </c>
      <c r="G388" s="13" t="s">
        <v>63</v>
      </c>
      <c r="H388" s="14" t="s">
        <v>151</v>
      </c>
      <c r="I388" s="13" t="s">
        <v>63</v>
      </c>
      <c r="J388" s="14" t="s">
        <v>151</v>
      </c>
      <c r="K388" s="13"/>
      <c r="L388" s="14"/>
      <c r="M388" s="13" t="s">
        <v>288</v>
      </c>
      <c r="N388" s="14" t="s">
        <v>131</v>
      </c>
      <c r="O388" s="13"/>
      <c r="P388" s="14"/>
      <c r="Q388" s="13" t="s">
        <v>204</v>
      </c>
      <c r="R388" s="14" t="s">
        <v>190</v>
      </c>
      <c r="S388" s="15" t="n">
        <f>280</f>
        <v>280.0</v>
      </c>
      <c r="T388" s="16" t="n">
        <f>51</f>
        <v>51.0</v>
      </c>
      <c r="U388" s="16"/>
      <c r="V388" s="16" t="n">
        <f>17060000</f>
        <v>1.706E7</v>
      </c>
      <c r="W388" s="16"/>
      <c r="X388" s="16" t="str">
        <f>"－"</f>
        <v>－</v>
      </c>
      <c r="Y388" s="13"/>
      <c r="Z388" s="17" t="n">
        <f>1100</f>
        <v>1100.0</v>
      </c>
      <c r="AA388" s="18" t="n">
        <f>8</f>
        <v>8.0</v>
      </c>
      <c r="AB388" s="11" t="s">
        <v>448</v>
      </c>
    </row>
    <row r="389">
      <c r="A389" s="11" t="s">
        <v>46</v>
      </c>
      <c r="B389" s="11" t="s">
        <v>47</v>
      </c>
      <c r="C389" s="11" t="s">
        <v>48</v>
      </c>
      <c r="D389" s="11" t="s">
        <v>49</v>
      </c>
      <c r="E389" s="11" t="s">
        <v>447</v>
      </c>
      <c r="F389" s="12" t="n">
        <v>24000.0</v>
      </c>
      <c r="G389" s="13" t="s">
        <v>50</v>
      </c>
      <c r="H389" s="14" t="s">
        <v>152</v>
      </c>
      <c r="I389" s="13" t="s">
        <v>50</v>
      </c>
      <c r="J389" s="14" t="s">
        <v>152</v>
      </c>
      <c r="K389" s="13" t="s">
        <v>58</v>
      </c>
      <c r="L389" s="14" t="s">
        <v>238</v>
      </c>
      <c r="M389" s="13" t="s">
        <v>211</v>
      </c>
      <c r="N389" s="14" t="s">
        <v>133</v>
      </c>
      <c r="O389" s="13" t="s">
        <v>207</v>
      </c>
      <c r="P389" s="14" t="s">
        <v>133</v>
      </c>
      <c r="Q389" s="13" t="s">
        <v>204</v>
      </c>
      <c r="R389" s="14" t="s">
        <v>257</v>
      </c>
      <c r="S389" s="15" t="n">
        <f>321.79</f>
        <v>321.79</v>
      </c>
      <c r="T389" s="16" t="n">
        <f>987</f>
        <v>987.0</v>
      </c>
      <c r="U389" s="16" t="n">
        <v>950.0</v>
      </c>
      <c r="V389" s="16" t="n">
        <f>287740000</f>
        <v>2.8774E8</v>
      </c>
      <c r="W389" s="16" t="n">
        <v>2.765E8</v>
      </c>
      <c r="X389" s="16" t="str">
        <f>"－"</f>
        <v>－</v>
      </c>
      <c r="Y389" s="13"/>
      <c r="Z389" s="17" t="n">
        <f>3613</f>
        <v>3613.0</v>
      </c>
      <c r="AA389" s="18" t="n">
        <f>14</f>
        <v>14.0</v>
      </c>
      <c r="AB389" s="11" t="s">
        <v>448</v>
      </c>
    </row>
    <row r="390">
      <c r="A390" s="11" t="s">
        <v>46</v>
      </c>
      <c r="B390" s="11" t="s">
        <v>47</v>
      </c>
      <c r="C390" s="11" t="s">
        <v>48</v>
      </c>
      <c r="D390" s="11" t="s">
        <v>49</v>
      </c>
      <c r="E390" s="11" t="s">
        <v>447</v>
      </c>
      <c r="F390" s="12" t="n">
        <v>24250.0</v>
      </c>
      <c r="G390" s="13" t="s">
        <v>206</v>
      </c>
      <c r="H390" s="14" t="s">
        <v>237</v>
      </c>
      <c r="I390" s="13" t="s">
        <v>204</v>
      </c>
      <c r="J390" s="14" t="s">
        <v>146</v>
      </c>
      <c r="K390" s="13"/>
      <c r="L390" s="14"/>
      <c r="M390" s="13" t="s">
        <v>206</v>
      </c>
      <c r="N390" s="14" t="s">
        <v>237</v>
      </c>
      <c r="O390" s="13"/>
      <c r="P390" s="14"/>
      <c r="Q390" s="13" t="s">
        <v>204</v>
      </c>
      <c r="R390" s="14" t="s">
        <v>146</v>
      </c>
      <c r="S390" s="15" t="n">
        <f>340</f>
        <v>340.0</v>
      </c>
      <c r="T390" s="16" t="n">
        <f>4</f>
        <v>4.0</v>
      </c>
      <c r="U390" s="16"/>
      <c r="V390" s="16" t="n">
        <f>1300000</f>
        <v>1300000.0</v>
      </c>
      <c r="W390" s="16"/>
      <c r="X390" s="16" t="str">
        <f>"－"</f>
        <v>－</v>
      </c>
      <c r="Y390" s="13"/>
      <c r="Z390" s="17" t="n">
        <f>6</f>
        <v>6.0</v>
      </c>
      <c r="AA390" s="18" t="n">
        <f>2</f>
        <v>2.0</v>
      </c>
      <c r="AB390" s="11" t="s">
        <v>448</v>
      </c>
    </row>
    <row r="391">
      <c r="A391" s="11" t="s">
        <v>46</v>
      </c>
      <c r="B391" s="11" t="s">
        <v>47</v>
      </c>
      <c r="C391" s="11" t="s">
        <v>48</v>
      </c>
      <c r="D391" s="11" t="s">
        <v>49</v>
      </c>
      <c r="E391" s="11" t="s">
        <v>447</v>
      </c>
      <c r="F391" s="12" t="n">
        <v>24500.0</v>
      </c>
      <c r="G391" s="13" t="s">
        <v>58</v>
      </c>
      <c r="H391" s="14" t="s">
        <v>182</v>
      </c>
      <c r="I391" s="13" t="s">
        <v>58</v>
      </c>
      <c r="J391" s="14" t="s">
        <v>182</v>
      </c>
      <c r="K391" s="13" t="s">
        <v>60</v>
      </c>
      <c r="L391" s="14" t="s">
        <v>151</v>
      </c>
      <c r="M391" s="13" t="s">
        <v>207</v>
      </c>
      <c r="N391" s="14" t="s">
        <v>234</v>
      </c>
      <c r="O391" s="13" t="s">
        <v>56</v>
      </c>
      <c r="P391" s="14" t="s">
        <v>241</v>
      </c>
      <c r="Q391" s="13" t="s">
        <v>204</v>
      </c>
      <c r="R391" s="14" t="s">
        <v>163</v>
      </c>
      <c r="S391" s="15" t="n">
        <f>340.63</f>
        <v>340.63</v>
      </c>
      <c r="T391" s="16" t="n">
        <f>2169</f>
        <v>2169.0</v>
      </c>
      <c r="U391" s="16" t="n">
        <v>2130.0</v>
      </c>
      <c r="V391" s="16" t="n">
        <f>761385000</f>
        <v>7.61385E8</v>
      </c>
      <c r="W391" s="16" t="n">
        <v>7.4885E8</v>
      </c>
      <c r="X391" s="16" t="str">
        <f>"－"</f>
        <v>－</v>
      </c>
      <c r="Y391" s="13"/>
      <c r="Z391" s="17" t="n">
        <f>3065</f>
        <v>3065.0</v>
      </c>
      <c r="AA391" s="18" t="n">
        <f>8</f>
        <v>8.0</v>
      </c>
      <c r="AB391" s="11" t="s">
        <v>448</v>
      </c>
    </row>
    <row r="392">
      <c r="A392" s="11" t="s">
        <v>46</v>
      </c>
      <c r="B392" s="11" t="s">
        <v>47</v>
      </c>
      <c r="C392" s="11" t="s">
        <v>48</v>
      </c>
      <c r="D392" s="11" t="s">
        <v>49</v>
      </c>
      <c r="E392" s="11" t="s">
        <v>447</v>
      </c>
      <c r="F392" s="12" t="n">
        <v>24750.0</v>
      </c>
      <c r="G392" s="13" t="s">
        <v>61</v>
      </c>
      <c r="H392" s="14" t="s">
        <v>182</v>
      </c>
      <c r="I392" s="13" t="s">
        <v>61</v>
      </c>
      <c r="J392" s="14" t="s">
        <v>182</v>
      </c>
      <c r="K392" s="13"/>
      <c r="L392" s="14"/>
      <c r="M392" s="13" t="s">
        <v>288</v>
      </c>
      <c r="N392" s="14" t="s">
        <v>378</v>
      </c>
      <c r="O392" s="13"/>
      <c r="P392" s="14"/>
      <c r="Q392" s="13" t="s">
        <v>210</v>
      </c>
      <c r="R392" s="14" t="s">
        <v>145</v>
      </c>
      <c r="S392" s="15" t="n">
        <f>361.25</f>
        <v>361.25</v>
      </c>
      <c r="T392" s="16" t="n">
        <f>7</f>
        <v>7.0</v>
      </c>
      <c r="U392" s="16"/>
      <c r="V392" s="16" t="n">
        <f>2505000</f>
        <v>2505000.0</v>
      </c>
      <c r="W392" s="16"/>
      <c r="X392" s="16" t="str">
        <f>"－"</f>
        <v>－</v>
      </c>
      <c r="Y392" s="13"/>
      <c r="Z392" s="17" t="n">
        <f>8</f>
        <v>8.0</v>
      </c>
      <c r="AA392" s="18" t="n">
        <f>4</f>
        <v>4.0</v>
      </c>
      <c r="AB392" s="11" t="s">
        <v>448</v>
      </c>
    </row>
    <row r="393">
      <c r="A393" s="11" t="s">
        <v>46</v>
      </c>
      <c r="B393" s="11" t="s">
        <v>47</v>
      </c>
      <c r="C393" s="11" t="s">
        <v>48</v>
      </c>
      <c r="D393" s="11" t="s">
        <v>49</v>
      </c>
      <c r="E393" s="11" t="s">
        <v>447</v>
      </c>
      <c r="F393" s="12" t="n">
        <v>25000.0</v>
      </c>
      <c r="G393" s="13" t="s">
        <v>52</v>
      </c>
      <c r="H393" s="14" t="s">
        <v>415</v>
      </c>
      <c r="I393" s="13" t="s">
        <v>204</v>
      </c>
      <c r="J393" s="14" t="s">
        <v>243</v>
      </c>
      <c r="K393" s="13" t="s">
        <v>50</v>
      </c>
      <c r="L393" s="14" t="s">
        <v>458</v>
      </c>
      <c r="M393" s="13" t="s">
        <v>207</v>
      </c>
      <c r="N393" s="14" t="s">
        <v>378</v>
      </c>
      <c r="O393" s="13" t="s">
        <v>210</v>
      </c>
      <c r="P393" s="14" t="s">
        <v>459</v>
      </c>
      <c r="Q393" s="13" t="s">
        <v>204</v>
      </c>
      <c r="R393" s="14" t="s">
        <v>177</v>
      </c>
      <c r="S393" s="15" t="n">
        <f>371</f>
        <v>371.0</v>
      </c>
      <c r="T393" s="16" t="n">
        <f>3713</f>
        <v>3713.0</v>
      </c>
      <c r="U393" s="16" t="n">
        <v>3630.0</v>
      </c>
      <c r="V393" s="16" t="n">
        <f>1702665000</f>
        <v>1.702665E9</v>
      </c>
      <c r="W393" s="16" t="n">
        <v>1.67264E9</v>
      </c>
      <c r="X393" s="16" t="str">
        <f>"－"</f>
        <v>－</v>
      </c>
      <c r="Y393" s="13"/>
      <c r="Z393" s="17" t="n">
        <f>7301</f>
        <v>7301.0</v>
      </c>
      <c r="AA393" s="18" t="n">
        <f>10</f>
        <v>10.0</v>
      </c>
      <c r="AB393" s="11" t="s">
        <v>448</v>
      </c>
    </row>
    <row r="394">
      <c r="A394" s="11" t="s">
        <v>46</v>
      </c>
      <c r="B394" s="11" t="s">
        <v>47</v>
      </c>
      <c r="C394" s="11" t="s">
        <v>48</v>
      </c>
      <c r="D394" s="11" t="s">
        <v>49</v>
      </c>
      <c r="E394" s="11" t="s">
        <v>447</v>
      </c>
      <c r="F394" s="12" t="n">
        <v>25250.0</v>
      </c>
      <c r="G394" s="13" t="s">
        <v>52</v>
      </c>
      <c r="H394" s="14" t="s">
        <v>426</v>
      </c>
      <c r="I394" s="13" t="s">
        <v>210</v>
      </c>
      <c r="J394" s="14" t="s">
        <v>148</v>
      </c>
      <c r="K394" s="13"/>
      <c r="L394" s="14"/>
      <c r="M394" s="13" t="s">
        <v>215</v>
      </c>
      <c r="N394" s="14" t="s">
        <v>187</v>
      </c>
      <c r="O394" s="13"/>
      <c r="P394" s="14"/>
      <c r="Q394" s="13" t="s">
        <v>215</v>
      </c>
      <c r="R394" s="14" t="s">
        <v>187</v>
      </c>
      <c r="S394" s="15" t="n">
        <f>400</f>
        <v>400.0</v>
      </c>
      <c r="T394" s="16" t="n">
        <f>15</f>
        <v>15.0</v>
      </c>
      <c r="U394" s="16"/>
      <c r="V394" s="16" t="n">
        <f>6325000</f>
        <v>6325000.0</v>
      </c>
      <c r="W394" s="16"/>
      <c r="X394" s="16" t="str">
        <f>"－"</f>
        <v>－</v>
      </c>
      <c r="Y394" s="13"/>
      <c r="Z394" s="17" t="n">
        <f>255</f>
        <v>255.0</v>
      </c>
      <c r="AA394" s="18" t="n">
        <f>3</f>
        <v>3.0</v>
      </c>
      <c r="AB394" s="11" t="s">
        <v>448</v>
      </c>
    </row>
    <row r="395">
      <c r="A395" s="11" t="s">
        <v>46</v>
      </c>
      <c r="B395" s="11" t="s">
        <v>47</v>
      </c>
      <c r="C395" s="11" t="s">
        <v>48</v>
      </c>
      <c r="D395" s="11" t="s">
        <v>49</v>
      </c>
      <c r="E395" s="11" t="s">
        <v>447</v>
      </c>
      <c r="F395" s="12" t="n">
        <v>25500.0</v>
      </c>
      <c r="G395" s="13" t="s">
        <v>63</v>
      </c>
      <c r="H395" s="14" t="s">
        <v>460</v>
      </c>
      <c r="I395" s="13" t="s">
        <v>63</v>
      </c>
      <c r="J395" s="14" t="s">
        <v>290</v>
      </c>
      <c r="K395" s="13" t="s">
        <v>52</v>
      </c>
      <c r="L395" s="14" t="s">
        <v>148</v>
      </c>
      <c r="M395" s="13" t="s">
        <v>202</v>
      </c>
      <c r="N395" s="14" t="s">
        <v>241</v>
      </c>
      <c r="O395" s="13" t="s">
        <v>52</v>
      </c>
      <c r="P395" s="14" t="s">
        <v>148</v>
      </c>
      <c r="Q395" s="13" t="s">
        <v>204</v>
      </c>
      <c r="R395" s="14" t="s">
        <v>157</v>
      </c>
      <c r="S395" s="15" t="n">
        <f>463.75</f>
        <v>463.75</v>
      </c>
      <c r="T395" s="16" t="n">
        <f>561</f>
        <v>561.0</v>
      </c>
      <c r="U395" s="16" t="n">
        <v>500.0</v>
      </c>
      <c r="V395" s="16" t="n">
        <f>249915000</f>
        <v>2.49915E8</v>
      </c>
      <c r="W395" s="16" t="n">
        <v>2.175E8</v>
      </c>
      <c r="X395" s="16" t="str">
        <f>"－"</f>
        <v>－</v>
      </c>
      <c r="Y395" s="13"/>
      <c r="Z395" s="17" t="n">
        <f>1651</f>
        <v>1651.0</v>
      </c>
      <c r="AA395" s="18" t="n">
        <f>8</f>
        <v>8.0</v>
      </c>
      <c r="AB395" s="11" t="s">
        <v>448</v>
      </c>
    </row>
    <row r="396">
      <c r="A396" s="11" t="s">
        <v>46</v>
      </c>
      <c r="B396" s="11" t="s">
        <v>47</v>
      </c>
      <c r="C396" s="11" t="s">
        <v>48</v>
      </c>
      <c r="D396" s="11" t="s">
        <v>49</v>
      </c>
      <c r="E396" s="11" t="s">
        <v>447</v>
      </c>
      <c r="F396" s="12" t="n">
        <v>25750.0</v>
      </c>
      <c r="G396" s="13" t="s">
        <v>56</v>
      </c>
      <c r="H396" s="14" t="s">
        <v>149</v>
      </c>
      <c r="I396" s="13" t="s">
        <v>204</v>
      </c>
      <c r="J396" s="14" t="s">
        <v>152</v>
      </c>
      <c r="K396" s="13" t="s">
        <v>50</v>
      </c>
      <c r="L396" s="14" t="s">
        <v>461</v>
      </c>
      <c r="M396" s="13" t="s">
        <v>207</v>
      </c>
      <c r="N396" s="14" t="s">
        <v>151</v>
      </c>
      <c r="O396" s="13" t="s">
        <v>207</v>
      </c>
      <c r="P396" s="14" t="s">
        <v>151</v>
      </c>
      <c r="Q396" s="13" t="s">
        <v>204</v>
      </c>
      <c r="R396" s="14" t="s">
        <v>152</v>
      </c>
      <c r="S396" s="15" t="n">
        <f>470</f>
        <v>470.0</v>
      </c>
      <c r="T396" s="16" t="n">
        <f>232</f>
        <v>232.0</v>
      </c>
      <c r="U396" s="16" t="n">
        <v>187.0</v>
      </c>
      <c r="V396" s="16" t="n">
        <f>110887000</f>
        <v>1.10887E8</v>
      </c>
      <c r="W396" s="16" t="n">
        <v>9.0747E7</v>
      </c>
      <c r="X396" s="16" t="str">
        <f>"－"</f>
        <v>－</v>
      </c>
      <c r="Y396" s="13"/>
      <c r="Z396" s="17" t="n">
        <f>372</f>
        <v>372.0</v>
      </c>
      <c r="AA396" s="18" t="n">
        <f>4</f>
        <v>4.0</v>
      </c>
      <c r="AB396" s="11" t="s">
        <v>448</v>
      </c>
    </row>
    <row r="397">
      <c r="A397" s="11" t="s">
        <v>46</v>
      </c>
      <c r="B397" s="11" t="s">
        <v>47</v>
      </c>
      <c r="C397" s="11" t="s">
        <v>48</v>
      </c>
      <c r="D397" s="11" t="s">
        <v>49</v>
      </c>
      <c r="E397" s="11" t="s">
        <v>447</v>
      </c>
      <c r="F397" s="12" t="n">
        <v>26000.0</v>
      </c>
      <c r="G397" s="13" t="s">
        <v>60</v>
      </c>
      <c r="H397" s="14" t="s">
        <v>250</v>
      </c>
      <c r="I397" s="13" t="s">
        <v>204</v>
      </c>
      <c r="J397" s="14" t="s">
        <v>318</v>
      </c>
      <c r="K397" s="13" t="s">
        <v>55</v>
      </c>
      <c r="L397" s="14" t="s">
        <v>462</v>
      </c>
      <c r="M397" s="13" t="s">
        <v>202</v>
      </c>
      <c r="N397" s="14" t="s">
        <v>182</v>
      </c>
      <c r="O397" s="13" t="s">
        <v>202</v>
      </c>
      <c r="P397" s="14" t="s">
        <v>145</v>
      </c>
      <c r="Q397" s="13" t="s">
        <v>204</v>
      </c>
      <c r="R397" s="14" t="s">
        <v>318</v>
      </c>
      <c r="S397" s="15" t="n">
        <f>497.22</f>
        <v>497.22</v>
      </c>
      <c r="T397" s="16" t="n">
        <f>1885</f>
        <v>1885.0</v>
      </c>
      <c r="U397" s="16" t="n">
        <v>1770.0</v>
      </c>
      <c r="V397" s="16" t="n">
        <f>939900000</f>
        <v>9.399E8</v>
      </c>
      <c r="W397" s="16" t="n">
        <v>8.8244E8</v>
      </c>
      <c r="X397" s="16" t="str">
        <f>"－"</f>
        <v>－</v>
      </c>
      <c r="Y397" s="13"/>
      <c r="Z397" s="17" t="n">
        <f>3785</f>
        <v>3785.0</v>
      </c>
      <c r="AA397" s="18" t="n">
        <f>9</f>
        <v>9.0</v>
      </c>
      <c r="AB397" s="11" t="s">
        <v>448</v>
      </c>
    </row>
    <row r="398">
      <c r="A398" s="11" t="s">
        <v>46</v>
      </c>
      <c r="B398" s="11" t="s">
        <v>47</v>
      </c>
      <c r="C398" s="11" t="s">
        <v>48</v>
      </c>
      <c r="D398" s="11" t="s">
        <v>49</v>
      </c>
      <c r="E398" s="11" t="s">
        <v>447</v>
      </c>
      <c r="F398" s="12" t="n">
        <v>26250.0</v>
      </c>
      <c r="G398" s="13" t="s">
        <v>63</v>
      </c>
      <c r="H398" s="14" t="s">
        <v>167</v>
      </c>
      <c r="I398" s="13" t="s">
        <v>63</v>
      </c>
      <c r="J398" s="14" t="s">
        <v>291</v>
      </c>
      <c r="K398" s="13" t="s">
        <v>208</v>
      </c>
      <c r="L398" s="14" t="s">
        <v>463</v>
      </c>
      <c r="M398" s="13" t="s">
        <v>202</v>
      </c>
      <c r="N398" s="14" t="s">
        <v>426</v>
      </c>
      <c r="O398" s="13" t="s">
        <v>208</v>
      </c>
      <c r="P398" s="14" t="s">
        <v>463</v>
      </c>
      <c r="Q398" s="13" t="s">
        <v>202</v>
      </c>
      <c r="R398" s="14" t="s">
        <v>426</v>
      </c>
      <c r="S398" s="15" t="n">
        <f>598.33</f>
        <v>598.33</v>
      </c>
      <c r="T398" s="16" t="n">
        <f>157</f>
        <v>157.0</v>
      </c>
      <c r="U398" s="16" t="n">
        <v>100.0</v>
      </c>
      <c r="V398" s="16" t="n">
        <f>79340000</f>
        <v>7.934E7</v>
      </c>
      <c r="W398" s="16" t="n">
        <v>4.56E7</v>
      </c>
      <c r="X398" s="16" t="str">
        <f>"－"</f>
        <v>－</v>
      </c>
      <c r="Y398" s="13"/>
      <c r="Z398" s="17" t="n">
        <f>117</f>
        <v>117.0</v>
      </c>
      <c r="AA398" s="18" t="n">
        <f>3</f>
        <v>3.0</v>
      </c>
      <c r="AB398" s="11" t="s">
        <v>448</v>
      </c>
    </row>
    <row r="399">
      <c r="A399" s="11" t="s">
        <v>46</v>
      </c>
      <c r="B399" s="11" t="s">
        <v>47</v>
      </c>
      <c r="C399" s="11" t="s">
        <v>48</v>
      </c>
      <c r="D399" s="11" t="s">
        <v>49</v>
      </c>
      <c r="E399" s="11" t="s">
        <v>447</v>
      </c>
      <c r="F399" s="12" t="n">
        <v>26500.0</v>
      </c>
      <c r="G399" s="13" t="s">
        <v>50</v>
      </c>
      <c r="H399" s="14" t="s">
        <v>271</v>
      </c>
      <c r="I399" s="13" t="s">
        <v>50</v>
      </c>
      <c r="J399" s="14" t="s">
        <v>271</v>
      </c>
      <c r="K399" s="13" t="s">
        <v>55</v>
      </c>
      <c r="L399" s="14" t="s">
        <v>382</v>
      </c>
      <c r="M399" s="13" t="s">
        <v>202</v>
      </c>
      <c r="N399" s="14" t="s">
        <v>309</v>
      </c>
      <c r="O399" s="13" t="s">
        <v>205</v>
      </c>
      <c r="P399" s="14" t="s">
        <v>152</v>
      </c>
      <c r="Q399" s="13" t="s">
        <v>204</v>
      </c>
      <c r="R399" s="14" t="s">
        <v>158</v>
      </c>
      <c r="S399" s="15" t="n">
        <f>624.17</f>
        <v>624.17</v>
      </c>
      <c r="T399" s="16" t="n">
        <f>1581</f>
        <v>1581.0</v>
      </c>
      <c r="U399" s="16" t="n">
        <v>1550.0</v>
      </c>
      <c r="V399" s="16" t="n">
        <f>966020000</f>
        <v>9.6602E8</v>
      </c>
      <c r="W399" s="16" t="n">
        <v>9.5045E8</v>
      </c>
      <c r="X399" s="16" t="str">
        <f>"－"</f>
        <v>－</v>
      </c>
      <c r="Y399" s="13"/>
      <c r="Z399" s="17" t="n">
        <f>1493</f>
        <v>1493.0</v>
      </c>
      <c r="AA399" s="18" t="n">
        <f>6</f>
        <v>6.0</v>
      </c>
      <c r="AB399" s="11" t="s">
        <v>448</v>
      </c>
    </row>
    <row r="400">
      <c r="A400" s="11" t="s">
        <v>46</v>
      </c>
      <c r="B400" s="11" t="s">
        <v>47</v>
      </c>
      <c r="C400" s="11" t="s">
        <v>48</v>
      </c>
      <c r="D400" s="11" t="s">
        <v>49</v>
      </c>
      <c r="E400" s="11" t="s">
        <v>447</v>
      </c>
      <c r="F400" s="12" t="n">
        <v>26750.0</v>
      </c>
      <c r="G400" s="13" t="s">
        <v>60</v>
      </c>
      <c r="H400" s="14" t="s">
        <v>295</v>
      </c>
      <c r="I400" s="13" t="s">
        <v>60</v>
      </c>
      <c r="J400" s="14" t="s">
        <v>295</v>
      </c>
      <c r="K400" s="13"/>
      <c r="L400" s="14"/>
      <c r="M400" s="13" t="s">
        <v>202</v>
      </c>
      <c r="N400" s="14" t="s">
        <v>152</v>
      </c>
      <c r="O400" s="13"/>
      <c r="P400" s="14"/>
      <c r="Q400" s="13" t="s">
        <v>288</v>
      </c>
      <c r="R400" s="14" t="s">
        <v>315</v>
      </c>
      <c r="S400" s="15" t="n">
        <f>621.67</f>
        <v>621.67</v>
      </c>
      <c r="T400" s="16" t="n">
        <f>39</f>
        <v>39.0</v>
      </c>
      <c r="U400" s="16"/>
      <c r="V400" s="16" t="n">
        <f>26070000</f>
        <v>2.607E7</v>
      </c>
      <c r="W400" s="16"/>
      <c r="X400" s="16" t="str">
        <f>"－"</f>
        <v>－</v>
      </c>
      <c r="Y400" s="13"/>
      <c r="Z400" s="17" t="n">
        <f>105</f>
        <v>105.0</v>
      </c>
      <c r="AA400" s="18" t="n">
        <f>3</f>
        <v>3.0</v>
      </c>
      <c r="AB400" s="11" t="s">
        <v>448</v>
      </c>
    </row>
    <row r="401">
      <c r="A401" s="11" t="s">
        <v>46</v>
      </c>
      <c r="B401" s="11" t="s">
        <v>47</v>
      </c>
      <c r="C401" s="11" t="s">
        <v>48</v>
      </c>
      <c r="D401" s="11" t="s">
        <v>49</v>
      </c>
      <c r="E401" s="11" t="s">
        <v>447</v>
      </c>
      <c r="F401" s="12" t="n">
        <v>27000.0</v>
      </c>
      <c r="G401" s="13" t="s">
        <v>50</v>
      </c>
      <c r="H401" s="14" t="s">
        <v>313</v>
      </c>
      <c r="I401" s="13" t="s">
        <v>50</v>
      </c>
      <c r="J401" s="14" t="s">
        <v>313</v>
      </c>
      <c r="K401" s="13" t="s">
        <v>55</v>
      </c>
      <c r="L401" s="14" t="s">
        <v>464</v>
      </c>
      <c r="M401" s="13" t="s">
        <v>202</v>
      </c>
      <c r="N401" s="14" t="s">
        <v>248</v>
      </c>
      <c r="O401" s="13" t="s">
        <v>202</v>
      </c>
      <c r="P401" s="14" t="s">
        <v>245</v>
      </c>
      <c r="Q401" s="13" t="s">
        <v>204</v>
      </c>
      <c r="R401" s="14" t="s">
        <v>306</v>
      </c>
      <c r="S401" s="15" t="n">
        <f>735</f>
        <v>735.0</v>
      </c>
      <c r="T401" s="16" t="n">
        <f>3619</f>
        <v>3619.0</v>
      </c>
      <c r="U401" s="16" t="n">
        <v>3441.0</v>
      </c>
      <c r="V401" s="16" t="n">
        <f>2312988000</f>
        <v>2.312988E9</v>
      </c>
      <c r="W401" s="16" t="n">
        <v>2.193533E9</v>
      </c>
      <c r="X401" s="16" t="str">
        <f>"－"</f>
        <v>－</v>
      </c>
      <c r="Y401" s="13"/>
      <c r="Z401" s="17" t="n">
        <f>3486</f>
        <v>3486.0</v>
      </c>
      <c r="AA401" s="18" t="n">
        <f>9</f>
        <v>9.0</v>
      </c>
      <c r="AB401" s="11" t="s">
        <v>448</v>
      </c>
    </row>
    <row r="402">
      <c r="A402" s="11" t="s">
        <v>46</v>
      </c>
      <c r="B402" s="11" t="s">
        <v>47</v>
      </c>
      <c r="C402" s="11" t="s">
        <v>48</v>
      </c>
      <c r="D402" s="11" t="s">
        <v>49</v>
      </c>
      <c r="E402" s="11" t="s">
        <v>447</v>
      </c>
      <c r="F402" s="12" t="n">
        <v>27250.0</v>
      </c>
      <c r="G402" s="13" t="s">
        <v>63</v>
      </c>
      <c r="H402" s="14" t="s">
        <v>322</v>
      </c>
      <c r="I402" s="13" t="s">
        <v>63</v>
      </c>
      <c r="J402" s="14" t="s">
        <v>322</v>
      </c>
      <c r="K402" s="13" t="s">
        <v>210</v>
      </c>
      <c r="L402" s="14" t="s">
        <v>465</v>
      </c>
      <c r="M402" s="13" t="s">
        <v>207</v>
      </c>
      <c r="N402" s="14" t="s">
        <v>161</v>
      </c>
      <c r="O402" s="13" t="s">
        <v>210</v>
      </c>
      <c r="P402" s="14" t="s">
        <v>465</v>
      </c>
      <c r="Q402" s="13" t="s">
        <v>210</v>
      </c>
      <c r="R402" s="14" t="s">
        <v>252</v>
      </c>
      <c r="S402" s="15" t="n">
        <f>810</f>
        <v>810.0</v>
      </c>
      <c r="T402" s="16" t="n">
        <f>302</f>
        <v>302.0</v>
      </c>
      <c r="U402" s="16" t="n">
        <v>248.0</v>
      </c>
      <c r="V402" s="16" t="n">
        <f>214710800</f>
        <v>2.147108E8</v>
      </c>
      <c r="W402" s="16" t="n">
        <v>1.686958E8</v>
      </c>
      <c r="X402" s="16" t="str">
        <f>"－"</f>
        <v>－</v>
      </c>
      <c r="Y402" s="13"/>
      <c r="Z402" s="17" t="n">
        <f>476</f>
        <v>476.0</v>
      </c>
      <c r="AA402" s="18" t="n">
        <f>5</f>
        <v>5.0</v>
      </c>
      <c r="AB402" s="11" t="s">
        <v>448</v>
      </c>
    </row>
    <row r="403">
      <c r="A403" s="11" t="s">
        <v>46</v>
      </c>
      <c r="B403" s="11" t="s">
        <v>47</v>
      </c>
      <c r="C403" s="11" t="s">
        <v>48</v>
      </c>
      <c r="D403" s="11" t="s">
        <v>49</v>
      </c>
      <c r="E403" s="11" t="s">
        <v>447</v>
      </c>
      <c r="F403" s="12" t="n">
        <v>27500.0</v>
      </c>
      <c r="G403" s="13" t="s">
        <v>50</v>
      </c>
      <c r="H403" s="14" t="s">
        <v>314</v>
      </c>
      <c r="I403" s="13" t="s">
        <v>50</v>
      </c>
      <c r="J403" s="14" t="s">
        <v>314</v>
      </c>
      <c r="K403" s="13" t="s">
        <v>55</v>
      </c>
      <c r="L403" s="14" t="s">
        <v>304</v>
      </c>
      <c r="M403" s="13" t="s">
        <v>202</v>
      </c>
      <c r="N403" s="14" t="s">
        <v>160</v>
      </c>
      <c r="O403" s="13" t="s">
        <v>215</v>
      </c>
      <c r="P403" s="14" t="s">
        <v>466</v>
      </c>
      <c r="Q403" s="13" t="s">
        <v>210</v>
      </c>
      <c r="R403" s="14" t="s">
        <v>467</v>
      </c>
      <c r="S403" s="15" t="n">
        <f>843.75</f>
        <v>843.75</v>
      </c>
      <c r="T403" s="16" t="n">
        <f>1129</f>
        <v>1129.0</v>
      </c>
      <c r="U403" s="16" t="n">
        <v>1050.0</v>
      </c>
      <c r="V403" s="16" t="n">
        <f>1075985000</f>
        <v>1.075985E9</v>
      </c>
      <c r="W403" s="16" t="n">
        <v>1.01925E9</v>
      </c>
      <c r="X403" s="16" t="str">
        <f>"－"</f>
        <v>－</v>
      </c>
      <c r="Y403" s="13"/>
      <c r="Z403" s="17" t="n">
        <f>1302</f>
        <v>1302.0</v>
      </c>
      <c r="AA403" s="18" t="n">
        <f>4</f>
        <v>4.0</v>
      </c>
      <c r="AB403" s="11" t="s">
        <v>448</v>
      </c>
    </row>
    <row r="404">
      <c r="A404" s="11" t="s">
        <v>46</v>
      </c>
      <c r="B404" s="11" t="s">
        <v>47</v>
      </c>
      <c r="C404" s="11" t="s">
        <v>48</v>
      </c>
      <c r="D404" s="11" t="s">
        <v>49</v>
      </c>
      <c r="E404" s="11" t="s">
        <v>447</v>
      </c>
      <c r="F404" s="12" t="n">
        <v>27750.0</v>
      </c>
      <c r="G404" s="13" t="s">
        <v>208</v>
      </c>
      <c r="H404" s="14" t="s">
        <v>262</v>
      </c>
      <c r="I404" s="13" t="s">
        <v>210</v>
      </c>
      <c r="J404" s="14" t="s">
        <v>295</v>
      </c>
      <c r="K404" s="13"/>
      <c r="L404" s="14"/>
      <c r="M404" s="13" t="s">
        <v>211</v>
      </c>
      <c r="N404" s="14" t="s">
        <v>281</v>
      </c>
      <c r="O404" s="13"/>
      <c r="P404" s="14"/>
      <c r="Q404" s="13" t="s">
        <v>210</v>
      </c>
      <c r="R404" s="14" t="s">
        <v>295</v>
      </c>
      <c r="S404" s="15" t="n">
        <f>738.33</f>
        <v>738.33</v>
      </c>
      <c r="T404" s="16" t="n">
        <f>52</f>
        <v>52.0</v>
      </c>
      <c r="U404" s="16"/>
      <c r="V404" s="16" t="n">
        <f>38630000</f>
        <v>3.863E7</v>
      </c>
      <c r="W404" s="16"/>
      <c r="X404" s="16" t="str">
        <f>"－"</f>
        <v>－</v>
      </c>
      <c r="Y404" s="13"/>
      <c r="Z404" s="17" t="n">
        <f>2</f>
        <v>2.0</v>
      </c>
      <c r="AA404" s="18" t="n">
        <f>3</f>
        <v>3.0</v>
      </c>
      <c r="AB404" s="11" t="s">
        <v>448</v>
      </c>
    </row>
    <row r="405">
      <c r="A405" s="11" t="s">
        <v>46</v>
      </c>
      <c r="B405" s="11" t="s">
        <v>47</v>
      </c>
      <c r="C405" s="11" t="s">
        <v>48</v>
      </c>
      <c r="D405" s="11" t="s">
        <v>49</v>
      </c>
      <c r="E405" s="11" t="s">
        <v>447</v>
      </c>
      <c r="F405" s="12" t="n">
        <v>28000.0</v>
      </c>
      <c r="G405" s="13" t="s">
        <v>60</v>
      </c>
      <c r="H405" s="14" t="s">
        <v>435</v>
      </c>
      <c r="I405" s="13" t="s">
        <v>60</v>
      </c>
      <c r="J405" s="14" t="s">
        <v>435</v>
      </c>
      <c r="K405" s="13" t="s">
        <v>50</v>
      </c>
      <c r="L405" s="14" t="s">
        <v>321</v>
      </c>
      <c r="M405" s="13" t="s">
        <v>202</v>
      </c>
      <c r="N405" s="14" t="s">
        <v>468</v>
      </c>
      <c r="O405" s="13" t="s">
        <v>288</v>
      </c>
      <c r="P405" s="14" t="s">
        <v>317</v>
      </c>
      <c r="Q405" s="13" t="s">
        <v>204</v>
      </c>
      <c r="R405" s="14" t="s">
        <v>301</v>
      </c>
      <c r="S405" s="15" t="n">
        <f>901.43</f>
        <v>901.43</v>
      </c>
      <c r="T405" s="16" t="n">
        <f>2985</f>
        <v>2985.0</v>
      </c>
      <c r="U405" s="16" t="n">
        <v>2955.0</v>
      </c>
      <c r="V405" s="16" t="n">
        <f>2750970000</f>
        <v>2.75097E9</v>
      </c>
      <c r="W405" s="16" t="n">
        <v>2.723635E9</v>
      </c>
      <c r="X405" s="16" t="str">
        <f>"－"</f>
        <v>－</v>
      </c>
      <c r="Y405" s="13"/>
      <c r="Z405" s="17" t="n">
        <f>4445</f>
        <v>4445.0</v>
      </c>
      <c r="AA405" s="18" t="n">
        <f>7</f>
        <v>7.0</v>
      </c>
      <c r="AB405" s="11" t="s">
        <v>448</v>
      </c>
    </row>
    <row r="406">
      <c r="A406" s="11" t="s">
        <v>46</v>
      </c>
      <c r="B406" s="11" t="s">
        <v>47</v>
      </c>
      <c r="C406" s="11" t="s">
        <v>48</v>
      </c>
      <c r="D406" s="11" t="s">
        <v>49</v>
      </c>
      <c r="E406" s="11" t="s">
        <v>447</v>
      </c>
      <c r="F406" s="12" t="n">
        <v>28250.0</v>
      </c>
      <c r="G406" s="13" t="s">
        <v>207</v>
      </c>
      <c r="H406" s="14" t="s">
        <v>360</v>
      </c>
      <c r="I406" s="13" t="s">
        <v>211</v>
      </c>
      <c r="J406" s="14" t="s">
        <v>302</v>
      </c>
      <c r="K406" s="13" t="s">
        <v>63</v>
      </c>
      <c r="L406" s="14" t="s">
        <v>469</v>
      </c>
      <c r="M406" s="13" t="s">
        <v>207</v>
      </c>
      <c r="N406" s="14" t="s">
        <v>360</v>
      </c>
      <c r="O406" s="13" t="s">
        <v>63</v>
      </c>
      <c r="P406" s="14" t="s">
        <v>469</v>
      </c>
      <c r="Q406" s="13" t="s">
        <v>211</v>
      </c>
      <c r="R406" s="14" t="s">
        <v>302</v>
      </c>
      <c r="S406" s="15" t="n">
        <f>827.5</f>
        <v>827.5</v>
      </c>
      <c r="T406" s="16" t="n">
        <f>53</f>
        <v>53.0</v>
      </c>
      <c r="U406" s="16" t="n">
        <v>50.0</v>
      </c>
      <c r="V406" s="16" t="n">
        <f>71710000</f>
        <v>7.171E7</v>
      </c>
      <c r="W406" s="16" t="n">
        <v>6.925E7</v>
      </c>
      <c r="X406" s="16" t="str">
        <f>"－"</f>
        <v>－</v>
      </c>
      <c r="Y406" s="13"/>
      <c r="Z406" s="17" t="n">
        <f>152</f>
        <v>152.0</v>
      </c>
      <c r="AA406" s="18" t="n">
        <f>2</f>
        <v>2.0</v>
      </c>
      <c r="AB406" s="11" t="s">
        <v>448</v>
      </c>
    </row>
    <row r="407">
      <c r="A407" s="11" t="s">
        <v>46</v>
      </c>
      <c r="B407" s="11" t="s">
        <v>47</v>
      </c>
      <c r="C407" s="11" t="s">
        <v>48</v>
      </c>
      <c r="D407" s="11" t="s">
        <v>49</v>
      </c>
      <c r="E407" s="11" t="s">
        <v>447</v>
      </c>
      <c r="F407" s="12" t="n">
        <v>28500.0</v>
      </c>
      <c r="G407" s="13" t="s">
        <v>56</v>
      </c>
      <c r="H407" s="14" t="s">
        <v>301</v>
      </c>
      <c r="I407" s="13" t="s">
        <v>204</v>
      </c>
      <c r="J407" s="14" t="s">
        <v>307</v>
      </c>
      <c r="K407" s="13" t="s">
        <v>56</v>
      </c>
      <c r="L407" s="14" t="s">
        <v>173</v>
      </c>
      <c r="M407" s="13" t="s">
        <v>288</v>
      </c>
      <c r="N407" s="14" t="s">
        <v>302</v>
      </c>
      <c r="O407" s="13" t="s">
        <v>210</v>
      </c>
      <c r="P407" s="14" t="s">
        <v>470</v>
      </c>
      <c r="Q407" s="13" t="s">
        <v>204</v>
      </c>
      <c r="R407" s="14" t="s">
        <v>307</v>
      </c>
      <c r="S407" s="15" t="n">
        <f>1076.67</f>
        <v>1076.67</v>
      </c>
      <c r="T407" s="16" t="n">
        <f>1166</f>
        <v>1166.0</v>
      </c>
      <c r="U407" s="16" t="n">
        <v>1150.0</v>
      </c>
      <c r="V407" s="16" t="n">
        <f>1179820000</f>
        <v>1.17982E9</v>
      </c>
      <c r="W407" s="16" t="n">
        <v>1.1626E9</v>
      </c>
      <c r="X407" s="16" t="str">
        <f>"－"</f>
        <v>－</v>
      </c>
      <c r="Y407" s="13"/>
      <c r="Z407" s="17" t="n">
        <f>1564</f>
        <v>1564.0</v>
      </c>
      <c r="AA407" s="18" t="n">
        <f>3</f>
        <v>3.0</v>
      </c>
      <c r="AB407" s="11" t="s">
        <v>448</v>
      </c>
    </row>
    <row r="408">
      <c r="A408" s="11" t="s">
        <v>46</v>
      </c>
      <c r="B408" s="11" t="s">
        <v>47</v>
      </c>
      <c r="C408" s="11" t="s">
        <v>48</v>
      </c>
      <c r="D408" s="11" t="s">
        <v>49</v>
      </c>
      <c r="E408" s="11" t="s">
        <v>447</v>
      </c>
      <c r="F408" s="12" t="n">
        <v>28750.0</v>
      </c>
      <c r="G408" s="13" t="s">
        <v>206</v>
      </c>
      <c r="H408" s="14" t="s">
        <v>443</v>
      </c>
      <c r="I408" s="13" t="s">
        <v>204</v>
      </c>
      <c r="J408" s="14" t="s">
        <v>307</v>
      </c>
      <c r="K408" s="13" t="s">
        <v>61</v>
      </c>
      <c r="L408" s="14" t="s">
        <v>319</v>
      </c>
      <c r="M408" s="13" t="s">
        <v>211</v>
      </c>
      <c r="N408" s="14" t="s">
        <v>287</v>
      </c>
      <c r="O408" s="13" t="s">
        <v>61</v>
      </c>
      <c r="P408" s="14" t="s">
        <v>319</v>
      </c>
      <c r="Q408" s="13" t="s">
        <v>204</v>
      </c>
      <c r="R408" s="14" t="s">
        <v>307</v>
      </c>
      <c r="S408" s="15" t="n">
        <f>1066</f>
        <v>1066.0</v>
      </c>
      <c r="T408" s="16" t="n">
        <f>947</f>
        <v>947.0</v>
      </c>
      <c r="U408" s="16" t="n">
        <v>730.0</v>
      </c>
      <c r="V408" s="16" t="n">
        <f>1099240000</f>
        <v>1.09924E9</v>
      </c>
      <c r="W408" s="16" t="n">
        <v>8.906E8</v>
      </c>
      <c r="X408" s="16" t="str">
        <f>"－"</f>
        <v>－</v>
      </c>
      <c r="Y408" s="13"/>
      <c r="Z408" s="17" t="n">
        <f>623</f>
        <v>623.0</v>
      </c>
      <c r="AA408" s="18" t="n">
        <f>5</f>
        <v>5.0</v>
      </c>
      <c r="AB408" s="11" t="s">
        <v>448</v>
      </c>
    </row>
    <row r="409">
      <c r="A409" s="11" t="s">
        <v>46</v>
      </c>
      <c r="B409" s="11" t="s">
        <v>47</v>
      </c>
      <c r="C409" s="11" t="s">
        <v>48</v>
      </c>
      <c r="D409" s="11" t="s">
        <v>49</v>
      </c>
      <c r="E409" s="11" t="s">
        <v>447</v>
      </c>
      <c r="F409" s="12" t="n">
        <v>29000.0</v>
      </c>
      <c r="G409" s="13" t="s">
        <v>206</v>
      </c>
      <c r="H409" s="14" t="s">
        <v>314</v>
      </c>
      <c r="I409" s="13" t="s">
        <v>204</v>
      </c>
      <c r="J409" s="14" t="s">
        <v>471</v>
      </c>
      <c r="K409" s="13" t="s">
        <v>52</v>
      </c>
      <c r="L409" s="14" t="s">
        <v>472</v>
      </c>
      <c r="M409" s="13" t="s">
        <v>288</v>
      </c>
      <c r="N409" s="14" t="s">
        <v>271</v>
      </c>
      <c r="O409" s="13" t="s">
        <v>288</v>
      </c>
      <c r="P409" s="14" t="s">
        <v>473</v>
      </c>
      <c r="Q409" s="13" t="s">
        <v>204</v>
      </c>
      <c r="R409" s="14" t="s">
        <v>474</v>
      </c>
      <c r="S409" s="15" t="n">
        <f>1173.57</f>
        <v>1173.57</v>
      </c>
      <c r="T409" s="16" t="n">
        <f>2413</f>
        <v>2413.0</v>
      </c>
      <c r="U409" s="16" t="n">
        <v>2300.0</v>
      </c>
      <c r="V409" s="16" t="n">
        <f>2889220000</f>
        <v>2.88922E9</v>
      </c>
      <c r="W409" s="16" t="n">
        <v>2.7524E9</v>
      </c>
      <c r="X409" s="16" t="str">
        <f>"－"</f>
        <v>－</v>
      </c>
      <c r="Y409" s="13"/>
      <c r="Z409" s="17" t="n">
        <f>1854</f>
        <v>1854.0</v>
      </c>
      <c r="AA409" s="18" t="n">
        <f>7</f>
        <v>7.0</v>
      </c>
      <c r="AB409" s="11" t="s">
        <v>448</v>
      </c>
    </row>
    <row r="410">
      <c r="A410" s="11" t="s">
        <v>46</v>
      </c>
      <c r="B410" s="11" t="s">
        <v>47</v>
      </c>
      <c r="C410" s="11" t="s">
        <v>48</v>
      </c>
      <c r="D410" s="11" t="s">
        <v>49</v>
      </c>
      <c r="E410" s="11" t="s">
        <v>447</v>
      </c>
      <c r="F410" s="12" t="n">
        <v>29250.0</v>
      </c>
      <c r="G410" s="13" t="s">
        <v>207</v>
      </c>
      <c r="H410" s="14" t="s">
        <v>423</v>
      </c>
      <c r="I410" s="13" t="s">
        <v>210</v>
      </c>
      <c r="J410" s="14" t="s">
        <v>308</v>
      </c>
      <c r="K410" s="13" t="s">
        <v>210</v>
      </c>
      <c r="L410" s="14" t="s">
        <v>475</v>
      </c>
      <c r="M410" s="13" t="s">
        <v>207</v>
      </c>
      <c r="N410" s="14" t="s">
        <v>423</v>
      </c>
      <c r="O410" s="13" t="s">
        <v>210</v>
      </c>
      <c r="P410" s="14" t="s">
        <v>475</v>
      </c>
      <c r="Q410" s="13" t="s">
        <v>210</v>
      </c>
      <c r="R410" s="14" t="s">
        <v>438</v>
      </c>
      <c r="S410" s="15" t="n">
        <f>1160</f>
        <v>1160.0</v>
      </c>
      <c r="T410" s="16" t="n">
        <f>253</f>
        <v>253.0</v>
      </c>
      <c r="U410" s="16" t="n">
        <v>248.0</v>
      </c>
      <c r="V410" s="16" t="n">
        <f>302080000</f>
        <v>3.0208E8</v>
      </c>
      <c r="W410" s="16" t="n">
        <v>2.9636E8</v>
      </c>
      <c r="X410" s="16" t="str">
        <f>"－"</f>
        <v>－</v>
      </c>
      <c r="Y410" s="13"/>
      <c r="Z410" s="17" t="n">
        <f>252</f>
        <v>252.0</v>
      </c>
      <c r="AA410" s="18" t="n">
        <f>2</f>
        <v>2.0</v>
      </c>
      <c r="AB410" s="11" t="s">
        <v>448</v>
      </c>
    </row>
    <row r="411">
      <c r="A411" s="11" t="s">
        <v>46</v>
      </c>
      <c r="B411" s="11" t="s">
        <v>47</v>
      </c>
      <c r="C411" s="11" t="s">
        <v>48</v>
      </c>
      <c r="D411" s="11" t="s">
        <v>49</v>
      </c>
      <c r="E411" s="11" t="s">
        <v>447</v>
      </c>
      <c r="F411" s="12" t="n">
        <v>29500.0</v>
      </c>
      <c r="G411" s="13" t="s">
        <v>202</v>
      </c>
      <c r="H411" s="14" t="s">
        <v>313</v>
      </c>
      <c r="I411" s="13" t="s">
        <v>208</v>
      </c>
      <c r="J411" s="14" t="s">
        <v>476</v>
      </c>
      <c r="K411" s="13" t="s">
        <v>52</v>
      </c>
      <c r="L411" s="14" t="s">
        <v>477</v>
      </c>
      <c r="M411" s="13" t="s">
        <v>202</v>
      </c>
      <c r="N411" s="14" t="s">
        <v>392</v>
      </c>
      <c r="O411" s="13" t="s">
        <v>202</v>
      </c>
      <c r="P411" s="14" t="s">
        <v>370</v>
      </c>
      <c r="Q411" s="13" t="s">
        <v>215</v>
      </c>
      <c r="R411" s="14" t="s">
        <v>443</v>
      </c>
      <c r="S411" s="15" t="n">
        <f>1267.5</f>
        <v>1267.5</v>
      </c>
      <c r="T411" s="16" t="n">
        <f>596</f>
        <v>596.0</v>
      </c>
      <c r="U411" s="16" t="n">
        <v>493.0</v>
      </c>
      <c r="V411" s="16" t="n">
        <f>794820000</f>
        <v>7.9482E8</v>
      </c>
      <c r="W411" s="16" t="n">
        <v>6.6459E8</v>
      </c>
      <c r="X411" s="16" t="str">
        <f>"－"</f>
        <v>－</v>
      </c>
      <c r="Y411" s="13"/>
      <c r="Z411" s="17" t="n">
        <f>535</f>
        <v>535.0</v>
      </c>
      <c r="AA411" s="18" t="n">
        <f>4</f>
        <v>4.0</v>
      </c>
      <c r="AB411" s="11" t="s">
        <v>448</v>
      </c>
    </row>
    <row r="412">
      <c r="A412" s="11" t="s">
        <v>46</v>
      </c>
      <c r="B412" s="11" t="s">
        <v>47</v>
      </c>
      <c r="C412" s="11" t="s">
        <v>48</v>
      </c>
      <c r="D412" s="11" t="s">
        <v>49</v>
      </c>
      <c r="E412" s="11" t="s">
        <v>447</v>
      </c>
      <c r="F412" s="12" t="n">
        <v>29750.0</v>
      </c>
      <c r="G412" s="13" t="s">
        <v>202</v>
      </c>
      <c r="H412" s="14" t="s">
        <v>478</v>
      </c>
      <c r="I412" s="13" t="s">
        <v>204</v>
      </c>
      <c r="J412" s="14" t="s">
        <v>479</v>
      </c>
      <c r="K412" s="13" t="s">
        <v>208</v>
      </c>
      <c r="L412" s="14" t="s">
        <v>474</v>
      </c>
      <c r="M412" s="13" t="s">
        <v>202</v>
      </c>
      <c r="N412" s="14" t="s">
        <v>478</v>
      </c>
      <c r="O412" s="13" t="s">
        <v>288</v>
      </c>
      <c r="P412" s="14" t="s">
        <v>480</v>
      </c>
      <c r="Q412" s="13" t="s">
        <v>204</v>
      </c>
      <c r="R412" s="14" t="s">
        <v>479</v>
      </c>
      <c r="S412" s="15" t="n">
        <f>1530</f>
        <v>1530.0</v>
      </c>
      <c r="T412" s="16" t="n">
        <f>541</f>
        <v>541.0</v>
      </c>
      <c r="U412" s="16" t="n">
        <v>450.0</v>
      </c>
      <c r="V412" s="16" t="n">
        <f>735659000</f>
        <v>7.35659E8</v>
      </c>
      <c r="W412" s="16" t="n">
        <v>6.12579E8</v>
      </c>
      <c r="X412" s="16" t="str">
        <f>"－"</f>
        <v>－</v>
      </c>
      <c r="Y412" s="13"/>
      <c r="Z412" s="17" t="n">
        <f>250</f>
        <v>250.0</v>
      </c>
      <c r="AA412" s="18" t="n">
        <f>3</f>
        <v>3.0</v>
      </c>
      <c r="AB412" s="11" t="s">
        <v>448</v>
      </c>
    </row>
    <row r="413">
      <c r="A413" s="11" t="s">
        <v>46</v>
      </c>
      <c r="B413" s="11" t="s">
        <v>47</v>
      </c>
      <c r="C413" s="11" t="s">
        <v>48</v>
      </c>
      <c r="D413" s="11" t="s">
        <v>49</v>
      </c>
      <c r="E413" s="11" t="s">
        <v>447</v>
      </c>
      <c r="F413" s="12" t="n">
        <v>30000.0</v>
      </c>
      <c r="G413" s="13" t="s">
        <v>205</v>
      </c>
      <c r="H413" s="14" t="s">
        <v>481</v>
      </c>
      <c r="I413" s="13" t="s">
        <v>205</v>
      </c>
      <c r="J413" s="14" t="s">
        <v>481</v>
      </c>
      <c r="K413" s="13" t="s">
        <v>205</v>
      </c>
      <c r="L413" s="14" t="s">
        <v>482</v>
      </c>
      <c r="M413" s="13" t="s">
        <v>202</v>
      </c>
      <c r="N413" s="14" t="s">
        <v>308</v>
      </c>
      <c r="O413" s="13" t="s">
        <v>202</v>
      </c>
      <c r="P413" s="14" t="s">
        <v>394</v>
      </c>
      <c r="Q413" s="13" t="s">
        <v>207</v>
      </c>
      <c r="R413" s="14" t="s">
        <v>483</v>
      </c>
      <c r="S413" s="15" t="n">
        <f>1415</f>
        <v>1415.0</v>
      </c>
      <c r="T413" s="16" t="n">
        <f>2011</f>
        <v>2011.0</v>
      </c>
      <c r="U413" s="16" t="n">
        <v>1910.0</v>
      </c>
      <c r="V413" s="16" t="n">
        <f>2904440000</f>
        <v>2.90444E9</v>
      </c>
      <c r="W413" s="16" t="n">
        <v>2.76151E9</v>
      </c>
      <c r="X413" s="16" t="str">
        <f>"－"</f>
        <v>－</v>
      </c>
      <c r="Y413" s="13"/>
      <c r="Z413" s="17" t="n">
        <f>1399</f>
        <v>1399.0</v>
      </c>
      <c r="AA413" s="18" t="n">
        <f>4</f>
        <v>4.0</v>
      </c>
      <c r="AB413" s="11" t="s">
        <v>448</v>
      </c>
    </row>
    <row r="414">
      <c r="A414" s="11" t="s">
        <v>46</v>
      </c>
      <c r="B414" s="11" t="s">
        <v>47</v>
      </c>
      <c r="C414" s="11" t="s">
        <v>48</v>
      </c>
      <c r="D414" s="11" t="s">
        <v>49</v>
      </c>
      <c r="E414" s="11" t="s">
        <v>447</v>
      </c>
      <c r="F414" s="12" t="n">
        <v>30500.0</v>
      </c>
      <c r="G414" s="13" t="s">
        <v>207</v>
      </c>
      <c r="H414" s="14" t="s">
        <v>321</v>
      </c>
      <c r="I414" s="13" t="s">
        <v>207</v>
      </c>
      <c r="J414" s="14" t="s">
        <v>321</v>
      </c>
      <c r="K414" s="13" t="s">
        <v>288</v>
      </c>
      <c r="L414" s="14" t="s">
        <v>484</v>
      </c>
      <c r="M414" s="13" t="s">
        <v>207</v>
      </c>
      <c r="N414" s="14" t="s">
        <v>485</v>
      </c>
      <c r="O414" s="13" t="s">
        <v>288</v>
      </c>
      <c r="P414" s="14" t="s">
        <v>484</v>
      </c>
      <c r="Q414" s="13" t="s">
        <v>207</v>
      </c>
      <c r="R414" s="14" t="s">
        <v>485</v>
      </c>
      <c r="S414" s="15" t="n">
        <f>1590</f>
        <v>1590.0</v>
      </c>
      <c r="T414" s="16" t="n">
        <f>90</f>
        <v>90.0</v>
      </c>
      <c r="U414" s="16" t="n">
        <v>75.0</v>
      </c>
      <c r="V414" s="16" t="n">
        <f>136400000</f>
        <v>1.364E8</v>
      </c>
      <c r="W414" s="16" t="n">
        <v>1.125E8</v>
      </c>
      <c r="X414" s="16" t="str">
        <f>"－"</f>
        <v>－</v>
      </c>
      <c r="Y414" s="13"/>
      <c r="Z414" s="17" t="n">
        <f>90</f>
        <v>90.0</v>
      </c>
      <c r="AA414" s="18" t="n">
        <f>1</f>
        <v>1.0</v>
      </c>
      <c r="AB414" s="11" t="s">
        <v>448</v>
      </c>
    </row>
    <row r="415">
      <c r="A415" s="11" t="s">
        <v>46</v>
      </c>
      <c r="B415" s="11" t="s">
        <v>47</v>
      </c>
      <c r="C415" s="11" t="s">
        <v>48</v>
      </c>
      <c r="D415" s="11" t="s">
        <v>49</v>
      </c>
      <c r="E415" s="11" t="s">
        <v>447</v>
      </c>
      <c r="F415" s="12" t="n">
        <v>30750.0</v>
      </c>
      <c r="G415" s="13" t="s">
        <v>288</v>
      </c>
      <c r="H415" s="14" t="s">
        <v>486</v>
      </c>
      <c r="I415" s="13" t="s">
        <v>288</v>
      </c>
      <c r="J415" s="14" t="s">
        <v>486</v>
      </c>
      <c r="K415" s="13"/>
      <c r="L415" s="14"/>
      <c r="M415" s="13" t="s">
        <v>288</v>
      </c>
      <c r="N415" s="14" t="s">
        <v>486</v>
      </c>
      <c r="O415" s="13"/>
      <c r="P415" s="14"/>
      <c r="Q415" s="13" t="s">
        <v>288</v>
      </c>
      <c r="R415" s="14" t="s">
        <v>486</v>
      </c>
      <c r="S415" s="15" t="n">
        <f>1670</f>
        <v>1670.0</v>
      </c>
      <c r="T415" s="16" t="n">
        <f>23</f>
        <v>23.0</v>
      </c>
      <c r="U415" s="16"/>
      <c r="V415" s="16" t="n">
        <f>38410000</f>
        <v>3.841E7</v>
      </c>
      <c r="W415" s="16"/>
      <c r="X415" s="16" t="str">
        <f>"－"</f>
        <v>－</v>
      </c>
      <c r="Y415" s="13"/>
      <c r="Z415" s="17" t="n">
        <f>3</f>
        <v>3.0</v>
      </c>
      <c r="AA415" s="18" t="n">
        <f>1</f>
        <v>1.0</v>
      </c>
      <c r="AB415" s="11" t="s">
        <v>448</v>
      </c>
    </row>
    <row r="416">
      <c r="A416" s="11" t="s">
        <v>46</v>
      </c>
      <c r="B416" s="11" t="s">
        <v>47</v>
      </c>
      <c r="C416" s="11" t="s">
        <v>48</v>
      </c>
      <c r="D416" s="11" t="s">
        <v>49</v>
      </c>
      <c r="E416" s="11" t="s">
        <v>447</v>
      </c>
      <c r="F416" s="12" t="n">
        <v>31000.0</v>
      </c>
      <c r="G416" s="13"/>
      <c r="H416" s="14" t="s">
        <v>57</v>
      </c>
      <c r="I416" s="13"/>
      <c r="J416" s="14" t="s">
        <v>57</v>
      </c>
      <c r="K416" s="13" t="s">
        <v>204</v>
      </c>
      <c r="L416" s="14" t="s">
        <v>487</v>
      </c>
      <c r="M416" s="13"/>
      <c r="N416" s="14" t="s">
        <v>57</v>
      </c>
      <c r="O416" s="13" t="s">
        <v>204</v>
      </c>
      <c r="P416" s="14" t="s">
        <v>487</v>
      </c>
      <c r="Q416" s="13"/>
      <c r="R416" s="14" t="s">
        <v>57</v>
      </c>
      <c r="S416" s="15" t="str">
        <f>"－"</f>
        <v>－</v>
      </c>
      <c r="T416" s="16" t="n">
        <f>100</f>
        <v>100.0</v>
      </c>
      <c r="U416" s="16" t="n">
        <v>100.0</v>
      </c>
      <c r="V416" s="16" t="n">
        <f>246300000</f>
        <v>2.463E8</v>
      </c>
      <c r="W416" s="16" t="n">
        <v>2.463E8</v>
      </c>
      <c r="X416" s="16" t="str">
        <f>"－"</f>
        <v>－</v>
      </c>
      <c r="Y416" s="13"/>
      <c r="Z416" s="17" t="n">
        <f>100</f>
        <v>100.0</v>
      </c>
      <c r="AA416" s="18" t="str">
        <f>"－"</f>
        <v>－</v>
      </c>
      <c r="AB416" s="11" t="s">
        <v>448</v>
      </c>
    </row>
    <row r="417">
      <c r="A417" s="11" t="s">
        <v>46</v>
      </c>
      <c r="B417" s="11" t="s">
        <v>47</v>
      </c>
      <c r="C417" s="11" t="s">
        <v>48</v>
      </c>
      <c r="D417" s="11" t="s">
        <v>49</v>
      </c>
      <c r="E417" s="11" t="s">
        <v>447</v>
      </c>
      <c r="F417" s="12" t="n">
        <v>32000.0</v>
      </c>
      <c r="G417" s="13"/>
      <c r="H417" s="14" t="s">
        <v>57</v>
      </c>
      <c r="I417" s="13"/>
      <c r="J417" s="14" t="s">
        <v>57</v>
      </c>
      <c r="K417" s="13"/>
      <c r="L417" s="14"/>
      <c r="M417" s="13"/>
      <c r="N417" s="14" t="s">
        <v>57</v>
      </c>
      <c r="O417" s="13"/>
      <c r="P417" s="14"/>
      <c r="Q417" s="13"/>
      <c r="R417" s="14" t="s">
        <v>57</v>
      </c>
      <c r="S417" s="15" t="str">
        <f>"－"</f>
        <v>－</v>
      </c>
      <c r="T417" s="16" t="str">
        <f>"－"</f>
        <v>－</v>
      </c>
      <c r="U417" s="16"/>
      <c r="V417" s="16" t="str">
        <f>"－"</f>
        <v>－</v>
      </c>
      <c r="W417" s="16"/>
      <c r="X417" s="16" t="str">
        <f>"－"</f>
        <v>－</v>
      </c>
      <c r="Y417" s="13"/>
      <c r="Z417" s="17" t="n">
        <f>5</f>
        <v>5.0</v>
      </c>
      <c r="AA417" s="18" t="str">
        <f>"－"</f>
        <v>－</v>
      </c>
      <c r="AB417" s="11" t="s">
        <v>448</v>
      </c>
    </row>
    <row r="418">
      <c r="A418" s="11" t="s">
        <v>46</v>
      </c>
      <c r="B418" s="11" t="s">
        <v>47</v>
      </c>
      <c r="C418" s="11" t="s">
        <v>48</v>
      </c>
      <c r="D418" s="11" t="s">
        <v>49</v>
      </c>
      <c r="E418" s="11" t="s">
        <v>447</v>
      </c>
      <c r="F418" s="12" t="n">
        <v>36000.0</v>
      </c>
      <c r="G418" s="13"/>
      <c r="H418" s="14" t="s">
        <v>57</v>
      </c>
      <c r="I418" s="13"/>
      <c r="J418" s="14" t="s">
        <v>57</v>
      </c>
      <c r="K418" s="13" t="s">
        <v>208</v>
      </c>
      <c r="L418" s="14" t="s">
        <v>488</v>
      </c>
      <c r="M418" s="13"/>
      <c r="N418" s="14" t="s">
        <v>57</v>
      </c>
      <c r="O418" s="13" t="s">
        <v>208</v>
      </c>
      <c r="P418" s="14" t="s">
        <v>488</v>
      </c>
      <c r="Q418" s="13"/>
      <c r="R418" s="14" t="s">
        <v>57</v>
      </c>
      <c r="S418" s="15" t="str">
        <f>"－"</f>
        <v>－</v>
      </c>
      <c r="T418" s="16" t="n">
        <f>700</f>
        <v>700.0</v>
      </c>
      <c r="U418" s="16" t="n">
        <v>700.0</v>
      </c>
      <c r="V418" s="16" t="n">
        <f>4413500000</f>
        <v>4.4135E9</v>
      </c>
      <c r="W418" s="16" t="n">
        <v>4.4135E9</v>
      </c>
      <c r="X418" s="16" t="str">
        <f>"－"</f>
        <v>－</v>
      </c>
      <c r="Y418" s="13"/>
      <c r="Z418" s="17" t="n">
        <f>700</f>
        <v>700.0</v>
      </c>
      <c r="AA418" s="18" t="str">
        <f>"－"</f>
        <v>－</v>
      </c>
      <c r="AB418" s="11" t="s">
        <v>448</v>
      </c>
    </row>
    <row r="419">
      <c r="A419" s="11" t="s">
        <v>46</v>
      </c>
      <c r="B419" s="11" t="s">
        <v>47</v>
      </c>
      <c r="C419" s="11" t="s">
        <v>48</v>
      </c>
      <c r="D419" s="11" t="s">
        <v>49</v>
      </c>
      <c r="E419" s="11" t="s">
        <v>489</v>
      </c>
      <c r="F419" s="12" t="n">
        <v>19750.0</v>
      </c>
      <c r="G419" s="13"/>
      <c r="H419" s="14" t="s">
        <v>57</v>
      </c>
      <c r="I419" s="13"/>
      <c r="J419" s="14" t="s">
        <v>57</v>
      </c>
      <c r="K419" s="13"/>
      <c r="L419" s="14"/>
      <c r="M419" s="13"/>
      <c r="N419" s="14" t="s">
        <v>57</v>
      </c>
      <c r="O419" s="13"/>
      <c r="P419" s="14"/>
      <c r="Q419" s="13"/>
      <c r="R419" s="14" t="s">
        <v>57</v>
      </c>
      <c r="S419" s="15" t="str">
        <f>"－"</f>
        <v>－</v>
      </c>
      <c r="T419" s="16" t="str">
        <f>"－"</f>
        <v>－</v>
      </c>
      <c r="U419" s="16"/>
      <c r="V419" s="16" t="str">
        <f>"－"</f>
        <v>－</v>
      </c>
      <c r="W419" s="16"/>
      <c r="X419" s="16" t="str">
        <f>"－"</f>
        <v>－</v>
      </c>
      <c r="Y419" s="13"/>
      <c r="Z419" s="17" t="n">
        <f>2</f>
        <v>2.0</v>
      </c>
      <c r="AA419" s="18" t="str">
        <f>"－"</f>
        <v>－</v>
      </c>
      <c r="AB419" s="11" t="s">
        <v>490</v>
      </c>
    </row>
    <row r="420">
      <c r="A420" s="11" t="s">
        <v>46</v>
      </c>
      <c r="B420" s="11" t="s">
        <v>47</v>
      </c>
      <c r="C420" s="11" t="s">
        <v>48</v>
      </c>
      <c r="D420" s="11" t="s">
        <v>49</v>
      </c>
      <c r="E420" s="11" t="s">
        <v>489</v>
      </c>
      <c r="F420" s="12" t="n">
        <v>20000.0</v>
      </c>
      <c r="G420" s="13"/>
      <c r="H420" s="14" t="s">
        <v>57</v>
      </c>
      <c r="I420" s="13"/>
      <c r="J420" s="14" t="s">
        <v>57</v>
      </c>
      <c r="K420" s="13"/>
      <c r="L420" s="14"/>
      <c r="M420" s="13"/>
      <c r="N420" s="14" t="s">
        <v>57</v>
      </c>
      <c r="O420" s="13"/>
      <c r="P420" s="14"/>
      <c r="Q420" s="13"/>
      <c r="R420" s="14" t="s">
        <v>57</v>
      </c>
      <c r="S420" s="15" t="str">
        <f>"－"</f>
        <v>－</v>
      </c>
      <c r="T420" s="16" t="str">
        <f>"－"</f>
        <v>－</v>
      </c>
      <c r="U420" s="16"/>
      <c r="V420" s="16" t="str">
        <f>"－"</f>
        <v>－</v>
      </c>
      <c r="W420" s="16"/>
      <c r="X420" s="16" t="str">
        <f>"－"</f>
        <v>－</v>
      </c>
      <c r="Y420" s="13"/>
      <c r="Z420" s="17" t="n">
        <f>10</f>
        <v>10.0</v>
      </c>
      <c r="AA420" s="18" t="str">
        <f>"－"</f>
        <v>－</v>
      </c>
      <c r="AB420" s="11" t="s">
        <v>490</v>
      </c>
    </row>
    <row r="421">
      <c r="A421" s="11" t="s">
        <v>46</v>
      </c>
      <c r="B421" s="11" t="s">
        <v>47</v>
      </c>
      <c r="C421" s="11" t="s">
        <v>48</v>
      </c>
      <c r="D421" s="11" t="s">
        <v>49</v>
      </c>
      <c r="E421" s="11" t="s">
        <v>489</v>
      </c>
      <c r="F421" s="12" t="n">
        <v>20500.0</v>
      </c>
      <c r="G421" s="13"/>
      <c r="H421" s="14" t="s">
        <v>57</v>
      </c>
      <c r="I421" s="13"/>
      <c r="J421" s="14" t="s">
        <v>57</v>
      </c>
      <c r="K421" s="13"/>
      <c r="L421" s="14"/>
      <c r="M421" s="13"/>
      <c r="N421" s="14" t="s">
        <v>57</v>
      </c>
      <c r="O421" s="13"/>
      <c r="P421" s="14"/>
      <c r="Q421" s="13"/>
      <c r="R421" s="14" t="s">
        <v>57</v>
      </c>
      <c r="S421" s="15" t="str">
        <f>"－"</f>
        <v>－</v>
      </c>
      <c r="T421" s="16" t="str">
        <f>"－"</f>
        <v>－</v>
      </c>
      <c r="U421" s="16"/>
      <c r="V421" s="16" t="str">
        <f>"－"</f>
        <v>－</v>
      </c>
      <c r="W421" s="16"/>
      <c r="X421" s="16" t="str">
        <f>"－"</f>
        <v>－</v>
      </c>
      <c r="Y421" s="13"/>
      <c r="Z421" s="17" t="n">
        <f>220</f>
        <v>220.0</v>
      </c>
      <c r="AA421" s="18" t="str">
        <f>"－"</f>
        <v>－</v>
      </c>
      <c r="AB421" s="11" t="s">
        <v>490</v>
      </c>
    </row>
    <row r="422">
      <c r="A422" s="11" t="s">
        <v>46</v>
      </c>
      <c r="B422" s="11" t="s">
        <v>47</v>
      </c>
      <c r="C422" s="11" t="s">
        <v>48</v>
      </c>
      <c r="D422" s="11" t="s">
        <v>49</v>
      </c>
      <c r="E422" s="11" t="s">
        <v>489</v>
      </c>
      <c r="F422" s="12" t="n">
        <v>24500.0</v>
      </c>
      <c r="G422" s="13"/>
      <c r="H422" s="14" t="s">
        <v>57</v>
      </c>
      <c r="I422" s="13"/>
      <c r="J422" s="14" t="s">
        <v>57</v>
      </c>
      <c r="K422" s="13"/>
      <c r="L422" s="14"/>
      <c r="M422" s="13"/>
      <c r="N422" s="14" t="s">
        <v>57</v>
      </c>
      <c r="O422" s="13"/>
      <c r="P422" s="14"/>
      <c r="Q422" s="13"/>
      <c r="R422" s="14" t="s">
        <v>57</v>
      </c>
      <c r="S422" s="15" t="str">
        <f>"－"</f>
        <v>－</v>
      </c>
      <c r="T422" s="16" t="str">
        <f>"－"</f>
        <v>－</v>
      </c>
      <c r="U422" s="16"/>
      <c r="V422" s="16" t="str">
        <f>"－"</f>
        <v>－</v>
      </c>
      <c r="W422" s="16"/>
      <c r="X422" s="16" t="str">
        <f>"－"</f>
        <v>－</v>
      </c>
      <c r="Y422" s="13"/>
      <c r="Z422" s="17" t="n">
        <f>1000</f>
        <v>1000.0</v>
      </c>
      <c r="AA422" s="18" t="str">
        <f>"－"</f>
        <v>－</v>
      </c>
      <c r="AB422" s="11" t="s">
        <v>490</v>
      </c>
    </row>
    <row r="423">
      <c r="A423" s="11" t="s">
        <v>46</v>
      </c>
      <c r="B423" s="11" t="s">
        <v>47</v>
      </c>
      <c r="C423" s="11" t="s">
        <v>48</v>
      </c>
      <c r="D423" s="11" t="s">
        <v>49</v>
      </c>
      <c r="E423" s="11" t="s">
        <v>489</v>
      </c>
      <c r="F423" s="12" t="n">
        <v>25000.0</v>
      </c>
      <c r="G423" s="13"/>
      <c r="H423" s="14" t="s">
        <v>57</v>
      </c>
      <c r="I423" s="13"/>
      <c r="J423" s="14" t="s">
        <v>57</v>
      </c>
      <c r="K423" s="13" t="s">
        <v>288</v>
      </c>
      <c r="L423" s="14" t="s">
        <v>491</v>
      </c>
      <c r="M423" s="13"/>
      <c r="N423" s="14" t="s">
        <v>57</v>
      </c>
      <c r="O423" s="13" t="s">
        <v>288</v>
      </c>
      <c r="P423" s="14" t="s">
        <v>491</v>
      </c>
      <c r="Q423" s="13"/>
      <c r="R423" s="14" t="s">
        <v>57</v>
      </c>
      <c r="S423" s="15" t="str">
        <f>"－"</f>
        <v>－</v>
      </c>
      <c r="T423" s="16" t="n">
        <f>500</f>
        <v>500.0</v>
      </c>
      <c r="U423" s="16" t="n">
        <v>500.0</v>
      </c>
      <c r="V423" s="16" t="n">
        <f>215600000</f>
        <v>2.156E8</v>
      </c>
      <c r="W423" s="16" t="n">
        <v>2.156E8</v>
      </c>
      <c r="X423" s="16" t="str">
        <f>"－"</f>
        <v>－</v>
      </c>
      <c r="Y423" s="13"/>
      <c r="Z423" s="17" t="n">
        <f>500</f>
        <v>500.0</v>
      </c>
      <c r="AA423" s="18" t="str">
        <f>"－"</f>
        <v>－</v>
      </c>
      <c r="AB423" s="11" t="s">
        <v>490</v>
      </c>
    </row>
    <row r="424">
      <c r="A424" s="11" t="s">
        <v>46</v>
      </c>
      <c r="B424" s="11" t="s">
        <v>47</v>
      </c>
      <c r="C424" s="11" t="s">
        <v>48</v>
      </c>
      <c r="D424" s="11" t="s">
        <v>49</v>
      </c>
      <c r="E424" s="11" t="s">
        <v>489</v>
      </c>
      <c r="F424" s="12" t="n">
        <v>25500.0</v>
      </c>
      <c r="G424" s="13" t="s">
        <v>202</v>
      </c>
      <c r="H424" s="14" t="s">
        <v>197</v>
      </c>
      <c r="I424" s="13" t="s">
        <v>202</v>
      </c>
      <c r="J424" s="14" t="s">
        <v>197</v>
      </c>
      <c r="K424" s="13" t="s">
        <v>56</v>
      </c>
      <c r="L424" s="14" t="s">
        <v>492</v>
      </c>
      <c r="M424" s="13" t="s">
        <v>202</v>
      </c>
      <c r="N424" s="14" t="s">
        <v>197</v>
      </c>
      <c r="O424" s="13" t="s">
        <v>56</v>
      </c>
      <c r="P424" s="14" t="s">
        <v>492</v>
      </c>
      <c r="Q424" s="13" t="s">
        <v>202</v>
      </c>
      <c r="R424" s="14" t="s">
        <v>197</v>
      </c>
      <c r="S424" s="15" t="n">
        <f>480</f>
        <v>480.0</v>
      </c>
      <c r="T424" s="16" t="n">
        <f>140</f>
        <v>140.0</v>
      </c>
      <c r="U424" s="16" t="n">
        <v>100.0</v>
      </c>
      <c r="V424" s="16" t="n">
        <f>74800000</f>
        <v>7.48E7</v>
      </c>
      <c r="W424" s="16" t="n">
        <v>5.56E7</v>
      </c>
      <c r="X424" s="16" t="str">
        <f>"－"</f>
        <v>－</v>
      </c>
      <c r="Y424" s="13"/>
      <c r="Z424" s="17" t="n">
        <f>100</f>
        <v>100.0</v>
      </c>
      <c r="AA424" s="18" t="n">
        <f>1</f>
        <v>1.0</v>
      </c>
      <c r="AB424" s="11" t="s">
        <v>490</v>
      </c>
    </row>
    <row r="425">
      <c r="A425" s="11" t="s">
        <v>46</v>
      </c>
      <c r="B425" s="11" t="s">
        <v>47</v>
      </c>
      <c r="C425" s="11" t="s">
        <v>48</v>
      </c>
      <c r="D425" s="11" t="s">
        <v>49</v>
      </c>
      <c r="E425" s="11" t="s">
        <v>489</v>
      </c>
      <c r="F425" s="12" t="n">
        <v>25750.0</v>
      </c>
      <c r="G425" s="13" t="s">
        <v>202</v>
      </c>
      <c r="H425" s="14" t="s">
        <v>150</v>
      </c>
      <c r="I425" s="13" t="s">
        <v>202</v>
      </c>
      <c r="J425" s="14" t="s">
        <v>150</v>
      </c>
      <c r="K425" s="13"/>
      <c r="L425" s="14"/>
      <c r="M425" s="13" t="s">
        <v>202</v>
      </c>
      <c r="N425" s="14" t="s">
        <v>150</v>
      </c>
      <c r="O425" s="13"/>
      <c r="P425" s="14"/>
      <c r="Q425" s="13" t="s">
        <v>202</v>
      </c>
      <c r="R425" s="14" t="s">
        <v>150</v>
      </c>
      <c r="S425" s="15" t="n">
        <f>515</f>
        <v>515.0</v>
      </c>
      <c r="T425" s="16" t="n">
        <f>20</f>
        <v>20.0</v>
      </c>
      <c r="U425" s="16"/>
      <c r="V425" s="16" t="n">
        <f>10300000</f>
        <v>1.03E7</v>
      </c>
      <c r="W425" s="16"/>
      <c r="X425" s="16" t="str">
        <f>"－"</f>
        <v>－</v>
      </c>
      <c r="Y425" s="13"/>
      <c r="Z425" s="17" t="str">
        <f>"－"</f>
        <v>－</v>
      </c>
      <c r="AA425" s="18" t="n">
        <f>1</f>
        <v>1.0</v>
      </c>
      <c r="AB425" s="11" t="s">
        <v>490</v>
      </c>
    </row>
    <row r="426">
      <c r="A426" s="11" t="s">
        <v>46</v>
      </c>
      <c r="B426" s="11" t="s">
        <v>47</v>
      </c>
      <c r="C426" s="11" t="s">
        <v>48</v>
      </c>
      <c r="D426" s="11" t="s">
        <v>49</v>
      </c>
      <c r="E426" s="11" t="s">
        <v>489</v>
      </c>
      <c r="F426" s="12" t="n">
        <v>26000.0</v>
      </c>
      <c r="G426" s="13"/>
      <c r="H426" s="14" t="s">
        <v>57</v>
      </c>
      <c r="I426" s="13"/>
      <c r="J426" s="14" t="s">
        <v>57</v>
      </c>
      <c r="K426" s="13" t="s">
        <v>56</v>
      </c>
      <c r="L426" s="14" t="s">
        <v>493</v>
      </c>
      <c r="M426" s="13"/>
      <c r="N426" s="14" t="s">
        <v>57</v>
      </c>
      <c r="O426" s="13" t="s">
        <v>56</v>
      </c>
      <c r="P426" s="14" t="s">
        <v>493</v>
      </c>
      <c r="Q426" s="13"/>
      <c r="R426" s="14" t="s">
        <v>57</v>
      </c>
      <c r="S426" s="15" t="str">
        <f>"－"</f>
        <v>－</v>
      </c>
      <c r="T426" s="16" t="n">
        <f>500</f>
        <v>500.0</v>
      </c>
      <c r="U426" s="16" t="n">
        <v>500.0</v>
      </c>
      <c r="V426" s="16" t="n">
        <f>324300000</f>
        <v>3.243E8</v>
      </c>
      <c r="W426" s="16" t="n">
        <v>3.243E8</v>
      </c>
      <c r="X426" s="16" t="str">
        <f>"－"</f>
        <v>－</v>
      </c>
      <c r="Y426" s="13"/>
      <c r="Z426" s="17" t="n">
        <f>1000</f>
        <v>1000.0</v>
      </c>
      <c r="AA426" s="18" t="str">
        <f>"－"</f>
        <v>－</v>
      </c>
      <c r="AB426" s="11" t="s">
        <v>490</v>
      </c>
    </row>
    <row r="427">
      <c r="A427" s="11" t="s">
        <v>46</v>
      </c>
      <c r="B427" s="11" t="s">
        <v>47</v>
      </c>
      <c r="C427" s="11" t="s">
        <v>48</v>
      </c>
      <c r="D427" s="11" t="s">
        <v>49</v>
      </c>
      <c r="E427" s="11" t="s">
        <v>489</v>
      </c>
      <c r="F427" s="12" t="n">
        <v>26250.0</v>
      </c>
      <c r="G427" s="13" t="s">
        <v>202</v>
      </c>
      <c r="H427" s="14" t="s">
        <v>156</v>
      </c>
      <c r="I427" s="13" t="s">
        <v>202</v>
      </c>
      <c r="J427" s="14" t="s">
        <v>156</v>
      </c>
      <c r="K427" s="13"/>
      <c r="L427" s="14"/>
      <c r="M427" s="13" t="s">
        <v>202</v>
      </c>
      <c r="N427" s="14" t="s">
        <v>156</v>
      </c>
      <c r="O427" s="13"/>
      <c r="P427" s="14"/>
      <c r="Q427" s="13" t="s">
        <v>202</v>
      </c>
      <c r="R427" s="14" t="s">
        <v>156</v>
      </c>
      <c r="S427" s="15" t="n">
        <f>585</f>
        <v>585.0</v>
      </c>
      <c r="T427" s="16" t="n">
        <f>20</f>
        <v>20.0</v>
      </c>
      <c r="U427" s="16"/>
      <c r="V427" s="16" t="n">
        <f>11700000</f>
        <v>1.17E7</v>
      </c>
      <c r="W427" s="16"/>
      <c r="X427" s="16" t="str">
        <f>"－"</f>
        <v>－</v>
      </c>
      <c r="Y427" s="13"/>
      <c r="Z427" s="17" t="str">
        <f>"－"</f>
        <v>－</v>
      </c>
      <c r="AA427" s="18" t="n">
        <f>1</f>
        <v>1.0</v>
      </c>
      <c r="AB427" s="11" t="s">
        <v>490</v>
      </c>
    </row>
    <row r="428">
      <c r="A428" s="11" t="s">
        <v>46</v>
      </c>
      <c r="B428" s="11" t="s">
        <v>47</v>
      </c>
      <c r="C428" s="11" t="s">
        <v>48</v>
      </c>
      <c r="D428" s="11" t="s">
        <v>49</v>
      </c>
      <c r="E428" s="11" t="s">
        <v>489</v>
      </c>
      <c r="F428" s="12" t="n">
        <v>26500.0</v>
      </c>
      <c r="G428" s="13" t="s">
        <v>202</v>
      </c>
      <c r="H428" s="14" t="s">
        <v>161</v>
      </c>
      <c r="I428" s="13" t="s">
        <v>202</v>
      </c>
      <c r="J428" s="14" t="s">
        <v>161</v>
      </c>
      <c r="K428" s="13"/>
      <c r="L428" s="14"/>
      <c r="M428" s="13" t="s">
        <v>202</v>
      </c>
      <c r="N428" s="14" t="s">
        <v>161</v>
      </c>
      <c r="O428" s="13"/>
      <c r="P428" s="14"/>
      <c r="Q428" s="13" t="s">
        <v>202</v>
      </c>
      <c r="R428" s="14" t="s">
        <v>161</v>
      </c>
      <c r="S428" s="15" t="n">
        <f>625</f>
        <v>625.0</v>
      </c>
      <c r="T428" s="16" t="n">
        <f>20</f>
        <v>20.0</v>
      </c>
      <c r="U428" s="16"/>
      <c r="V428" s="16" t="n">
        <f>12500000</f>
        <v>1.25E7</v>
      </c>
      <c r="W428" s="16"/>
      <c r="X428" s="16" t="str">
        <f>"－"</f>
        <v>－</v>
      </c>
      <c r="Y428" s="13"/>
      <c r="Z428" s="17" t="str">
        <f>"－"</f>
        <v>－</v>
      </c>
      <c r="AA428" s="18" t="n">
        <f>1</f>
        <v>1.0</v>
      </c>
      <c r="AB428" s="11" t="s">
        <v>490</v>
      </c>
    </row>
    <row r="429">
      <c r="A429" s="11" t="s">
        <v>46</v>
      </c>
      <c r="B429" s="11" t="s">
        <v>47</v>
      </c>
      <c r="C429" s="11" t="s">
        <v>48</v>
      </c>
      <c r="D429" s="11" t="s">
        <v>49</v>
      </c>
      <c r="E429" s="11" t="s">
        <v>489</v>
      </c>
      <c r="F429" s="12" t="n">
        <v>28000.0</v>
      </c>
      <c r="G429" s="13" t="s">
        <v>55</v>
      </c>
      <c r="H429" s="14" t="s">
        <v>484</v>
      </c>
      <c r="I429" s="13" t="s">
        <v>55</v>
      </c>
      <c r="J429" s="14" t="s">
        <v>484</v>
      </c>
      <c r="K429" s="13"/>
      <c r="L429" s="14"/>
      <c r="M429" s="13" t="s">
        <v>55</v>
      </c>
      <c r="N429" s="14" t="s">
        <v>484</v>
      </c>
      <c r="O429" s="13"/>
      <c r="P429" s="14"/>
      <c r="Q429" s="13" t="s">
        <v>55</v>
      </c>
      <c r="R429" s="14" t="s">
        <v>484</v>
      </c>
      <c r="S429" s="15" t="n">
        <f>1500</f>
        <v>1500.0</v>
      </c>
      <c r="T429" s="16" t="n">
        <f>10</f>
        <v>10.0</v>
      </c>
      <c r="U429" s="16"/>
      <c r="V429" s="16" t="n">
        <f>15000000</f>
        <v>1.5E7</v>
      </c>
      <c r="W429" s="16"/>
      <c r="X429" s="16" t="str">
        <f>"－"</f>
        <v>－</v>
      </c>
      <c r="Y429" s="13"/>
      <c r="Z429" s="17" t="n">
        <f>10</f>
        <v>10.0</v>
      </c>
      <c r="AA429" s="18" t="n">
        <f>1</f>
        <v>1.0</v>
      </c>
      <c r="AB429" s="11" t="s">
        <v>490</v>
      </c>
    </row>
    <row r="430">
      <c r="A430" s="11" t="s">
        <v>46</v>
      </c>
      <c r="B430" s="11" t="s">
        <v>47</v>
      </c>
      <c r="C430" s="11" t="s">
        <v>48</v>
      </c>
      <c r="D430" s="11" t="s">
        <v>49</v>
      </c>
      <c r="E430" s="11" t="s">
        <v>489</v>
      </c>
      <c r="F430" s="12" t="n">
        <v>28500.0</v>
      </c>
      <c r="G430" s="13" t="s">
        <v>210</v>
      </c>
      <c r="H430" s="14" t="s">
        <v>173</v>
      </c>
      <c r="I430" s="13" t="s">
        <v>210</v>
      </c>
      <c r="J430" s="14" t="s">
        <v>173</v>
      </c>
      <c r="K430" s="13"/>
      <c r="L430" s="14"/>
      <c r="M430" s="13" t="s">
        <v>210</v>
      </c>
      <c r="N430" s="14" t="s">
        <v>173</v>
      </c>
      <c r="O430" s="13"/>
      <c r="P430" s="14"/>
      <c r="Q430" s="13" t="s">
        <v>210</v>
      </c>
      <c r="R430" s="14" t="s">
        <v>173</v>
      </c>
      <c r="S430" s="15" t="n">
        <f>1110</f>
        <v>1110.0</v>
      </c>
      <c r="T430" s="16" t="n">
        <f>20</f>
        <v>20.0</v>
      </c>
      <c r="U430" s="16"/>
      <c r="V430" s="16" t="n">
        <f>22200000</f>
        <v>2.22E7</v>
      </c>
      <c r="W430" s="16"/>
      <c r="X430" s="16" t="str">
        <f>"－"</f>
        <v>－</v>
      </c>
      <c r="Y430" s="13"/>
      <c r="Z430" s="17" t="str">
        <f>"－"</f>
        <v>－</v>
      </c>
      <c r="AA430" s="18" t="n">
        <f>1</f>
        <v>1.0</v>
      </c>
      <c r="AB430" s="11" t="s">
        <v>490</v>
      </c>
    </row>
    <row r="431">
      <c r="A431" s="11" t="s">
        <v>46</v>
      </c>
      <c r="B431" s="11" t="s">
        <v>47</v>
      </c>
      <c r="C431" s="11" t="s">
        <v>48</v>
      </c>
      <c r="D431" s="11" t="s">
        <v>49</v>
      </c>
      <c r="E431" s="11" t="s">
        <v>494</v>
      </c>
      <c r="F431" s="12" t="n">
        <v>21500.0</v>
      </c>
      <c r="G431" s="13"/>
      <c r="H431" s="14" t="s">
        <v>57</v>
      </c>
      <c r="I431" s="13"/>
      <c r="J431" s="14" t="s">
        <v>57</v>
      </c>
      <c r="K431" s="13"/>
      <c r="L431" s="14"/>
      <c r="M431" s="13"/>
      <c r="N431" s="14" t="s">
        <v>57</v>
      </c>
      <c r="O431" s="13"/>
      <c r="P431" s="14"/>
      <c r="Q431" s="13"/>
      <c r="R431" s="14" t="s">
        <v>57</v>
      </c>
      <c r="S431" s="15" t="str">
        <f>"－"</f>
        <v>－</v>
      </c>
      <c r="T431" s="16" t="str">
        <f>"－"</f>
        <v>－</v>
      </c>
      <c r="U431" s="16"/>
      <c r="V431" s="16" t="str">
        <f>"－"</f>
        <v>－</v>
      </c>
      <c r="W431" s="16"/>
      <c r="X431" s="16" t="str">
        <f>"－"</f>
        <v>－</v>
      </c>
      <c r="Y431" s="13"/>
      <c r="Z431" s="17" t="n">
        <f>3</f>
        <v>3.0</v>
      </c>
      <c r="AA431" s="18" t="str">
        <f>"－"</f>
        <v>－</v>
      </c>
      <c r="AB431" s="11" t="s">
        <v>495</v>
      </c>
    </row>
    <row r="432">
      <c r="A432" s="11" t="s">
        <v>46</v>
      </c>
      <c r="B432" s="11" t="s">
        <v>47</v>
      </c>
      <c r="C432" s="11" t="s">
        <v>48</v>
      </c>
      <c r="D432" s="11" t="s">
        <v>49</v>
      </c>
      <c r="E432" s="11" t="s">
        <v>494</v>
      </c>
      <c r="F432" s="12" t="n">
        <v>26000.0</v>
      </c>
      <c r="G432" s="13"/>
      <c r="H432" s="14" t="s">
        <v>57</v>
      </c>
      <c r="I432" s="13"/>
      <c r="J432" s="14" t="s">
        <v>57</v>
      </c>
      <c r="K432" s="13" t="s">
        <v>206</v>
      </c>
      <c r="L432" s="14" t="s">
        <v>164</v>
      </c>
      <c r="M432" s="13"/>
      <c r="N432" s="14" t="s">
        <v>57</v>
      </c>
      <c r="O432" s="13" t="s">
        <v>206</v>
      </c>
      <c r="P432" s="14" t="s">
        <v>164</v>
      </c>
      <c r="Q432" s="13"/>
      <c r="R432" s="14" t="s">
        <v>57</v>
      </c>
      <c r="S432" s="15" t="str">
        <f>"－"</f>
        <v>－</v>
      </c>
      <c r="T432" s="16" t="n">
        <f>100</f>
        <v>100.0</v>
      </c>
      <c r="U432" s="16" t="n">
        <v>100.0</v>
      </c>
      <c r="V432" s="16" t="n">
        <f>78000000</f>
        <v>7.8E7</v>
      </c>
      <c r="W432" s="16" t="n">
        <v>7.8E7</v>
      </c>
      <c r="X432" s="16" t="str">
        <f>"－"</f>
        <v>－</v>
      </c>
      <c r="Y432" s="13"/>
      <c r="Z432" s="17" t="n">
        <f>100</f>
        <v>100.0</v>
      </c>
      <c r="AA432" s="18" t="str">
        <f>"－"</f>
        <v>－</v>
      </c>
      <c r="AB432" s="11" t="s">
        <v>495</v>
      </c>
    </row>
    <row r="433">
      <c r="A433" s="11" t="s">
        <v>46</v>
      </c>
      <c r="B433" s="11" t="s">
        <v>47</v>
      </c>
      <c r="C433" s="11" t="s">
        <v>48</v>
      </c>
      <c r="D433" s="11" t="s">
        <v>49</v>
      </c>
      <c r="E433" s="11" t="s">
        <v>494</v>
      </c>
      <c r="F433" s="12" t="n">
        <v>28500.0</v>
      </c>
      <c r="G433" s="13"/>
      <c r="H433" s="14" t="s">
        <v>57</v>
      </c>
      <c r="I433" s="13"/>
      <c r="J433" s="14" t="s">
        <v>57</v>
      </c>
      <c r="K433" s="13"/>
      <c r="L433" s="14"/>
      <c r="M433" s="13"/>
      <c r="N433" s="14" t="s">
        <v>57</v>
      </c>
      <c r="O433" s="13"/>
      <c r="P433" s="14"/>
      <c r="Q433" s="13"/>
      <c r="R433" s="14" t="s">
        <v>57</v>
      </c>
      <c r="S433" s="15" t="str">
        <f>"－"</f>
        <v>－</v>
      </c>
      <c r="T433" s="16" t="str">
        <f>"－"</f>
        <v>－</v>
      </c>
      <c r="U433" s="16"/>
      <c r="V433" s="16" t="str">
        <f>"－"</f>
        <v>－</v>
      </c>
      <c r="W433" s="16"/>
      <c r="X433" s="16" t="str">
        <f>"－"</f>
        <v>－</v>
      </c>
      <c r="Y433" s="13"/>
      <c r="Z433" s="17" t="n">
        <f>30</f>
        <v>30.0</v>
      </c>
      <c r="AA433" s="18" t="str">
        <f>"－"</f>
        <v>－</v>
      </c>
      <c r="AB433" s="11" t="s">
        <v>495</v>
      </c>
    </row>
    <row r="434">
      <c r="A434" s="11" t="s">
        <v>46</v>
      </c>
      <c r="B434" s="11" t="s">
        <v>47</v>
      </c>
      <c r="C434" s="11" t="s">
        <v>48</v>
      </c>
      <c r="D434" s="11" t="s">
        <v>49</v>
      </c>
      <c r="E434" s="11" t="s">
        <v>494</v>
      </c>
      <c r="F434" s="12" t="n">
        <v>29000.0</v>
      </c>
      <c r="G434" s="13"/>
      <c r="H434" s="14" t="s">
        <v>57</v>
      </c>
      <c r="I434" s="13"/>
      <c r="J434" s="14" t="s">
        <v>57</v>
      </c>
      <c r="K434" s="13" t="s">
        <v>206</v>
      </c>
      <c r="L434" s="14" t="s">
        <v>496</v>
      </c>
      <c r="M434" s="13"/>
      <c r="N434" s="14" t="s">
        <v>57</v>
      </c>
      <c r="O434" s="13" t="s">
        <v>206</v>
      </c>
      <c r="P434" s="14" t="s">
        <v>496</v>
      </c>
      <c r="Q434" s="13"/>
      <c r="R434" s="14" t="s">
        <v>57</v>
      </c>
      <c r="S434" s="15" t="str">
        <f>"－"</f>
        <v>－</v>
      </c>
      <c r="T434" s="16" t="n">
        <f>75</f>
        <v>75.0</v>
      </c>
      <c r="U434" s="16" t="n">
        <v>75.0</v>
      </c>
      <c r="V434" s="16" t="n">
        <f>123150000</f>
        <v>1.2315E8</v>
      </c>
      <c r="W434" s="16" t="n">
        <v>1.2315E8</v>
      </c>
      <c r="X434" s="16" t="str">
        <f>"－"</f>
        <v>－</v>
      </c>
      <c r="Y434" s="13"/>
      <c r="Z434" s="17" t="n">
        <f>75</f>
        <v>75.0</v>
      </c>
      <c r="AA434" s="18" t="str">
        <f>"－"</f>
        <v>－</v>
      </c>
      <c r="AB434" s="11" t="s">
        <v>495</v>
      </c>
    </row>
    <row r="435">
      <c r="A435" s="11" t="s">
        <v>46</v>
      </c>
      <c r="B435" s="11" t="s">
        <v>47</v>
      </c>
      <c r="C435" s="11" t="s">
        <v>48</v>
      </c>
      <c r="D435" s="11" t="s">
        <v>49</v>
      </c>
      <c r="E435" s="11" t="s">
        <v>494</v>
      </c>
      <c r="F435" s="12" t="n">
        <v>30000.0</v>
      </c>
      <c r="G435" s="13"/>
      <c r="H435" s="14" t="s">
        <v>57</v>
      </c>
      <c r="I435" s="13"/>
      <c r="J435" s="14" t="s">
        <v>57</v>
      </c>
      <c r="K435" s="13" t="s">
        <v>210</v>
      </c>
      <c r="L435" s="14" t="s">
        <v>497</v>
      </c>
      <c r="M435" s="13"/>
      <c r="N435" s="14" t="s">
        <v>57</v>
      </c>
      <c r="O435" s="13" t="s">
        <v>208</v>
      </c>
      <c r="P435" s="14" t="s">
        <v>498</v>
      </c>
      <c r="Q435" s="13"/>
      <c r="R435" s="14" t="s">
        <v>57</v>
      </c>
      <c r="S435" s="15" t="str">
        <f>"－"</f>
        <v>－</v>
      </c>
      <c r="T435" s="16" t="n">
        <f>200</f>
        <v>200.0</v>
      </c>
      <c r="U435" s="16" t="n">
        <v>200.0</v>
      </c>
      <c r="V435" s="16" t="n">
        <f>398100000</f>
        <v>3.981E8</v>
      </c>
      <c r="W435" s="16" t="n">
        <v>3.981E8</v>
      </c>
      <c r="X435" s="16" t="str">
        <f>"－"</f>
        <v>－</v>
      </c>
      <c r="Y435" s="13"/>
      <c r="Z435" s="17" t="n">
        <f>200</f>
        <v>200.0</v>
      </c>
      <c r="AA435" s="18" t="str">
        <f>"－"</f>
        <v>－</v>
      </c>
      <c r="AB435" s="11" t="s">
        <v>495</v>
      </c>
    </row>
    <row r="436">
      <c r="A436" s="11" t="s">
        <v>46</v>
      </c>
      <c r="B436" s="11" t="s">
        <v>47</v>
      </c>
      <c r="C436" s="11" t="s">
        <v>48</v>
      </c>
      <c r="D436" s="11" t="s">
        <v>49</v>
      </c>
      <c r="E436" s="11" t="s">
        <v>499</v>
      </c>
      <c r="F436" s="12" t="n">
        <v>12500.0</v>
      </c>
      <c r="G436" s="13"/>
      <c r="H436" s="14" t="s">
        <v>57</v>
      </c>
      <c r="I436" s="13"/>
      <c r="J436" s="14" t="s">
        <v>57</v>
      </c>
      <c r="K436" s="13"/>
      <c r="L436" s="14"/>
      <c r="M436" s="13"/>
      <c r="N436" s="14" t="s">
        <v>57</v>
      </c>
      <c r="O436" s="13"/>
      <c r="P436" s="14"/>
      <c r="Q436" s="13"/>
      <c r="R436" s="14" t="s">
        <v>57</v>
      </c>
      <c r="S436" s="15" t="str">
        <f>"－"</f>
        <v>－</v>
      </c>
      <c r="T436" s="16" t="str">
        <f>"－"</f>
        <v>－</v>
      </c>
      <c r="U436" s="16"/>
      <c r="V436" s="16" t="str">
        <f>"－"</f>
        <v>－</v>
      </c>
      <c r="W436" s="16"/>
      <c r="X436" s="16" t="str">
        <f>"－"</f>
        <v>－</v>
      </c>
      <c r="Y436" s="13"/>
      <c r="Z436" s="17" t="n">
        <f>9</f>
        <v>9.0</v>
      </c>
      <c r="AA436" s="18" t="str">
        <f>"－"</f>
        <v>－</v>
      </c>
      <c r="AB436" s="11" t="s">
        <v>500</v>
      </c>
    </row>
    <row r="437">
      <c r="A437" s="11" t="s">
        <v>46</v>
      </c>
      <c r="B437" s="11" t="s">
        <v>47</v>
      </c>
      <c r="C437" s="11" t="s">
        <v>48</v>
      </c>
      <c r="D437" s="11" t="s">
        <v>49</v>
      </c>
      <c r="E437" s="11" t="s">
        <v>499</v>
      </c>
      <c r="F437" s="12" t="n">
        <v>13000.0</v>
      </c>
      <c r="G437" s="13"/>
      <c r="H437" s="14" t="s">
        <v>57</v>
      </c>
      <c r="I437" s="13"/>
      <c r="J437" s="14" t="s">
        <v>57</v>
      </c>
      <c r="K437" s="13"/>
      <c r="L437" s="14"/>
      <c r="M437" s="13"/>
      <c r="N437" s="14" t="s">
        <v>57</v>
      </c>
      <c r="O437" s="13"/>
      <c r="P437" s="14"/>
      <c r="Q437" s="13"/>
      <c r="R437" s="14" t="s">
        <v>57</v>
      </c>
      <c r="S437" s="15" t="str">
        <f>"－"</f>
        <v>－</v>
      </c>
      <c r="T437" s="16" t="str">
        <f>"－"</f>
        <v>－</v>
      </c>
      <c r="U437" s="16"/>
      <c r="V437" s="16" t="str">
        <f>"－"</f>
        <v>－</v>
      </c>
      <c r="W437" s="16"/>
      <c r="X437" s="16" t="str">
        <f>"－"</f>
        <v>－</v>
      </c>
      <c r="Y437" s="13"/>
      <c r="Z437" s="17" t="n">
        <f>2</f>
        <v>2.0</v>
      </c>
      <c r="AA437" s="18" t="str">
        <f>"－"</f>
        <v>－</v>
      </c>
      <c r="AB437" s="11" t="s">
        <v>500</v>
      </c>
    </row>
    <row r="438">
      <c r="A438" s="11" t="s">
        <v>46</v>
      </c>
      <c r="B438" s="11" t="s">
        <v>47</v>
      </c>
      <c r="C438" s="11" t="s">
        <v>48</v>
      </c>
      <c r="D438" s="11" t="s">
        <v>49</v>
      </c>
      <c r="E438" s="11" t="s">
        <v>499</v>
      </c>
      <c r="F438" s="12" t="n">
        <v>14000.0</v>
      </c>
      <c r="G438" s="13"/>
      <c r="H438" s="14" t="s">
        <v>57</v>
      </c>
      <c r="I438" s="13"/>
      <c r="J438" s="14" t="s">
        <v>57</v>
      </c>
      <c r="K438" s="13"/>
      <c r="L438" s="14"/>
      <c r="M438" s="13"/>
      <c r="N438" s="14" t="s">
        <v>57</v>
      </c>
      <c r="O438" s="13"/>
      <c r="P438" s="14"/>
      <c r="Q438" s="13"/>
      <c r="R438" s="14" t="s">
        <v>57</v>
      </c>
      <c r="S438" s="15" t="str">
        <f>"－"</f>
        <v>－</v>
      </c>
      <c r="T438" s="16" t="str">
        <f>"－"</f>
        <v>－</v>
      </c>
      <c r="U438" s="16"/>
      <c r="V438" s="16" t="str">
        <f>"－"</f>
        <v>－</v>
      </c>
      <c r="W438" s="16"/>
      <c r="X438" s="16" t="str">
        <f>"－"</f>
        <v>－</v>
      </c>
      <c r="Y438" s="13"/>
      <c r="Z438" s="17" t="n">
        <f>1</f>
        <v>1.0</v>
      </c>
      <c r="AA438" s="18" t="str">
        <f>"－"</f>
        <v>－</v>
      </c>
      <c r="AB438" s="11" t="s">
        <v>500</v>
      </c>
    </row>
    <row r="439">
      <c r="A439" s="11" t="s">
        <v>46</v>
      </c>
      <c r="B439" s="11" t="s">
        <v>47</v>
      </c>
      <c r="C439" s="11" t="s">
        <v>48</v>
      </c>
      <c r="D439" s="11" t="s">
        <v>49</v>
      </c>
      <c r="E439" s="11" t="s">
        <v>499</v>
      </c>
      <c r="F439" s="12" t="n">
        <v>15000.0</v>
      </c>
      <c r="G439" s="13"/>
      <c r="H439" s="14" t="s">
        <v>57</v>
      </c>
      <c r="I439" s="13"/>
      <c r="J439" s="14" t="s">
        <v>57</v>
      </c>
      <c r="K439" s="13"/>
      <c r="L439" s="14"/>
      <c r="M439" s="13"/>
      <c r="N439" s="14" t="s">
        <v>57</v>
      </c>
      <c r="O439" s="13"/>
      <c r="P439" s="14"/>
      <c r="Q439" s="13"/>
      <c r="R439" s="14" t="s">
        <v>57</v>
      </c>
      <c r="S439" s="15" t="str">
        <f>"－"</f>
        <v>－</v>
      </c>
      <c r="T439" s="16" t="str">
        <f>"－"</f>
        <v>－</v>
      </c>
      <c r="U439" s="16"/>
      <c r="V439" s="16" t="str">
        <f>"－"</f>
        <v>－</v>
      </c>
      <c r="W439" s="16"/>
      <c r="X439" s="16" t="str">
        <f>"－"</f>
        <v>－</v>
      </c>
      <c r="Y439" s="13"/>
      <c r="Z439" s="17" t="n">
        <f>2</f>
        <v>2.0</v>
      </c>
      <c r="AA439" s="18" t="str">
        <f>"－"</f>
        <v>－</v>
      </c>
      <c r="AB439" s="11" t="s">
        <v>500</v>
      </c>
    </row>
    <row r="440">
      <c r="A440" s="11" t="s">
        <v>46</v>
      </c>
      <c r="B440" s="11" t="s">
        <v>47</v>
      </c>
      <c r="C440" s="11" t="s">
        <v>48</v>
      </c>
      <c r="D440" s="11" t="s">
        <v>49</v>
      </c>
      <c r="E440" s="11" t="s">
        <v>499</v>
      </c>
      <c r="F440" s="12" t="n">
        <v>15750.0</v>
      </c>
      <c r="G440" s="13"/>
      <c r="H440" s="14" t="s">
        <v>57</v>
      </c>
      <c r="I440" s="13"/>
      <c r="J440" s="14" t="s">
        <v>57</v>
      </c>
      <c r="K440" s="13"/>
      <c r="L440" s="14"/>
      <c r="M440" s="13"/>
      <c r="N440" s="14" t="s">
        <v>57</v>
      </c>
      <c r="O440" s="13"/>
      <c r="P440" s="14"/>
      <c r="Q440" s="13"/>
      <c r="R440" s="14" t="s">
        <v>57</v>
      </c>
      <c r="S440" s="15" t="str">
        <f>"－"</f>
        <v>－</v>
      </c>
      <c r="T440" s="16" t="str">
        <f>"－"</f>
        <v>－</v>
      </c>
      <c r="U440" s="16"/>
      <c r="V440" s="16" t="str">
        <f>"－"</f>
        <v>－</v>
      </c>
      <c r="W440" s="16"/>
      <c r="X440" s="16" t="str">
        <f>"－"</f>
        <v>－</v>
      </c>
      <c r="Y440" s="13"/>
      <c r="Z440" s="17" t="n">
        <f>9</f>
        <v>9.0</v>
      </c>
      <c r="AA440" s="18" t="str">
        <f>"－"</f>
        <v>－</v>
      </c>
      <c r="AB440" s="11" t="s">
        <v>500</v>
      </c>
    </row>
    <row r="441">
      <c r="A441" s="11" t="s">
        <v>46</v>
      </c>
      <c r="B441" s="11" t="s">
        <v>47</v>
      </c>
      <c r="C441" s="11" t="s">
        <v>48</v>
      </c>
      <c r="D441" s="11" t="s">
        <v>49</v>
      </c>
      <c r="E441" s="11" t="s">
        <v>499</v>
      </c>
      <c r="F441" s="12" t="n">
        <v>16000.0</v>
      </c>
      <c r="G441" s="13"/>
      <c r="H441" s="14" t="s">
        <v>57</v>
      </c>
      <c r="I441" s="13"/>
      <c r="J441" s="14" t="s">
        <v>57</v>
      </c>
      <c r="K441" s="13"/>
      <c r="L441" s="14"/>
      <c r="M441" s="13"/>
      <c r="N441" s="14" t="s">
        <v>57</v>
      </c>
      <c r="O441" s="13"/>
      <c r="P441" s="14"/>
      <c r="Q441" s="13"/>
      <c r="R441" s="14" t="s">
        <v>57</v>
      </c>
      <c r="S441" s="15" t="str">
        <f>"－"</f>
        <v>－</v>
      </c>
      <c r="T441" s="16" t="str">
        <f>"－"</f>
        <v>－</v>
      </c>
      <c r="U441" s="16"/>
      <c r="V441" s="16" t="str">
        <f>"－"</f>
        <v>－</v>
      </c>
      <c r="W441" s="16"/>
      <c r="X441" s="16" t="str">
        <f>"－"</f>
        <v>－</v>
      </c>
      <c r="Y441" s="13"/>
      <c r="Z441" s="17" t="n">
        <f>2</f>
        <v>2.0</v>
      </c>
      <c r="AA441" s="18" t="str">
        <f>"－"</f>
        <v>－</v>
      </c>
      <c r="AB441" s="11" t="s">
        <v>500</v>
      </c>
    </row>
    <row r="442">
      <c r="A442" s="11" t="s">
        <v>46</v>
      </c>
      <c r="B442" s="11" t="s">
        <v>47</v>
      </c>
      <c r="C442" s="11" t="s">
        <v>48</v>
      </c>
      <c r="D442" s="11" t="s">
        <v>49</v>
      </c>
      <c r="E442" s="11" t="s">
        <v>499</v>
      </c>
      <c r="F442" s="12" t="n">
        <v>16250.0</v>
      </c>
      <c r="G442" s="13"/>
      <c r="H442" s="14" t="s">
        <v>57</v>
      </c>
      <c r="I442" s="13"/>
      <c r="J442" s="14" t="s">
        <v>57</v>
      </c>
      <c r="K442" s="13"/>
      <c r="L442" s="14"/>
      <c r="M442" s="13"/>
      <c r="N442" s="14" t="s">
        <v>57</v>
      </c>
      <c r="O442" s="13"/>
      <c r="P442" s="14"/>
      <c r="Q442" s="13"/>
      <c r="R442" s="14" t="s">
        <v>57</v>
      </c>
      <c r="S442" s="15" t="str">
        <f>"－"</f>
        <v>－</v>
      </c>
      <c r="T442" s="16" t="str">
        <f>"－"</f>
        <v>－</v>
      </c>
      <c r="U442" s="16"/>
      <c r="V442" s="16" t="str">
        <f>"－"</f>
        <v>－</v>
      </c>
      <c r="W442" s="16"/>
      <c r="X442" s="16" t="str">
        <f>"－"</f>
        <v>－</v>
      </c>
      <c r="Y442" s="13"/>
      <c r="Z442" s="17" t="n">
        <f>23</f>
        <v>23.0</v>
      </c>
      <c r="AA442" s="18" t="str">
        <f>"－"</f>
        <v>－</v>
      </c>
      <c r="AB442" s="11" t="s">
        <v>500</v>
      </c>
    </row>
    <row r="443">
      <c r="A443" s="11" t="s">
        <v>46</v>
      </c>
      <c r="B443" s="11" t="s">
        <v>47</v>
      </c>
      <c r="C443" s="11" t="s">
        <v>48</v>
      </c>
      <c r="D443" s="11" t="s">
        <v>49</v>
      </c>
      <c r="E443" s="11" t="s">
        <v>499</v>
      </c>
      <c r="F443" s="12" t="n">
        <v>16500.0</v>
      </c>
      <c r="G443" s="13"/>
      <c r="H443" s="14" t="s">
        <v>57</v>
      </c>
      <c r="I443" s="13"/>
      <c r="J443" s="14" t="s">
        <v>57</v>
      </c>
      <c r="K443" s="13"/>
      <c r="L443" s="14"/>
      <c r="M443" s="13"/>
      <c r="N443" s="14" t="s">
        <v>57</v>
      </c>
      <c r="O443" s="13"/>
      <c r="P443" s="14"/>
      <c r="Q443" s="13"/>
      <c r="R443" s="14" t="s">
        <v>57</v>
      </c>
      <c r="S443" s="15" t="str">
        <f>"－"</f>
        <v>－</v>
      </c>
      <c r="T443" s="16" t="str">
        <f>"－"</f>
        <v>－</v>
      </c>
      <c r="U443" s="16"/>
      <c r="V443" s="16" t="str">
        <f>"－"</f>
        <v>－</v>
      </c>
      <c r="W443" s="16"/>
      <c r="X443" s="16" t="str">
        <f>"－"</f>
        <v>－</v>
      </c>
      <c r="Y443" s="13"/>
      <c r="Z443" s="17" t="n">
        <f>10</f>
        <v>10.0</v>
      </c>
      <c r="AA443" s="18" t="str">
        <f>"－"</f>
        <v>－</v>
      </c>
      <c r="AB443" s="11" t="s">
        <v>500</v>
      </c>
    </row>
    <row r="444">
      <c r="A444" s="11" t="s">
        <v>46</v>
      </c>
      <c r="B444" s="11" t="s">
        <v>47</v>
      </c>
      <c r="C444" s="11" t="s">
        <v>48</v>
      </c>
      <c r="D444" s="11" t="s">
        <v>49</v>
      </c>
      <c r="E444" s="11" t="s">
        <v>499</v>
      </c>
      <c r="F444" s="12" t="n">
        <v>17000.0</v>
      </c>
      <c r="G444" s="13"/>
      <c r="H444" s="14" t="s">
        <v>57</v>
      </c>
      <c r="I444" s="13"/>
      <c r="J444" s="14" t="s">
        <v>57</v>
      </c>
      <c r="K444" s="13"/>
      <c r="L444" s="14"/>
      <c r="M444" s="13"/>
      <c r="N444" s="14" t="s">
        <v>57</v>
      </c>
      <c r="O444" s="13"/>
      <c r="P444" s="14"/>
      <c r="Q444" s="13"/>
      <c r="R444" s="14" t="s">
        <v>57</v>
      </c>
      <c r="S444" s="15" t="str">
        <f>"－"</f>
        <v>－</v>
      </c>
      <c r="T444" s="16" t="str">
        <f>"－"</f>
        <v>－</v>
      </c>
      <c r="U444" s="16"/>
      <c r="V444" s="16" t="str">
        <f>"－"</f>
        <v>－</v>
      </c>
      <c r="W444" s="16"/>
      <c r="X444" s="16" t="str">
        <f>"－"</f>
        <v>－</v>
      </c>
      <c r="Y444" s="13"/>
      <c r="Z444" s="17" t="n">
        <f>350</f>
        <v>350.0</v>
      </c>
      <c r="AA444" s="18" t="str">
        <f>"－"</f>
        <v>－</v>
      </c>
      <c r="AB444" s="11" t="s">
        <v>500</v>
      </c>
    </row>
    <row r="445">
      <c r="A445" s="11" t="s">
        <v>46</v>
      </c>
      <c r="B445" s="11" t="s">
        <v>47</v>
      </c>
      <c r="C445" s="11" t="s">
        <v>48</v>
      </c>
      <c r="D445" s="11" t="s">
        <v>49</v>
      </c>
      <c r="E445" s="11" t="s">
        <v>499</v>
      </c>
      <c r="F445" s="12" t="n">
        <v>17250.0</v>
      </c>
      <c r="G445" s="13"/>
      <c r="H445" s="14" t="s">
        <v>57</v>
      </c>
      <c r="I445" s="13"/>
      <c r="J445" s="14" t="s">
        <v>57</v>
      </c>
      <c r="K445" s="13"/>
      <c r="L445" s="14"/>
      <c r="M445" s="13"/>
      <c r="N445" s="14" t="s">
        <v>57</v>
      </c>
      <c r="O445" s="13"/>
      <c r="P445" s="14"/>
      <c r="Q445" s="13"/>
      <c r="R445" s="14" t="s">
        <v>57</v>
      </c>
      <c r="S445" s="15" t="str">
        <f>"－"</f>
        <v>－</v>
      </c>
      <c r="T445" s="16" t="str">
        <f>"－"</f>
        <v>－</v>
      </c>
      <c r="U445" s="16"/>
      <c r="V445" s="16" t="str">
        <f>"－"</f>
        <v>－</v>
      </c>
      <c r="W445" s="16"/>
      <c r="X445" s="16" t="str">
        <f>"－"</f>
        <v>－</v>
      </c>
      <c r="Y445" s="13"/>
      <c r="Z445" s="17" t="n">
        <f>1</f>
        <v>1.0</v>
      </c>
      <c r="AA445" s="18" t="str">
        <f>"－"</f>
        <v>－</v>
      </c>
      <c r="AB445" s="11" t="s">
        <v>500</v>
      </c>
    </row>
    <row r="446">
      <c r="A446" s="11" t="s">
        <v>46</v>
      </c>
      <c r="B446" s="11" t="s">
        <v>47</v>
      </c>
      <c r="C446" s="11" t="s">
        <v>48</v>
      </c>
      <c r="D446" s="11" t="s">
        <v>49</v>
      </c>
      <c r="E446" s="11" t="s">
        <v>499</v>
      </c>
      <c r="F446" s="12" t="n">
        <v>18000.0</v>
      </c>
      <c r="G446" s="13"/>
      <c r="H446" s="14" t="s">
        <v>57</v>
      </c>
      <c r="I446" s="13"/>
      <c r="J446" s="14" t="s">
        <v>57</v>
      </c>
      <c r="K446" s="13"/>
      <c r="L446" s="14"/>
      <c r="M446" s="13"/>
      <c r="N446" s="14" t="s">
        <v>57</v>
      </c>
      <c r="O446" s="13"/>
      <c r="P446" s="14"/>
      <c r="Q446" s="13"/>
      <c r="R446" s="14" t="s">
        <v>57</v>
      </c>
      <c r="S446" s="15" t="str">
        <f>"－"</f>
        <v>－</v>
      </c>
      <c r="T446" s="16" t="str">
        <f>"－"</f>
        <v>－</v>
      </c>
      <c r="U446" s="16"/>
      <c r="V446" s="16" t="str">
        <f>"－"</f>
        <v>－</v>
      </c>
      <c r="W446" s="16"/>
      <c r="X446" s="16" t="str">
        <f>"－"</f>
        <v>－</v>
      </c>
      <c r="Y446" s="13"/>
      <c r="Z446" s="17" t="n">
        <f>101</f>
        <v>101.0</v>
      </c>
      <c r="AA446" s="18" t="str">
        <f>"－"</f>
        <v>－</v>
      </c>
      <c r="AB446" s="11" t="s">
        <v>500</v>
      </c>
    </row>
    <row r="447">
      <c r="A447" s="11" t="s">
        <v>46</v>
      </c>
      <c r="B447" s="11" t="s">
        <v>47</v>
      </c>
      <c r="C447" s="11" t="s">
        <v>48</v>
      </c>
      <c r="D447" s="11" t="s">
        <v>49</v>
      </c>
      <c r="E447" s="11" t="s">
        <v>499</v>
      </c>
      <c r="F447" s="12" t="n">
        <v>18500.0</v>
      </c>
      <c r="G447" s="13"/>
      <c r="H447" s="14" t="s">
        <v>57</v>
      </c>
      <c r="I447" s="13"/>
      <c r="J447" s="14" t="s">
        <v>57</v>
      </c>
      <c r="K447" s="13"/>
      <c r="L447" s="14"/>
      <c r="M447" s="13"/>
      <c r="N447" s="14" t="s">
        <v>57</v>
      </c>
      <c r="O447" s="13"/>
      <c r="P447" s="14"/>
      <c r="Q447" s="13"/>
      <c r="R447" s="14" t="s">
        <v>57</v>
      </c>
      <c r="S447" s="15" t="str">
        <f>"－"</f>
        <v>－</v>
      </c>
      <c r="T447" s="16" t="str">
        <f>"－"</f>
        <v>－</v>
      </c>
      <c r="U447" s="16"/>
      <c r="V447" s="16" t="str">
        <f>"－"</f>
        <v>－</v>
      </c>
      <c r="W447" s="16"/>
      <c r="X447" s="16" t="str">
        <f>"－"</f>
        <v>－</v>
      </c>
      <c r="Y447" s="13"/>
      <c r="Z447" s="17" t="n">
        <f>53</f>
        <v>53.0</v>
      </c>
      <c r="AA447" s="18" t="str">
        <f>"－"</f>
        <v>－</v>
      </c>
      <c r="AB447" s="11" t="s">
        <v>500</v>
      </c>
    </row>
    <row r="448">
      <c r="A448" s="11" t="s">
        <v>46</v>
      </c>
      <c r="B448" s="11" t="s">
        <v>47</v>
      </c>
      <c r="C448" s="11" t="s">
        <v>48</v>
      </c>
      <c r="D448" s="11" t="s">
        <v>49</v>
      </c>
      <c r="E448" s="11" t="s">
        <v>499</v>
      </c>
      <c r="F448" s="12" t="n">
        <v>18750.0</v>
      </c>
      <c r="G448" s="13"/>
      <c r="H448" s="14" t="s">
        <v>57</v>
      </c>
      <c r="I448" s="13"/>
      <c r="J448" s="14" t="s">
        <v>57</v>
      </c>
      <c r="K448" s="13"/>
      <c r="L448" s="14"/>
      <c r="M448" s="13"/>
      <c r="N448" s="14" t="s">
        <v>57</v>
      </c>
      <c r="O448" s="13"/>
      <c r="P448" s="14"/>
      <c r="Q448" s="13"/>
      <c r="R448" s="14" t="s">
        <v>57</v>
      </c>
      <c r="S448" s="15" t="str">
        <f>"－"</f>
        <v>－</v>
      </c>
      <c r="T448" s="16" t="str">
        <f>"－"</f>
        <v>－</v>
      </c>
      <c r="U448" s="16"/>
      <c r="V448" s="16" t="str">
        <f>"－"</f>
        <v>－</v>
      </c>
      <c r="W448" s="16"/>
      <c r="X448" s="16" t="str">
        <f>"－"</f>
        <v>－</v>
      </c>
      <c r="Y448" s="13"/>
      <c r="Z448" s="17" t="n">
        <f>28</f>
        <v>28.0</v>
      </c>
      <c r="AA448" s="18" t="str">
        <f>"－"</f>
        <v>－</v>
      </c>
      <c r="AB448" s="11" t="s">
        <v>500</v>
      </c>
    </row>
    <row r="449">
      <c r="A449" s="11" t="s">
        <v>46</v>
      </c>
      <c r="B449" s="11" t="s">
        <v>47</v>
      </c>
      <c r="C449" s="11" t="s">
        <v>48</v>
      </c>
      <c r="D449" s="11" t="s">
        <v>49</v>
      </c>
      <c r="E449" s="11" t="s">
        <v>499</v>
      </c>
      <c r="F449" s="12" t="n">
        <v>19000.0</v>
      </c>
      <c r="G449" s="13"/>
      <c r="H449" s="14" t="s">
        <v>57</v>
      </c>
      <c r="I449" s="13"/>
      <c r="J449" s="14" t="s">
        <v>57</v>
      </c>
      <c r="K449" s="13" t="s">
        <v>208</v>
      </c>
      <c r="L449" s="14" t="s">
        <v>231</v>
      </c>
      <c r="M449" s="13"/>
      <c r="N449" s="14" t="s">
        <v>57</v>
      </c>
      <c r="O449" s="13" t="s">
        <v>208</v>
      </c>
      <c r="P449" s="14" t="s">
        <v>231</v>
      </c>
      <c r="Q449" s="13"/>
      <c r="R449" s="14" t="s">
        <v>57</v>
      </c>
      <c r="S449" s="15" t="str">
        <f>"－"</f>
        <v>－</v>
      </c>
      <c r="T449" s="16" t="n">
        <f>200</f>
        <v>200.0</v>
      </c>
      <c r="U449" s="16" t="n">
        <v>200.0</v>
      </c>
      <c r="V449" s="16" t="n">
        <f>38000000</f>
        <v>3.8E7</v>
      </c>
      <c r="W449" s="16" t="n">
        <v>3.8E7</v>
      </c>
      <c r="X449" s="16" t="str">
        <f>"－"</f>
        <v>－</v>
      </c>
      <c r="Y449" s="13"/>
      <c r="Z449" s="17" t="n">
        <f>1050</f>
        <v>1050.0</v>
      </c>
      <c r="AA449" s="18" t="str">
        <f>"－"</f>
        <v>－</v>
      </c>
      <c r="AB449" s="11" t="s">
        <v>500</v>
      </c>
    </row>
    <row r="450">
      <c r="A450" s="11" t="s">
        <v>46</v>
      </c>
      <c r="B450" s="11" t="s">
        <v>47</v>
      </c>
      <c r="C450" s="11" t="s">
        <v>48</v>
      </c>
      <c r="D450" s="11" t="s">
        <v>49</v>
      </c>
      <c r="E450" s="11" t="s">
        <v>499</v>
      </c>
      <c r="F450" s="12" t="n">
        <v>19250.0</v>
      </c>
      <c r="G450" s="13"/>
      <c r="H450" s="14" t="s">
        <v>57</v>
      </c>
      <c r="I450" s="13"/>
      <c r="J450" s="14" t="s">
        <v>57</v>
      </c>
      <c r="K450" s="13"/>
      <c r="L450" s="14"/>
      <c r="M450" s="13"/>
      <c r="N450" s="14" t="s">
        <v>57</v>
      </c>
      <c r="O450" s="13"/>
      <c r="P450" s="14"/>
      <c r="Q450" s="13"/>
      <c r="R450" s="14" t="s">
        <v>57</v>
      </c>
      <c r="S450" s="15" t="str">
        <f>"－"</f>
        <v>－</v>
      </c>
      <c r="T450" s="16" t="str">
        <f>"－"</f>
        <v>－</v>
      </c>
      <c r="U450" s="16"/>
      <c r="V450" s="16" t="str">
        <f>"－"</f>
        <v>－</v>
      </c>
      <c r="W450" s="16"/>
      <c r="X450" s="16" t="str">
        <f>"－"</f>
        <v>－</v>
      </c>
      <c r="Y450" s="13"/>
      <c r="Z450" s="17" t="n">
        <f>4</f>
        <v>4.0</v>
      </c>
      <c r="AA450" s="18" t="str">
        <f>"－"</f>
        <v>－</v>
      </c>
      <c r="AB450" s="11" t="s">
        <v>500</v>
      </c>
    </row>
    <row r="451">
      <c r="A451" s="11" t="s">
        <v>46</v>
      </c>
      <c r="B451" s="11" t="s">
        <v>47</v>
      </c>
      <c r="C451" s="11" t="s">
        <v>48</v>
      </c>
      <c r="D451" s="11" t="s">
        <v>49</v>
      </c>
      <c r="E451" s="11" t="s">
        <v>499</v>
      </c>
      <c r="F451" s="12" t="n">
        <v>19500.0</v>
      </c>
      <c r="G451" s="13"/>
      <c r="H451" s="14" t="s">
        <v>57</v>
      </c>
      <c r="I451" s="13"/>
      <c r="J451" s="14" t="s">
        <v>57</v>
      </c>
      <c r="K451" s="13"/>
      <c r="L451" s="14"/>
      <c r="M451" s="13"/>
      <c r="N451" s="14" t="s">
        <v>57</v>
      </c>
      <c r="O451" s="13"/>
      <c r="P451" s="14"/>
      <c r="Q451" s="13"/>
      <c r="R451" s="14" t="s">
        <v>57</v>
      </c>
      <c r="S451" s="15" t="str">
        <f>"－"</f>
        <v>－</v>
      </c>
      <c r="T451" s="16" t="str">
        <f>"－"</f>
        <v>－</v>
      </c>
      <c r="U451" s="16"/>
      <c r="V451" s="16" t="str">
        <f>"－"</f>
        <v>－</v>
      </c>
      <c r="W451" s="16"/>
      <c r="X451" s="16" t="str">
        <f>"－"</f>
        <v>－</v>
      </c>
      <c r="Y451" s="13"/>
      <c r="Z451" s="17" t="n">
        <f>300</f>
        <v>300.0</v>
      </c>
      <c r="AA451" s="18" t="str">
        <f>"－"</f>
        <v>－</v>
      </c>
      <c r="AB451" s="11" t="s">
        <v>500</v>
      </c>
    </row>
    <row r="452">
      <c r="A452" s="11" t="s">
        <v>46</v>
      </c>
      <c r="B452" s="11" t="s">
        <v>47</v>
      </c>
      <c r="C452" s="11" t="s">
        <v>48</v>
      </c>
      <c r="D452" s="11" t="s">
        <v>49</v>
      </c>
      <c r="E452" s="11" t="s">
        <v>499</v>
      </c>
      <c r="F452" s="12" t="n">
        <v>20000.0</v>
      </c>
      <c r="G452" s="13"/>
      <c r="H452" s="14" t="s">
        <v>57</v>
      </c>
      <c r="I452" s="13"/>
      <c r="J452" s="14" t="s">
        <v>57</v>
      </c>
      <c r="K452" s="13" t="s">
        <v>60</v>
      </c>
      <c r="L452" s="14" t="s">
        <v>501</v>
      </c>
      <c r="M452" s="13"/>
      <c r="N452" s="14" t="s">
        <v>57</v>
      </c>
      <c r="O452" s="13" t="s">
        <v>60</v>
      </c>
      <c r="P452" s="14" t="s">
        <v>501</v>
      </c>
      <c r="Q452" s="13"/>
      <c r="R452" s="14" t="s">
        <v>57</v>
      </c>
      <c r="S452" s="15" t="str">
        <f>"－"</f>
        <v>－</v>
      </c>
      <c r="T452" s="16" t="n">
        <f>350</f>
        <v>350.0</v>
      </c>
      <c r="U452" s="16" t="n">
        <v>350.0</v>
      </c>
      <c r="V452" s="16" t="n">
        <f>97300000</f>
        <v>9.73E7</v>
      </c>
      <c r="W452" s="16" t="n">
        <v>9.73E7</v>
      </c>
      <c r="X452" s="16" t="str">
        <f>"－"</f>
        <v>－</v>
      </c>
      <c r="Y452" s="13"/>
      <c r="Z452" s="17" t="n">
        <f>680</f>
        <v>680.0</v>
      </c>
      <c r="AA452" s="18" t="str">
        <f>"－"</f>
        <v>－</v>
      </c>
      <c r="AB452" s="11" t="s">
        <v>500</v>
      </c>
    </row>
    <row r="453">
      <c r="A453" s="11" t="s">
        <v>46</v>
      </c>
      <c r="B453" s="11" t="s">
        <v>47</v>
      </c>
      <c r="C453" s="11" t="s">
        <v>48</v>
      </c>
      <c r="D453" s="11" t="s">
        <v>49</v>
      </c>
      <c r="E453" s="11" t="s">
        <v>499</v>
      </c>
      <c r="F453" s="12" t="n">
        <v>20500.0</v>
      </c>
      <c r="G453" s="13"/>
      <c r="H453" s="14" t="s">
        <v>57</v>
      </c>
      <c r="I453" s="13"/>
      <c r="J453" s="14" t="s">
        <v>57</v>
      </c>
      <c r="K453" s="13"/>
      <c r="L453" s="14"/>
      <c r="M453" s="13"/>
      <c r="N453" s="14" t="s">
        <v>57</v>
      </c>
      <c r="O453" s="13"/>
      <c r="P453" s="14"/>
      <c r="Q453" s="13"/>
      <c r="R453" s="14" t="s">
        <v>57</v>
      </c>
      <c r="S453" s="15" t="str">
        <f>"－"</f>
        <v>－</v>
      </c>
      <c r="T453" s="16" t="str">
        <f>"－"</f>
        <v>－</v>
      </c>
      <c r="U453" s="16"/>
      <c r="V453" s="16" t="str">
        <f>"－"</f>
        <v>－</v>
      </c>
      <c r="W453" s="16"/>
      <c r="X453" s="16" t="str">
        <f>"－"</f>
        <v>－</v>
      </c>
      <c r="Y453" s="13"/>
      <c r="Z453" s="17" t="n">
        <f>10</f>
        <v>10.0</v>
      </c>
      <c r="AA453" s="18" t="str">
        <f>"－"</f>
        <v>－</v>
      </c>
      <c r="AB453" s="11" t="s">
        <v>500</v>
      </c>
    </row>
    <row r="454">
      <c r="A454" s="11" t="s">
        <v>46</v>
      </c>
      <c r="B454" s="11" t="s">
        <v>47</v>
      </c>
      <c r="C454" s="11" t="s">
        <v>48</v>
      </c>
      <c r="D454" s="11" t="s">
        <v>49</v>
      </c>
      <c r="E454" s="11" t="s">
        <v>499</v>
      </c>
      <c r="F454" s="12" t="n">
        <v>21000.0</v>
      </c>
      <c r="G454" s="13" t="s">
        <v>50</v>
      </c>
      <c r="H454" s="14" t="s">
        <v>197</v>
      </c>
      <c r="I454" s="13" t="s">
        <v>50</v>
      </c>
      <c r="J454" s="14" t="s">
        <v>197</v>
      </c>
      <c r="K454" s="13" t="s">
        <v>202</v>
      </c>
      <c r="L454" s="14" t="s">
        <v>195</v>
      </c>
      <c r="M454" s="13" t="s">
        <v>50</v>
      </c>
      <c r="N454" s="14" t="s">
        <v>197</v>
      </c>
      <c r="O454" s="13" t="s">
        <v>202</v>
      </c>
      <c r="P454" s="14" t="s">
        <v>195</v>
      </c>
      <c r="Q454" s="13" t="s">
        <v>50</v>
      </c>
      <c r="R454" s="14" t="s">
        <v>197</v>
      </c>
      <c r="S454" s="15" t="n">
        <f>480</f>
        <v>480.0</v>
      </c>
      <c r="T454" s="16" t="n">
        <f>30</f>
        <v>30.0</v>
      </c>
      <c r="U454" s="16" t="n">
        <v>28.0</v>
      </c>
      <c r="V454" s="16" t="n">
        <f>7960000</f>
        <v>7960000.0</v>
      </c>
      <c r="W454" s="16" t="n">
        <v>7000000.0</v>
      </c>
      <c r="X454" s="16" t="str">
        <f>"－"</f>
        <v>－</v>
      </c>
      <c r="Y454" s="13"/>
      <c r="Z454" s="17" t="n">
        <f>528</f>
        <v>528.0</v>
      </c>
      <c r="AA454" s="18" t="n">
        <f>1</f>
        <v>1.0</v>
      </c>
      <c r="AB454" s="11" t="s">
        <v>500</v>
      </c>
    </row>
    <row r="455">
      <c r="A455" s="11" t="s">
        <v>46</v>
      </c>
      <c r="B455" s="11" t="s">
        <v>47</v>
      </c>
      <c r="C455" s="11" t="s">
        <v>48</v>
      </c>
      <c r="D455" s="11" t="s">
        <v>49</v>
      </c>
      <c r="E455" s="11" t="s">
        <v>499</v>
      </c>
      <c r="F455" s="12" t="n">
        <v>21500.0</v>
      </c>
      <c r="G455" s="13"/>
      <c r="H455" s="14" t="s">
        <v>57</v>
      </c>
      <c r="I455" s="13"/>
      <c r="J455" s="14" t="s">
        <v>57</v>
      </c>
      <c r="K455" s="13"/>
      <c r="L455" s="14"/>
      <c r="M455" s="13"/>
      <c r="N455" s="14" t="s">
        <v>57</v>
      </c>
      <c r="O455" s="13"/>
      <c r="P455" s="14"/>
      <c r="Q455" s="13"/>
      <c r="R455" s="14" t="s">
        <v>57</v>
      </c>
      <c r="S455" s="15" t="str">
        <f>"－"</f>
        <v>－</v>
      </c>
      <c r="T455" s="16" t="str">
        <f>"－"</f>
        <v>－</v>
      </c>
      <c r="U455" s="16"/>
      <c r="V455" s="16" t="str">
        <f>"－"</f>
        <v>－</v>
      </c>
      <c r="W455" s="16"/>
      <c r="X455" s="16" t="str">
        <f>"－"</f>
        <v>－</v>
      </c>
      <c r="Y455" s="13"/>
      <c r="Z455" s="17" t="n">
        <f>110</f>
        <v>110.0</v>
      </c>
      <c r="AA455" s="18" t="str">
        <f>"－"</f>
        <v>－</v>
      </c>
      <c r="AB455" s="11" t="s">
        <v>500</v>
      </c>
    </row>
    <row r="456">
      <c r="A456" s="11" t="s">
        <v>46</v>
      </c>
      <c r="B456" s="11" t="s">
        <v>47</v>
      </c>
      <c r="C456" s="11" t="s">
        <v>48</v>
      </c>
      <c r="D456" s="11" t="s">
        <v>49</v>
      </c>
      <c r="E456" s="11" t="s">
        <v>499</v>
      </c>
      <c r="F456" s="12" t="n">
        <v>21750.0</v>
      </c>
      <c r="G456" s="13"/>
      <c r="H456" s="14" t="s">
        <v>57</v>
      </c>
      <c r="I456" s="13"/>
      <c r="J456" s="14" t="s">
        <v>57</v>
      </c>
      <c r="K456" s="13"/>
      <c r="L456" s="14"/>
      <c r="M456" s="13"/>
      <c r="N456" s="14" t="s">
        <v>57</v>
      </c>
      <c r="O456" s="13"/>
      <c r="P456" s="14"/>
      <c r="Q456" s="13"/>
      <c r="R456" s="14" t="s">
        <v>57</v>
      </c>
      <c r="S456" s="15" t="str">
        <f>"－"</f>
        <v>－</v>
      </c>
      <c r="T456" s="16" t="str">
        <f>"－"</f>
        <v>－</v>
      </c>
      <c r="U456" s="16"/>
      <c r="V456" s="16" t="str">
        <f>"－"</f>
        <v>－</v>
      </c>
      <c r="W456" s="16"/>
      <c r="X456" s="16" t="str">
        <f>"－"</f>
        <v>－</v>
      </c>
      <c r="Y456" s="13"/>
      <c r="Z456" s="17" t="n">
        <f>1</f>
        <v>1.0</v>
      </c>
      <c r="AA456" s="18" t="str">
        <f>"－"</f>
        <v>－</v>
      </c>
      <c r="AB456" s="11" t="s">
        <v>500</v>
      </c>
    </row>
    <row r="457">
      <c r="A457" s="11" t="s">
        <v>46</v>
      </c>
      <c r="B457" s="11" t="s">
        <v>47</v>
      </c>
      <c r="C457" s="11" t="s">
        <v>48</v>
      </c>
      <c r="D457" s="11" t="s">
        <v>49</v>
      </c>
      <c r="E457" s="11" t="s">
        <v>499</v>
      </c>
      <c r="F457" s="12" t="n">
        <v>22000.0</v>
      </c>
      <c r="G457" s="13"/>
      <c r="H457" s="14" t="s">
        <v>57</v>
      </c>
      <c r="I457" s="13"/>
      <c r="J457" s="14" t="s">
        <v>57</v>
      </c>
      <c r="K457" s="13"/>
      <c r="L457" s="14"/>
      <c r="M457" s="13"/>
      <c r="N457" s="14" t="s">
        <v>57</v>
      </c>
      <c r="O457" s="13"/>
      <c r="P457" s="14"/>
      <c r="Q457" s="13"/>
      <c r="R457" s="14" t="s">
        <v>57</v>
      </c>
      <c r="S457" s="15" t="str">
        <f>"－"</f>
        <v>－</v>
      </c>
      <c r="T457" s="16" t="str">
        <f>"－"</f>
        <v>－</v>
      </c>
      <c r="U457" s="16"/>
      <c r="V457" s="16" t="str">
        <f>"－"</f>
        <v>－</v>
      </c>
      <c r="W457" s="16"/>
      <c r="X457" s="16" t="str">
        <f>"－"</f>
        <v>－</v>
      </c>
      <c r="Y457" s="13"/>
      <c r="Z457" s="17" t="n">
        <f>2098</f>
        <v>2098.0</v>
      </c>
      <c r="AA457" s="18" t="str">
        <f>"－"</f>
        <v>－</v>
      </c>
      <c r="AB457" s="11" t="s">
        <v>500</v>
      </c>
    </row>
    <row r="458">
      <c r="A458" s="11" t="s">
        <v>46</v>
      </c>
      <c r="B458" s="11" t="s">
        <v>47</v>
      </c>
      <c r="C458" s="11" t="s">
        <v>48</v>
      </c>
      <c r="D458" s="11" t="s">
        <v>49</v>
      </c>
      <c r="E458" s="11" t="s">
        <v>499</v>
      </c>
      <c r="F458" s="12" t="n">
        <v>22250.0</v>
      </c>
      <c r="G458" s="13"/>
      <c r="H458" s="14" t="s">
        <v>57</v>
      </c>
      <c r="I458" s="13"/>
      <c r="J458" s="14" t="s">
        <v>57</v>
      </c>
      <c r="K458" s="13"/>
      <c r="L458" s="14"/>
      <c r="M458" s="13"/>
      <c r="N458" s="14" t="s">
        <v>57</v>
      </c>
      <c r="O458" s="13"/>
      <c r="P458" s="14"/>
      <c r="Q458" s="13"/>
      <c r="R458" s="14" t="s">
        <v>57</v>
      </c>
      <c r="S458" s="15" t="str">
        <f>"－"</f>
        <v>－</v>
      </c>
      <c r="T458" s="16" t="str">
        <f>"－"</f>
        <v>－</v>
      </c>
      <c r="U458" s="16"/>
      <c r="V458" s="16" t="str">
        <f>"－"</f>
        <v>－</v>
      </c>
      <c r="W458" s="16"/>
      <c r="X458" s="16" t="str">
        <f>"－"</f>
        <v>－</v>
      </c>
      <c r="Y458" s="13"/>
      <c r="Z458" s="17" t="n">
        <f>26</f>
        <v>26.0</v>
      </c>
      <c r="AA458" s="18" t="str">
        <f>"－"</f>
        <v>－</v>
      </c>
      <c r="AB458" s="11" t="s">
        <v>500</v>
      </c>
    </row>
    <row r="459">
      <c r="A459" s="11" t="s">
        <v>46</v>
      </c>
      <c r="B459" s="11" t="s">
        <v>47</v>
      </c>
      <c r="C459" s="11" t="s">
        <v>48</v>
      </c>
      <c r="D459" s="11" t="s">
        <v>49</v>
      </c>
      <c r="E459" s="11" t="s">
        <v>499</v>
      </c>
      <c r="F459" s="12" t="n">
        <v>22500.0</v>
      </c>
      <c r="G459" s="13" t="s">
        <v>63</v>
      </c>
      <c r="H459" s="14" t="s">
        <v>197</v>
      </c>
      <c r="I459" s="13" t="s">
        <v>63</v>
      </c>
      <c r="J459" s="14" t="s">
        <v>197</v>
      </c>
      <c r="K459" s="13"/>
      <c r="L459" s="14"/>
      <c r="M459" s="13" t="s">
        <v>61</v>
      </c>
      <c r="N459" s="14" t="s">
        <v>426</v>
      </c>
      <c r="O459" s="13"/>
      <c r="P459" s="14"/>
      <c r="Q459" s="13" t="s">
        <v>61</v>
      </c>
      <c r="R459" s="14" t="s">
        <v>426</v>
      </c>
      <c r="S459" s="15" t="n">
        <f>447.5</f>
        <v>447.5</v>
      </c>
      <c r="T459" s="16" t="n">
        <f>7</f>
        <v>7.0</v>
      </c>
      <c r="U459" s="16"/>
      <c r="V459" s="16" t="n">
        <f>3295000</f>
        <v>3295000.0</v>
      </c>
      <c r="W459" s="16"/>
      <c r="X459" s="16" t="str">
        <f>"－"</f>
        <v>－</v>
      </c>
      <c r="Y459" s="13"/>
      <c r="Z459" s="17" t="n">
        <f>251</f>
        <v>251.0</v>
      </c>
      <c r="AA459" s="18" t="n">
        <f>2</f>
        <v>2.0</v>
      </c>
      <c r="AB459" s="11" t="s">
        <v>500</v>
      </c>
    </row>
    <row r="460">
      <c r="A460" s="11" t="s">
        <v>46</v>
      </c>
      <c r="B460" s="11" t="s">
        <v>47</v>
      </c>
      <c r="C460" s="11" t="s">
        <v>48</v>
      </c>
      <c r="D460" s="11" t="s">
        <v>49</v>
      </c>
      <c r="E460" s="11" t="s">
        <v>499</v>
      </c>
      <c r="F460" s="12" t="n">
        <v>22750.0</v>
      </c>
      <c r="G460" s="13"/>
      <c r="H460" s="14" t="s">
        <v>57</v>
      </c>
      <c r="I460" s="13"/>
      <c r="J460" s="14" t="s">
        <v>57</v>
      </c>
      <c r="K460" s="13"/>
      <c r="L460" s="14"/>
      <c r="M460" s="13"/>
      <c r="N460" s="14" t="s">
        <v>57</v>
      </c>
      <c r="O460" s="13"/>
      <c r="P460" s="14"/>
      <c r="Q460" s="13"/>
      <c r="R460" s="14" t="s">
        <v>57</v>
      </c>
      <c r="S460" s="15" t="str">
        <f>"－"</f>
        <v>－</v>
      </c>
      <c r="T460" s="16" t="str">
        <f>"－"</f>
        <v>－</v>
      </c>
      <c r="U460" s="16"/>
      <c r="V460" s="16" t="str">
        <f>"－"</f>
        <v>－</v>
      </c>
      <c r="W460" s="16"/>
      <c r="X460" s="16" t="str">
        <f>"－"</f>
        <v>－</v>
      </c>
      <c r="Y460" s="13"/>
      <c r="Z460" s="17" t="n">
        <f>1336</f>
        <v>1336.0</v>
      </c>
      <c r="AA460" s="18" t="str">
        <f>"－"</f>
        <v>－</v>
      </c>
      <c r="AB460" s="11" t="s">
        <v>500</v>
      </c>
    </row>
    <row r="461">
      <c r="A461" s="11" t="s">
        <v>46</v>
      </c>
      <c r="B461" s="11" t="s">
        <v>47</v>
      </c>
      <c r="C461" s="11" t="s">
        <v>48</v>
      </c>
      <c r="D461" s="11" t="s">
        <v>49</v>
      </c>
      <c r="E461" s="11" t="s">
        <v>499</v>
      </c>
      <c r="F461" s="12" t="n">
        <v>23000.0</v>
      </c>
      <c r="G461" s="13" t="s">
        <v>58</v>
      </c>
      <c r="H461" s="14" t="s">
        <v>248</v>
      </c>
      <c r="I461" s="13" t="s">
        <v>58</v>
      </c>
      <c r="J461" s="14" t="s">
        <v>248</v>
      </c>
      <c r="K461" s="13" t="s">
        <v>63</v>
      </c>
      <c r="L461" s="14" t="s">
        <v>186</v>
      </c>
      <c r="M461" s="13" t="s">
        <v>202</v>
      </c>
      <c r="N461" s="14" t="s">
        <v>257</v>
      </c>
      <c r="O461" s="13" t="s">
        <v>288</v>
      </c>
      <c r="P461" s="14" t="s">
        <v>502</v>
      </c>
      <c r="Q461" s="13" t="s">
        <v>202</v>
      </c>
      <c r="R461" s="14" t="s">
        <v>182</v>
      </c>
      <c r="S461" s="15" t="n">
        <f>450</f>
        <v>450.0</v>
      </c>
      <c r="T461" s="16" t="n">
        <f>1200</f>
        <v>1200.0</v>
      </c>
      <c r="U461" s="16" t="n">
        <v>1100.0</v>
      </c>
      <c r="V461" s="16" t="n">
        <f>536383000</f>
        <v>5.36383E8</v>
      </c>
      <c r="W461" s="16" t="n">
        <v>4.96033E8</v>
      </c>
      <c r="X461" s="16" t="str">
        <f>"－"</f>
        <v>－</v>
      </c>
      <c r="Y461" s="13"/>
      <c r="Z461" s="17" t="n">
        <f>3003</f>
        <v>3003.0</v>
      </c>
      <c r="AA461" s="18" t="n">
        <f>2</f>
        <v>2.0</v>
      </c>
      <c r="AB461" s="11" t="s">
        <v>500</v>
      </c>
    </row>
    <row r="462">
      <c r="A462" s="11" t="s">
        <v>46</v>
      </c>
      <c r="B462" s="11" t="s">
        <v>47</v>
      </c>
      <c r="C462" s="11" t="s">
        <v>48</v>
      </c>
      <c r="D462" s="11" t="s">
        <v>49</v>
      </c>
      <c r="E462" s="11" t="s">
        <v>499</v>
      </c>
      <c r="F462" s="12" t="n">
        <v>23250.0</v>
      </c>
      <c r="G462" s="13"/>
      <c r="H462" s="14" t="s">
        <v>57</v>
      </c>
      <c r="I462" s="13"/>
      <c r="J462" s="14" t="s">
        <v>57</v>
      </c>
      <c r="K462" s="13"/>
      <c r="L462" s="14"/>
      <c r="M462" s="13"/>
      <c r="N462" s="14" t="s">
        <v>57</v>
      </c>
      <c r="O462" s="13"/>
      <c r="P462" s="14"/>
      <c r="Q462" s="13"/>
      <c r="R462" s="14" t="s">
        <v>57</v>
      </c>
      <c r="S462" s="15" t="str">
        <f>"－"</f>
        <v>－</v>
      </c>
      <c r="T462" s="16" t="str">
        <f>"－"</f>
        <v>－</v>
      </c>
      <c r="U462" s="16"/>
      <c r="V462" s="16" t="str">
        <f>"－"</f>
        <v>－</v>
      </c>
      <c r="W462" s="16"/>
      <c r="X462" s="16" t="str">
        <f>"－"</f>
        <v>－</v>
      </c>
      <c r="Y462" s="13"/>
      <c r="Z462" s="17" t="n">
        <f>13</f>
        <v>13.0</v>
      </c>
      <c r="AA462" s="18" t="str">
        <f>"－"</f>
        <v>－</v>
      </c>
      <c r="AB462" s="11" t="s">
        <v>500</v>
      </c>
    </row>
    <row r="463">
      <c r="A463" s="11" t="s">
        <v>46</v>
      </c>
      <c r="B463" s="11" t="s">
        <v>47</v>
      </c>
      <c r="C463" s="11" t="s">
        <v>48</v>
      </c>
      <c r="D463" s="11" t="s">
        <v>49</v>
      </c>
      <c r="E463" s="11" t="s">
        <v>499</v>
      </c>
      <c r="F463" s="12" t="n">
        <v>23500.0</v>
      </c>
      <c r="G463" s="13"/>
      <c r="H463" s="14" t="s">
        <v>57</v>
      </c>
      <c r="I463" s="13"/>
      <c r="J463" s="14" t="s">
        <v>57</v>
      </c>
      <c r="K463" s="13"/>
      <c r="L463" s="14"/>
      <c r="M463" s="13"/>
      <c r="N463" s="14" t="s">
        <v>57</v>
      </c>
      <c r="O463" s="13"/>
      <c r="P463" s="14"/>
      <c r="Q463" s="13"/>
      <c r="R463" s="14" t="s">
        <v>57</v>
      </c>
      <c r="S463" s="15" t="str">
        <f>"－"</f>
        <v>－</v>
      </c>
      <c r="T463" s="16" t="str">
        <f>"－"</f>
        <v>－</v>
      </c>
      <c r="U463" s="16"/>
      <c r="V463" s="16" t="str">
        <f>"－"</f>
        <v>－</v>
      </c>
      <c r="W463" s="16"/>
      <c r="X463" s="16" t="str">
        <f>"－"</f>
        <v>－</v>
      </c>
      <c r="Y463" s="13"/>
      <c r="Z463" s="17" t="n">
        <f>307</f>
        <v>307.0</v>
      </c>
      <c r="AA463" s="18" t="str">
        <f>"－"</f>
        <v>－</v>
      </c>
      <c r="AB463" s="11" t="s">
        <v>500</v>
      </c>
    </row>
    <row r="464">
      <c r="A464" s="11" t="s">
        <v>46</v>
      </c>
      <c r="B464" s="11" t="s">
        <v>47</v>
      </c>
      <c r="C464" s="11" t="s">
        <v>48</v>
      </c>
      <c r="D464" s="11" t="s">
        <v>49</v>
      </c>
      <c r="E464" s="11" t="s">
        <v>499</v>
      </c>
      <c r="F464" s="12" t="n">
        <v>23750.0</v>
      </c>
      <c r="G464" s="13"/>
      <c r="H464" s="14" t="s">
        <v>57</v>
      </c>
      <c r="I464" s="13"/>
      <c r="J464" s="14" t="s">
        <v>57</v>
      </c>
      <c r="K464" s="13"/>
      <c r="L464" s="14"/>
      <c r="M464" s="13"/>
      <c r="N464" s="14" t="s">
        <v>57</v>
      </c>
      <c r="O464" s="13"/>
      <c r="P464" s="14"/>
      <c r="Q464" s="13"/>
      <c r="R464" s="14" t="s">
        <v>57</v>
      </c>
      <c r="S464" s="15" t="str">
        <f>"－"</f>
        <v>－</v>
      </c>
      <c r="T464" s="16" t="str">
        <f>"－"</f>
        <v>－</v>
      </c>
      <c r="U464" s="16"/>
      <c r="V464" s="16" t="str">
        <f>"－"</f>
        <v>－</v>
      </c>
      <c r="W464" s="16"/>
      <c r="X464" s="16" t="str">
        <f>"－"</f>
        <v>－</v>
      </c>
      <c r="Y464" s="13"/>
      <c r="Z464" s="17" t="n">
        <f>13</f>
        <v>13.0</v>
      </c>
      <c r="AA464" s="18" t="str">
        <f>"－"</f>
        <v>－</v>
      </c>
      <c r="AB464" s="11" t="s">
        <v>500</v>
      </c>
    </row>
    <row r="465">
      <c r="A465" s="11" t="s">
        <v>46</v>
      </c>
      <c r="B465" s="11" t="s">
        <v>47</v>
      </c>
      <c r="C465" s="11" t="s">
        <v>48</v>
      </c>
      <c r="D465" s="11" t="s">
        <v>49</v>
      </c>
      <c r="E465" s="11" t="s">
        <v>499</v>
      </c>
      <c r="F465" s="12" t="n">
        <v>24000.0</v>
      </c>
      <c r="G465" s="13"/>
      <c r="H465" s="14" t="s">
        <v>57</v>
      </c>
      <c r="I465" s="13"/>
      <c r="J465" s="14" t="s">
        <v>57</v>
      </c>
      <c r="K465" s="13" t="s">
        <v>210</v>
      </c>
      <c r="L465" s="14" t="s">
        <v>186</v>
      </c>
      <c r="M465" s="13"/>
      <c r="N465" s="14" t="s">
        <v>57</v>
      </c>
      <c r="O465" s="13" t="s">
        <v>208</v>
      </c>
      <c r="P465" s="14" t="s">
        <v>503</v>
      </c>
      <c r="Q465" s="13"/>
      <c r="R465" s="14" t="s">
        <v>57</v>
      </c>
      <c r="S465" s="15" t="str">
        <f>"－"</f>
        <v>－</v>
      </c>
      <c r="T465" s="16" t="n">
        <f>300</f>
        <v>300.0</v>
      </c>
      <c r="U465" s="16" t="n">
        <v>300.0</v>
      </c>
      <c r="V465" s="16" t="n">
        <f>163300000</f>
        <v>1.633E8</v>
      </c>
      <c r="W465" s="16" t="n">
        <v>1.633E8</v>
      </c>
      <c r="X465" s="16" t="str">
        <f>"－"</f>
        <v>－</v>
      </c>
      <c r="Y465" s="13"/>
      <c r="Z465" s="17" t="n">
        <f>619</f>
        <v>619.0</v>
      </c>
      <c r="AA465" s="18" t="str">
        <f>"－"</f>
        <v>－</v>
      </c>
      <c r="AB465" s="11" t="s">
        <v>500</v>
      </c>
    </row>
    <row r="466">
      <c r="A466" s="11" t="s">
        <v>46</v>
      </c>
      <c r="B466" s="11" t="s">
        <v>47</v>
      </c>
      <c r="C466" s="11" t="s">
        <v>48</v>
      </c>
      <c r="D466" s="11" t="s">
        <v>49</v>
      </c>
      <c r="E466" s="11" t="s">
        <v>499</v>
      </c>
      <c r="F466" s="12" t="n">
        <v>24250.0</v>
      </c>
      <c r="G466" s="13"/>
      <c r="H466" s="14" t="s">
        <v>57</v>
      </c>
      <c r="I466" s="13"/>
      <c r="J466" s="14" t="s">
        <v>57</v>
      </c>
      <c r="K466" s="13"/>
      <c r="L466" s="14"/>
      <c r="M466" s="13"/>
      <c r="N466" s="14" t="s">
        <v>57</v>
      </c>
      <c r="O466" s="13"/>
      <c r="P466" s="14"/>
      <c r="Q466" s="13"/>
      <c r="R466" s="14" t="s">
        <v>57</v>
      </c>
      <c r="S466" s="15" t="str">
        <f>"－"</f>
        <v>－</v>
      </c>
      <c r="T466" s="16" t="str">
        <f>"－"</f>
        <v>－</v>
      </c>
      <c r="U466" s="16"/>
      <c r="V466" s="16" t="str">
        <f>"－"</f>
        <v>－</v>
      </c>
      <c r="W466" s="16"/>
      <c r="X466" s="16" t="str">
        <f>"－"</f>
        <v>－</v>
      </c>
      <c r="Y466" s="13"/>
      <c r="Z466" s="17" t="n">
        <f>31</f>
        <v>31.0</v>
      </c>
      <c r="AA466" s="18" t="str">
        <f>"－"</f>
        <v>－</v>
      </c>
      <c r="AB466" s="11" t="s">
        <v>500</v>
      </c>
    </row>
    <row r="467">
      <c r="A467" s="11" t="s">
        <v>46</v>
      </c>
      <c r="B467" s="11" t="s">
        <v>47</v>
      </c>
      <c r="C467" s="11" t="s">
        <v>48</v>
      </c>
      <c r="D467" s="11" t="s">
        <v>49</v>
      </c>
      <c r="E467" s="11" t="s">
        <v>499</v>
      </c>
      <c r="F467" s="12" t="n">
        <v>24500.0</v>
      </c>
      <c r="G467" s="13"/>
      <c r="H467" s="14" t="s">
        <v>57</v>
      </c>
      <c r="I467" s="13"/>
      <c r="J467" s="14" t="s">
        <v>57</v>
      </c>
      <c r="K467" s="13"/>
      <c r="L467" s="14"/>
      <c r="M467" s="13"/>
      <c r="N467" s="14" t="s">
        <v>57</v>
      </c>
      <c r="O467" s="13"/>
      <c r="P467" s="14"/>
      <c r="Q467" s="13"/>
      <c r="R467" s="14" t="s">
        <v>57</v>
      </c>
      <c r="S467" s="15" t="str">
        <f>"－"</f>
        <v>－</v>
      </c>
      <c r="T467" s="16" t="str">
        <f>"－"</f>
        <v>－</v>
      </c>
      <c r="U467" s="16"/>
      <c r="V467" s="16" t="str">
        <f>"－"</f>
        <v>－</v>
      </c>
      <c r="W467" s="16"/>
      <c r="X467" s="16" t="str">
        <f>"－"</f>
        <v>－</v>
      </c>
      <c r="Y467" s="13"/>
      <c r="Z467" s="17" t="n">
        <f>561</f>
        <v>561.0</v>
      </c>
      <c r="AA467" s="18" t="str">
        <f>"－"</f>
        <v>－</v>
      </c>
      <c r="AB467" s="11" t="s">
        <v>500</v>
      </c>
    </row>
    <row r="468">
      <c r="A468" s="11" t="s">
        <v>46</v>
      </c>
      <c r="B468" s="11" t="s">
        <v>47</v>
      </c>
      <c r="C468" s="11" t="s">
        <v>48</v>
      </c>
      <c r="D468" s="11" t="s">
        <v>49</v>
      </c>
      <c r="E468" s="11" t="s">
        <v>499</v>
      </c>
      <c r="F468" s="12" t="n">
        <v>24750.0</v>
      </c>
      <c r="G468" s="13" t="s">
        <v>204</v>
      </c>
      <c r="H468" s="14" t="s">
        <v>263</v>
      </c>
      <c r="I468" s="13" t="s">
        <v>204</v>
      </c>
      <c r="J468" s="14" t="s">
        <v>263</v>
      </c>
      <c r="K468" s="13"/>
      <c r="L468" s="14"/>
      <c r="M468" s="13" t="s">
        <v>204</v>
      </c>
      <c r="N468" s="14" t="s">
        <v>263</v>
      </c>
      <c r="O468" s="13"/>
      <c r="P468" s="14"/>
      <c r="Q468" s="13" t="s">
        <v>204</v>
      </c>
      <c r="R468" s="14" t="s">
        <v>263</v>
      </c>
      <c r="S468" s="15" t="n">
        <f>800</f>
        <v>800.0</v>
      </c>
      <c r="T468" s="16" t="n">
        <f>40</f>
        <v>40.0</v>
      </c>
      <c r="U468" s="16"/>
      <c r="V468" s="16" t="n">
        <f>32000000</f>
        <v>3.2E7</v>
      </c>
      <c r="W468" s="16"/>
      <c r="X468" s="16" t="str">
        <f>"－"</f>
        <v>－</v>
      </c>
      <c r="Y468" s="13"/>
      <c r="Z468" s="17" t="n">
        <f>27</f>
        <v>27.0</v>
      </c>
      <c r="AA468" s="18" t="n">
        <f>1</f>
        <v>1.0</v>
      </c>
      <c r="AB468" s="11" t="s">
        <v>500</v>
      </c>
    </row>
    <row r="469">
      <c r="A469" s="11" t="s">
        <v>46</v>
      </c>
      <c r="B469" s="11" t="s">
        <v>47</v>
      </c>
      <c r="C469" s="11" t="s">
        <v>48</v>
      </c>
      <c r="D469" s="11" t="s">
        <v>49</v>
      </c>
      <c r="E469" s="11" t="s">
        <v>499</v>
      </c>
      <c r="F469" s="12" t="n">
        <v>25000.0</v>
      </c>
      <c r="G469" s="13"/>
      <c r="H469" s="14" t="s">
        <v>57</v>
      </c>
      <c r="I469" s="13"/>
      <c r="J469" s="14" t="s">
        <v>57</v>
      </c>
      <c r="K469" s="13" t="s">
        <v>63</v>
      </c>
      <c r="L469" s="14" t="s">
        <v>504</v>
      </c>
      <c r="M469" s="13"/>
      <c r="N469" s="14" t="s">
        <v>57</v>
      </c>
      <c r="O469" s="13" t="s">
        <v>215</v>
      </c>
      <c r="P469" s="14" t="s">
        <v>356</v>
      </c>
      <c r="Q469" s="13"/>
      <c r="R469" s="14" t="s">
        <v>57</v>
      </c>
      <c r="S469" s="15" t="str">
        <f>"－"</f>
        <v>－</v>
      </c>
      <c r="T469" s="16" t="n">
        <f>1356</f>
        <v>1356.0</v>
      </c>
      <c r="U469" s="16" t="n">
        <v>1356.0</v>
      </c>
      <c r="V469" s="16" t="n">
        <f>1079900000</f>
        <v>1.0799E9</v>
      </c>
      <c r="W469" s="16" t="n">
        <v>1.0799E9</v>
      </c>
      <c r="X469" s="16" t="str">
        <f>"－"</f>
        <v>－</v>
      </c>
      <c r="Y469" s="13"/>
      <c r="Z469" s="17" t="n">
        <f>2372</f>
        <v>2372.0</v>
      </c>
      <c r="AA469" s="18" t="str">
        <f>"－"</f>
        <v>－</v>
      </c>
      <c r="AB469" s="11" t="s">
        <v>500</v>
      </c>
    </row>
    <row r="470">
      <c r="A470" s="11" t="s">
        <v>46</v>
      </c>
      <c r="B470" s="11" t="s">
        <v>47</v>
      </c>
      <c r="C470" s="11" t="s">
        <v>48</v>
      </c>
      <c r="D470" s="11" t="s">
        <v>49</v>
      </c>
      <c r="E470" s="11" t="s">
        <v>499</v>
      </c>
      <c r="F470" s="12" t="n">
        <v>25250.0</v>
      </c>
      <c r="G470" s="13" t="s">
        <v>61</v>
      </c>
      <c r="H470" s="14" t="s">
        <v>306</v>
      </c>
      <c r="I470" s="13" t="s">
        <v>61</v>
      </c>
      <c r="J470" s="14" t="s">
        <v>306</v>
      </c>
      <c r="K470" s="13"/>
      <c r="L470" s="14"/>
      <c r="M470" s="13" t="s">
        <v>61</v>
      </c>
      <c r="N470" s="14" t="s">
        <v>306</v>
      </c>
      <c r="O470" s="13"/>
      <c r="P470" s="14"/>
      <c r="Q470" s="13" t="s">
        <v>61</v>
      </c>
      <c r="R470" s="14" t="s">
        <v>306</v>
      </c>
      <c r="S470" s="15" t="n">
        <f>755</f>
        <v>755.0</v>
      </c>
      <c r="T470" s="16" t="n">
        <f>1</f>
        <v>1.0</v>
      </c>
      <c r="U470" s="16"/>
      <c r="V470" s="16" t="n">
        <f>755000</f>
        <v>755000.0</v>
      </c>
      <c r="W470" s="16"/>
      <c r="X470" s="16" t="str">
        <f>"－"</f>
        <v>－</v>
      </c>
      <c r="Y470" s="13"/>
      <c r="Z470" s="17" t="n">
        <f>38</f>
        <v>38.0</v>
      </c>
      <c r="AA470" s="18" t="n">
        <f>1</f>
        <v>1.0</v>
      </c>
      <c r="AB470" s="11" t="s">
        <v>500</v>
      </c>
    </row>
    <row r="471">
      <c r="A471" s="11" t="s">
        <v>46</v>
      </c>
      <c r="B471" s="11" t="s">
        <v>47</v>
      </c>
      <c r="C471" s="11" t="s">
        <v>48</v>
      </c>
      <c r="D471" s="11" t="s">
        <v>49</v>
      </c>
      <c r="E471" s="11" t="s">
        <v>499</v>
      </c>
      <c r="F471" s="12" t="n">
        <v>25500.0</v>
      </c>
      <c r="G471" s="13" t="s">
        <v>61</v>
      </c>
      <c r="H471" s="14" t="s">
        <v>295</v>
      </c>
      <c r="I471" s="13" t="s">
        <v>61</v>
      </c>
      <c r="J471" s="14" t="s">
        <v>295</v>
      </c>
      <c r="K471" s="13" t="s">
        <v>63</v>
      </c>
      <c r="L471" s="14" t="s">
        <v>505</v>
      </c>
      <c r="M471" s="13" t="s">
        <v>61</v>
      </c>
      <c r="N471" s="14" t="s">
        <v>295</v>
      </c>
      <c r="O471" s="13" t="s">
        <v>60</v>
      </c>
      <c r="P471" s="14" t="s">
        <v>506</v>
      </c>
      <c r="Q471" s="13" t="s">
        <v>61</v>
      </c>
      <c r="R471" s="14" t="s">
        <v>295</v>
      </c>
      <c r="S471" s="15" t="n">
        <f>795</f>
        <v>795.0</v>
      </c>
      <c r="T471" s="16" t="n">
        <f>351</f>
        <v>351.0</v>
      </c>
      <c r="U471" s="16" t="n">
        <v>350.0</v>
      </c>
      <c r="V471" s="16" t="n">
        <f>331645000</f>
        <v>3.31645E8</v>
      </c>
      <c r="W471" s="16" t="n">
        <v>3.3085E8</v>
      </c>
      <c r="X471" s="16" t="str">
        <f>"－"</f>
        <v>－</v>
      </c>
      <c r="Y471" s="13"/>
      <c r="Z471" s="17" t="n">
        <f>657</f>
        <v>657.0</v>
      </c>
      <c r="AA471" s="18" t="n">
        <f>1</f>
        <v>1.0</v>
      </c>
      <c r="AB471" s="11" t="s">
        <v>500</v>
      </c>
    </row>
    <row r="472">
      <c r="A472" s="11" t="s">
        <v>46</v>
      </c>
      <c r="B472" s="11" t="s">
        <v>47</v>
      </c>
      <c r="C472" s="11" t="s">
        <v>48</v>
      </c>
      <c r="D472" s="11" t="s">
        <v>49</v>
      </c>
      <c r="E472" s="11" t="s">
        <v>499</v>
      </c>
      <c r="F472" s="12" t="n">
        <v>25750.0</v>
      </c>
      <c r="G472" s="13" t="s">
        <v>288</v>
      </c>
      <c r="H472" s="14" t="s">
        <v>306</v>
      </c>
      <c r="I472" s="13" t="s">
        <v>208</v>
      </c>
      <c r="J472" s="14" t="s">
        <v>283</v>
      </c>
      <c r="K472" s="13"/>
      <c r="L472" s="14"/>
      <c r="M472" s="13" t="s">
        <v>288</v>
      </c>
      <c r="N472" s="14" t="s">
        <v>306</v>
      </c>
      <c r="O472" s="13"/>
      <c r="P472" s="14"/>
      <c r="Q472" s="13" t="s">
        <v>208</v>
      </c>
      <c r="R472" s="14" t="s">
        <v>283</v>
      </c>
      <c r="S472" s="15" t="n">
        <f>785</f>
        <v>785.0</v>
      </c>
      <c r="T472" s="16" t="n">
        <f>60</f>
        <v>60.0</v>
      </c>
      <c r="U472" s="16"/>
      <c r="V472" s="16" t="n">
        <f>47500000</f>
        <v>4.75E7</v>
      </c>
      <c r="W472" s="16"/>
      <c r="X472" s="16" t="str">
        <f>"－"</f>
        <v>－</v>
      </c>
      <c r="Y472" s="13"/>
      <c r="Z472" s="17" t="n">
        <f>111</f>
        <v>111.0</v>
      </c>
      <c r="AA472" s="18" t="n">
        <f>2</f>
        <v>2.0</v>
      </c>
      <c r="AB472" s="11" t="s">
        <v>500</v>
      </c>
    </row>
    <row r="473">
      <c r="A473" s="11" t="s">
        <v>46</v>
      </c>
      <c r="B473" s="11" t="s">
        <v>47</v>
      </c>
      <c r="C473" s="11" t="s">
        <v>48</v>
      </c>
      <c r="D473" s="11" t="s">
        <v>49</v>
      </c>
      <c r="E473" s="11" t="s">
        <v>499</v>
      </c>
      <c r="F473" s="12" t="n">
        <v>26000.0</v>
      </c>
      <c r="G473" s="13" t="s">
        <v>50</v>
      </c>
      <c r="H473" s="14" t="s">
        <v>478</v>
      </c>
      <c r="I473" s="13" t="s">
        <v>50</v>
      </c>
      <c r="J473" s="14" t="s">
        <v>478</v>
      </c>
      <c r="K473" s="13" t="s">
        <v>210</v>
      </c>
      <c r="L473" s="14" t="s">
        <v>507</v>
      </c>
      <c r="M473" s="13" t="s">
        <v>204</v>
      </c>
      <c r="N473" s="14" t="s">
        <v>169</v>
      </c>
      <c r="O473" s="13" t="s">
        <v>202</v>
      </c>
      <c r="P473" s="14" t="s">
        <v>266</v>
      </c>
      <c r="Q473" s="13" t="s">
        <v>204</v>
      </c>
      <c r="R473" s="14" t="s">
        <v>169</v>
      </c>
      <c r="S473" s="15" t="n">
        <f>1150</f>
        <v>1150.0</v>
      </c>
      <c r="T473" s="16" t="n">
        <f>602</f>
        <v>602.0</v>
      </c>
      <c r="U473" s="16" t="n">
        <v>500.0</v>
      </c>
      <c r="V473" s="16" t="n">
        <f>544890000</f>
        <v>5.4489E8</v>
      </c>
      <c r="W473" s="16" t="n">
        <v>4.105E8</v>
      </c>
      <c r="X473" s="16" t="str">
        <f>"－"</f>
        <v>－</v>
      </c>
      <c r="Y473" s="13"/>
      <c r="Z473" s="17" t="n">
        <f>800</f>
        <v>800.0</v>
      </c>
      <c r="AA473" s="18" t="n">
        <f>2</f>
        <v>2.0</v>
      </c>
      <c r="AB473" s="11" t="s">
        <v>500</v>
      </c>
    </row>
    <row r="474">
      <c r="A474" s="11" t="s">
        <v>46</v>
      </c>
      <c r="B474" s="11" t="s">
        <v>47</v>
      </c>
      <c r="C474" s="11" t="s">
        <v>48</v>
      </c>
      <c r="D474" s="11" t="s">
        <v>49</v>
      </c>
      <c r="E474" s="11" t="s">
        <v>499</v>
      </c>
      <c r="F474" s="12" t="n">
        <v>26250.0</v>
      </c>
      <c r="G474" s="13"/>
      <c r="H474" s="14" t="s">
        <v>57</v>
      </c>
      <c r="I474" s="13"/>
      <c r="J474" s="14" t="s">
        <v>57</v>
      </c>
      <c r="K474" s="13"/>
      <c r="L474" s="14"/>
      <c r="M474" s="13"/>
      <c r="N474" s="14" t="s">
        <v>57</v>
      </c>
      <c r="O474" s="13"/>
      <c r="P474" s="14"/>
      <c r="Q474" s="13"/>
      <c r="R474" s="14" t="s">
        <v>57</v>
      </c>
      <c r="S474" s="15" t="str">
        <f>"－"</f>
        <v>－</v>
      </c>
      <c r="T474" s="16" t="str">
        <f>"－"</f>
        <v>－</v>
      </c>
      <c r="U474" s="16"/>
      <c r="V474" s="16" t="str">
        <f>"－"</f>
        <v>－</v>
      </c>
      <c r="W474" s="16"/>
      <c r="X474" s="16" t="str">
        <f>"－"</f>
        <v>－</v>
      </c>
      <c r="Y474" s="13"/>
      <c r="Z474" s="17" t="n">
        <f>8</f>
        <v>8.0</v>
      </c>
      <c r="AA474" s="18" t="str">
        <f>"－"</f>
        <v>－</v>
      </c>
      <c r="AB474" s="11" t="s">
        <v>500</v>
      </c>
    </row>
    <row r="475">
      <c r="A475" s="11" t="s">
        <v>46</v>
      </c>
      <c r="B475" s="11" t="s">
        <v>47</v>
      </c>
      <c r="C475" s="11" t="s">
        <v>48</v>
      </c>
      <c r="D475" s="11" t="s">
        <v>49</v>
      </c>
      <c r="E475" s="11" t="s">
        <v>499</v>
      </c>
      <c r="F475" s="12" t="n">
        <v>26500.0</v>
      </c>
      <c r="G475" s="13"/>
      <c r="H475" s="14" t="s">
        <v>57</v>
      </c>
      <c r="I475" s="13"/>
      <c r="J475" s="14" t="s">
        <v>57</v>
      </c>
      <c r="K475" s="13" t="s">
        <v>207</v>
      </c>
      <c r="L475" s="14" t="s">
        <v>508</v>
      </c>
      <c r="M475" s="13"/>
      <c r="N475" s="14" t="s">
        <v>57</v>
      </c>
      <c r="O475" s="13" t="s">
        <v>208</v>
      </c>
      <c r="P475" s="14" t="s">
        <v>164</v>
      </c>
      <c r="Q475" s="13"/>
      <c r="R475" s="14" t="s">
        <v>57</v>
      </c>
      <c r="S475" s="15" t="str">
        <f>"－"</f>
        <v>－</v>
      </c>
      <c r="T475" s="16" t="n">
        <f>450</f>
        <v>450.0</v>
      </c>
      <c r="U475" s="16" t="n">
        <v>450.0</v>
      </c>
      <c r="V475" s="16" t="n">
        <f>380500000</f>
        <v>3.805E8</v>
      </c>
      <c r="W475" s="16" t="n">
        <v>3.805E8</v>
      </c>
      <c r="X475" s="16" t="str">
        <f>"－"</f>
        <v>－</v>
      </c>
      <c r="Y475" s="13"/>
      <c r="Z475" s="17" t="n">
        <f>410</f>
        <v>410.0</v>
      </c>
      <c r="AA475" s="18" t="str">
        <f>"－"</f>
        <v>－</v>
      </c>
      <c r="AB475" s="11" t="s">
        <v>500</v>
      </c>
    </row>
    <row r="476">
      <c r="A476" s="11" t="s">
        <v>46</v>
      </c>
      <c r="B476" s="11" t="s">
        <v>47</v>
      </c>
      <c r="C476" s="11" t="s">
        <v>48</v>
      </c>
      <c r="D476" s="11" t="s">
        <v>49</v>
      </c>
      <c r="E476" s="11" t="s">
        <v>499</v>
      </c>
      <c r="F476" s="12" t="n">
        <v>26750.0</v>
      </c>
      <c r="G476" s="13"/>
      <c r="H476" s="14" t="s">
        <v>57</v>
      </c>
      <c r="I476" s="13"/>
      <c r="J476" s="14" t="s">
        <v>57</v>
      </c>
      <c r="K476" s="13"/>
      <c r="L476" s="14"/>
      <c r="M476" s="13"/>
      <c r="N476" s="14" t="s">
        <v>57</v>
      </c>
      <c r="O476" s="13"/>
      <c r="P476" s="14"/>
      <c r="Q476" s="13"/>
      <c r="R476" s="14" t="s">
        <v>57</v>
      </c>
      <c r="S476" s="15" t="str">
        <f>"－"</f>
        <v>－</v>
      </c>
      <c r="T476" s="16" t="str">
        <f>"－"</f>
        <v>－</v>
      </c>
      <c r="U476" s="16"/>
      <c r="V476" s="16" t="str">
        <f>"－"</f>
        <v>－</v>
      </c>
      <c r="W476" s="16"/>
      <c r="X476" s="16" t="str">
        <f>"－"</f>
        <v>－</v>
      </c>
      <c r="Y476" s="13"/>
      <c r="Z476" s="17" t="n">
        <f>250</f>
        <v>250.0</v>
      </c>
      <c r="AA476" s="18" t="str">
        <f>"－"</f>
        <v>－</v>
      </c>
      <c r="AB476" s="11" t="s">
        <v>500</v>
      </c>
    </row>
    <row r="477">
      <c r="A477" s="11" t="s">
        <v>46</v>
      </c>
      <c r="B477" s="11" t="s">
        <v>47</v>
      </c>
      <c r="C477" s="11" t="s">
        <v>48</v>
      </c>
      <c r="D477" s="11" t="s">
        <v>49</v>
      </c>
      <c r="E477" s="11" t="s">
        <v>499</v>
      </c>
      <c r="F477" s="12" t="n">
        <v>27000.0</v>
      </c>
      <c r="G477" s="13" t="s">
        <v>202</v>
      </c>
      <c r="H477" s="14" t="s">
        <v>434</v>
      </c>
      <c r="I477" s="13" t="s">
        <v>202</v>
      </c>
      <c r="J477" s="14" t="s">
        <v>432</v>
      </c>
      <c r="K477" s="13" t="s">
        <v>60</v>
      </c>
      <c r="L477" s="14" t="s">
        <v>509</v>
      </c>
      <c r="M477" s="13" t="s">
        <v>202</v>
      </c>
      <c r="N477" s="14" t="s">
        <v>434</v>
      </c>
      <c r="O477" s="13" t="s">
        <v>202</v>
      </c>
      <c r="P477" s="14" t="s">
        <v>510</v>
      </c>
      <c r="Q477" s="13" t="s">
        <v>202</v>
      </c>
      <c r="R477" s="14" t="s">
        <v>432</v>
      </c>
      <c r="S477" s="15" t="n">
        <f>915</f>
        <v>915.0</v>
      </c>
      <c r="T477" s="16" t="n">
        <f>2225</f>
        <v>2225.0</v>
      </c>
      <c r="U477" s="16" t="n">
        <v>2193.0</v>
      </c>
      <c r="V477" s="16" t="n">
        <f>2420937000</f>
        <v>2.420937E9</v>
      </c>
      <c r="W477" s="16" t="n">
        <v>2.391912E9</v>
      </c>
      <c r="X477" s="16" t="str">
        <f>"－"</f>
        <v>－</v>
      </c>
      <c r="Y477" s="13"/>
      <c r="Z477" s="17" t="n">
        <f>2120</f>
        <v>2120.0</v>
      </c>
      <c r="AA477" s="18" t="n">
        <f>1</f>
        <v>1.0</v>
      </c>
      <c r="AB477" s="11" t="s">
        <v>500</v>
      </c>
    </row>
    <row r="478">
      <c r="A478" s="11" t="s">
        <v>46</v>
      </c>
      <c r="B478" s="11" t="s">
        <v>47</v>
      </c>
      <c r="C478" s="11" t="s">
        <v>48</v>
      </c>
      <c r="D478" s="11" t="s">
        <v>49</v>
      </c>
      <c r="E478" s="11" t="s">
        <v>499</v>
      </c>
      <c r="F478" s="12" t="n">
        <v>27250.0</v>
      </c>
      <c r="G478" s="13"/>
      <c r="H478" s="14" t="s">
        <v>57</v>
      </c>
      <c r="I478" s="13"/>
      <c r="J478" s="14" t="s">
        <v>57</v>
      </c>
      <c r="K478" s="13"/>
      <c r="L478" s="14"/>
      <c r="M478" s="13"/>
      <c r="N478" s="14" t="s">
        <v>57</v>
      </c>
      <c r="O478" s="13"/>
      <c r="P478" s="14"/>
      <c r="Q478" s="13"/>
      <c r="R478" s="14" t="s">
        <v>57</v>
      </c>
      <c r="S478" s="15" t="str">
        <f>"－"</f>
        <v>－</v>
      </c>
      <c r="T478" s="16" t="str">
        <f>"－"</f>
        <v>－</v>
      </c>
      <c r="U478" s="16"/>
      <c r="V478" s="16" t="str">
        <f>"－"</f>
        <v>－</v>
      </c>
      <c r="W478" s="16"/>
      <c r="X478" s="16" t="str">
        <f>"－"</f>
        <v>－</v>
      </c>
      <c r="Y478" s="13"/>
      <c r="Z478" s="17" t="n">
        <f>3</f>
        <v>3.0</v>
      </c>
      <c r="AA478" s="18" t="str">
        <f>"－"</f>
        <v>－</v>
      </c>
      <c r="AB478" s="11" t="s">
        <v>500</v>
      </c>
    </row>
    <row r="479">
      <c r="A479" s="11" t="s">
        <v>46</v>
      </c>
      <c r="B479" s="11" t="s">
        <v>47</v>
      </c>
      <c r="C479" s="11" t="s">
        <v>48</v>
      </c>
      <c r="D479" s="11" t="s">
        <v>49</v>
      </c>
      <c r="E479" s="11" t="s">
        <v>499</v>
      </c>
      <c r="F479" s="12" t="n">
        <v>27500.0</v>
      </c>
      <c r="G479" s="13"/>
      <c r="H479" s="14" t="s">
        <v>57</v>
      </c>
      <c r="I479" s="13"/>
      <c r="J479" s="14" t="s">
        <v>57</v>
      </c>
      <c r="K479" s="13" t="s">
        <v>50</v>
      </c>
      <c r="L479" s="14" t="s">
        <v>511</v>
      </c>
      <c r="M479" s="13"/>
      <c r="N479" s="14" t="s">
        <v>57</v>
      </c>
      <c r="O479" s="13" t="s">
        <v>288</v>
      </c>
      <c r="P479" s="14" t="s">
        <v>512</v>
      </c>
      <c r="Q479" s="13"/>
      <c r="R479" s="14" t="s">
        <v>57</v>
      </c>
      <c r="S479" s="15" t="str">
        <f>"－"</f>
        <v>－</v>
      </c>
      <c r="T479" s="16" t="n">
        <f>225</f>
        <v>225.0</v>
      </c>
      <c r="U479" s="16" t="n">
        <v>225.0</v>
      </c>
      <c r="V479" s="16" t="n">
        <f>311100000</f>
        <v>3.111E8</v>
      </c>
      <c r="W479" s="16" t="n">
        <v>3.111E8</v>
      </c>
      <c r="X479" s="16" t="str">
        <f>"－"</f>
        <v>－</v>
      </c>
      <c r="Y479" s="13"/>
      <c r="Z479" s="17" t="n">
        <f>125</f>
        <v>125.0</v>
      </c>
      <c r="AA479" s="18" t="str">
        <f>"－"</f>
        <v>－</v>
      </c>
      <c r="AB479" s="11" t="s">
        <v>500</v>
      </c>
    </row>
    <row r="480">
      <c r="A480" s="11" t="s">
        <v>46</v>
      </c>
      <c r="B480" s="11" t="s">
        <v>47</v>
      </c>
      <c r="C480" s="11" t="s">
        <v>48</v>
      </c>
      <c r="D480" s="11" t="s">
        <v>49</v>
      </c>
      <c r="E480" s="11" t="s">
        <v>499</v>
      </c>
      <c r="F480" s="12" t="n">
        <v>28000.0</v>
      </c>
      <c r="G480" s="13"/>
      <c r="H480" s="14" t="s">
        <v>57</v>
      </c>
      <c r="I480" s="13"/>
      <c r="J480" s="14" t="s">
        <v>57</v>
      </c>
      <c r="K480" s="13" t="s">
        <v>61</v>
      </c>
      <c r="L480" s="14" t="s">
        <v>513</v>
      </c>
      <c r="M480" s="13"/>
      <c r="N480" s="14" t="s">
        <v>57</v>
      </c>
      <c r="O480" s="13" t="s">
        <v>206</v>
      </c>
      <c r="P480" s="14" t="s">
        <v>514</v>
      </c>
      <c r="Q480" s="13"/>
      <c r="R480" s="14" t="s">
        <v>57</v>
      </c>
      <c r="S480" s="15" t="str">
        <f>"－"</f>
        <v>－</v>
      </c>
      <c r="T480" s="16" t="n">
        <f>1100</f>
        <v>1100.0</v>
      </c>
      <c r="U480" s="16" t="n">
        <v>1100.0</v>
      </c>
      <c r="V480" s="16" t="n">
        <f>1472700000</f>
        <v>1.4727E9</v>
      </c>
      <c r="W480" s="16" t="n">
        <v>1.4727E9</v>
      </c>
      <c r="X480" s="16" t="str">
        <f>"－"</f>
        <v>－</v>
      </c>
      <c r="Y480" s="13"/>
      <c r="Z480" s="17" t="n">
        <f>1700</f>
        <v>1700.0</v>
      </c>
      <c r="AA480" s="18" t="str">
        <f>"－"</f>
        <v>－</v>
      </c>
      <c r="AB480" s="11" t="s">
        <v>500</v>
      </c>
    </row>
    <row r="481">
      <c r="A481" s="11" t="s">
        <v>46</v>
      </c>
      <c r="B481" s="11" t="s">
        <v>47</v>
      </c>
      <c r="C481" s="11" t="s">
        <v>48</v>
      </c>
      <c r="D481" s="11" t="s">
        <v>49</v>
      </c>
      <c r="E481" s="11" t="s">
        <v>499</v>
      </c>
      <c r="F481" s="12" t="n">
        <v>28500.0</v>
      </c>
      <c r="G481" s="13"/>
      <c r="H481" s="14" t="s">
        <v>57</v>
      </c>
      <c r="I481" s="13"/>
      <c r="J481" s="14" t="s">
        <v>57</v>
      </c>
      <c r="K481" s="13"/>
      <c r="L481" s="14"/>
      <c r="M481" s="13"/>
      <c r="N481" s="14" t="s">
        <v>57</v>
      </c>
      <c r="O481" s="13"/>
      <c r="P481" s="14"/>
      <c r="Q481" s="13"/>
      <c r="R481" s="14" t="s">
        <v>57</v>
      </c>
      <c r="S481" s="15" t="str">
        <f>"－"</f>
        <v>－</v>
      </c>
      <c r="T481" s="16" t="str">
        <f>"－"</f>
        <v>－</v>
      </c>
      <c r="U481" s="16"/>
      <c r="V481" s="16" t="str">
        <f>"－"</f>
        <v>－</v>
      </c>
      <c r="W481" s="16"/>
      <c r="X481" s="16" t="str">
        <f>"－"</f>
        <v>－</v>
      </c>
      <c r="Y481" s="13"/>
      <c r="Z481" s="17" t="n">
        <f>327</f>
        <v>327.0</v>
      </c>
      <c r="AA481" s="18" t="str">
        <f>"－"</f>
        <v>－</v>
      </c>
      <c r="AB481" s="11" t="s">
        <v>500</v>
      </c>
    </row>
    <row r="482">
      <c r="A482" s="11" t="s">
        <v>46</v>
      </c>
      <c r="B482" s="11" t="s">
        <v>47</v>
      </c>
      <c r="C482" s="11" t="s">
        <v>48</v>
      </c>
      <c r="D482" s="11" t="s">
        <v>49</v>
      </c>
      <c r="E482" s="11" t="s">
        <v>499</v>
      </c>
      <c r="F482" s="12" t="n">
        <v>29000.0</v>
      </c>
      <c r="G482" s="13" t="s">
        <v>202</v>
      </c>
      <c r="H482" s="14" t="s">
        <v>515</v>
      </c>
      <c r="I482" s="13" t="s">
        <v>202</v>
      </c>
      <c r="J482" s="14" t="s">
        <v>516</v>
      </c>
      <c r="K482" s="13" t="s">
        <v>288</v>
      </c>
      <c r="L482" s="14" t="s">
        <v>517</v>
      </c>
      <c r="M482" s="13" t="s">
        <v>202</v>
      </c>
      <c r="N482" s="14" t="s">
        <v>515</v>
      </c>
      <c r="O482" s="13" t="s">
        <v>288</v>
      </c>
      <c r="P482" s="14" t="s">
        <v>517</v>
      </c>
      <c r="Q482" s="13" t="s">
        <v>202</v>
      </c>
      <c r="R482" s="14" t="s">
        <v>516</v>
      </c>
      <c r="S482" s="15" t="n">
        <f>1480</f>
        <v>1480.0</v>
      </c>
      <c r="T482" s="16" t="n">
        <f>130</f>
        <v>130.0</v>
      </c>
      <c r="U482" s="16" t="n">
        <v>100.0</v>
      </c>
      <c r="V482" s="16" t="n">
        <f>164500000</f>
        <v>1.645E8</v>
      </c>
      <c r="W482" s="16" t="n">
        <v>1.204E8</v>
      </c>
      <c r="X482" s="16" t="str">
        <f>"－"</f>
        <v>－</v>
      </c>
      <c r="Y482" s="13"/>
      <c r="Z482" s="17" t="n">
        <f>130</f>
        <v>130.0</v>
      </c>
      <c r="AA482" s="18" t="n">
        <f>1</f>
        <v>1.0</v>
      </c>
      <c r="AB482" s="11" t="s">
        <v>500</v>
      </c>
    </row>
    <row r="483">
      <c r="A483" s="11" t="s">
        <v>46</v>
      </c>
      <c r="B483" s="11" t="s">
        <v>47</v>
      </c>
      <c r="C483" s="11" t="s">
        <v>48</v>
      </c>
      <c r="D483" s="11" t="s">
        <v>49</v>
      </c>
      <c r="E483" s="11" t="s">
        <v>499</v>
      </c>
      <c r="F483" s="12" t="n">
        <v>29500.0</v>
      </c>
      <c r="G483" s="13" t="s">
        <v>202</v>
      </c>
      <c r="H483" s="14" t="s">
        <v>518</v>
      </c>
      <c r="I483" s="13" t="s">
        <v>202</v>
      </c>
      <c r="J483" s="14" t="s">
        <v>519</v>
      </c>
      <c r="K483" s="13" t="s">
        <v>206</v>
      </c>
      <c r="L483" s="14" t="s">
        <v>520</v>
      </c>
      <c r="M483" s="13" t="s">
        <v>202</v>
      </c>
      <c r="N483" s="14" t="s">
        <v>518</v>
      </c>
      <c r="O483" s="13" t="s">
        <v>202</v>
      </c>
      <c r="P483" s="14" t="s">
        <v>521</v>
      </c>
      <c r="Q483" s="13" t="s">
        <v>202</v>
      </c>
      <c r="R483" s="14" t="s">
        <v>519</v>
      </c>
      <c r="S483" s="15" t="n">
        <f>1660</f>
        <v>1660.0</v>
      </c>
      <c r="T483" s="16" t="n">
        <f>475</f>
        <v>475.0</v>
      </c>
      <c r="U483" s="16" t="n">
        <v>443.0</v>
      </c>
      <c r="V483" s="16" t="n">
        <f>814693000</f>
        <v>8.14693E8</v>
      </c>
      <c r="W483" s="16" t="n">
        <v>7.61693E8</v>
      </c>
      <c r="X483" s="16" t="str">
        <f>"－"</f>
        <v>－</v>
      </c>
      <c r="Y483" s="13"/>
      <c r="Z483" s="17" t="n">
        <f>448</f>
        <v>448.0</v>
      </c>
      <c r="AA483" s="18" t="n">
        <f>1</f>
        <v>1.0</v>
      </c>
      <c r="AB483" s="11" t="s">
        <v>500</v>
      </c>
    </row>
    <row r="484">
      <c r="A484" s="11" t="s">
        <v>46</v>
      </c>
      <c r="B484" s="11" t="s">
        <v>47</v>
      </c>
      <c r="C484" s="11" t="s">
        <v>48</v>
      </c>
      <c r="D484" s="11" t="s">
        <v>49</v>
      </c>
      <c r="E484" s="11" t="s">
        <v>499</v>
      </c>
      <c r="F484" s="12" t="n">
        <v>30000.0</v>
      </c>
      <c r="G484" s="13"/>
      <c r="H484" s="14" t="s">
        <v>57</v>
      </c>
      <c r="I484" s="13"/>
      <c r="J484" s="14" t="s">
        <v>57</v>
      </c>
      <c r="K484" s="13" t="s">
        <v>210</v>
      </c>
      <c r="L484" s="14" t="s">
        <v>522</v>
      </c>
      <c r="M484" s="13"/>
      <c r="N484" s="14" t="s">
        <v>57</v>
      </c>
      <c r="O484" s="13" t="s">
        <v>288</v>
      </c>
      <c r="P484" s="14" t="s">
        <v>523</v>
      </c>
      <c r="Q484" s="13"/>
      <c r="R484" s="14" t="s">
        <v>57</v>
      </c>
      <c r="S484" s="15" t="str">
        <f>"－"</f>
        <v>－</v>
      </c>
      <c r="T484" s="16" t="n">
        <f>350</f>
        <v>350.0</v>
      </c>
      <c r="U484" s="16" t="n">
        <v>350.0</v>
      </c>
      <c r="V484" s="16" t="n">
        <f>711900000</f>
        <v>7.119E8</v>
      </c>
      <c r="W484" s="16" t="n">
        <v>7.119E8</v>
      </c>
      <c r="X484" s="16" t="str">
        <f>"－"</f>
        <v>－</v>
      </c>
      <c r="Y484" s="13"/>
      <c r="Z484" s="17" t="n">
        <f>350</f>
        <v>350.0</v>
      </c>
      <c r="AA484" s="18" t="str">
        <f>"－"</f>
        <v>－</v>
      </c>
      <c r="AB484" s="11" t="s">
        <v>500</v>
      </c>
    </row>
    <row r="485">
      <c r="A485" s="11" t="s">
        <v>46</v>
      </c>
      <c r="B485" s="11" t="s">
        <v>47</v>
      </c>
      <c r="C485" s="11" t="s">
        <v>48</v>
      </c>
      <c r="D485" s="11" t="s">
        <v>49</v>
      </c>
      <c r="E485" s="11" t="s">
        <v>524</v>
      </c>
      <c r="F485" s="12" t="n">
        <v>28500.0</v>
      </c>
      <c r="G485" s="13"/>
      <c r="H485" s="14" t="s">
        <v>57</v>
      </c>
      <c r="I485" s="13"/>
      <c r="J485" s="14" t="s">
        <v>57</v>
      </c>
      <c r="K485" s="13"/>
      <c r="L485" s="14"/>
      <c r="M485" s="13"/>
      <c r="N485" s="14" t="s">
        <v>57</v>
      </c>
      <c r="O485" s="13"/>
      <c r="P485" s="14"/>
      <c r="Q485" s="13"/>
      <c r="R485" s="14" t="s">
        <v>57</v>
      </c>
      <c r="S485" s="15" t="str">
        <f>"－"</f>
        <v>－</v>
      </c>
      <c r="T485" s="16" t="str">
        <f>"－"</f>
        <v>－</v>
      </c>
      <c r="U485" s="16"/>
      <c r="V485" s="16" t="str">
        <f>"－"</f>
        <v>－</v>
      </c>
      <c r="W485" s="16"/>
      <c r="X485" s="16" t="str">
        <f>"－"</f>
        <v>－</v>
      </c>
      <c r="Y485" s="13"/>
      <c r="Z485" s="17" t="n">
        <f>19</f>
        <v>19.0</v>
      </c>
      <c r="AA485" s="18" t="str">
        <f>"－"</f>
        <v>－</v>
      </c>
      <c r="AB485" s="11" t="s">
        <v>525</v>
      </c>
    </row>
    <row r="486">
      <c r="A486" s="11" t="s">
        <v>46</v>
      </c>
      <c r="B486" s="11" t="s">
        <v>47</v>
      </c>
      <c r="C486" s="11" t="s">
        <v>48</v>
      </c>
      <c r="D486" s="11" t="s">
        <v>49</v>
      </c>
      <c r="E486" s="11" t="s">
        <v>526</v>
      </c>
      <c r="F486" s="12" t="n">
        <v>6000.0</v>
      </c>
      <c r="G486" s="13" t="s">
        <v>63</v>
      </c>
      <c r="H486" s="14" t="s">
        <v>69</v>
      </c>
      <c r="I486" s="13" t="s">
        <v>206</v>
      </c>
      <c r="J486" s="14" t="s">
        <v>71</v>
      </c>
      <c r="K486" s="13"/>
      <c r="L486" s="14"/>
      <c r="M486" s="13" t="s">
        <v>206</v>
      </c>
      <c r="N486" s="14" t="s">
        <v>68</v>
      </c>
      <c r="O486" s="13"/>
      <c r="P486" s="14"/>
      <c r="Q486" s="13" t="s">
        <v>215</v>
      </c>
      <c r="R486" s="14" t="s">
        <v>71</v>
      </c>
      <c r="S486" s="15" t="n">
        <f>9</f>
        <v>9.0</v>
      </c>
      <c r="T486" s="16" t="n">
        <f>112</f>
        <v>112.0</v>
      </c>
      <c r="U486" s="16"/>
      <c r="V486" s="16" t="n">
        <f>1001000</f>
        <v>1001000.0</v>
      </c>
      <c r="W486" s="16"/>
      <c r="X486" s="16" t="str">
        <f>"－"</f>
        <v>－</v>
      </c>
      <c r="Y486" s="13"/>
      <c r="Z486" s="17" t="n">
        <f>226</f>
        <v>226.0</v>
      </c>
      <c r="AA486" s="18" t="n">
        <f>6</f>
        <v>6.0</v>
      </c>
      <c r="AB486" s="11" t="s">
        <v>527</v>
      </c>
    </row>
    <row r="487">
      <c r="A487" s="11" t="s">
        <v>46</v>
      </c>
      <c r="B487" s="11" t="s">
        <v>47</v>
      </c>
      <c r="C487" s="11" t="s">
        <v>48</v>
      </c>
      <c r="D487" s="11" t="s">
        <v>49</v>
      </c>
      <c r="E487" s="11" t="s">
        <v>526</v>
      </c>
      <c r="F487" s="12" t="n">
        <v>7000.0</v>
      </c>
      <c r="G487" s="13"/>
      <c r="H487" s="14" t="s">
        <v>57</v>
      </c>
      <c r="I487" s="13"/>
      <c r="J487" s="14" t="s">
        <v>57</v>
      </c>
      <c r="K487" s="13"/>
      <c r="L487" s="14"/>
      <c r="M487" s="13"/>
      <c r="N487" s="14" t="s">
        <v>57</v>
      </c>
      <c r="O487" s="13"/>
      <c r="P487" s="14"/>
      <c r="Q487" s="13"/>
      <c r="R487" s="14" t="s">
        <v>57</v>
      </c>
      <c r="S487" s="15" t="str">
        <f>"－"</f>
        <v>－</v>
      </c>
      <c r="T487" s="16" t="str">
        <f>"－"</f>
        <v>－</v>
      </c>
      <c r="U487" s="16"/>
      <c r="V487" s="16" t="str">
        <f>"－"</f>
        <v>－</v>
      </c>
      <c r="W487" s="16"/>
      <c r="X487" s="16" t="str">
        <f>"－"</f>
        <v>－</v>
      </c>
      <c r="Y487" s="13"/>
      <c r="Z487" s="17" t="n">
        <f>786</f>
        <v>786.0</v>
      </c>
      <c r="AA487" s="18" t="str">
        <f>"－"</f>
        <v>－</v>
      </c>
      <c r="AB487" s="11" t="s">
        <v>527</v>
      </c>
    </row>
    <row r="488">
      <c r="A488" s="11" t="s">
        <v>46</v>
      </c>
      <c r="B488" s="11" t="s">
        <v>47</v>
      </c>
      <c r="C488" s="11" t="s">
        <v>48</v>
      </c>
      <c r="D488" s="11" t="s">
        <v>49</v>
      </c>
      <c r="E488" s="11" t="s">
        <v>526</v>
      </c>
      <c r="F488" s="12" t="n">
        <v>8000.0</v>
      </c>
      <c r="G488" s="13"/>
      <c r="H488" s="14" t="s">
        <v>57</v>
      </c>
      <c r="I488" s="13"/>
      <c r="J488" s="14" t="s">
        <v>57</v>
      </c>
      <c r="K488" s="13"/>
      <c r="L488" s="14"/>
      <c r="M488" s="13"/>
      <c r="N488" s="14" t="s">
        <v>57</v>
      </c>
      <c r="O488" s="13"/>
      <c r="P488" s="14"/>
      <c r="Q488" s="13"/>
      <c r="R488" s="14" t="s">
        <v>57</v>
      </c>
      <c r="S488" s="15" t="str">
        <f>"－"</f>
        <v>－</v>
      </c>
      <c r="T488" s="16" t="str">
        <f>"－"</f>
        <v>－</v>
      </c>
      <c r="U488" s="16"/>
      <c r="V488" s="16" t="str">
        <f>"－"</f>
        <v>－</v>
      </c>
      <c r="W488" s="16"/>
      <c r="X488" s="16" t="str">
        <f>"－"</f>
        <v>－</v>
      </c>
      <c r="Y488" s="13"/>
      <c r="Z488" s="17" t="n">
        <f>409</f>
        <v>409.0</v>
      </c>
      <c r="AA488" s="18" t="str">
        <f>"－"</f>
        <v>－</v>
      </c>
      <c r="AB488" s="11" t="s">
        <v>527</v>
      </c>
    </row>
    <row r="489">
      <c r="A489" s="11" t="s">
        <v>46</v>
      </c>
      <c r="B489" s="11" t="s">
        <v>47</v>
      </c>
      <c r="C489" s="11" t="s">
        <v>48</v>
      </c>
      <c r="D489" s="11" t="s">
        <v>49</v>
      </c>
      <c r="E489" s="11" t="s">
        <v>526</v>
      </c>
      <c r="F489" s="12" t="n">
        <v>8500.0</v>
      </c>
      <c r="G489" s="13" t="s">
        <v>202</v>
      </c>
      <c r="H489" s="14" t="s">
        <v>83</v>
      </c>
      <c r="I489" s="13" t="s">
        <v>202</v>
      </c>
      <c r="J489" s="14" t="s">
        <v>83</v>
      </c>
      <c r="K489" s="13"/>
      <c r="L489" s="14"/>
      <c r="M489" s="13" t="s">
        <v>202</v>
      </c>
      <c r="N489" s="14" t="s">
        <v>83</v>
      </c>
      <c r="O489" s="13"/>
      <c r="P489" s="14"/>
      <c r="Q489" s="13" t="s">
        <v>202</v>
      </c>
      <c r="R489" s="14" t="s">
        <v>83</v>
      </c>
      <c r="S489" s="15" t="n">
        <f>24</f>
        <v>24.0</v>
      </c>
      <c r="T489" s="16" t="n">
        <f>1</f>
        <v>1.0</v>
      </c>
      <c r="U489" s="16"/>
      <c r="V489" s="16" t="n">
        <f>24000</f>
        <v>24000.0</v>
      </c>
      <c r="W489" s="16"/>
      <c r="X489" s="16" t="str">
        <f>"－"</f>
        <v>－</v>
      </c>
      <c r="Y489" s="13"/>
      <c r="Z489" s="17" t="n">
        <f>6</f>
        <v>6.0</v>
      </c>
      <c r="AA489" s="18" t="n">
        <f>1</f>
        <v>1.0</v>
      </c>
      <c r="AB489" s="11" t="s">
        <v>527</v>
      </c>
    </row>
    <row r="490">
      <c r="A490" s="11" t="s">
        <v>46</v>
      </c>
      <c r="B490" s="11" t="s">
        <v>47</v>
      </c>
      <c r="C490" s="11" t="s">
        <v>48</v>
      </c>
      <c r="D490" s="11" t="s">
        <v>49</v>
      </c>
      <c r="E490" s="11" t="s">
        <v>526</v>
      </c>
      <c r="F490" s="12" t="n">
        <v>9000.0</v>
      </c>
      <c r="G490" s="13"/>
      <c r="H490" s="14" t="s">
        <v>57</v>
      </c>
      <c r="I490" s="13"/>
      <c r="J490" s="14" t="s">
        <v>57</v>
      </c>
      <c r="K490" s="13"/>
      <c r="L490" s="14"/>
      <c r="M490" s="13"/>
      <c r="N490" s="14" t="s">
        <v>57</v>
      </c>
      <c r="O490" s="13"/>
      <c r="P490" s="14"/>
      <c r="Q490" s="13"/>
      <c r="R490" s="14" t="s">
        <v>57</v>
      </c>
      <c r="S490" s="15" t="str">
        <f>"－"</f>
        <v>－</v>
      </c>
      <c r="T490" s="16" t="str">
        <f>"－"</f>
        <v>－</v>
      </c>
      <c r="U490" s="16"/>
      <c r="V490" s="16" t="str">
        <f>"－"</f>
        <v>－</v>
      </c>
      <c r="W490" s="16"/>
      <c r="X490" s="16" t="str">
        <f>"－"</f>
        <v>－</v>
      </c>
      <c r="Y490" s="13"/>
      <c r="Z490" s="17" t="n">
        <f>800</f>
        <v>800.0</v>
      </c>
      <c r="AA490" s="18" t="str">
        <f>"－"</f>
        <v>－</v>
      </c>
      <c r="AB490" s="11" t="s">
        <v>527</v>
      </c>
    </row>
    <row r="491">
      <c r="A491" s="11" t="s">
        <v>46</v>
      </c>
      <c r="B491" s="11" t="s">
        <v>47</v>
      </c>
      <c r="C491" s="11" t="s">
        <v>48</v>
      </c>
      <c r="D491" s="11" t="s">
        <v>49</v>
      </c>
      <c r="E491" s="11" t="s">
        <v>526</v>
      </c>
      <c r="F491" s="12" t="n">
        <v>10000.0</v>
      </c>
      <c r="G491" s="13" t="s">
        <v>204</v>
      </c>
      <c r="H491" s="14" t="s">
        <v>113</v>
      </c>
      <c r="I491" s="13" t="s">
        <v>204</v>
      </c>
      <c r="J491" s="14" t="s">
        <v>113</v>
      </c>
      <c r="K491" s="13"/>
      <c r="L491" s="14"/>
      <c r="M491" s="13" t="s">
        <v>204</v>
      </c>
      <c r="N491" s="14" t="s">
        <v>113</v>
      </c>
      <c r="O491" s="13"/>
      <c r="P491" s="14"/>
      <c r="Q491" s="13" t="s">
        <v>204</v>
      </c>
      <c r="R491" s="14" t="s">
        <v>113</v>
      </c>
      <c r="S491" s="15" t="n">
        <f>50</f>
        <v>50.0</v>
      </c>
      <c r="T491" s="16" t="n">
        <f>1</f>
        <v>1.0</v>
      </c>
      <c r="U491" s="16"/>
      <c r="V491" s="16" t="n">
        <f>50000</f>
        <v>50000.0</v>
      </c>
      <c r="W491" s="16"/>
      <c r="X491" s="16" t="str">
        <f>"－"</f>
        <v>－</v>
      </c>
      <c r="Y491" s="13"/>
      <c r="Z491" s="17" t="n">
        <f>1554</f>
        <v>1554.0</v>
      </c>
      <c r="AA491" s="18" t="n">
        <f>1</f>
        <v>1.0</v>
      </c>
      <c r="AB491" s="11" t="s">
        <v>527</v>
      </c>
    </row>
    <row r="492">
      <c r="A492" s="11" t="s">
        <v>46</v>
      </c>
      <c r="B492" s="11" t="s">
        <v>47</v>
      </c>
      <c r="C492" s="11" t="s">
        <v>48</v>
      </c>
      <c r="D492" s="11" t="s">
        <v>49</v>
      </c>
      <c r="E492" s="11" t="s">
        <v>526</v>
      </c>
      <c r="F492" s="12" t="n">
        <v>10500.0</v>
      </c>
      <c r="G492" s="13"/>
      <c r="H492" s="14" t="s">
        <v>57</v>
      </c>
      <c r="I492" s="13"/>
      <c r="J492" s="14" t="s">
        <v>57</v>
      </c>
      <c r="K492" s="13"/>
      <c r="L492" s="14"/>
      <c r="M492" s="13"/>
      <c r="N492" s="14" t="s">
        <v>57</v>
      </c>
      <c r="O492" s="13"/>
      <c r="P492" s="14"/>
      <c r="Q492" s="13"/>
      <c r="R492" s="14" t="s">
        <v>57</v>
      </c>
      <c r="S492" s="15" t="str">
        <f>"－"</f>
        <v>－</v>
      </c>
      <c r="T492" s="16" t="str">
        <f>"－"</f>
        <v>－</v>
      </c>
      <c r="U492" s="16"/>
      <c r="V492" s="16" t="str">
        <f>"－"</f>
        <v>－</v>
      </c>
      <c r="W492" s="16"/>
      <c r="X492" s="16" t="str">
        <f>"－"</f>
        <v>－</v>
      </c>
      <c r="Y492" s="13"/>
      <c r="Z492" s="17" t="n">
        <f>150</f>
        <v>150.0</v>
      </c>
      <c r="AA492" s="18" t="str">
        <f>"－"</f>
        <v>－</v>
      </c>
      <c r="AB492" s="11" t="s">
        <v>527</v>
      </c>
    </row>
    <row r="493">
      <c r="A493" s="11" t="s">
        <v>46</v>
      </c>
      <c r="B493" s="11" t="s">
        <v>47</v>
      </c>
      <c r="C493" s="11" t="s">
        <v>48</v>
      </c>
      <c r="D493" s="11" t="s">
        <v>49</v>
      </c>
      <c r="E493" s="11" t="s">
        <v>526</v>
      </c>
      <c r="F493" s="12" t="n">
        <v>11000.0</v>
      </c>
      <c r="G493" s="13" t="s">
        <v>205</v>
      </c>
      <c r="H493" s="14" t="s">
        <v>107</v>
      </c>
      <c r="I493" s="13" t="s">
        <v>205</v>
      </c>
      <c r="J493" s="14" t="s">
        <v>107</v>
      </c>
      <c r="K493" s="13"/>
      <c r="L493" s="14"/>
      <c r="M493" s="13" t="s">
        <v>207</v>
      </c>
      <c r="N493" s="14" t="s">
        <v>260</v>
      </c>
      <c r="O493" s="13"/>
      <c r="P493" s="14"/>
      <c r="Q493" s="13" t="s">
        <v>207</v>
      </c>
      <c r="R493" s="14" t="s">
        <v>260</v>
      </c>
      <c r="S493" s="15" t="n">
        <f>50</f>
        <v>50.0</v>
      </c>
      <c r="T493" s="16" t="n">
        <f>2</f>
        <v>2.0</v>
      </c>
      <c r="U493" s="16"/>
      <c r="V493" s="16" t="n">
        <f>100000</f>
        <v>100000.0</v>
      </c>
      <c r="W493" s="16"/>
      <c r="X493" s="16" t="str">
        <f>"－"</f>
        <v>－</v>
      </c>
      <c r="Y493" s="13"/>
      <c r="Z493" s="17" t="n">
        <f>1703</f>
        <v>1703.0</v>
      </c>
      <c r="AA493" s="18" t="n">
        <f>2</f>
        <v>2.0</v>
      </c>
      <c r="AB493" s="11" t="s">
        <v>527</v>
      </c>
    </row>
    <row r="494">
      <c r="A494" s="11" t="s">
        <v>46</v>
      </c>
      <c r="B494" s="11" t="s">
        <v>47</v>
      </c>
      <c r="C494" s="11" t="s">
        <v>48</v>
      </c>
      <c r="D494" s="11" t="s">
        <v>49</v>
      </c>
      <c r="E494" s="11" t="s">
        <v>526</v>
      </c>
      <c r="F494" s="12" t="n">
        <v>11500.0</v>
      </c>
      <c r="G494" s="13" t="s">
        <v>58</v>
      </c>
      <c r="H494" s="14" t="s">
        <v>188</v>
      </c>
      <c r="I494" s="13" t="s">
        <v>204</v>
      </c>
      <c r="J494" s="14" t="s">
        <v>449</v>
      </c>
      <c r="K494" s="13"/>
      <c r="L494" s="14"/>
      <c r="M494" s="13" t="s">
        <v>215</v>
      </c>
      <c r="N494" s="14" t="s">
        <v>100</v>
      </c>
      <c r="O494" s="13"/>
      <c r="P494" s="14"/>
      <c r="Q494" s="13" t="s">
        <v>204</v>
      </c>
      <c r="R494" s="14" t="s">
        <v>449</v>
      </c>
      <c r="S494" s="15" t="n">
        <f>65</f>
        <v>65.0</v>
      </c>
      <c r="T494" s="16" t="n">
        <f>3</f>
        <v>3.0</v>
      </c>
      <c r="U494" s="16"/>
      <c r="V494" s="16" t="n">
        <f>195000</f>
        <v>195000.0</v>
      </c>
      <c r="W494" s="16"/>
      <c r="X494" s="16" t="str">
        <f>"－"</f>
        <v>－</v>
      </c>
      <c r="Y494" s="13"/>
      <c r="Z494" s="17" t="n">
        <f>3</f>
        <v>3.0</v>
      </c>
      <c r="AA494" s="18" t="n">
        <f>3</f>
        <v>3.0</v>
      </c>
      <c r="AB494" s="11" t="s">
        <v>527</v>
      </c>
    </row>
    <row r="495">
      <c r="A495" s="11" t="s">
        <v>46</v>
      </c>
      <c r="B495" s="11" t="s">
        <v>47</v>
      </c>
      <c r="C495" s="11" t="s">
        <v>48</v>
      </c>
      <c r="D495" s="11" t="s">
        <v>49</v>
      </c>
      <c r="E495" s="11" t="s">
        <v>526</v>
      </c>
      <c r="F495" s="12" t="n">
        <v>12000.0</v>
      </c>
      <c r="G495" s="13"/>
      <c r="H495" s="14" t="s">
        <v>57</v>
      </c>
      <c r="I495" s="13"/>
      <c r="J495" s="14" t="s">
        <v>57</v>
      </c>
      <c r="K495" s="13"/>
      <c r="L495" s="14"/>
      <c r="M495" s="13"/>
      <c r="N495" s="14" t="s">
        <v>57</v>
      </c>
      <c r="O495" s="13"/>
      <c r="P495" s="14"/>
      <c r="Q495" s="13"/>
      <c r="R495" s="14" t="s">
        <v>57</v>
      </c>
      <c r="S495" s="15" t="str">
        <f>"－"</f>
        <v>－</v>
      </c>
      <c r="T495" s="16" t="str">
        <f>"－"</f>
        <v>－</v>
      </c>
      <c r="U495" s="16"/>
      <c r="V495" s="16" t="str">
        <f>"－"</f>
        <v>－</v>
      </c>
      <c r="W495" s="16"/>
      <c r="X495" s="16" t="str">
        <f>"－"</f>
        <v>－</v>
      </c>
      <c r="Y495" s="13"/>
      <c r="Z495" s="17" t="n">
        <f>7601</f>
        <v>7601.0</v>
      </c>
      <c r="AA495" s="18" t="str">
        <f>"－"</f>
        <v>－</v>
      </c>
      <c r="AB495" s="11" t="s">
        <v>527</v>
      </c>
    </row>
    <row r="496">
      <c r="A496" s="11" t="s">
        <v>46</v>
      </c>
      <c r="B496" s="11" t="s">
        <v>47</v>
      </c>
      <c r="C496" s="11" t="s">
        <v>48</v>
      </c>
      <c r="D496" s="11" t="s">
        <v>49</v>
      </c>
      <c r="E496" s="11" t="s">
        <v>526</v>
      </c>
      <c r="F496" s="12" t="n">
        <v>12500.0</v>
      </c>
      <c r="G496" s="13" t="s">
        <v>52</v>
      </c>
      <c r="H496" s="14" t="s">
        <v>111</v>
      </c>
      <c r="I496" s="13" t="s">
        <v>207</v>
      </c>
      <c r="J496" s="14" t="s">
        <v>109</v>
      </c>
      <c r="K496" s="13"/>
      <c r="L496" s="14"/>
      <c r="M496" s="13" t="s">
        <v>211</v>
      </c>
      <c r="N496" s="14" t="s">
        <v>336</v>
      </c>
      <c r="O496" s="13"/>
      <c r="P496" s="14"/>
      <c r="Q496" s="13" t="s">
        <v>211</v>
      </c>
      <c r="R496" s="14" t="s">
        <v>336</v>
      </c>
      <c r="S496" s="15" t="n">
        <f>76.33</f>
        <v>76.33</v>
      </c>
      <c r="T496" s="16" t="n">
        <f>5</f>
        <v>5.0</v>
      </c>
      <c r="U496" s="16"/>
      <c r="V496" s="16" t="n">
        <f>389000</f>
        <v>389000.0</v>
      </c>
      <c r="W496" s="16"/>
      <c r="X496" s="16" t="str">
        <f>"－"</f>
        <v>－</v>
      </c>
      <c r="Y496" s="13"/>
      <c r="Z496" s="17" t="n">
        <f>105</f>
        <v>105.0</v>
      </c>
      <c r="AA496" s="18" t="n">
        <f>3</f>
        <v>3.0</v>
      </c>
      <c r="AB496" s="11" t="s">
        <v>527</v>
      </c>
    </row>
    <row r="497">
      <c r="A497" s="11" t="s">
        <v>46</v>
      </c>
      <c r="B497" s="11" t="s">
        <v>47</v>
      </c>
      <c r="C497" s="11" t="s">
        <v>48</v>
      </c>
      <c r="D497" s="11" t="s">
        <v>49</v>
      </c>
      <c r="E497" s="11" t="s">
        <v>526</v>
      </c>
      <c r="F497" s="12" t="n">
        <v>13000.0</v>
      </c>
      <c r="G497" s="13"/>
      <c r="H497" s="14" t="s">
        <v>57</v>
      </c>
      <c r="I497" s="13"/>
      <c r="J497" s="14" t="s">
        <v>57</v>
      </c>
      <c r="K497" s="13"/>
      <c r="L497" s="14"/>
      <c r="M497" s="13"/>
      <c r="N497" s="14" t="s">
        <v>57</v>
      </c>
      <c r="O497" s="13"/>
      <c r="P497" s="14"/>
      <c r="Q497" s="13"/>
      <c r="R497" s="14" t="s">
        <v>57</v>
      </c>
      <c r="S497" s="15" t="str">
        <f>"－"</f>
        <v>－</v>
      </c>
      <c r="T497" s="16" t="str">
        <f>"－"</f>
        <v>－</v>
      </c>
      <c r="U497" s="16"/>
      <c r="V497" s="16" t="str">
        <f>"－"</f>
        <v>－</v>
      </c>
      <c r="W497" s="16"/>
      <c r="X497" s="16" t="str">
        <f>"－"</f>
        <v>－</v>
      </c>
      <c r="Y497" s="13"/>
      <c r="Z497" s="17" t="n">
        <f>4163</f>
        <v>4163.0</v>
      </c>
      <c r="AA497" s="18" t="str">
        <f>"－"</f>
        <v>－</v>
      </c>
      <c r="AB497" s="11" t="s">
        <v>527</v>
      </c>
    </row>
    <row r="498">
      <c r="A498" s="11" t="s">
        <v>46</v>
      </c>
      <c r="B498" s="11" t="s">
        <v>47</v>
      </c>
      <c r="C498" s="11" t="s">
        <v>48</v>
      </c>
      <c r="D498" s="11" t="s">
        <v>49</v>
      </c>
      <c r="E498" s="11" t="s">
        <v>526</v>
      </c>
      <c r="F498" s="12" t="n">
        <v>13500.0</v>
      </c>
      <c r="G498" s="13"/>
      <c r="H498" s="14" t="s">
        <v>57</v>
      </c>
      <c r="I498" s="13"/>
      <c r="J498" s="14" t="s">
        <v>57</v>
      </c>
      <c r="K498" s="13"/>
      <c r="L498" s="14"/>
      <c r="M498" s="13"/>
      <c r="N498" s="14" t="s">
        <v>57</v>
      </c>
      <c r="O498" s="13"/>
      <c r="P498" s="14"/>
      <c r="Q498" s="13"/>
      <c r="R498" s="14" t="s">
        <v>57</v>
      </c>
      <c r="S498" s="15" t="str">
        <f>"－"</f>
        <v>－</v>
      </c>
      <c r="T498" s="16" t="str">
        <f>"－"</f>
        <v>－</v>
      </c>
      <c r="U498" s="16"/>
      <c r="V498" s="16" t="str">
        <f>"－"</f>
        <v>－</v>
      </c>
      <c r="W498" s="16"/>
      <c r="X498" s="16" t="str">
        <f>"－"</f>
        <v>－</v>
      </c>
      <c r="Y498" s="13"/>
      <c r="Z498" s="17" t="n">
        <f>5197</f>
        <v>5197.0</v>
      </c>
      <c r="AA498" s="18" t="str">
        <f>"－"</f>
        <v>－</v>
      </c>
      <c r="AB498" s="11" t="s">
        <v>527</v>
      </c>
    </row>
    <row r="499">
      <c r="A499" s="11" t="s">
        <v>46</v>
      </c>
      <c r="B499" s="11" t="s">
        <v>47</v>
      </c>
      <c r="C499" s="11" t="s">
        <v>48</v>
      </c>
      <c r="D499" s="11" t="s">
        <v>49</v>
      </c>
      <c r="E499" s="11" t="s">
        <v>526</v>
      </c>
      <c r="F499" s="12" t="n">
        <v>14000.0</v>
      </c>
      <c r="G499" s="13" t="s">
        <v>52</v>
      </c>
      <c r="H499" s="14" t="s">
        <v>116</v>
      </c>
      <c r="I499" s="13" t="s">
        <v>56</v>
      </c>
      <c r="J499" s="14" t="s">
        <v>118</v>
      </c>
      <c r="K499" s="13"/>
      <c r="L499" s="14"/>
      <c r="M499" s="13" t="s">
        <v>202</v>
      </c>
      <c r="N499" s="14" t="s">
        <v>115</v>
      </c>
      <c r="O499" s="13"/>
      <c r="P499" s="14"/>
      <c r="Q499" s="13" t="s">
        <v>215</v>
      </c>
      <c r="R499" s="14" t="s">
        <v>116</v>
      </c>
      <c r="S499" s="15" t="n">
        <f>109</f>
        <v>109.0</v>
      </c>
      <c r="T499" s="16" t="n">
        <f>11</f>
        <v>11.0</v>
      </c>
      <c r="U499" s="16"/>
      <c r="V499" s="16" t="n">
        <f>1200000</f>
        <v>1200000.0</v>
      </c>
      <c r="W499" s="16"/>
      <c r="X499" s="16" t="str">
        <f>"－"</f>
        <v>－</v>
      </c>
      <c r="Y499" s="13"/>
      <c r="Z499" s="17" t="n">
        <f>5455</f>
        <v>5455.0</v>
      </c>
      <c r="AA499" s="18" t="n">
        <f>5</f>
        <v>5.0</v>
      </c>
      <c r="AB499" s="11" t="s">
        <v>527</v>
      </c>
    </row>
    <row r="500">
      <c r="A500" s="11" t="s">
        <v>46</v>
      </c>
      <c r="B500" s="11" t="s">
        <v>47</v>
      </c>
      <c r="C500" s="11" t="s">
        <v>48</v>
      </c>
      <c r="D500" s="11" t="s">
        <v>49</v>
      </c>
      <c r="E500" s="11" t="s">
        <v>526</v>
      </c>
      <c r="F500" s="12" t="n">
        <v>14250.0</v>
      </c>
      <c r="G500" s="13"/>
      <c r="H500" s="14" t="s">
        <v>57</v>
      </c>
      <c r="I500" s="13"/>
      <c r="J500" s="14" t="s">
        <v>57</v>
      </c>
      <c r="K500" s="13"/>
      <c r="L500" s="14"/>
      <c r="M500" s="13"/>
      <c r="N500" s="14" t="s">
        <v>57</v>
      </c>
      <c r="O500" s="13"/>
      <c r="P500" s="14"/>
      <c r="Q500" s="13"/>
      <c r="R500" s="14" t="s">
        <v>57</v>
      </c>
      <c r="S500" s="15" t="str">
        <f>"－"</f>
        <v>－</v>
      </c>
      <c r="T500" s="16" t="str">
        <f>"－"</f>
        <v>－</v>
      </c>
      <c r="U500" s="16"/>
      <c r="V500" s="16" t="str">
        <f>"－"</f>
        <v>－</v>
      </c>
      <c r="W500" s="16"/>
      <c r="X500" s="16" t="str">
        <f>"－"</f>
        <v>－</v>
      </c>
      <c r="Y500" s="13"/>
      <c r="Z500" s="17" t="n">
        <f>3610</f>
        <v>3610.0</v>
      </c>
      <c r="AA500" s="18" t="str">
        <f>"－"</f>
        <v>－</v>
      </c>
      <c r="AB500" s="11" t="s">
        <v>527</v>
      </c>
    </row>
    <row r="501">
      <c r="A501" s="11" t="s">
        <v>46</v>
      </c>
      <c r="B501" s="11" t="s">
        <v>47</v>
      </c>
      <c r="C501" s="11" t="s">
        <v>48</v>
      </c>
      <c r="D501" s="11" t="s">
        <v>49</v>
      </c>
      <c r="E501" s="11" t="s">
        <v>526</v>
      </c>
      <c r="F501" s="12" t="n">
        <v>14500.0</v>
      </c>
      <c r="G501" s="13"/>
      <c r="H501" s="14" t="s">
        <v>57</v>
      </c>
      <c r="I501" s="13"/>
      <c r="J501" s="14" t="s">
        <v>57</v>
      </c>
      <c r="K501" s="13"/>
      <c r="L501" s="14"/>
      <c r="M501" s="13"/>
      <c r="N501" s="14" t="s">
        <v>57</v>
      </c>
      <c r="O501" s="13"/>
      <c r="P501" s="14"/>
      <c r="Q501" s="13"/>
      <c r="R501" s="14" t="s">
        <v>57</v>
      </c>
      <c r="S501" s="15" t="str">
        <f>"－"</f>
        <v>－</v>
      </c>
      <c r="T501" s="16" t="str">
        <f>"－"</f>
        <v>－</v>
      </c>
      <c r="U501" s="16"/>
      <c r="V501" s="16" t="str">
        <f>"－"</f>
        <v>－</v>
      </c>
      <c r="W501" s="16"/>
      <c r="X501" s="16" t="str">
        <f>"－"</f>
        <v>－</v>
      </c>
      <c r="Y501" s="13"/>
      <c r="Z501" s="17" t="n">
        <f>200</f>
        <v>200.0</v>
      </c>
      <c r="AA501" s="18" t="str">
        <f>"－"</f>
        <v>－</v>
      </c>
      <c r="AB501" s="11" t="s">
        <v>527</v>
      </c>
    </row>
    <row r="502">
      <c r="A502" s="11" t="s">
        <v>46</v>
      </c>
      <c r="B502" s="11" t="s">
        <v>47</v>
      </c>
      <c r="C502" s="11" t="s">
        <v>48</v>
      </c>
      <c r="D502" s="11" t="s">
        <v>49</v>
      </c>
      <c r="E502" s="11" t="s">
        <v>526</v>
      </c>
      <c r="F502" s="12" t="n">
        <v>15000.0</v>
      </c>
      <c r="G502" s="13" t="s">
        <v>206</v>
      </c>
      <c r="H502" s="14" t="s">
        <v>126</v>
      </c>
      <c r="I502" s="13" t="s">
        <v>210</v>
      </c>
      <c r="J502" s="14" t="s">
        <v>124</v>
      </c>
      <c r="K502" s="13" t="s">
        <v>211</v>
      </c>
      <c r="L502" s="14" t="s">
        <v>124</v>
      </c>
      <c r="M502" s="13" t="s">
        <v>215</v>
      </c>
      <c r="N502" s="14" t="s">
        <v>286</v>
      </c>
      <c r="O502" s="13" t="s">
        <v>211</v>
      </c>
      <c r="P502" s="14" t="s">
        <v>124</v>
      </c>
      <c r="Q502" s="13" t="s">
        <v>215</v>
      </c>
      <c r="R502" s="14" t="s">
        <v>286</v>
      </c>
      <c r="S502" s="15" t="n">
        <f>147.5</f>
        <v>147.5</v>
      </c>
      <c r="T502" s="16" t="n">
        <f>206</f>
        <v>206.0</v>
      </c>
      <c r="U502" s="16" t="n">
        <v>200.0</v>
      </c>
      <c r="V502" s="16" t="n">
        <f>32890000</f>
        <v>3.289E7</v>
      </c>
      <c r="W502" s="16" t="n">
        <v>3.2E7</v>
      </c>
      <c r="X502" s="16" t="str">
        <f>"－"</f>
        <v>－</v>
      </c>
      <c r="Y502" s="13"/>
      <c r="Z502" s="17" t="n">
        <f>8327</f>
        <v>8327.0</v>
      </c>
      <c r="AA502" s="18" t="n">
        <f>4</f>
        <v>4.0</v>
      </c>
      <c r="AB502" s="11" t="s">
        <v>527</v>
      </c>
    </row>
    <row r="503">
      <c r="A503" s="11" t="s">
        <v>46</v>
      </c>
      <c r="B503" s="11" t="s">
        <v>47</v>
      </c>
      <c r="C503" s="11" t="s">
        <v>48</v>
      </c>
      <c r="D503" s="11" t="s">
        <v>49</v>
      </c>
      <c r="E503" s="11" t="s">
        <v>526</v>
      </c>
      <c r="F503" s="12" t="n">
        <v>15500.0</v>
      </c>
      <c r="G503" s="13"/>
      <c r="H503" s="14" t="s">
        <v>57</v>
      </c>
      <c r="I503" s="13"/>
      <c r="J503" s="14" t="s">
        <v>57</v>
      </c>
      <c r="K503" s="13"/>
      <c r="L503" s="14"/>
      <c r="M503" s="13"/>
      <c r="N503" s="14" t="s">
        <v>57</v>
      </c>
      <c r="O503" s="13"/>
      <c r="P503" s="14"/>
      <c r="Q503" s="13"/>
      <c r="R503" s="14" t="s">
        <v>57</v>
      </c>
      <c r="S503" s="15" t="str">
        <f>"－"</f>
        <v>－</v>
      </c>
      <c r="T503" s="16" t="str">
        <f>"－"</f>
        <v>－</v>
      </c>
      <c r="U503" s="16"/>
      <c r="V503" s="16" t="str">
        <f>"－"</f>
        <v>－</v>
      </c>
      <c r="W503" s="16"/>
      <c r="X503" s="16" t="str">
        <f>"－"</f>
        <v>－</v>
      </c>
      <c r="Y503" s="13"/>
      <c r="Z503" s="17" t="n">
        <f>1575</f>
        <v>1575.0</v>
      </c>
      <c r="AA503" s="18" t="str">
        <f>"－"</f>
        <v>－</v>
      </c>
      <c r="AB503" s="11" t="s">
        <v>527</v>
      </c>
    </row>
    <row r="504">
      <c r="A504" s="11" t="s">
        <v>46</v>
      </c>
      <c r="B504" s="11" t="s">
        <v>47</v>
      </c>
      <c r="C504" s="11" t="s">
        <v>48</v>
      </c>
      <c r="D504" s="11" t="s">
        <v>49</v>
      </c>
      <c r="E504" s="11" t="s">
        <v>526</v>
      </c>
      <c r="F504" s="12" t="n">
        <v>16000.0</v>
      </c>
      <c r="G504" s="13" t="s">
        <v>55</v>
      </c>
      <c r="H504" s="14" t="s">
        <v>265</v>
      </c>
      <c r="I504" s="13" t="s">
        <v>55</v>
      </c>
      <c r="J504" s="14" t="s">
        <v>265</v>
      </c>
      <c r="K504" s="13"/>
      <c r="L504" s="14"/>
      <c r="M504" s="13" t="s">
        <v>211</v>
      </c>
      <c r="N504" s="14" t="s">
        <v>128</v>
      </c>
      <c r="O504" s="13"/>
      <c r="P504" s="14"/>
      <c r="Q504" s="13" t="s">
        <v>211</v>
      </c>
      <c r="R504" s="14" t="s">
        <v>128</v>
      </c>
      <c r="S504" s="15" t="n">
        <f>205</f>
        <v>205.0</v>
      </c>
      <c r="T504" s="16" t="n">
        <f>4</f>
        <v>4.0</v>
      </c>
      <c r="U504" s="16"/>
      <c r="V504" s="16" t="n">
        <f>850000</f>
        <v>850000.0</v>
      </c>
      <c r="W504" s="16"/>
      <c r="X504" s="16" t="str">
        <f>"－"</f>
        <v>－</v>
      </c>
      <c r="Y504" s="13"/>
      <c r="Z504" s="17" t="n">
        <f>12357</f>
        <v>12357.0</v>
      </c>
      <c r="AA504" s="18" t="n">
        <f>3</f>
        <v>3.0</v>
      </c>
      <c r="AB504" s="11" t="s">
        <v>527</v>
      </c>
    </row>
    <row r="505">
      <c r="A505" s="11" t="s">
        <v>46</v>
      </c>
      <c r="B505" s="11" t="s">
        <v>47</v>
      </c>
      <c r="C505" s="11" t="s">
        <v>48</v>
      </c>
      <c r="D505" s="11" t="s">
        <v>49</v>
      </c>
      <c r="E505" s="11" t="s">
        <v>526</v>
      </c>
      <c r="F505" s="12" t="n">
        <v>16250.0</v>
      </c>
      <c r="G505" s="13"/>
      <c r="H505" s="14" t="s">
        <v>57</v>
      </c>
      <c r="I505" s="13"/>
      <c r="J505" s="14" t="s">
        <v>57</v>
      </c>
      <c r="K505" s="13"/>
      <c r="L505" s="14"/>
      <c r="M505" s="13"/>
      <c r="N505" s="14" t="s">
        <v>57</v>
      </c>
      <c r="O505" s="13"/>
      <c r="P505" s="14"/>
      <c r="Q505" s="13"/>
      <c r="R505" s="14" t="s">
        <v>57</v>
      </c>
      <c r="S505" s="15" t="str">
        <f>"－"</f>
        <v>－</v>
      </c>
      <c r="T505" s="16" t="str">
        <f>"－"</f>
        <v>－</v>
      </c>
      <c r="U505" s="16"/>
      <c r="V505" s="16" t="str">
        <f>"－"</f>
        <v>－</v>
      </c>
      <c r="W505" s="16"/>
      <c r="X505" s="16" t="str">
        <f>"－"</f>
        <v>－</v>
      </c>
      <c r="Y505" s="13"/>
      <c r="Z505" s="17" t="n">
        <f>765</f>
        <v>765.0</v>
      </c>
      <c r="AA505" s="18" t="str">
        <f>"－"</f>
        <v>－</v>
      </c>
      <c r="AB505" s="11" t="s">
        <v>527</v>
      </c>
    </row>
    <row r="506">
      <c r="A506" s="11" t="s">
        <v>46</v>
      </c>
      <c r="B506" s="11" t="s">
        <v>47</v>
      </c>
      <c r="C506" s="11" t="s">
        <v>48</v>
      </c>
      <c r="D506" s="11" t="s">
        <v>49</v>
      </c>
      <c r="E506" s="11" t="s">
        <v>526</v>
      </c>
      <c r="F506" s="12" t="n">
        <v>16500.0</v>
      </c>
      <c r="G506" s="13"/>
      <c r="H506" s="14" t="s">
        <v>57</v>
      </c>
      <c r="I506" s="13"/>
      <c r="J506" s="14" t="s">
        <v>57</v>
      </c>
      <c r="K506" s="13"/>
      <c r="L506" s="14"/>
      <c r="M506" s="13"/>
      <c r="N506" s="14" t="s">
        <v>57</v>
      </c>
      <c r="O506" s="13"/>
      <c r="P506" s="14"/>
      <c r="Q506" s="13"/>
      <c r="R506" s="14" t="s">
        <v>57</v>
      </c>
      <c r="S506" s="15" t="str">
        <f>"－"</f>
        <v>－</v>
      </c>
      <c r="T506" s="16" t="str">
        <f>"－"</f>
        <v>－</v>
      </c>
      <c r="U506" s="16"/>
      <c r="V506" s="16" t="str">
        <f>"－"</f>
        <v>－</v>
      </c>
      <c r="W506" s="16"/>
      <c r="X506" s="16" t="str">
        <f>"－"</f>
        <v>－</v>
      </c>
      <c r="Y506" s="13"/>
      <c r="Z506" s="17" t="n">
        <f>1965</f>
        <v>1965.0</v>
      </c>
      <c r="AA506" s="18" t="str">
        <f>"－"</f>
        <v>－</v>
      </c>
      <c r="AB506" s="11" t="s">
        <v>527</v>
      </c>
    </row>
    <row r="507">
      <c r="A507" s="11" t="s">
        <v>46</v>
      </c>
      <c r="B507" s="11" t="s">
        <v>47</v>
      </c>
      <c r="C507" s="11" t="s">
        <v>48</v>
      </c>
      <c r="D507" s="11" t="s">
        <v>49</v>
      </c>
      <c r="E507" s="11" t="s">
        <v>526</v>
      </c>
      <c r="F507" s="12" t="n">
        <v>16750.0</v>
      </c>
      <c r="G507" s="13"/>
      <c r="H507" s="14" t="s">
        <v>57</v>
      </c>
      <c r="I507" s="13"/>
      <c r="J507" s="14" t="s">
        <v>57</v>
      </c>
      <c r="K507" s="13"/>
      <c r="L507" s="14"/>
      <c r="M507" s="13"/>
      <c r="N507" s="14" t="s">
        <v>57</v>
      </c>
      <c r="O507" s="13"/>
      <c r="P507" s="14"/>
      <c r="Q507" s="13"/>
      <c r="R507" s="14" t="s">
        <v>57</v>
      </c>
      <c r="S507" s="15" t="str">
        <f>"－"</f>
        <v>－</v>
      </c>
      <c r="T507" s="16" t="str">
        <f>"－"</f>
        <v>－</v>
      </c>
      <c r="U507" s="16"/>
      <c r="V507" s="16" t="str">
        <f>"－"</f>
        <v>－</v>
      </c>
      <c r="W507" s="16"/>
      <c r="X507" s="16" t="str">
        <f>"－"</f>
        <v>－</v>
      </c>
      <c r="Y507" s="13"/>
      <c r="Z507" s="17" t="n">
        <f>10</f>
        <v>10.0</v>
      </c>
      <c r="AA507" s="18" t="str">
        <f>"－"</f>
        <v>－</v>
      </c>
      <c r="AB507" s="11" t="s">
        <v>527</v>
      </c>
    </row>
    <row r="508">
      <c r="A508" s="11" t="s">
        <v>46</v>
      </c>
      <c r="B508" s="11" t="s">
        <v>47</v>
      </c>
      <c r="C508" s="11" t="s">
        <v>48</v>
      </c>
      <c r="D508" s="11" t="s">
        <v>49</v>
      </c>
      <c r="E508" s="11" t="s">
        <v>526</v>
      </c>
      <c r="F508" s="12" t="n">
        <v>17000.0</v>
      </c>
      <c r="G508" s="13"/>
      <c r="H508" s="14" t="s">
        <v>57</v>
      </c>
      <c r="I508" s="13"/>
      <c r="J508" s="14" t="s">
        <v>57</v>
      </c>
      <c r="K508" s="13"/>
      <c r="L508" s="14"/>
      <c r="M508" s="13"/>
      <c r="N508" s="14" t="s">
        <v>57</v>
      </c>
      <c r="O508" s="13"/>
      <c r="P508" s="14"/>
      <c r="Q508" s="13"/>
      <c r="R508" s="14" t="s">
        <v>57</v>
      </c>
      <c r="S508" s="15" t="str">
        <f>"－"</f>
        <v>－</v>
      </c>
      <c r="T508" s="16" t="str">
        <f>"－"</f>
        <v>－</v>
      </c>
      <c r="U508" s="16"/>
      <c r="V508" s="16" t="str">
        <f>"－"</f>
        <v>－</v>
      </c>
      <c r="W508" s="16"/>
      <c r="X508" s="16" t="str">
        <f>"－"</f>
        <v>－</v>
      </c>
      <c r="Y508" s="13"/>
      <c r="Z508" s="17" t="n">
        <f>14461</f>
        <v>14461.0</v>
      </c>
      <c r="AA508" s="18" t="str">
        <f>"－"</f>
        <v>－</v>
      </c>
      <c r="AB508" s="11" t="s">
        <v>527</v>
      </c>
    </row>
    <row r="509">
      <c r="A509" s="11" t="s">
        <v>46</v>
      </c>
      <c r="B509" s="11" t="s">
        <v>47</v>
      </c>
      <c r="C509" s="11" t="s">
        <v>48</v>
      </c>
      <c r="D509" s="11" t="s">
        <v>49</v>
      </c>
      <c r="E509" s="11" t="s">
        <v>526</v>
      </c>
      <c r="F509" s="12" t="n">
        <v>17250.0</v>
      </c>
      <c r="G509" s="13"/>
      <c r="H509" s="14" t="s">
        <v>57</v>
      </c>
      <c r="I509" s="13"/>
      <c r="J509" s="14" t="s">
        <v>57</v>
      </c>
      <c r="K509" s="13"/>
      <c r="L509" s="14"/>
      <c r="M509" s="13"/>
      <c r="N509" s="14" t="s">
        <v>57</v>
      </c>
      <c r="O509" s="13"/>
      <c r="P509" s="14"/>
      <c r="Q509" s="13"/>
      <c r="R509" s="14" t="s">
        <v>57</v>
      </c>
      <c r="S509" s="15" t="str">
        <f>"－"</f>
        <v>－</v>
      </c>
      <c r="T509" s="16" t="str">
        <f>"－"</f>
        <v>－</v>
      </c>
      <c r="U509" s="16"/>
      <c r="V509" s="16" t="str">
        <f>"－"</f>
        <v>－</v>
      </c>
      <c r="W509" s="16"/>
      <c r="X509" s="16" t="str">
        <f>"－"</f>
        <v>－</v>
      </c>
      <c r="Y509" s="13"/>
      <c r="Z509" s="17" t="n">
        <f>225</f>
        <v>225.0</v>
      </c>
      <c r="AA509" s="18" t="str">
        <f>"－"</f>
        <v>－</v>
      </c>
      <c r="AB509" s="11" t="s">
        <v>527</v>
      </c>
    </row>
    <row r="510">
      <c r="A510" s="11" t="s">
        <v>46</v>
      </c>
      <c r="B510" s="11" t="s">
        <v>47</v>
      </c>
      <c r="C510" s="11" t="s">
        <v>48</v>
      </c>
      <c r="D510" s="11" t="s">
        <v>49</v>
      </c>
      <c r="E510" s="11" t="s">
        <v>526</v>
      </c>
      <c r="F510" s="12" t="n">
        <v>17500.0</v>
      </c>
      <c r="G510" s="13"/>
      <c r="H510" s="14" t="s">
        <v>57</v>
      </c>
      <c r="I510" s="13"/>
      <c r="J510" s="14" t="s">
        <v>57</v>
      </c>
      <c r="K510" s="13" t="s">
        <v>55</v>
      </c>
      <c r="L510" s="14" t="s">
        <v>140</v>
      </c>
      <c r="M510" s="13"/>
      <c r="N510" s="14" t="s">
        <v>57</v>
      </c>
      <c r="O510" s="13" t="s">
        <v>63</v>
      </c>
      <c r="P510" s="14" t="s">
        <v>185</v>
      </c>
      <c r="Q510" s="13"/>
      <c r="R510" s="14" t="s">
        <v>57</v>
      </c>
      <c r="S510" s="15" t="str">
        <f>"－"</f>
        <v>－</v>
      </c>
      <c r="T510" s="16" t="n">
        <f>2100</f>
        <v>2100.0</v>
      </c>
      <c r="U510" s="16" t="n">
        <v>2100.0</v>
      </c>
      <c r="V510" s="16" t="n">
        <f>583000000</f>
        <v>5.83E8</v>
      </c>
      <c r="W510" s="16" t="n">
        <v>5.83E8</v>
      </c>
      <c r="X510" s="16" t="str">
        <f>"－"</f>
        <v>－</v>
      </c>
      <c r="Y510" s="13"/>
      <c r="Z510" s="17" t="n">
        <f>3580</f>
        <v>3580.0</v>
      </c>
      <c r="AA510" s="18" t="str">
        <f>"－"</f>
        <v>－</v>
      </c>
      <c r="AB510" s="11" t="s">
        <v>527</v>
      </c>
    </row>
    <row r="511">
      <c r="A511" s="11" t="s">
        <v>46</v>
      </c>
      <c r="B511" s="11" t="s">
        <v>47</v>
      </c>
      <c r="C511" s="11" t="s">
        <v>48</v>
      </c>
      <c r="D511" s="11" t="s">
        <v>49</v>
      </c>
      <c r="E511" s="11" t="s">
        <v>526</v>
      </c>
      <c r="F511" s="12" t="n">
        <v>17750.0</v>
      </c>
      <c r="G511" s="13"/>
      <c r="H511" s="14" t="s">
        <v>57</v>
      </c>
      <c r="I511" s="13"/>
      <c r="J511" s="14" t="s">
        <v>57</v>
      </c>
      <c r="K511" s="13"/>
      <c r="L511" s="14"/>
      <c r="M511" s="13"/>
      <c r="N511" s="14" t="s">
        <v>57</v>
      </c>
      <c r="O511" s="13"/>
      <c r="P511" s="14"/>
      <c r="Q511" s="13"/>
      <c r="R511" s="14" t="s">
        <v>57</v>
      </c>
      <c r="S511" s="15" t="str">
        <f>"－"</f>
        <v>－</v>
      </c>
      <c r="T511" s="16" t="str">
        <f>"－"</f>
        <v>－</v>
      </c>
      <c r="U511" s="16"/>
      <c r="V511" s="16" t="str">
        <f>"－"</f>
        <v>－</v>
      </c>
      <c r="W511" s="16"/>
      <c r="X511" s="16" t="str">
        <f>"－"</f>
        <v>－</v>
      </c>
      <c r="Y511" s="13"/>
      <c r="Z511" s="17" t="n">
        <f>154</f>
        <v>154.0</v>
      </c>
      <c r="AA511" s="18" t="str">
        <f>"－"</f>
        <v>－</v>
      </c>
      <c r="AB511" s="11" t="s">
        <v>527</v>
      </c>
    </row>
    <row r="512">
      <c r="A512" s="11" t="s">
        <v>46</v>
      </c>
      <c r="B512" s="11" t="s">
        <v>47</v>
      </c>
      <c r="C512" s="11" t="s">
        <v>48</v>
      </c>
      <c r="D512" s="11" t="s">
        <v>49</v>
      </c>
      <c r="E512" s="11" t="s">
        <v>526</v>
      </c>
      <c r="F512" s="12" t="n">
        <v>18000.0</v>
      </c>
      <c r="G512" s="13" t="s">
        <v>288</v>
      </c>
      <c r="H512" s="14" t="s">
        <v>136</v>
      </c>
      <c r="I512" s="13" t="s">
        <v>208</v>
      </c>
      <c r="J512" s="14" t="s">
        <v>137</v>
      </c>
      <c r="K512" s="13" t="s">
        <v>50</v>
      </c>
      <c r="L512" s="14" t="s">
        <v>528</v>
      </c>
      <c r="M512" s="13" t="s">
        <v>207</v>
      </c>
      <c r="N512" s="14" t="s">
        <v>134</v>
      </c>
      <c r="O512" s="13" t="s">
        <v>50</v>
      </c>
      <c r="P512" s="14" t="s">
        <v>528</v>
      </c>
      <c r="Q512" s="13" t="s">
        <v>208</v>
      </c>
      <c r="R512" s="14" t="s">
        <v>137</v>
      </c>
      <c r="S512" s="15" t="n">
        <f>260</f>
        <v>260.0</v>
      </c>
      <c r="T512" s="16" t="n">
        <f>240</f>
        <v>240.0</v>
      </c>
      <c r="U512" s="16" t="n">
        <v>200.0</v>
      </c>
      <c r="V512" s="16" t="n">
        <f>82950000</f>
        <v>8.295E7</v>
      </c>
      <c r="W512" s="16" t="n">
        <v>7.28E7</v>
      </c>
      <c r="X512" s="16" t="str">
        <f>"－"</f>
        <v>－</v>
      </c>
      <c r="Y512" s="13"/>
      <c r="Z512" s="17" t="n">
        <f>14255</f>
        <v>14255.0</v>
      </c>
      <c r="AA512" s="18" t="n">
        <f>3</f>
        <v>3.0</v>
      </c>
      <c r="AB512" s="11" t="s">
        <v>527</v>
      </c>
    </row>
    <row r="513">
      <c r="A513" s="11" t="s">
        <v>46</v>
      </c>
      <c r="B513" s="11" t="s">
        <v>47</v>
      </c>
      <c r="C513" s="11" t="s">
        <v>48</v>
      </c>
      <c r="D513" s="11" t="s">
        <v>49</v>
      </c>
      <c r="E513" s="11" t="s">
        <v>526</v>
      </c>
      <c r="F513" s="12" t="n">
        <v>18250.0</v>
      </c>
      <c r="G513" s="13"/>
      <c r="H513" s="14" t="s">
        <v>57</v>
      </c>
      <c r="I513" s="13"/>
      <c r="J513" s="14" t="s">
        <v>57</v>
      </c>
      <c r="K513" s="13"/>
      <c r="L513" s="14"/>
      <c r="M513" s="13"/>
      <c r="N513" s="14" t="s">
        <v>57</v>
      </c>
      <c r="O513" s="13"/>
      <c r="P513" s="14"/>
      <c r="Q513" s="13"/>
      <c r="R513" s="14" t="s">
        <v>57</v>
      </c>
      <c r="S513" s="15" t="str">
        <f>"－"</f>
        <v>－</v>
      </c>
      <c r="T513" s="16" t="str">
        <f>"－"</f>
        <v>－</v>
      </c>
      <c r="U513" s="16"/>
      <c r="V513" s="16" t="str">
        <f>"－"</f>
        <v>－</v>
      </c>
      <c r="W513" s="16"/>
      <c r="X513" s="16" t="str">
        <f>"－"</f>
        <v>－</v>
      </c>
      <c r="Y513" s="13"/>
      <c r="Z513" s="17" t="n">
        <f>74</f>
        <v>74.0</v>
      </c>
      <c r="AA513" s="18" t="str">
        <f>"－"</f>
        <v>－</v>
      </c>
      <c r="AB513" s="11" t="s">
        <v>527</v>
      </c>
    </row>
    <row r="514">
      <c r="A514" s="11" t="s">
        <v>46</v>
      </c>
      <c r="B514" s="11" t="s">
        <v>47</v>
      </c>
      <c r="C514" s="11" t="s">
        <v>48</v>
      </c>
      <c r="D514" s="11" t="s">
        <v>49</v>
      </c>
      <c r="E514" s="11" t="s">
        <v>526</v>
      </c>
      <c r="F514" s="12" t="n">
        <v>18500.0</v>
      </c>
      <c r="G514" s="13"/>
      <c r="H514" s="14" t="s">
        <v>57</v>
      </c>
      <c r="I514" s="13"/>
      <c r="J514" s="14" t="s">
        <v>57</v>
      </c>
      <c r="K514" s="13" t="s">
        <v>202</v>
      </c>
      <c r="L514" s="14" t="s">
        <v>342</v>
      </c>
      <c r="M514" s="13"/>
      <c r="N514" s="14" t="s">
        <v>57</v>
      </c>
      <c r="O514" s="13" t="s">
        <v>202</v>
      </c>
      <c r="P514" s="14" t="s">
        <v>342</v>
      </c>
      <c r="Q514" s="13"/>
      <c r="R514" s="14" t="s">
        <v>57</v>
      </c>
      <c r="S514" s="15" t="str">
        <f>"－"</f>
        <v>－</v>
      </c>
      <c r="T514" s="16" t="n">
        <f>300</f>
        <v>300.0</v>
      </c>
      <c r="U514" s="16" t="n">
        <v>300.0</v>
      </c>
      <c r="V514" s="16" t="n">
        <f>81000000</f>
        <v>8.1E7</v>
      </c>
      <c r="W514" s="16" t="n">
        <v>8.1E7</v>
      </c>
      <c r="X514" s="16" t="str">
        <f>"－"</f>
        <v>－</v>
      </c>
      <c r="Y514" s="13"/>
      <c r="Z514" s="17" t="n">
        <f>3875</f>
        <v>3875.0</v>
      </c>
      <c r="AA514" s="18" t="str">
        <f>"－"</f>
        <v>－</v>
      </c>
      <c r="AB514" s="11" t="s">
        <v>527</v>
      </c>
    </row>
    <row r="515">
      <c r="A515" s="11" t="s">
        <v>46</v>
      </c>
      <c r="B515" s="11" t="s">
        <v>47</v>
      </c>
      <c r="C515" s="11" t="s">
        <v>48</v>
      </c>
      <c r="D515" s="11" t="s">
        <v>49</v>
      </c>
      <c r="E515" s="11" t="s">
        <v>526</v>
      </c>
      <c r="F515" s="12" t="n">
        <v>18750.0</v>
      </c>
      <c r="G515" s="13"/>
      <c r="H515" s="14" t="s">
        <v>57</v>
      </c>
      <c r="I515" s="13"/>
      <c r="J515" s="14" t="s">
        <v>57</v>
      </c>
      <c r="K515" s="13"/>
      <c r="L515" s="14"/>
      <c r="M515" s="13"/>
      <c r="N515" s="14" t="s">
        <v>57</v>
      </c>
      <c r="O515" s="13"/>
      <c r="P515" s="14"/>
      <c r="Q515" s="13"/>
      <c r="R515" s="14" t="s">
        <v>57</v>
      </c>
      <c r="S515" s="15" t="str">
        <f>"－"</f>
        <v>－</v>
      </c>
      <c r="T515" s="16" t="str">
        <f>"－"</f>
        <v>－</v>
      </c>
      <c r="U515" s="16"/>
      <c r="V515" s="16" t="str">
        <f>"－"</f>
        <v>－</v>
      </c>
      <c r="W515" s="16"/>
      <c r="X515" s="16" t="str">
        <f>"－"</f>
        <v>－</v>
      </c>
      <c r="Y515" s="13"/>
      <c r="Z515" s="17" t="n">
        <f>926</f>
        <v>926.0</v>
      </c>
      <c r="AA515" s="18" t="str">
        <f>"－"</f>
        <v>－</v>
      </c>
      <c r="AB515" s="11" t="s">
        <v>527</v>
      </c>
    </row>
    <row r="516">
      <c r="A516" s="11" t="s">
        <v>46</v>
      </c>
      <c r="B516" s="11" t="s">
        <v>47</v>
      </c>
      <c r="C516" s="11" t="s">
        <v>48</v>
      </c>
      <c r="D516" s="11" t="s">
        <v>49</v>
      </c>
      <c r="E516" s="11" t="s">
        <v>526</v>
      </c>
      <c r="F516" s="12" t="n">
        <v>19000.0</v>
      </c>
      <c r="G516" s="13"/>
      <c r="H516" s="14" t="s">
        <v>57</v>
      </c>
      <c r="I516" s="13"/>
      <c r="J516" s="14" t="s">
        <v>57</v>
      </c>
      <c r="K516" s="13" t="s">
        <v>55</v>
      </c>
      <c r="L516" s="14" t="s">
        <v>529</v>
      </c>
      <c r="M516" s="13"/>
      <c r="N516" s="14" t="s">
        <v>57</v>
      </c>
      <c r="O516" s="13" t="s">
        <v>202</v>
      </c>
      <c r="P516" s="14" t="s">
        <v>530</v>
      </c>
      <c r="Q516" s="13"/>
      <c r="R516" s="14" t="s">
        <v>57</v>
      </c>
      <c r="S516" s="15" t="str">
        <f>"－"</f>
        <v>－</v>
      </c>
      <c r="T516" s="16" t="n">
        <f>550</f>
        <v>550.0</v>
      </c>
      <c r="U516" s="16" t="n">
        <v>550.0</v>
      </c>
      <c r="V516" s="16" t="n">
        <f>186150000</f>
        <v>1.8615E8</v>
      </c>
      <c r="W516" s="16" t="n">
        <v>1.8615E8</v>
      </c>
      <c r="X516" s="16" t="str">
        <f>"－"</f>
        <v>－</v>
      </c>
      <c r="Y516" s="13"/>
      <c r="Z516" s="17" t="n">
        <f>13210</f>
        <v>13210.0</v>
      </c>
      <c r="AA516" s="18" t="str">
        <f>"－"</f>
        <v>－</v>
      </c>
      <c r="AB516" s="11" t="s">
        <v>527</v>
      </c>
    </row>
    <row r="517">
      <c r="A517" s="11" t="s">
        <v>46</v>
      </c>
      <c r="B517" s="11" t="s">
        <v>47</v>
      </c>
      <c r="C517" s="11" t="s">
        <v>48</v>
      </c>
      <c r="D517" s="11" t="s">
        <v>49</v>
      </c>
      <c r="E517" s="11" t="s">
        <v>526</v>
      </c>
      <c r="F517" s="12" t="n">
        <v>19250.0</v>
      </c>
      <c r="G517" s="13"/>
      <c r="H517" s="14" t="s">
        <v>57</v>
      </c>
      <c r="I517" s="13"/>
      <c r="J517" s="14" t="s">
        <v>57</v>
      </c>
      <c r="K517" s="13"/>
      <c r="L517" s="14"/>
      <c r="M517" s="13"/>
      <c r="N517" s="14" t="s">
        <v>57</v>
      </c>
      <c r="O517" s="13"/>
      <c r="P517" s="14"/>
      <c r="Q517" s="13"/>
      <c r="R517" s="14" t="s">
        <v>57</v>
      </c>
      <c r="S517" s="15" t="str">
        <f>"－"</f>
        <v>－</v>
      </c>
      <c r="T517" s="16" t="str">
        <f>"－"</f>
        <v>－</v>
      </c>
      <c r="U517" s="16"/>
      <c r="V517" s="16" t="str">
        <f>"－"</f>
        <v>－</v>
      </c>
      <c r="W517" s="16"/>
      <c r="X517" s="16" t="str">
        <f>"－"</f>
        <v>－</v>
      </c>
      <c r="Y517" s="13"/>
      <c r="Z517" s="17" t="n">
        <f>329</f>
        <v>329.0</v>
      </c>
      <c r="AA517" s="18" t="str">
        <f>"－"</f>
        <v>－</v>
      </c>
      <c r="AB517" s="11" t="s">
        <v>527</v>
      </c>
    </row>
    <row r="518">
      <c r="A518" s="11" t="s">
        <v>46</v>
      </c>
      <c r="B518" s="11" t="s">
        <v>47</v>
      </c>
      <c r="C518" s="11" t="s">
        <v>48</v>
      </c>
      <c r="D518" s="11" t="s">
        <v>49</v>
      </c>
      <c r="E518" s="11" t="s">
        <v>526</v>
      </c>
      <c r="F518" s="12" t="n">
        <v>19500.0</v>
      </c>
      <c r="G518" s="13"/>
      <c r="H518" s="14" t="s">
        <v>57</v>
      </c>
      <c r="I518" s="13"/>
      <c r="J518" s="14" t="s">
        <v>57</v>
      </c>
      <c r="K518" s="13" t="s">
        <v>55</v>
      </c>
      <c r="L518" s="14" t="s">
        <v>531</v>
      </c>
      <c r="M518" s="13"/>
      <c r="N518" s="14" t="s">
        <v>57</v>
      </c>
      <c r="O518" s="13" t="s">
        <v>55</v>
      </c>
      <c r="P518" s="14" t="s">
        <v>531</v>
      </c>
      <c r="Q518" s="13"/>
      <c r="R518" s="14" t="s">
        <v>57</v>
      </c>
      <c r="S518" s="15" t="str">
        <f>"－"</f>
        <v>－</v>
      </c>
      <c r="T518" s="16" t="n">
        <f>200</f>
        <v>200.0</v>
      </c>
      <c r="U518" s="16" t="n">
        <v>200.0</v>
      </c>
      <c r="V518" s="16" t="n">
        <f>85400000</f>
        <v>8.54E7</v>
      </c>
      <c r="W518" s="16" t="n">
        <v>8.54E7</v>
      </c>
      <c r="X518" s="16" t="str">
        <f>"－"</f>
        <v>－</v>
      </c>
      <c r="Y518" s="13"/>
      <c r="Z518" s="17" t="n">
        <f>3606</f>
        <v>3606.0</v>
      </c>
      <c r="AA518" s="18" t="str">
        <f>"－"</f>
        <v>－</v>
      </c>
      <c r="AB518" s="11" t="s">
        <v>527</v>
      </c>
    </row>
    <row r="519">
      <c r="A519" s="11" t="s">
        <v>46</v>
      </c>
      <c r="B519" s="11" t="s">
        <v>47</v>
      </c>
      <c r="C519" s="11" t="s">
        <v>48</v>
      </c>
      <c r="D519" s="11" t="s">
        <v>49</v>
      </c>
      <c r="E519" s="11" t="s">
        <v>526</v>
      </c>
      <c r="F519" s="12" t="n">
        <v>19750.0</v>
      </c>
      <c r="G519" s="13"/>
      <c r="H519" s="14" t="s">
        <v>57</v>
      </c>
      <c r="I519" s="13"/>
      <c r="J519" s="14" t="s">
        <v>57</v>
      </c>
      <c r="K519" s="13"/>
      <c r="L519" s="14"/>
      <c r="M519" s="13"/>
      <c r="N519" s="14" t="s">
        <v>57</v>
      </c>
      <c r="O519" s="13"/>
      <c r="P519" s="14"/>
      <c r="Q519" s="13"/>
      <c r="R519" s="14" t="s">
        <v>57</v>
      </c>
      <c r="S519" s="15" t="str">
        <f>"－"</f>
        <v>－</v>
      </c>
      <c r="T519" s="16" t="str">
        <f>"－"</f>
        <v>－</v>
      </c>
      <c r="U519" s="16"/>
      <c r="V519" s="16" t="str">
        <f>"－"</f>
        <v>－</v>
      </c>
      <c r="W519" s="16"/>
      <c r="X519" s="16" t="str">
        <f>"－"</f>
        <v>－</v>
      </c>
      <c r="Y519" s="13"/>
      <c r="Z519" s="17" t="n">
        <f>600</f>
        <v>600.0</v>
      </c>
      <c r="AA519" s="18" t="str">
        <f>"－"</f>
        <v>－</v>
      </c>
      <c r="AB519" s="11" t="s">
        <v>527</v>
      </c>
    </row>
    <row r="520">
      <c r="A520" s="11" t="s">
        <v>46</v>
      </c>
      <c r="B520" s="11" t="s">
        <v>47</v>
      </c>
      <c r="C520" s="11" t="s">
        <v>48</v>
      </c>
      <c r="D520" s="11" t="s">
        <v>49</v>
      </c>
      <c r="E520" s="11" t="s">
        <v>526</v>
      </c>
      <c r="F520" s="12" t="n">
        <v>20000.0</v>
      </c>
      <c r="G520" s="13" t="s">
        <v>61</v>
      </c>
      <c r="H520" s="14" t="s">
        <v>163</v>
      </c>
      <c r="I520" s="13" t="s">
        <v>61</v>
      </c>
      <c r="J520" s="14" t="s">
        <v>163</v>
      </c>
      <c r="K520" s="13" t="s">
        <v>50</v>
      </c>
      <c r="L520" s="14" t="s">
        <v>253</v>
      </c>
      <c r="M520" s="13" t="s">
        <v>61</v>
      </c>
      <c r="N520" s="14" t="s">
        <v>163</v>
      </c>
      <c r="O520" s="13" t="s">
        <v>288</v>
      </c>
      <c r="P520" s="14" t="s">
        <v>532</v>
      </c>
      <c r="Q520" s="13" t="s">
        <v>61</v>
      </c>
      <c r="R520" s="14" t="s">
        <v>163</v>
      </c>
      <c r="S520" s="15" t="n">
        <f>385</f>
        <v>385.0</v>
      </c>
      <c r="T520" s="16" t="n">
        <f>1201</f>
        <v>1201.0</v>
      </c>
      <c r="U520" s="16" t="n">
        <v>1200.0</v>
      </c>
      <c r="V520" s="16" t="n">
        <f>581385000</f>
        <v>5.81385E8</v>
      </c>
      <c r="W520" s="16" t="n">
        <v>5.81E8</v>
      </c>
      <c r="X520" s="16" t="str">
        <f>"－"</f>
        <v>－</v>
      </c>
      <c r="Y520" s="13"/>
      <c r="Z520" s="17" t="n">
        <f>16595</f>
        <v>16595.0</v>
      </c>
      <c r="AA520" s="18" t="n">
        <f>1</f>
        <v>1.0</v>
      </c>
      <c r="AB520" s="11" t="s">
        <v>527</v>
      </c>
    </row>
    <row r="521">
      <c r="A521" s="11" t="s">
        <v>46</v>
      </c>
      <c r="B521" s="11" t="s">
        <v>47</v>
      </c>
      <c r="C521" s="11" t="s">
        <v>48</v>
      </c>
      <c r="D521" s="11" t="s">
        <v>49</v>
      </c>
      <c r="E521" s="11" t="s">
        <v>526</v>
      </c>
      <c r="F521" s="12" t="n">
        <v>20250.0</v>
      </c>
      <c r="G521" s="13" t="s">
        <v>60</v>
      </c>
      <c r="H521" s="14" t="s">
        <v>177</v>
      </c>
      <c r="I521" s="13" t="s">
        <v>60</v>
      </c>
      <c r="J521" s="14" t="s">
        <v>177</v>
      </c>
      <c r="K521" s="13"/>
      <c r="L521" s="14"/>
      <c r="M521" s="13" t="s">
        <v>202</v>
      </c>
      <c r="N521" s="14" t="s">
        <v>180</v>
      </c>
      <c r="O521" s="13"/>
      <c r="P521" s="14"/>
      <c r="Q521" s="13" t="s">
        <v>202</v>
      </c>
      <c r="R521" s="14" t="s">
        <v>180</v>
      </c>
      <c r="S521" s="15" t="n">
        <f>407.5</f>
        <v>407.5</v>
      </c>
      <c r="T521" s="16" t="n">
        <f>51</f>
        <v>51.0</v>
      </c>
      <c r="U521" s="16"/>
      <c r="V521" s="16" t="n">
        <f>22865000</f>
        <v>2.2865E7</v>
      </c>
      <c r="W521" s="16"/>
      <c r="X521" s="16" t="str">
        <f>"－"</f>
        <v>－</v>
      </c>
      <c r="Y521" s="13"/>
      <c r="Z521" s="17" t="n">
        <f>1292</f>
        <v>1292.0</v>
      </c>
      <c r="AA521" s="18" t="n">
        <f>2</f>
        <v>2.0</v>
      </c>
      <c r="AB521" s="11" t="s">
        <v>527</v>
      </c>
    </row>
    <row r="522">
      <c r="A522" s="11" t="s">
        <v>46</v>
      </c>
      <c r="B522" s="11" t="s">
        <v>47</v>
      </c>
      <c r="C522" s="11" t="s">
        <v>48</v>
      </c>
      <c r="D522" s="11" t="s">
        <v>49</v>
      </c>
      <c r="E522" s="11" t="s">
        <v>526</v>
      </c>
      <c r="F522" s="12" t="n">
        <v>20500.0</v>
      </c>
      <c r="G522" s="13" t="s">
        <v>58</v>
      </c>
      <c r="H522" s="14" t="s">
        <v>289</v>
      </c>
      <c r="I522" s="13" t="s">
        <v>58</v>
      </c>
      <c r="J522" s="14" t="s">
        <v>289</v>
      </c>
      <c r="K522" s="13" t="s">
        <v>288</v>
      </c>
      <c r="L522" s="14" t="s">
        <v>533</v>
      </c>
      <c r="M522" s="13" t="s">
        <v>211</v>
      </c>
      <c r="N522" s="14" t="s">
        <v>183</v>
      </c>
      <c r="O522" s="13" t="s">
        <v>207</v>
      </c>
      <c r="P522" s="14" t="s">
        <v>415</v>
      </c>
      <c r="Q522" s="13" t="s">
        <v>211</v>
      </c>
      <c r="R522" s="14" t="s">
        <v>183</v>
      </c>
      <c r="S522" s="15" t="n">
        <f>445</f>
        <v>445.0</v>
      </c>
      <c r="T522" s="16" t="n">
        <f>240</f>
        <v>240.0</v>
      </c>
      <c r="U522" s="16" t="n">
        <v>200.0</v>
      </c>
      <c r="V522" s="16" t="n">
        <f>98800000</f>
        <v>9.88E7</v>
      </c>
      <c r="W522" s="16" t="n">
        <v>8.14E7</v>
      </c>
      <c r="X522" s="16" t="str">
        <f>"－"</f>
        <v>－</v>
      </c>
      <c r="Y522" s="13"/>
      <c r="Z522" s="17" t="n">
        <f>4614</f>
        <v>4614.0</v>
      </c>
      <c r="AA522" s="18" t="n">
        <f>2</f>
        <v>2.0</v>
      </c>
      <c r="AB522" s="11" t="s">
        <v>527</v>
      </c>
    </row>
    <row r="523">
      <c r="A523" s="11" t="s">
        <v>46</v>
      </c>
      <c r="B523" s="11" t="s">
        <v>47</v>
      </c>
      <c r="C523" s="11" t="s">
        <v>48</v>
      </c>
      <c r="D523" s="11" t="s">
        <v>49</v>
      </c>
      <c r="E523" s="11" t="s">
        <v>526</v>
      </c>
      <c r="F523" s="12" t="n">
        <v>20750.0</v>
      </c>
      <c r="G523" s="13"/>
      <c r="H523" s="14" t="s">
        <v>57</v>
      </c>
      <c r="I523" s="13"/>
      <c r="J523" s="14" t="s">
        <v>57</v>
      </c>
      <c r="K523" s="13"/>
      <c r="L523" s="14"/>
      <c r="M523" s="13"/>
      <c r="N523" s="14" t="s">
        <v>57</v>
      </c>
      <c r="O523" s="13"/>
      <c r="P523" s="14"/>
      <c r="Q523" s="13"/>
      <c r="R523" s="14" t="s">
        <v>57</v>
      </c>
      <c r="S523" s="15" t="str">
        <f>"－"</f>
        <v>－</v>
      </c>
      <c r="T523" s="16" t="str">
        <f>"－"</f>
        <v>－</v>
      </c>
      <c r="U523" s="16"/>
      <c r="V523" s="16" t="str">
        <f>"－"</f>
        <v>－</v>
      </c>
      <c r="W523" s="16"/>
      <c r="X523" s="16" t="str">
        <f>"－"</f>
        <v>－</v>
      </c>
      <c r="Y523" s="13"/>
      <c r="Z523" s="17" t="n">
        <f>500</f>
        <v>500.0</v>
      </c>
      <c r="AA523" s="18" t="str">
        <f>"－"</f>
        <v>－</v>
      </c>
      <c r="AB523" s="11" t="s">
        <v>527</v>
      </c>
    </row>
    <row r="524">
      <c r="A524" s="11" t="s">
        <v>46</v>
      </c>
      <c r="B524" s="11" t="s">
        <v>47</v>
      </c>
      <c r="C524" s="11" t="s">
        <v>48</v>
      </c>
      <c r="D524" s="11" t="s">
        <v>49</v>
      </c>
      <c r="E524" s="11" t="s">
        <v>526</v>
      </c>
      <c r="F524" s="12" t="n">
        <v>21000.0</v>
      </c>
      <c r="G524" s="13" t="s">
        <v>52</v>
      </c>
      <c r="H524" s="14" t="s">
        <v>369</v>
      </c>
      <c r="I524" s="13" t="s">
        <v>52</v>
      </c>
      <c r="J524" s="14" t="s">
        <v>534</v>
      </c>
      <c r="K524" s="13" t="s">
        <v>56</v>
      </c>
      <c r="L524" s="14" t="s">
        <v>175</v>
      </c>
      <c r="M524" s="13" t="s">
        <v>288</v>
      </c>
      <c r="N524" s="14" t="s">
        <v>196</v>
      </c>
      <c r="O524" s="13" t="s">
        <v>56</v>
      </c>
      <c r="P524" s="14" t="s">
        <v>175</v>
      </c>
      <c r="Q524" s="13" t="s">
        <v>288</v>
      </c>
      <c r="R524" s="14" t="s">
        <v>196</v>
      </c>
      <c r="S524" s="15" t="n">
        <f>457.5</f>
        <v>457.5</v>
      </c>
      <c r="T524" s="16" t="n">
        <f>201</f>
        <v>201.0</v>
      </c>
      <c r="U524" s="16" t="n">
        <v>150.0</v>
      </c>
      <c r="V524" s="16" t="n">
        <f>93755000</f>
        <v>9.3755E7</v>
      </c>
      <c r="W524" s="16" t="n">
        <v>6.9E7</v>
      </c>
      <c r="X524" s="16" t="str">
        <f>"－"</f>
        <v>－</v>
      </c>
      <c r="Y524" s="13"/>
      <c r="Z524" s="17" t="n">
        <f>8256</f>
        <v>8256.0</v>
      </c>
      <c r="AA524" s="18" t="n">
        <f>2</f>
        <v>2.0</v>
      </c>
      <c r="AB524" s="11" t="s">
        <v>527</v>
      </c>
    </row>
    <row r="525">
      <c r="A525" s="11" t="s">
        <v>46</v>
      </c>
      <c r="B525" s="11" t="s">
        <v>47</v>
      </c>
      <c r="C525" s="11" t="s">
        <v>48</v>
      </c>
      <c r="D525" s="11" t="s">
        <v>49</v>
      </c>
      <c r="E525" s="11" t="s">
        <v>526</v>
      </c>
      <c r="F525" s="12" t="n">
        <v>21250.0</v>
      </c>
      <c r="G525" s="13" t="s">
        <v>52</v>
      </c>
      <c r="H525" s="14" t="s">
        <v>245</v>
      </c>
      <c r="I525" s="13" t="s">
        <v>52</v>
      </c>
      <c r="J525" s="14" t="s">
        <v>245</v>
      </c>
      <c r="K525" s="13"/>
      <c r="L525" s="14"/>
      <c r="M525" s="13" t="s">
        <v>288</v>
      </c>
      <c r="N525" s="14" t="s">
        <v>149</v>
      </c>
      <c r="O525" s="13"/>
      <c r="P525" s="14"/>
      <c r="Q525" s="13" t="s">
        <v>288</v>
      </c>
      <c r="R525" s="14" t="s">
        <v>149</v>
      </c>
      <c r="S525" s="15" t="n">
        <f>485</f>
        <v>485.0</v>
      </c>
      <c r="T525" s="16" t="n">
        <f>21</f>
        <v>21.0</v>
      </c>
      <c r="U525" s="16"/>
      <c r="V525" s="16" t="n">
        <f>10470000</f>
        <v>1.047E7</v>
      </c>
      <c r="W525" s="16"/>
      <c r="X525" s="16" t="str">
        <f>"－"</f>
        <v>－</v>
      </c>
      <c r="Y525" s="13"/>
      <c r="Z525" s="17" t="n">
        <f>3544</f>
        <v>3544.0</v>
      </c>
      <c r="AA525" s="18" t="n">
        <f>2</f>
        <v>2.0</v>
      </c>
      <c r="AB525" s="11" t="s">
        <v>527</v>
      </c>
    </row>
    <row r="526">
      <c r="A526" s="11" t="s">
        <v>46</v>
      </c>
      <c r="B526" s="11" t="s">
        <v>47</v>
      </c>
      <c r="C526" s="11" t="s">
        <v>48</v>
      </c>
      <c r="D526" s="11" t="s">
        <v>49</v>
      </c>
      <c r="E526" s="11" t="s">
        <v>526</v>
      </c>
      <c r="F526" s="12" t="n">
        <v>21500.0</v>
      </c>
      <c r="G526" s="13" t="s">
        <v>60</v>
      </c>
      <c r="H526" s="14" t="s">
        <v>156</v>
      </c>
      <c r="I526" s="13" t="s">
        <v>60</v>
      </c>
      <c r="J526" s="14" t="s">
        <v>156</v>
      </c>
      <c r="K526" s="13" t="s">
        <v>52</v>
      </c>
      <c r="L526" s="14" t="s">
        <v>535</v>
      </c>
      <c r="M526" s="13" t="s">
        <v>52</v>
      </c>
      <c r="N526" s="14" t="s">
        <v>152</v>
      </c>
      <c r="O526" s="13" t="s">
        <v>52</v>
      </c>
      <c r="P526" s="14" t="s">
        <v>535</v>
      </c>
      <c r="Q526" s="13" t="s">
        <v>52</v>
      </c>
      <c r="R526" s="14" t="s">
        <v>152</v>
      </c>
      <c r="S526" s="15" t="n">
        <f>557.5</f>
        <v>557.5</v>
      </c>
      <c r="T526" s="16" t="n">
        <f>155</f>
        <v>155.0</v>
      </c>
      <c r="U526" s="16" t="n">
        <v>50.0</v>
      </c>
      <c r="V526" s="16" t="n">
        <f>85575000</f>
        <v>8.5575E7</v>
      </c>
      <c r="W526" s="16" t="n">
        <v>2.67E7</v>
      </c>
      <c r="X526" s="16" t="str">
        <f>"－"</f>
        <v>－</v>
      </c>
      <c r="Y526" s="13"/>
      <c r="Z526" s="17" t="n">
        <f>4785</f>
        <v>4785.0</v>
      </c>
      <c r="AA526" s="18" t="n">
        <f>2</f>
        <v>2.0</v>
      </c>
      <c r="AB526" s="11" t="s">
        <v>527</v>
      </c>
    </row>
    <row r="527">
      <c r="A527" s="11" t="s">
        <v>46</v>
      </c>
      <c r="B527" s="11" t="s">
        <v>47</v>
      </c>
      <c r="C527" s="11" t="s">
        <v>48</v>
      </c>
      <c r="D527" s="11" t="s">
        <v>49</v>
      </c>
      <c r="E527" s="11" t="s">
        <v>526</v>
      </c>
      <c r="F527" s="12" t="n">
        <v>21750.0</v>
      </c>
      <c r="G527" s="13" t="s">
        <v>202</v>
      </c>
      <c r="H527" s="14" t="s">
        <v>197</v>
      </c>
      <c r="I527" s="13" t="s">
        <v>202</v>
      </c>
      <c r="J527" s="14" t="s">
        <v>197</v>
      </c>
      <c r="K527" s="13"/>
      <c r="L527" s="14"/>
      <c r="M527" s="13" t="s">
        <v>202</v>
      </c>
      <c r="N527" s="14" t="s">
        <v>197</v>
      </c>
      <c r="O527" s="13"/>
      <c r="P527" s="14"/>
      <c r="Q527" s="13" t="s">
        <v>202</v>
      </c>
      <c r="R527" s="14" t="s">
        <v>197</v>
      </c>
      <c r="S527" s="15" t="n">
        <f>480</f>
        <v>480.0</v>
      </c>
      <c r="T527" s="16" t="n">
        <f>24</f>
        <v>24.0</v>
      </c>
      <c r="U527" s="16"/>
      <c r="V527" s="16" t="n">
        <f>11520000</f>
        <v>1.152E7</v>
      </c>
      <c r="W527" s="16"/>
      <c r="X527" s="16" t="str">
        <f>"－"</f>
        <v>－</v>
      </c>
      <c r="Y527" s="13"/>
      <c r="Z527" s="17" t="n">
        <f>338</f>
        <v>338.0</v>
      </c>
      <c r="AA527" s="18" t="n">
        <f>1</f>
        <v>1.0</v>
      </c>
      <c r="AB527" s="11" t="s">
        <v>527</v>
      </c>
    </row>
    <row r="528">
      <c r="A528" s="11" t="s">
        <v>46</v>
      </c>
      <c r="B528" s="11" t="s">
        <v>47</v>
      </c>
      <c r="C528" s="11" t="s">
        <v>48</v>
      </c>
      <c r="D528" s="11" t="s">
        <v>49</v>
      </c>
      <c r="E528" s="11" t="s">
        <v>526</v>
      </c>
      <c r="F528" s="12" t="n">
        <v>22000.0</v>
      </c>
      <c r="G528" s="13" t="s">
        <v>58</v>
      </c>
      <c r="H528" s="14" t="s">
        <v>176</v>
      </c>
      <c r="I528" s="13" t="s">
        <v>58</v>
      </c>
      <c r="J528" s="14" t="s">
        <v>176</v>
      </c>
      <c r="K528" s="13" t="s">
        <v>55</v>
      </c>
      <c r="L528" s="14" t="s">
        <v>536</v>
      </c>
      <c r="M528" s="13" t="s">
        <v>205</v>
      </c>
      <c r="N528" s="14" t="s">
        <v>152</v>
      </c>
      <c r="O528" s="13" t="s">
        <v>63</v>
      </c>
      <c r="P528" s="14" t="s">
        <v>537</v>
      </c>
      <c r="Q528" s="13" t="s">
        <v>211</v>
      </c>
      <c r="R528" s="14" t="s">
        <v>153</v>
      </c>
      <c r="S528" s="15" t="n">
        <f>572.5</f>
        <v>572.5</v>
      </c>
      <c r="T528" s="16" t="n">
        <f>707</f>
        <v>707.0</v>
      </c>
      <c r="U528" s="16" t="n">
        <v>570.0</v>
      </c>
      <c r="V528" s="16" t="n">
        <f>450609800</f>
        <v>4.506098E8</v>
      </c>
      <c r="W528" s="16" t="n">
        <v>3.728798E8</v>
      </c>
      <c r="X528" s="16" t="str">
        <f>"－"</f>
        <v>－</v>
      </c>
      <c r="Y528" s="13"/>
      <c r="Z528" s="17" t="n">
        <f>7959</f>
        <v>7959.0</v>
      </c>
      <c r="AA528" s="18" t="n">
        <f>6</f>
        <v>6.0</v>
      </c>
      <c r="AB528" s="11" t="s">
        <v>527</v>
      </c>
    </row>
    <row r="529">
      <c r="A529" s="11" t="s">
        <v>46</v>
      </c>
      <c r="B529" s="11" t="s">
        <v>47</v>
      </c>
      <c r="C529" s="11" t="s">
        <v>48</v>
      </c>
      <c r="D529" s="11" t="s">
        <v>49</v>
      </c>
      <c r="E529" s="11" t="s">
        <v>526</v>
      </c>
      <c r="F529" s="12" t="n">
        <v>22250.0</v>
      </c>
      <c r="G529" s="13" t="s">
        <v>58</v>
      </c>
      <c r="H529" s="14" t="s">
        <v>318</v>
      </c>
      <c r="I529" s="13" t="s">
        <v>58</v>
      </c>
      <c r="J529" s="14" t="s">
        <v>160</v>
      </c>
      <c r="K529" s="13"/>
      <c r="L529" s="14"/>
      <c r="M529" s="13" t="s">
        <v>58</v>
      </c>
      <c r="N529" s="14" t="s">
        <v>318</v>
      </c>
      <c r="O529" s="13"/>
      <c r="P529" s="14"/>
      <c r="Q529" s="13" t="s">
        <v>58</v>
      </c>
      <c r="R529" s="14" t="s">
        <v>160</v>
      </c>
      <c r="S529" s="15" t="n">
        <f>650</f>
        <v>650.0</v>
      </c>
      <c r="T529" s="16" t="n">
        <f>25</f>
        <v>25.0</v>
      </c>
      <c r="U529" s="16"/>
      <c r="V529" s="16" t="n">
        <f>16220000</f>
        <v>1.622E7</v>
      </c>
      <c r="W529" s="16"/>
      <c r="X529" s="16" t="str">
        <f>"－"</f>
        <v>－</v>
      </c>
      <c r="Y529" s="13"/>
      <c r="Z529" s="17" t="n">
        <f>1400</f>
        <v>1400.0</v>
      </c>
      <c r="AA529" s="18" t="n">
        <f>1</f>
        <v>1.0</v>
      </c>
      <c r="AB529" s="11" t="s">
        <v>527</v>
      </c>
    </row>
    <row r="530">
      <c r="A530" s="11" t="s">
        <v>46</v>
      </c>
      <c r="B530" s="11" t="s">
        <v>47</v>
      </c>
      <c r="C530" s="11" t="s">
        <v>48</v>
      </c>
      <c r="D530" s="11" t="s">
        <v>49</v>
      </c>
      <c r="E530" s="11" t="s">
        <v>526</v>
      </c>
      <c r="F530" s="12" t="n">
        <v>22500.0</v>
      </c>
      <c r="G530" s="13" t="s">
        <v>58</v>
      </c>
      <c r="H530" s="14" t="s">
        <v>159</v>
      </c>
      <c r="I530" s="13" t="s">
        <v>58</v>
      </c>
      <c r="J530" s="14" t="s">
        <v>254</v>
      </c>
      <c r="K530" s="13" t="s">
        <v>55</v>
      </c>
      <c r="L530" s="14" t="s">
        <v>538</v>
      </c>
      <c r="M530" s="13" t="s">
        <v>58</v>
      </c>
      <c r="N530" s="14" t="s">
        <v>159</v>
      </c>
      <c r="O530" s="13" t="s">
        <v>61</v>
      </c>
      <c r="P530" s="14" t="s">
        <v>539</v>
      </c>
      <c r="Q530" s="13" t="s">
        <v>58</v>
      </c>
      <c r="R530" s="14" t="s">
        <v>254</v>
      </c>
      <c r="S530" s="15" t="n">
        <f>685</f>
        <v>685.0</v>
      </c>
      <c r="T530" s="16" t="n">
        <f>885</f>
        <v>885.0</v>
      </c>
      <c r="U530" s="16" t="n">
        <v>860.0</v>
      </c>
      <c r="V530" s="16" t="n">
        <f>649830000</f>
        <v>6.4983E8</v>
      </c>
      <c r="W530" s="16" t="n">
        <v>6.3275E8</v>
      </c>
      <c r="X530" s="16" t="str">
        <f>"－"</f>
        <v>－</v>
      </c>
      <c r="Y530" s="13"/>
      <c r="Z530" s="17" t="n">
        <f>6739</f>
        <v>6739.0</v>
      </c>
      <c r="AA530" s="18" t="n">
        <f>1</f>
        <v>1.0</v>
      </c>
      <c r="AB530" s="11" t="s">
        <v>527</v>
      </c>
    </row>
    <row r="531">
      <c r="A531" s="11" t="s">
        <v>46</v>
      </c>
      <c r="B531" s="11" t="s">
        <v>47</v>
      </c>
      <c r="C531" s="11" t="s">
        <v>48</v>
      </c>
      <c r="D531" s="11" t="s">
        <v>49</v>
      </c>
      <c r="E531" s="11" t="s">
        <v>526</v>
      </c>
      <c r="F531" s="12" t="n">
        <v>22750.0</v>
      </c>
      <c r="G531" s="13"/>
      <c r="H531" s="14" t="s">
        <v>57</v>
      </c>
      <c r="I531" s="13"/>
      <c r="J531" s="14" t="s">
        <v>57</v>
      </c>
      <c r="K531" s="13"/>
      <c r="L531" s="14"/>
      <c r="M531" s="13"/>
      <c r="N531" s="14" t="s">
        <v>57</v>
      </c>
      <c r="O531" s="13"/>
      <c r="P531" s="14"/>
      <c r="Q531" s="13"/>
      <c r="R531" s="14" t="s">
        <v>57</v>
      </c>
      <c r="S531" s="15" t="str">
        <f>"－"</f>
        <v>－</v>
      </c>
      <c r="T531" s="16" t="str">
        <f>"－"</f>
        <v>－</v>
      </c>
      <c r="U531" s="16"/>
      <c r="V531" s="16" t="str">
        <f>"－"</f>
        <v>－</v>
      </c>
      <c r="W531" s="16"/>
      <c r="X531" s="16" t="str">
        <f>"－"</f>
        <v>－</v>
      </c>
      <c r="Y531" s="13"/>
      <c r="Z531" s="17" t="n">
        <f>824</f>
        <v>824.0</v>
      </c>
      <c r="AA531" s="18" t="str">
        <f>"－"</f>
        <v>－</v>
      </c>
      <c r="AB531" s="11" t="s">
        <v>527</v>
      </c>
    </row>
    <row r="532">
      <c r="A532" s="11" t="s">
        <v>46</v>
      </c>
      <c r="B532" s="11" t="s">
        <v>47</v>
      </c>
      <c r="C532" s="11" t="s">
        <v>48</v>
      </c>
      <c r="D532" s="11" t="s">
        <v>49</v>
      </c>
      <c r="E532" s="11" t="s">
        <v>526</v>
      </c>
      <c r="F532" s="12" t="n">
        <v>23000.0</v>
      </c>
      <c r="G532" s="13" t="s">
        <v>50</v>
      </c>
      <c r="H532" s="14" t="s">
        <v>272</v>
      </c>
      <c r="I532" s="13" t="s">
        <v>50</v>
      </c>
      <c r="J532" s="14" t="s">
        <v>272</v>
      </c>
      <c r="K532" s="13" t="s">
        <v>63</v>
      </c>
      <c r="L532" s="14" t="s">
        <v>540</v>
      </c>
      <c r="M532" s="13" t="s">
        <v>61</v>
      </c>
      <c r="N532" s="14" t="s">
        <v>297</v>
      </c>
      <c r="O532" s="13" t="s">
        <v>205</v>
      </c>
      <c r="P532" s="14" t="s">
        <v>419</v>
      </c>
      <c r="Q532" s="13" t="s">
        <v>61</v>
      </c>
      <c r="R532" s="14" t="s">
        <v>297</v>
      </c>
      <c r="S532" s="15" t="n">
        <f>882.5</f>
        <v>882.5</v>
      </c>
      <c r="T532" s="16" t="n">
        <f>742</f>
        <v>742.0</v>
      </c>
      <c r="U532" s="16" t="n">
        <v>725.0</v>
      </c>
      <c r="V532" s="16" t="n">
        <f>568140000</f>
        <v>5.6814E8</v>
      </c>
      <c r="W532" s="16" t="n">
        <v>5.5355E8</v>
      </c>
      <c r="X532" s="16" t="str">
        <f>"－"</f>
        <v>－</v>
      </c>
      <c r="Y532" s="13"/>
      <c r="Z532" s="17" t="n">
        <f>6411</f>
        <v>6411.0</v>
      </c>
      <c r="AA532" s="18" t="n">
        <f>2</f>
        <v>2.0</v>
      </c>
      <c r="AB532" s="11" t="s">
        <v>527</v>
      </c>
    </row>
    <row r="533">
      <c r="A533" s="11" t="s">
        <v>46</v>
      </c>
      <c r="B533" s="11" t="s">
        <v>47</v>
      </c>
      <c r="C533" s="11" t="s">
        <v>48</v>
      </c>
      <c r="D533" s="11" t="s">
        <v>49</v>
      </c>
      <c r="E533" s="11" t="s">
        <v>526</v>
      </c>
      <c r="F533" s="12" t="n">
        <v>23250.0</v>
      </c>
      <c r="G533" s="13" t="s">
        <v>205</v>
      </c>
      <c r="H533" s="14" t="s">
        <v>292</v>
      </c>
      <c r="I533" s="13" t="s">
        <v>205</v>
      </c>
      <c r="J533" s="14" t="s">
        <v>292</v>
      </c>
      <c r="K533" s="13"/>
      <c r="L533" s="14"/>
      <c r="M533" s="13" t="s">
        <v>211</v>
      </c>
      <c r="N533" s="14" t="s">
        <v>159</v>
      </c>
      <c r="O533" s="13"/>
      <c r="P533" s="14"/>
      <c r="Q533" s="13" t="s">
        <v>211</v>
      </c>
      <c r="R533" s="14" t="s">
        <v>159</v>
      </c>
      <c r="S533" s="15" t="n">
        <f>697.5</f>
        <v>697.5</v>
      </c>
      <c r="T533" s="16" t="n">
        <f>31</f>
        <v>31.0</v>
      </c>
      <c r="U533" s="16"/>
      <c r="V533" s="16" t="n">
        <f>21440000</f>
        <v>2.144E7</v>
      </c>
      <c r="W533" s="16"/>
      <c r="X533" s="16" t="str">
        <f>"－"</f>
        <v>－</v>
      </c>
      <c r="Y533" s="13"/>
      <c r="Z533" s="17" t="n">
        <f>475</f>
        <v>475.0</v>
      </c>
      <c r="AA533" s="18" t="n">
        <f>2</f>
        <v>2.0</v>
      </c>
      <c r="AB533" s="11" t="s">
        <v>527</v>
      </c>
    </row>
    <row r="534">
      <c r="A534" s="11" t="s">
        <v>46</v>
      </c>
      <c r="B534" s="11" t="s">
        <v>47</v>
      </c>
      <c r="C534" s="11" t="s">
        <v>48</v>
      </c>
      <c r="D534" s="11" t="s">
        <v>49</v>
      </c>
      <c r="E534" s="11" t="s">
        <v>526</v>
      </c>
      <c r="F534" s="12" t="n">
        <v>23500.0</v>
      </c>
      <c r="G534" s="13" t="s">
        <v>205</v>
      </c>
      <c r="H534" s="14" t="s">
        <v>164</v>
      </c>
      <c r="I534" s="13" t="s">
        <v>205</v>
      </c>
      <c r="J534" s="14" t="s">
        <v>164</v>
      </c>
      <c r="K534" s="13" t="s">
        <v>58</v>
      </c>
      <c r="L534" s="14" t="s">
        <v>434</v>
      </c>
      <c r="M534" s="13" t="s">
        <v>205</v>
      </c>
      <c r="N534" s="14" t="s">
        <v>164</v>
      </c>
      <c r="O534" s="13" t="s">
        <v>58</v>
      </c>
      <c r="P534" s="14" t="s">
        <v>263</v>
      </c>
      <c r="Q534" s="13" t="s">
        <v>205</v>
      </c>
      <c r="R534" s="14" t="s">
        <v>164</v>
      </c>
      <c r="S534" s="15" t="n">
        <f>780</f>
        <v>780.0</v>
      </c>
      <c r="T534" s="16" t="n">
        <f>312</f>
        <v>312.0</v>
      </c>
      <c r="U534" s="16" t="n">
        <v>303.0</v>
      </c>
      <c r="V534" s="16" t="n">
        <f>264720000</f>
        <v>2.6472E8</v>
      </c>
      <c r="W534" s="16" t="n">
        <v>2.577E8</v>
      </c>
      <c r="X534" s="16" t="str">
        <f>"－"</f>
        <v>－</v>
      </c>
      <c r="Y534" s="13"/>
      <c r="Z534" s="17" t="n">
        <f>4777</f>
        <v>4777.0</v>
      </c>
      <c r="AA534" s="18" t="n">
        <f>1</f>
        <v>1.0</v>
      </c>
      <c r="AB534" s="11" t="s">
        <v>527</v>
      </c>
    </row>
    <row r="535">
      <c r="A535" s="11" t="s">
        <v>46</v>
      </c>
      <c r="B535" s="11" t="s">
        <v>47</v>
      </c>
      <c r="C535" s="11" t="s">
        <v>48</v>
      </c>
      <c r="D535" s="11" t="s">
        <v>49</v>
      </c>
      <c r="E535" s="11" t="s">
        <v>526</v>
      </c>
      <c r="F535" s="12" t="n">
        <v>23750.0</v>
      </c>
      <c r="G535" s="13"/>
      <c r="H535" s="14" t="s">
        <v>57</v>
      </c>
      <c r="I535" s="13"/>
      <c r="J535" s="14" t="s">
        <v>57</v>
      </c>
      <c r="K535" s="13"/>
      <c r="L535" s="14"/>
      <c r="M535" s="13"/>
      <c r="N535" s="14" t="s">
        <v>57</v>
      </c>
      <c r="O535" s="13"/>
      <c r="P535" s="14"/>
      <c r="Q535" s="13"/>
      <c r="R535" s="14" t="s">
        <v>57</v>
      </c>
      <c r="S535" s="15" t="str">
        <f>"－"</f>
        <v>－</v>
      </c>
      <c r="T535" s="16" t="str">
        <f>"－"</f>
        <v>－</v>
      </c>
      <c r="U535" s="16"/>
      <c r="V535" s="16" t="str">
        <f>"－"</f>
        <v>－</v>
      </c>
      <c r="W535" s="16"/>
      <c r="X535" s="16" t="str">
        <f>"－"</f>
        <v>－</v>
      </c>
      <c r="Y535" s="13"/>
      <c r="Z535" s="17" t="n">
        <f>700</f>
        <v>700.0</v>
      </c>
      <c r="AA535" s="18" t="str">
        <f>"－"</f>
        <v>－</v>
      </c>
      <c r="AB535" s="11" t="s">
        <v>527</v>
      </c>
    </row>
    <row r="536">
      <c r="A536" s="11" t="s">
        <v>46</v>
      </c>
      <c r="B536" s="11" t="s">
        <v>47</v>
      </c>
      <c r="C536" s="11" t="s">
        <v>48</v>
      </c>
      <c r="D536" s="11" t="s">
        <v>49</v>
      </c>
      <c r="E536" s="11" t="s">
        <v>526</v>
      </c>
      <c r="F536" s="12" t="n">
        <v>24000.0</v>
      </c>
      <c r="G536" s="13" t="s">
        <v>205</v>
      </c>
      <c r="H536" s="14" t="s">
        <v>283</v>
      </c>
      <c r="I536" s="13" t="s">
        <v>205</v>
      </c>
      <c r="J536" s="14" t="s">
        <v>283</v>
      </c>
      <c r="K536" s="13" t="s">
        <v>63</v>
      </c>
      <c r="L536" s="14" t="s">
        <v>464</v>
      </c>
      <c r="M536" s="13" t="s">
        <v>205</v>
      </c>
      <c r="N536" s="14" t="s">
        <v>283</v>
      </c>
      <c r="O536" s="13" t="s">
        <v>288</v>
      </c>
      <c r="P536" s="14" t="s">
        <v>167</v>
      </c>
      <c r="Q536" s="13" t="s">
        <v>205</v>
      </c>
      <c r="R536" s="14" t="s">
        <v>283</v>
      </c>
      <c r="S536" s="15" t="n">
        <f>815</f>
        <v>815.0</v>
      </c>
      <c r="T536" s="16" t="n">
        <f>1181</f>
        <v>1181.0</v>
      </c>
      <c r="U536" s="16" t="n">
        <v>1180.0</v>
      </c>
      <c r="V536" s="16" t="n">
        <f>1075355000</f>
        <v>1.075355E9</v>
      </c>
      <c r="W536" s="16" t="n">
        <v>1.07454E9</v>
      </c>
      <c r="X536" s="16" t="str">
        <f>"－"</f>
        <v>－</v>
      </c>
      <c r="Y536" s="13"/>
      <c r="Z536" s="17" t="n">
        <f>5472</f>
        <v>5472.0</v>
      </c>
      <c r="AA536" s="18" t="n">
        <f>1</f>
        <v>1.0</v>
      </c>
      <c r="AB536" s="11" t="s">
        <v>527</v>
      </c>
    </row>
    <row r="537">
      <c r="A537" s="11" t="s">
        <v>46</v>
      </c>
      <c r="B537" s="11" t="s">
        <v>47</v>
      </c>
      <c r="C537" s="11" t="s">
        <v>48</v>
      </c>
      <c r="D537" s="11" t="s">
        <v>49</v>
      </c>
      <c r="E537" s="11" t="s">
        <v>526</v>
      </c>
      <c r="F537" s="12" t="n">
        <v>24500.0</v>
      </c>
      <c r="G537" s="13" t="s">
        <v>211</v>
      </c>
      <c r="H537" s="14" t="s">
        <v>302</v>
      </c>
      <c r="I537" s="13" t="s">
        <v>211</v>
      </c>
      <c r="J537" s="14" t="s">
        <v>302</v>
      </c>
      <c r="K537" s="13" t="s">
        <v>207</v>
      </c>
      <c r="L537" s="14" t="s">
        <v>541</v>
      </c>
      <c r="M537" s="13" t="s">
        <v>211</v>
      </c>
      <c r="N537" s="14" t="s">
        <v>302</v>
      </c>
      <c r="O537" s="13" t="s">
        <v>206</v>
      </c>
      <c r="P537" s="14" t="s">
        <v>542</v>
      </c>
      <c r="Q537" s="13" t="s">
        <v>211</v>
      </c>
      <c r="R537" s="14" t="s">
        <v>302</v>
      </c>
      <c r="S537" s="15" t="n">
        <f>850</f>
        <v>850.0</v>
      </c>
      <c r="T537" s="16" t="n">
        <f>3440</f>
        <v>3440.0</v>
      </c>
      <c r="U537" s="16" t="n">
        <v>3390.0</v>
      </c>
      <c r="V537" s="16" t="n">
        <f>2829258800</f>
        <v>2.8292588E9</v>
      </c>
      <c r="W537" s="16" t="n">
        <v>2.7867588E9</v>
      </c>
      <c r="X537" s="16" t="str">
        <f>"－"</f>
        <v>－</v>
      </c>
      <c r="Y537" s="13"/>
      <c r="Z537" s="17" t="n">
        <f>4260</f>
        <v>4260.0</v>
      </c>
      <c r="AA537" s="18" t="n">
        <f>1</f>
        <v>1.0</v>
      </c>
      <c r="AB537" s="11" t="s">
        <v>527</v>
      </c>
    </row>
    <row r="538">
      <c r="A538" s="11" t="s">
        <v>46</v>
      </c>
      <c r="B538" s="11" t="s">
        <v>47</v>
      </c>
      <c r="C538" s="11" t="s">
        <v>48</v>
      </c>
      <c r="D538" s="11" t="s">
        <v>49</v>
      </c>
      <c r="E538" s="11" t="s">
        <v>526</v>
      </c>
      <c r="F538" s="12" t="n">
        <v>24750.0</v>
      </c>
      <c r="G538" s="13"/>
      <c r="H538" s="14" t="s">
        <v>57</v>
      </c>
      <c r="I538" s="13"/>
      <c r="J538" s="14" t="s">
        <v>57</v>
      </c>
      <c r="K538" s="13" t="s">
        <v>202</v>
      </c>
      <c r="L538" s="14" t="s">
        <v>287</v>
      </c>
      <c r="M538" s="13"/>
      <c r="N538" s="14" t="s">
        <v>57</v>
      </c>
      <c r="O538" s="13" t="s">
        <v>202</v>
      </c>
      <c r="P538" s="14" t="s">
        <v>287</v>
      </c>
      <c r="Q538" s="13"/>
      <c r="R538" s="14" t="s">
        <v>57</v>
      </c>
      <c r="S538" s="15" t="str">
        <f>"－"</f>
        <v>－</v>
      </c>
      <c r="T538" s="16" t="n">
        <f>55</f>
        <v>55.0</v>
      </c>
      <c r="U538" s="16" t="n">
        <v>55.0</v>
      </c>
      <c r="V538" s="16" t="n">
        <f>48400000</f>
        <v>4.84E7</v>
      </c>
      <c r="W538" s="16" t="n">
        <v>4.84E7</v>
      </c>
      <c r="X538" s="16" t="str">
        <f>"－"</f>
        <v>－</v>
      </c>
      <c r="Y538" s="13"/>
      <c r="Z538" s="17" t="n">
        <f>57</f>
        <v>57.0</v>
      </c>
      <c r="AA538" s="18" t="str">
        <f>"－"</f>
        <v>－</v>
      </c>
      <c r="AB538" s="11" t="s">
        <v>527</v>
      </c>
    </row>
    <row r="539">
      <c r="A539" s="11" t="s">
        <v>46</v>
      </c>
      <c r="B539" s="11" t="s">
        <v>47</v>
      </c>
      <c r="C539" s="11" t="s">
        <v>48</v>
      </c>
      <c r="D539" s="11" t="s">
        <v>49</v>
      </c>
      <c r="E539" s="11" t="s">
        <v>526</v>
      </c>
      <c r="F539" s="12" t="n">
        <v>25000.0</v>
      </c>
      <c r="G539" s="13" t="s">
        <v>288</v>
      </c>
      <c r="H539" s="14" t="s">
        <v>429</v>
      </c>
      <c r="I539" s="13" t="s">
        <v>288</v>
      </c>
      <c r="J539" s="14" t="s">
        <v>429</v>
      </c>
      <c r="K539" s="13" t="s">
        <v>50</v>
      </c>
      <c r="L539" s="14" t="s">
        <v>543</v>
      </c>
      <c r="M539" s="13" t="s">
        <v>288</v>
      </c>
      <c r="N539" s="14" t="s">
        <v>278</v>
      </c>
      <c r="O539" s="13" t="s">
        <v>202</v>
      </c>
      <c r="P539" s="14" t="s">
        <v>507</v>
      </c>
      <c r="Q539" s="13" t="s">
        <v>288</v>
      </c>
      <c r="R539" s="14" t="s">
        <v>429</v>
      </c>
      <c r="S539" s="15" t="n">
        <f>975</f>
        <v>975.0</v>
      </c>
      <c r="T539" s="16" t="n">
        <f>1948</f>
        <v>1948.0</v>
      </c>
      <c r="U539" s="16" t="n">
        <v>1925.0</v>
      </c>
      <c r="V539" s="16" t="n">
        <f>2331440000</f>
        <v>2.33144E9</v>
      </c>
      <c r="W539" s="16" t="n">
        <v>2.30907E9</v>
      </c>
      <c r="X539" s="16" t="str">
        <f>"－"</f>
        <v>－</v>
      </c>
      <c r="Y539" s="13"/>
      <c r="Z539" s="17" t="n">
        <f>5586</f>
        <v>5586.0</v>
      </c>
      <c r="AA539" s="18" t="n">
        <f>1</f>
        <v>1.0</v>
      </c>
      <c r="AB539" s="11" t="s">
        <v>527</v>
      </c>
    </row>
    <row r="540">
      <c r="A540" s="11" t="s">
        <v>46</v>
      </c>
      <c r="B540" s="11" t="s">
        <v>47</v>
      </c>
      <c r="C540" s="11" t="s">
        <v>48</v>
      </c>
      <c r="D540" s="11" t="s">
        <v>49</v>
      </c>
      <c r="E540" s="11" t="s">
        <v>526</v>
      </c>
      <c r="F540" s="12" t="n">
        <v>25250.0</v>
      </c>
      <c r="G540" s="13"/>
      <c r="H540" s="14" t="s">
        <v>57</v>
      </c>
      <c r="I540" s="13"/>
      <c r="J540" s="14" t="s">
        <v>57</v>
      </c>
      <c r="K540" s="13"/>
      <c r="L540" s="14"/>
      <c r="M540" s="13"/>
      <c r="N540" s="14" t="s">
        <v>57</v>
      </c>
      <c r="O540" s="13"/>
      <c r="P540" s="14"/>
      <c r="Q540" s="13"/>
      <c r="R540" s="14" t="s">
        <v>57</v>
      </c>
      <c r="S540" s="15" t="str">
        <f>"－"</f>
        <v>－</v>
      </c>
      <c r="T540" s="16" t="str">
        <f>"－"</f>
        <v>－</v>
      </c>
      <c r="U540" s="16"/>
      <c r="V540" s="16" t="str">
        <f>"－"</f>
        <v>－</v>
      </c>
      <c r="W540" s="16"/>
      <c r="X540" s="16" t="str">
        <f>"－"</f>
        <v>－</v>
      </c>
      <c r="Y540" s="13"/>
      <c r="Z540" s="17" t="n">
        <f>158</f>
        <v>158.0</v>
      </c>
      <c r="AA540" s="18" t="str">
        <f>"－"</f>
        <v>－</v>
      </c>
      <c r="AB540" s="11" t="s">
        <v>527</v>
      </c>
    </row>
    <row r="541">
      <c r="A541" s="11" t="s">
        <v>46</v>
      </c>
      <c r="B541" s="11" t="s">
        <v>47</v>
      </c>
      <c r="C541" s="11" t="s">
        <v>48</v>
      </c>
      <c r="D541" s="11" t="s">
        <v>49</v>
      </c>
      <c r="E541" s="11" t="s">
        <v>526</v>
      </c>
      <c r="F541" s="12" t="n">
        <v>25500.0</v>
      </c>
      <c r="G541" s="13"/>
      <c r="H541" s="14" t="s">
        <v>57</v>
      </c>
      <c r="I541" s="13"/>
      <c r="J541" s="14" t="s">
        <v>57</v>
      </c>
      <c r="K541" s="13" t="s">
        <v>60</v>
      </c>
      <c r="L541" s="14" t="s">
        <v>544</v>
      </c>
      <c r="M541" s="13"/>
      <c r="N541" s="14" t="s">
        <v>57</v>
      </c>
      <c r="O541" s="13" t="s">
        <v>61</v>
      </c>
      <c r="P541" s="14" t="s">
        <v>545</v>
      </c>
      <c r="Q541" s="13"/>
      <c r="R541" s="14" t="s">
        <v>57</v>
      </c>
      <c r="S541" s="15" t="str">
        <f>"－"</f>
        <v>－</v>
      </c>
      <c r="T541" s="16" t="n">
        <f>400</f>
        <v>400.0</v>
      </c>
      <c r="U541" s="16" t="n">
        <v>400.0</v>
      </c>
      <c r="V541" s="16" t="n">
        <f>479300000</f>
        <v>4.793E8</v>
      </c>
      <c r="W541" s="16" t="n">
        <v>4.793E8</v>
      </c>
      <c r="X541" s="16" t="str">
        <f>"－"</f>
        <v>－</v>
      </c>
      <c r="Y541" s="13"/>
      <c r="Z541" s="17" t="n">
        <f>2042</f>
        <v>2042.0</v>
      </c>
      <c r="AA541" s="18" t="str">
        <f>"－"</f>
        <v>－</v>
      </c>
      <c r="AB541" s="11" t="s">
        <v>527</v>
      </c>
    </row>
    <row r="542">
      <c r="A542" s="11" t="s">
        <v>46</v>
      </c>
      <c r="B542" s="11" t="s">
        <v>47</v>
      </c>
      <c r="C542" s="11" t="s">
        <v>48</v>
      </c>
      <c r="D542" s="11" t="s">
        <v>49</v>
      </c>
      <c r="E542" s="11" t="s">
        <v>526</v>
      </c>
      <c r="F542" s="12" t="n">
        <v>25750.0</v>
      </c>
      <c r="G542" s="13"/>
      <c r="H542" s="14" t="s">
        <v>57</v>
      </c>
      <c r="I542" s="13"/>
      <c r="J542" s="14" t="s">
        <v>57</v>
      </c>
      <c r="K542" s="13"/>
      <c r="L542" s="14"/>
      <c r="M542" s="13"/>
      <c r="N542" s="14" t="s">
        <v>57</v>
      </c>
      <c r="O542" s="13"/>
      <c r="P542" s="14"/>
      <c r="Q542" s="13"/>
      <c r="R542" s="14" t="s">
        <v>57</v>
      </c>
      <c r="S542" s="15" t="str">
        <f>"－"</f>
        <v>－</v>
      </c>
      <c r="T542" s="16" t="str">
        <f>"－"</f>
        <v>－</v>
      </c>
      <c r="U542" s="16"/>
      <c r="V542" s="16" t="str">
        <f>"－"</f>
        <v>－</v>
      </c>
      <c r="W542" s="16"/>
      <c r="X542" s="16" t="str">
        <f>"－"</f>
        <v>－</v>
      </c>
      <c r="Y542" s="13"/>
      <c r="Z542" s="17" t="n">
        <f>7</f>
        <v>7.0</v>
      </c>
      <c r="AA542" s="18" t="str">
        <f>"－"</f>
        <v>－</v>
      </c>
      <c r="AB542" s="11" t="s">
        <v>527</v>
      </c>
    </row>
    <row r="543">
      <c r="A543" s="11" t="s">
        <v>46</v>
      </c>
      <c r="B543" s="11" t="s">
        <v>47</v>
      </c>
      <c r="C543" s="11" t="s">
        <v>48</v>
      </c>
      <c r="D543" s="11" t="s">
        <v>49</v>
      </c>
      <c r="E543" s="11" t="s">
        <v>526</v>
      </c>
      <c r="F543" s="12" t="n">
        <v>26000.0</v>
      </c>
      <c r="G543" s="13" t="s">
        <v>202</v>
      </c>
      <c r="H543" s="14" t="s">
        <v>322</v>
      </c>
      <c r="I543" s="13" t="s">
        <v>202</v>
      </c>
      <c r="J543" s="14" t="s">
        <v>305</v>
      </c>
      <c r="K543" s="13" t="s">
        <v>58</v>
      </c>
      <c r="L543" s="14" t="s">
        <v>546</v>
      </c>
      <c r="M543" s="13" t="s">
        <v>202</v>
      </c>
      <c r="N543" s="14" t="s">
        <v>322</v>
      </c>
      <c r="O543" s="13" t="s">
        <v>288</v>
      </c>
      <c r="P543" s="14" t="s">
        <v>169</v>
      </c>
      <c r="Q543" s="13" t="s">
        <v>202</v>
      </c>
      <c r="R543" s="14" t="s">
        <v>305</v>
      </c>
      <c r="S543" s="15" t="n">
        <f>1060</f>
        <v>1060.0</v>
      </c>
      <c r="T543" s="16" t="n">
        <f>937</f>
        <v>937.0</v>
      </c>
      <c r="U543" s="16" t="n">
        <v>905.0</v>
      </c>
      <c r="V543" s="16" t="n">
        <f>1066425000</f>
        <v>1.066425E9</v>
      </c>
      <c r="W543" s="16" t="n">
        <v>1.032575E9</v>
      </c>
      <c r="X543" s="16" t="str">
        <f>"－"</f>
        <v>－</v>
      </c>
      <c r="Y543" s="13"/>
      <c r="Z543" s="17" t="n">
        <f>4169</f>
        <v>4169.0</v>
      </c>
      <c r="AA543" s="18" t="n">
        <f>1</f>
        <v>1.0</v>
      </c>
      <c r="AB543" s="11" t="s">
        <v>527</v>
      </c>
    </row>
    <row r="544">
      <c r="A544" s="11" t="s">
        <v>46</v>
      </c>
      <c r="B544" s="11" t="s">
        <v>47</v>
      </c>
      <c r="C544" s="11" t="s">
        <v>48</v>
      </c>
      <c r="D544" s="11" t="s">
        <v>49</v>
      </c>
      <c r="E544" s="11" t="s">
        <v>526</v>
      </c>
      <c r="F544" s="12" t="n">
        <v>26250.0</v>
      </c>
      <c r="G544" s="13"/>
      <c r="H544" s="14" t="s">
        <v>57</v>
      </c>
      <c r="I544" s="13"/>
      <c r="J544" s="14" t="s">
        <v>57</v>
      </c>
      <c r="K544" s="13"/>
      <c r="L544" s="14"/>
      <c r="M544" s="13"/>
      <c r="N544" s="14" t="s">
        <v>57</v>
      </c>
      <c r="O544" s="13"/>
      <c r="P544" s="14"/>
      <c r="Q544" s="13"/>
      <c r="R544" s="14" t="s">
        <v>57</v>
      </c>
      <c r="S544" s="15" t="str">
        <f>"－"</f>
        <v>－</v>
      </c>
      <c r="T544" s="16" t="str">
        <f>"－"</f>
        <v>－</v>
      </c>
      <c r="U544" s="16"/>
      <c r="V544" s="16" t="str">
        <f>"－"</f>
        <v>－</v>
      </c>
      <c r="W544" s="16"/>
      <c r="X544" s="16" t="str">
        <f>"－"</f>
        <v>－</v>
      </c>
      <c r="Y544" s="13"/>
      <c r="Z544" s="17" t="n">
        <f>6</f>
        <v>6.0</v>
      </c>
      <c r="AA544" s="18" t="str">
        <f>"－"</f>
        <v>－</v>
      </c>
      <c r="AB544" s="11" t="s">
        <v>527</v>
      </c>
    </row>
    <row r="545">
      <c r="A545" s="11" t="s">
        <v>46</v>
      </c>
      <c r="B545" s="11" t="s">
        <v>47</v>
      </c>
      <c r="C545" s="11" t="s">
        <v>48</v>
      </c>
      <c r="D545" s="11" t="s">
        <v>49</v>
      </c>
      <c r="E545" s="11" t="s">
        <v>526</v>
      </c>
      <c r="F545" s="12" t="n">
        <v>26500.0</v>
      </c>
      <c r="G545" s="13"/>
      <c r="H545" s="14" t="s">
        <v>57</v>
      </c>
      <c r="I545" s="13"/>
      <c r="J545" s="14" t="s">
        <v>57</v>
      </c>
      <c r="K545" s="13" t="s">
        <v>52</v>
      </c>
      <c r="L545" s="14" t="s">
        <v>476</v>
      </c>
      <c r="M545" s="13"/>
      <c r="N545" s="14" t="s">
        <v>57</v>
      </c>
      <c r="O545" s="13" t="s">
        <v>52</v>
      </c>
      <c r="P545" s="14" t="s">
        <v>476</v>
      </c>
      <c r="Q545" s="13"/>
      <c r="R545" s="14" t="s">
        <v>57</v>
      </c>
      <c r="S545" s="15" t="str">
        <f>"－"</f>
        <v>－</v>
      </c>
      <c r="T545" s="16" t="n">
        <f>100</f>
        <v>100.0</v>
      </c>
      <c r="U545" s="16" t="n">
        <v>100.0</v>
      </c>
      <c r="V545" s="16" t="n">
        <f>138000000</f>
        <v>1.38E8</v>
      </c>
      <c r="W545" s="16" t="n">
        <v>1.38E8</v>
      </c>
      <c r="X545" s="16" t="str">
        <f>"－"</f>
        <v>－</v>
      </c>
      <c r="Y545" s="13"/>
      <c r="Z545" s="17" t="n">
        <f>3318</f>
        <v>3318.0</v>
      </c>
      <c r="AA545" s="18" t="str">
        <f>"－"</f>
        <v>－</v>
      </c>
      <c r="AB545" s="11" t="s">
        <v>527</v>
      </c>
    </row>
    <row r="546">
      <c r="A546" s="11" t="s">
        <v>46</v>
      </c>
      <c r="B546" s="11" t="s">
        <v>47</v>
      </c>
      <c r="C546" s="11" t="s">
        <v>48</v>
      </c>
      <c r="D546" s="11" t="s">
        <v>49</v>
      </c>
      <c r="E546" s="11" t="s">
        <v>526</v>
      </c>
      <c r="F546" s="12" t="n">
        <v>26750.0</v>
      </c>
      <c r="G546" s="13"/>
      <c r="H546" s="14" t="s">
        <v>57</v>
      </c>
      <c r="I546" s="13"/>
      <c r="J546" s="14" t="s">
        <v>57</v>
      </c>
      <c r="K546" s="13" t="s">
        <v>204</v>
      </c>
      <c r="L546" s="14" t="s">
        <v>327</v>
      </c>
      <c r="M546" s="13"/>
      <c r="N546" s="14" t="s">
        <v>57</v>
      </c>
      <c r="O546" s="13" t="s">
        <v>215</v>
      </c>
      <c r="P546" s="14" t="s">
        <v>172</v>
      </c>
      <c r="Q546" s="13"/>
      <c r="R546" s="14" t="s">
        <v>57</v>
      </c>
      <c r="S546" s="15" t="str">
        <f>"－"</f>
        <v>－</v>
      </c>
      <c r="T546" s="16" t="n">
        <f>2450</f>
        <v>2450.0</v>
      </c>
      <c r="U546" s="16" t="n">
        <v>2450.0</v>
      </c>
      <c r="V546" s="16" t="n">
        <f>3107800000</f>
        <v>3.1078E9</v>
      </c>
      <c r="W546" s="16" t="n">
        <v>3.1078E9</v>
      </c>
      <c r="X546" s="16" t="str">
        <f>"－"</f>
        <v>－</v>
      </c>
      <c r="Y546" s="13"/>
      <c r="Z546" s="17" t="n">
        <f>1600</f>
        <v>1600.0</v>
      </c>
      <c r="AA546" s="18" t="str">
        <f>"－"</f>
        <v>－</v>
      </c>
      <c r="AB546" s="11" t="s">
        <v>527</v>
      </c>
    </row>
    <row r="547">
      <c r="A547" s="11" t="s">
        <v>46</v>
      </c>
      <c r="B547" s="11" t="s">
        <v>47</v>
      </c>
      <c r="C547" s="11" t="s">
        <v>48</v>
      </c>
      <c r="D547" s="11" t="s">
        <v>49</v>
      </c>
      <c r="E547" s="11" t="s">
        <v>526</v>
      </c>
      <c r="F547" s="12" t="n">
        <v>27000.0</v>
      </c>
      <c r="G547" s="13"/>
      <c r="H547" s="14" t="s">
        <v>57</v>
      </c>
      <c r="I547" s="13"/>
      <c r="J547" s="14" t="s">
        <v>57</v>
      </c>
      <c r="K547" s="13" t="s">
        <v>55</v>
      </c>
      <c r="L547" s="14" t="s">
        <v>547</v>
      </c>
      <c r="M547" s="13"/>
      <c r="N547" s="14" t="s">
        <v>57</v>
      </c>
      <c r="O547" s="13" t="s">
        <v>207</v>
      </c>
      <c r="P547" s="14" t="s">
        <v>548</v>
      </c>
      <c r="Q547" s="13"/>
      <c r="R547" s="14" t="s">
        <v>57</v>
      </c>
      <c r="S547" s="15" t="str">
        <f>"－"</f>
        <v>－</v>
      </c>
      <c r="T547" s="16" t="n">
        <f>945</f>
        <v>945.0</v>
      </c>
      <c r="U547" s="16" t="n">
        <v>945.0</v>
      </c>
      <c r="V547" s="16" t="n">
        <f>1377859760</f>
        <v>1.37785976E9</v>
      </c>
      <c r="W547" s="16" t="n">
        <v>1.37785976E9</v>
      </c>
      <c r="X547" s="16" t="str">
        <f>"－"</f>
        <v>－</v>
      </c>
      <c r="Y547" s="13"/>
      <c r="Z547" s="17" t="n">
        <f>1703</f>
        <v>1703.0</v>
      </c>
      <c r="AA547" s="18" t="str">
        <f>"－"</f>
        <v>－</v>
      </c>
      <c r="AB547" s="11" t="s">
        <v>527</v>
      </c>
    </row>
    <row r="548">
      <c r="A548" s="11" t="s">
        <v>46</v>
      </c>
      <c r="B548" s="11" t="s">
        <v>47</v>
      </c>
      <c r="C548" s="11" t="s">
        <v>48</v>
      </c>
      <c r="D548" s="11" t="s">
        <v>49</v>
      </c>
      <c r="E548" s="11" t="s">
        <v>526</v>
      </c>
      <c r="F548" s="12" t="n">
        <v>27500.0</v>
      </c>
      <c r="G548" s="13"/>
      <c r="H548" s="14" t="s">
        <v>57</v>
      </c>
      <c r="I548" s="13"/>
      <c r="J548" s="14" t="s">
        <v>57</v>
      </c>
      <c r="K548" s="13" t="s">
        <v>50</v>
      </c>
      <c r="L548" s="14" t="s">
        <v>325</v>
      </c>
      <c r="M548" s="13"/>
      <c r="N548" s="14" t="s">
        <v>57</v>
      </c>
      <c r="O548" s="13" t="s">
        <v>50</v>
      </c>
      <c r="P548" s="14" t="s">
        <v>325</v>
      </c>
      <c r="Q548" s="13"/>
      <c r="R548" s="14" t="s">
        <v>57</v>
      </c>
      <c r="S548" s="15" t="str">
        <f>"－"</f>
        <v>－</v>
      </c>
      <c r="T548" s="16" t="n">
        <f>75</f>
        <v>75.0</v>
      </c>
      <c r="U548" s="16" t="n">
        <v>75.0</v>
      </c>
      <c r="V548" s="16" t="n">
        <f>179250000</f>
        <v>1.7925E8</v>
      </c>
      <c r="W548" s="16" t="n">
        <v>1.7925E8</v>
      </c>
      <c r="X548" s="16" t="str">
        <f>"－"</f>
        <v>－</v>
      </c>
      <c r="Y548" s="13"/>
      <c r="Z548" s="17" t="n">
        <f>225</f>
        <v>225.0</v>
      </c>
      <c r="AA548" s="18" t="str">
        <f>"－"</f>
        <v>－</v>
      </c>
      <c r="AB548" s="11" t="s">
        <v>527</v>
      </c>
    </row>
    <row r="549">
      <c r="A549" s="11" t="s">
        <v>46</v>
      </c>
      <c r="B549" s="11" t="s">
        <v>47</v>
      </c>
      <c r="C549" s="11" t="s">
        <v>48</v>
      </c>
      <c r="D549" s="11" t="s">
        <v>49</v>
      </c>
      <c r="E549" s="11" t="s">
        <v>526</v>
      </c>
      <c r="F549" s="12" t="n">
        <v>27750.0</v>
      </c>
      <c r="G549" s="13"/>
      <c r="H549" s="14" t="s">
        <v>57</v>
      </c>
      <c r="I549" s="13"/>
      <c r="J549" s="14" t="s">
        <v>57</v>
      </c>
      <c r="K549" s="13" t="s">
        <v>50</v>
      </c>
      <c r="L549" s="14" t="s">
        <v>549</v>
      </c>
      <c r="M549" s="13"/>
      <c r="N549" s="14" t="s">
        <v>57</v>
      </c>
      <c r="O549" s="13" t="s">
        <v>50</v>
      </c>
      <c r="P549" s="14" t="s">
        <v>549</v>
      </c>
      <c r="Q549" s="13"/>
      <c r="R549" s="14" t="s">
        <v>57</v>
      </c>
      <c r="S549" s="15" t="str">
        <f>"－"</f>
        <v>－</v>
      </c>
      <c r="T549" s="16" t="n">
        <f>50</f>
        <v>50.0</v>
      </c>
      <c r="U549" s="16" t="n">
        <v>50.0</v>
      </c>
      <c r="V549" s="16" t="n">
        <f>127750000</f>
        <v>1.2775E8</v>
      </c>
      <c r="W549" s="16" t="n">
        <v>1.2775E8</v>
      </c>
      <c r="X549" s="16" t="str">
        <f>"－"</f>
        <v>－</v>
      </c>
      <c r="Y549" s="13"/>
      <c r="Z549" s="17" t="n">
        <f>50</f>
        <v>50.0</v>
      </c>
      <c r="AA549" s="18" t="str">
        <f>"－"</f>
        <v>－</v>
      </c>
      <c r="AB549" s="11" t="s">
        <v>527</v>
      </c>
    </row>
    <row r="550">
      <c r="A550" s="11" t="s">
        <v>46</v>
      </c>
      <c r="B550" s="11" t="s">
        <v>47</v>
      </c>
      <c r="C550" s="11" t="s">
        <v>48</v>
      </c>
      <c r="D550" s="11" t="s">
        <v>49</v>
      </c>
      <c r="E550" s="11" t="s">
        <v>526</v>
      </c>
      <c r="F550" s="12" t="n">
        <v>28000.0</v>
      </c>
      <c r="G550" s="13"/>
      <c r="H550" s="14" t="s">
        <v>57</v>
      </c>
      <c r="I550" s="13"/>
      <c r="J550" s="14" t="s">
        <v>57</v>
      </c>
      <c r="K550" s="13" t="s">
        <v>50</v>
      </c>
      <c r="L550" s="14" t="s">
        <v>550</v>
      </c>
      <c r="M550" s="13"/>
      <c r="N550" s="14" t="s">
        <v>57</v>
      </c>
      <c r="O550" s="13" t="s">
        <v>50</v>
      </c>
      <c r="P550" s="14" t="s">
        <v>551</v>
      </c>
      <c r="Q550" s="13"/>
      <c r="R550" s="14" t="s">
        <v>57</v>
      </c>
      <c r="S550" s="15" t="str">
        <f>"－"</f>
        <v>－</v>
      </c>
      <c r="T550" s="16" t="n">
        <f>800</f>
        <v>800.0</v>
      </c>
      <c r="U550" s="16" t="n">
        <v>800.0</v>
      </c>
      <c r="V550" s="16" t="n">
        <f>1218300000</f>
        <v>1.2183E9</v>
      </c>
      <c r="W550" s="16" t="n">
        <v>1.2183E9</v>
      </c>
      <c r="X550" s="16" t="str">
        <f>"－"</f>
        <v>－</v>
      </c>
      <c r="Y550" s="13"/>
      <c r="Z550" s="17" t="n">
        <f>4575</f>
        <v>4575.0</v>
      </c>
      <c r="AA550" s="18" t="str">
        <f>"－"</f>
        <v>－</v>
      </c>
      <c r="AB550" s="11" t="s">
        <v>527</v>
      </c>
    </row>
    <row r="551">
      <c r="A551" s="11" t="s">
        <v>46</v>
      </c>
      <c r="B551" s="11" t="s">
        <v>47</v>
      </c>
      <c r="C551" s="11" t="s">
        <v>48</v>
      </c>
      <c r="D551" s="11" t="s">
        <v>49</v>
      </c>
      <c r="E551" s="11" t="s">
        <v>526</v>
      </c>
      <c r="F551" s="12" t="n">
        <v>28500.0</v>
      </c>
      <c r="G551" s="13" t="s">
        <v>202</v>
      </c>
      <c r="H551" s="14" t="s">
        <v>552</v>
      </c>
      <c r="I551" s="13" t="s">
        <v>202</v>
      </c>
      <c r="J551" s="14" t="s">
        <v>553</v>
      </c>
      <c r="K551" s="13" t="s">
        <v>52</v>
      </c>
      <c r="L551" s="14" t="s">
        <v>554</v>
      </c>
      <c r="M551" s="13" t="s">
        <v>202</v>
      </c>
      <c r="N551" s="14" t="s">
        <v>552</v>
      </c>
      <c r="O551" s="13" t="s">
        <v>202</v>
      </c>
      <c r="P551" s="14" t="s">
        <v>555</v>
      </c>
      <c r="Q551" s="13" t="s">
        <v>202</v>
      </c>
      <c r="R551" s="14" t="s">
        <v>553</v>
      </c>
      <c r="S551" s="15" t="n">
        <f>1740</f>
        <v>1740.0</v>
      </c>
      <c r="T551" s="16" t="n">
        <f>227</f>
        <v>227.0</v>
      </c>
      <c r="U551" s="16" t="n">
        <v>217.0</v>
      </c>
      <c r="V551" s="16" t="n">
        <f>463120000</f>
        <v>4.6312E8</v>
      </c>
      <c r="W551" s="16" t="n">
        <v>4.4577E8</v>
      </c>
      <c r="X551" s="16" t="str">
        <f>"－"</f>
        <v>－</v>
      </c>
      <c r="Y551" s="13"/>
      <c r="Z551" s="17" t="n">
        <f>477</f>
        <v>477.0</v>
      </c>
      <c r="AA551" s="18" t="n">
        <f>1</f>
        <v>1.0</v>
      </c>
      <c r="AB551" s="11" t="s">
        <v>527</v>
      </c>
    </row>
    <row r="552">
      <c r="A552" s="11" t="s">
        <v>46</v>
      </c>
      <c r="B552" s="11" t="s">
        <v>47</v>
      </c>
      <c r="C552" s="11" t="s">
        <v>48</v>
      </c>
      <c r="D552" s="11" t="s">
        <v>49</v>
      </c>
      <c r="E552" s="11" t="s">
        <v>526</v>
      </c>
      <c r="F552" s="12" t="n">
        <v>28750.0</v>
      </c>
      <c r="G552" s="13"/>
      <c r="H552" s="14" t="s">
        <v>57</v>
      </c>
      <c r="I552" s="13"/>
      <c r="J552" s="14" t="s">
        <v>57</v>
      </c>
      <c r="K552" s="13"/>
      <c r="L552" s="14"/>
      <c r="M552" s="13"/>
      <c r="N552" s="14" t="s">
        <v>57</v>
      </c>
      <c r="O552" s="13"/>
      <c r="P552" s="14"/>
      <c r="Q552" s="13"/>
      <c r="R552" s="14" t="s">
        <v>57</v>
      </c>
      <c r="S552" s="15" t="str">
        <f>"－"</f>
        <v>－</v>
      </c>
      <c r="T552" s="16" t="str">
        <f>"－"</f>
        <v>－</v>
      </c>
      <c r="U552" s="16"/>
      <c r="V552" s="16" t="str">
        <f>"－"</f>
        <v>－</v>
      </c>
      <c r="W552" s="16"/>
      <c r="X552" s="16" t="str">
        <f>"－"</f>
        <v>－</v>
      </c>
      <c r="Y552" s="13"/>
      <c r="Z552" s="17" t="n">
        <f>150</f>
        <v>150.0</v>
      </c>
      <c r="AA552" s="18" t="str">
        <f>"－"</f>
        <v>－</v>
      </c>
      <c r="AB552" s="11" t="s">
        <v>527</v>
      </c>
    </row>
    <row r="553">
      <c r="A553" s="11" t="s">
        <v>46</v>
      </c>
      <c r="B553" s="11" t="s">
        <v>47</v>
      </c>
      <c r="C553" s="11" t="s">
        <v>48</v>
      </c>
      <c r="D553" s="11" t="s">
        <v>49</v>
      </c>
      <c r="E553" s="11" t="s">
        <v>526</v>
      </c>
      <c r="F553" s="12" t="n">
        <v>29000.0</v>
      </c>
      <c r="G553" s="13" t="s">
        <v>52</v>
      </c>
      <c r="H553" s="14" t="s">
        <v>556</v>
      </c>
      <c r="I553" s="13" t="s">
        <v>52</v>
      </c>
      <c r="J553" s="14" t="s">
        <v>557</v>
      </c>
      <c r="K553" s="13" t="s">
        <v>205</v>
      </c>
      <c r="L553" s="14" t="s">
        <v>558</v>
      </c>
      <c r="M553" s="13" t="s">
        <v>52</v>
      </c>
      <c r="N553" s="14" t="s">
        <v>556</v>
      </c>
      <c r="O553" s="13" t="s">
        <v>56</v>
      </c>
      <c r="P553" s="14" t="s">
        <v>559</v>
      </c>
      <c r="Q553" s="13" t="s">
        <v>52</v>
      </c>
      <c r="R553" s="14" t="s">
        <v>557</v>
      </c>
      <c r="S553" s="15" t="n">
        <f>2250</f>
        <v>2250.0</v>
      </c>
      <c r="T553" s="16" t="n">
        <f>307</f>
        <v>307.0</v>
      </c>
      <c r="U553" s="16" t="n">
        <v>300.0</v>
      </c>
      <c r="V553" s="16" t="n">
        <f>667000000</f>
        <v>6.67E8</v>
      </c>
      <c r="W553" s="16" t="n">
        <v>6.514E8</v>
      </c>
      <c r="X553" s="16" t="str">
        <f>"－"</f>
        <v>－</v>
      </c>
      <c r="Y553" s="13"/>
      <c r="Z553" s="17" t="n">
        <f>400</f>
        <v>400.0</v>
      </c>
      <c r="AA553" s="18" t="n">
        <f>1</f>
        <v>1.0</v>
      </c>
      <c r="AB553" s="11" t="s">
        <v>527</v>
      </c>
    </row>
    <row r="554">
      <c r="A554" s="11" t="s">
        <v>46</v>
      </c>
      <c r="B554" s="11" t="s">
        <v>47</v>
      </c>
      <c r="C554" s="11" t="s">
        <v>48</v>
      </c>
      <c r="D554" s="11" t="s">
        <v>49</v>
      </c>
      <c r="E554" s="11" t="s">
        <v>526</v>
      </c>
      <c r="F554" s="12" t="n">
        <v>29500.0</v>
      </c>
      <c r="G554" s="13" t="s">
        <v>202</v>
      </c>
      <c r="H554" s="14" t="s">
        <v>560</v>
      </c>
      <c r="I554" s="13" t="s">
        <v>288</v>
      </c>
      <c r="J554" s="14" t="s">
        <v>556</v>
      </c>
      <c r="K554" s="13" t="s">
        <v>204</v>
      </c>
      <c r="L554" s="14" t="s">
        <v>561</v>
      </c>
      <c r="M554" s="13" t="s">
        <v>202</v>
      </c>
      <c r="N554" s="14" t="s">
        <v>562</v>
      </c>
      <c r="O554" s="13" t="s">
        <v>56</v>
      </c>
      <c r="P554" s="14" t="s">
        <v>563</v>
      </c>
      <c r="Q554" s="13" t="s">
        <v>288</v>
      </c>
      <c r="R554" s="14" t="s">
        <v>564</v>
      </c>
      <c r="S554" s="15" t="n">
        <f>2170</f>
        <v>2170.0</v>
      </c>
      <c r="T554" s="16" t="n">
        <f>1209</f>
        <v>1209.0</v>
      </c>
      <c r="U554" s="16" t="n">
        <v>1140.0</v>
      </c>
      <c r="V554" s="16" t="n">
        <f>2601300000</f>
        <v>2.6013E9</v>
      </c>
      <c r="W554" s="16" t="n">
        <v>2.45132E9</v>
      </c>
      <c r="X554" s="16" t="str">
        <f>"－"</f>
        <v>－</v>
      </c>
      <c r="Y554" s="13"/>
      <c r="Z554" s="17" t="n">
        <f>394</f>
        <v>394.0</v>
      </c>
      <c r="AA554" s="18" t="n">
        <f>2</f>
        <v>2.0</v>
      </c>
      <c r="AB554" s="11" t="s">
        <v>527</v>
      </c>
    </row>
    <row r="555">
      <c r="A555" s="11" t="s">
        <v>46</v>
      </c>
      <c r="B555" s="11" t="s">
        <v>47</v>
      </c>
      <c r="C555" s="11" t="s">
        <v>48</v>
      </c>
      <c r="D555" s="11" t="s">
        <v>49</v>
      </c>
      <c r="E555" s="11" t="s">
        <v>526</v>
      </c>
      <c r="F555" s="12" t="n">
        <v>30000.0</v>
      </c>
      <c r="G555" s="13" t="s">
        <v>288</v>
      </c>
      <c r="H555" s="14" t="s">
        <v>565</v>
      </c>
      <c r="I555" s="13" t="s">
        <v>288</v>
      </c>
      <c r="J555" s="14" t="s">
        <v>566</v>
      </c>
      <c r="K555" s="13" t="s">
        <v>205</v>
      </c>
      <c r="L555" s="14" t="s">
        <v>567</v>
      </c>
      <c r="M555" s="13" t="s">
        <v>288</v>
      </c>
      <c r="N555" s="14" t="s">
        <v>565</v>
      </c>
      <c r="O555" s="13" t="s">
        <v>211</v>
      </c>
      <c r="P555" s="14" t="s">
        <v>568</v>
      </c>
      <c r="Q555" s="13" t="s">
        <v>288</v>
      </c>
      <c r="R555" s="14" t="s">
        <v>566</v>
      </c>
      <c r="S555" s="15" t="n">
        <f>2430</f>
        <v>2430.0</v>
      </c>
      <c r="T555" s="16" t="n">
        <f>208</f>
        <v>208.0</v>
      </c>
      <c r="U555" s="16" t="n">
        <v>200.0</v>
      </c>
      <c r="V555" s="16" t="n">
        <f>545880000</f>
        <v>5.4588E8</v>
      </c>
      <c r="W555" s="16" t="n">
        <v>5.265E8</v>
      </c>
      <c r="X555" s="16" t="str">
        <f>"－"</f>
        <v>－</v>
      </c>
      <c r="Y555" s="13"/>
      <c r="Z555" s="17" t="n">
        <f>208</f>
        <v>208.0</v>
      </c>
      <c r="AA555" s="18" t="n">
        <f>1</f>
        <v>1.0</v>
      </c>
      <c r="AB555" s="11" t="s">
        <v>527</v>
      </c>
    </row>
    <row r="556">
      <c r="A556" s="11" t="s">
        <v>46</v>
      </c>
      <c r="B556" s="11" t="s">
        <v>47</v>
      </c>
      <c r="C556" s="11" t="s">
        <v>48</v>
      </c>
      <c r="D556" s="11" t="s">
        <v>49</v>
      </c>
      <c r="E556" s="11" t="s">
        <v>526</v>
      </c>
      <c r="F556" s="12" t="n">
        <v>30500.0</v>
      </c>
      <c r="G556" s="13"/>
      <c r="H556" s="14" t="s">
        <v>57</v>
      </c>
      <c r="I556" s="13"/>
      <c r="J556" s="14" t="s">
        <v>57</v>
      </c>
      <c r="K556" s="13" t="s">
        <v>288</v>
      </c>
      <c r="L556" s="14" t="s">
        <v>569</v>
      </c>
      <c r="M556" s="13"/>
      <c r="N556" s="14" t="s">
        <v>57</v>
      </c>
      <c r="O556" s="13" t="s">
        <v>288</v>
      </c>
      <c r="P556" s="14" t="s">
        <v>569</v>
      </c>
      <c r="Q556" s="13"/>
      <c r="R556" s="14" t="s">
        <v>57</v>
      </c>
      <c r="S556" s="15" t="str">
        <f>"－"</f>
        <v>－</v>
      </c>
      <c r="T556" s="16" t="n">
        <f>75</f>
        <v>75.0</v>
      </c>
      <c r="U556" s="16" t="n">
        <v>75.0</v>
      </c>
      <c r="V556" s="16" t="n">
        <f>189750000</f>
        <v>1.8975E8</v>
      </c>
      <c r="W556" s="16" t="n">
        <v>1.8975E8</v>
      </c>
      <c r="X556" s="16" t="str">
        <f>"－"</f>
        <v>－</v>
      </c>
      <c r="Y556" s="13"/>
      <c r="Z556" s="17" t="n">
        <f>75</f>
        <v>75.0</v>
      </c>
      <c r="AA556" s="18" t="str">
        <f>"－"</f>
        <v>－</v>
      </c>
      <c r="AB556" s="11" t="s">
        <v>527</v>
      </c>
    </row>
    <row r="557">
      <c r="A557" s="11" t="s">
        <v>46</v>
      </c>
      <c r="B557" s="11" t="s">
        <v>47</v>
      </c>
      <c r="C557" s="11" t="s">
        <v>48</v>
      </c>
      <c r="D557" s="11" t="s">
        <v>49</v>
      </c>
      <c r="E557" s="11" t="s">
        <v>526</v>
      </c>
      <c r="F557" s="12" t="n">
        <v>33750.0</v>
      </c>
      <c r="G557" s="13"/>
      <c r="H557" s="14" t="s">
        <v>57</v>
      </c>
      <c r="I557" s="13"/>
      <c r="J557" s="14" t="s">
        <v>57</v>
      </c>
      <c r="K557" s="13" t="s">
        <v>204</v>
      </c>
      <c r="L557" s="14" t="s">
        <v>570</v>
      </c>
      <c r="M557" s="13"/>
      <c r="N557" s="14" t="s">
        <v>57</v>
      </c>
      <c r="O557" s="13" t="s">
        <v>208</v>
      </c>
      <c r="P557" s="14" t="s">
        <v>571</v>
      </c>
      <c r="Q557" s="13"/>
      <c r="R557" s="14" t="s">
        <v>57</v>
      </c>
      <c r="S557" s="15" t="str">
        <f>"－"</f>
        <v>－</v>
      </c>
      <c r="T557" s="16" t="n">
        <f>500</f>
        <v>500.0</v>
      </c>
      <c r="U557" s="16" t="n">
        <v>500.0</v>
      </c>
      <c r="V557" s="16" t="n">
        <f>2668000000</f>
        <v>2.668E9</v>
      </c>
      <c r="W557" s="16" t="n">
        <v>2.668E9</v>
      </c>
      <c r="X557" s="16" t="str">
        <f>"－"</f>
        <v>－</v>
      </c>
      <c r="Y557" s="13"/>
      <c r="Z557" s="17" t="str">
        <f>"－"</f>
        <v>－</v>
      </c>
      <c r="AA557" s="18" t="str">
        <f>"－"</f>
        <v>－</v>
      </c>
      <c r="AB557" s="11" t="s">
        <v>527</v>
      </c>
    </row>
    <row r="558">
      <c r="A558" s="11" t="s">
        <v>46</v>
      </c>
      <c r="B558" s="11" t="s">
        <v>47</v>
      </c>
      <c r="C558" s="11" t="s">
        <v>48</v>
      </c>
      <c r="D558" s="11" t="s">
        <v>49</v>
      </c>
      <c r="E558" s="11" t="s">
        <v>526</v>
      </c>
      <c r="F558" s="12" t="n">
        <v>35000.0</v>
      </c>
      <c r="G558" s="13"/>
      <c r="H558" s="14" t="s">
        <v>57</v>
      </c>
      <c r="I558" s="13"/>
      <c r="J558" s="14" t="s">
        <v>57</v>
      </c>
      <c r="K558" s="13"/>
      <c r="L558" s="14"/>
      <c r="M558" s="13"/>
      <c r="N558" s="14" t="s">
        <v>57</v>
      </c>
      <c r="O558" s="13"/>
      <c r="P558" s="14"/>
      <c r="Q558" s="13"/>
      <c r="R558" s="14" t="s">
        <v>57</v>
      </c>
      <c r="S558" s="15" t="str">
        <f>"－"</f>
        <v>－</v>
      </c>
      <c r="T558" s="16" t="str">
        <f>"－"</f>
        <v>－</v>
      </c>
      <c r="U558" s="16"/>
      <c r="V558" s="16" t="str">
        <f>"－"</f>
        <v>－</v>
      </c>
      <c r="W558" s="16"/>
      <c r="X558" s="16" t="str">
        <f>"－"</f>
        <v>－</v>
      </c>
      <c r="Y558" s="13"/>
      <c r="Z558" s="17" t="n">
        <f>2400</f>
        <v>2400.0</v>
      </c>
      <c r="AA558" s="18" t="str">
        <f>"－"</f>
        <v>－</v>
      </c>
      <c r="AB558" s="11" t="s">
        <v>527</v>
      </c>
    </row>
    <row r="559">
      <c r="A559" s="11" t="s">
        <v>46</v>
      </c>
      <c r="B559" s="11" t="s">
        <v>47</v>
      </c>
      <c r="C559" s="11" t="s">
        <v>48</v>
      </c>
      <c r="D559" s="11" t="s">
        <v>49</v>
      </c>
      <c r="E559" s="11" t="s">
        <v>572</v>
      </c>
      <c r="F559" s="12" t="n">
        <v>19000.0</v>
      </c>
      <c r="G559" s="13"/>
      <c r="H559" s="14" t="s">
        <v>57</v>
      </c>
      <c r="I559" s="13"/>
      <c r="J559" s="14" t="s">
        <v>57</v>
      </c>
      <c r="K559" s="13" t="s">
        <v>56</v>
      </c>
      <c r="L559" s="14" t="s">
        <v>573</v>
      </c>
      <c r="M559" s="13"/>
      <c r="N559" s="14" t="s">
        <v>57</v>
      </c>
      <c r="O559" s="13" t="s">
        <v>56</v>
      </c>
      <c r="P559" s="14" t="s">
        <v>573</v>
      </c>
      <c r="Q559" s="13"/>
      <c r="R559" s="14" t="s">
        <v>57</v>
      </c>
      <c r="S559" s="15" t="str">
        <f>"－"</f>
        <v>－</v>
      </c>
      <c r="T559" s="16" t="n">
        <f>100</f>
        <v>100.0</v>
      </c>
      <c r="U559" s="16" t="n">
        <v>100.0</v>
      </c>
      <c r="V559" s="16" t="n">
        <f>43600000</f>
        <v>4.36E7</v>
      </c>
      <c r="W559" s="16" t="n">
        <v>4.36E7</v>
      </c>
      <c r="X559" s="16" t="str">
        <f>"－"</f>
        <v>－</v>
      </c>
      <c r="Y559" s="13"/>
      <c r="Z559" s="17" t="n">
        <f>300</f>
        <v>300.0</v>
      </c>
      <c r="AA559" s="18" t="str">
        <f>"－"</f>
        <v>－</v>
      </c>
      <c r="AB559" s="11" t="s">
        <v>574</v>
      </c>
    </row>
    <row r="560">
      <c r="A560" s="11" t="s">
        <v>46</v>
      </c>
      <c r="B560" s="11" t="s">
        <v>47</v>
      </c>
      <c r="C560" s="11" t="s">
        <v>48</v>
      </c>
      <c r="D560" s="11" t="s">
        <v>49</v>
      </c>
      <c r="E560" s="11" t="s">
        <v>572</v>
      </c>
      <c r="F560" s="12" t="n">
        <v>24000.0</v>
      </c>
      <c r="G560" s="13"/>
      <c r="H560" s="14" t="s">
        <v>57</v>
      </c>
      <c r="I560" s="13"/>
      <c r="J560" s="14" t="s">
        <v>57</v>
      </c>
      <c r="K560" s="13" t="s">
        <v>208</v>
      </c>
      <c r="L560" s="14" t="s">
        <v>169</v>
      </c>
      <c r="M560" s="13"/>
      <c r="N560" s="14" t="s">
        <v>57</v>
      </c>
      <c r="O560" s="13" t="s">
        <v>210</v>
      </c>
      <c r="P560" s="14" t="s">
        <v>278</v>
      </c>
      <c r="Q560" s="13"/>
      <c r="R560" s="14" t="s">
        <v>57</v>
      </c>
      <c r="S560" s="15" t="str">
        <f>"－"</f>
        <v>－</v>
      </c>
      <c r="T560" s="16" t="n">
        <f>570</f>
        <v>570.0</v>
      </c>
      <c r="U560" s="16" t="n">
        <v>570.0</v>
      </c>
      <c r="V560" s="16" t="n">
        <f>558000000</f>
        <v>5.58E8</v>
      </c>
      <c r="W560" s="16" t="n">
        <v>5.58E8</v>
      </c>
      <c r="X560" s="16" t="str">
        <f>"－"</f>
        <v>－</v>
      </c>
      <c r="Y560" s="13"/>
      <c r="Z560" s="17" t="n">
        <f>570</f>
        <v>570.0</v>
      </c>
      <c r="AA560" s="18" t="str">
        <f>"－"</f>
        <v>－</v>
      </c>
      <c r="AB560" s="11" t="s">
        <v>574</v>
      </c>
    </row>
    <row r="561">
      <c r="A561" s="11" t="s">
        <v>46</v>
      </c>
      <c r="B561" s="11" t="s">
        <v>47</v>
      </c>
      <c r="C561" s="11" t="s">
        <v>48</v>
      </c>
      <c r="D561" s="11" t="s">
        <v>49</v>
      </c>
      <c r="E561" s="11" t="s">
        <v>572</v>
      </c>
      <c r="F561" s="12" t="n">
        <v>24500.0</v>
      </c>
      <c r="G561" s="13"/>
      <c r="H561" s="14" t="s">
        <v>57</v>
      </c>
      <c r="I561" s="13"/>
      <c r="J561" s="14" t="s">
        <v>57</v>
      </c>
      <c r="K561" s="13"/>
      <c r="L561" s="14"/>
      <c r="M561" s="13"/>
      <c r="N561" s="14" t="s">
        <v>57</v>
      </c>
      <c r="O561" s="13"/>
      <c r="P561" s="14"/>
      <c r="Q561" s="13"/>
      <c r="R561" s="14" t="s">
        <v>57</v>
      </c>
      <c r="S561" s="15" t="str">
        <f>"－"</f>
        <v>－</v>
      </c>
      <c r="T561" s="16" t="str">
        <f>"－"</f>
        <v>－</v>
      </c>
      <c r="U561" s="16"/>
      <c r="V561" s="16" t="str">
        <f>"－"</f>
        <v>－</v>
      </c>
      <c r="W561" s="16"/>
      <c r="X561" s="16" t="str">
        <f>"－"</f>
        <v>－</v>
      </c>
      <c r="Y561" s="13"/>
      <c r="Z561" s="17" t="n">
        <f>500</f>
        <v>500.0</v>
      </c>
      <c r="AA561" s="18" t="str">
        <f>"－"</f>
        <v>－</v>
      </c>
      <c r="AB561" s="11" t="s">
        <v>574</v>
      </c>
    </row>
    <row r="562">
      <c r="A562" s="11" t="s">
        <v>46</v>
      </c>
      <c r="B562" s="11" t="s">
        <v>47</v>
      </c>
      <c r="C562" s="11" t="s">
        <v>48</v>
      </c>
      <c r="D562" s="11" t="s">
        <v>49</v>
      </c>
      <c r="E562" s="11" t="s">
        <v>572</v>
      </c>
      <c r="F562" s="12" t="n">
        <v>25000.0</v>
      </c>
      <c r="G562" s="13" t="s">
        <v>211</v>
      </c>
      <c r="H562" s="14" t="s">
        <v>319</v>
      </c>
      <c r="I562" s="13" t="s">
        <v>211</v>
      </c>
      <c r="J562" s="14" t="s">
        <v>319</v>
      </c>
      <c r="K562" s="13" t="s">
        <v>204</v>
      </c>
      <c r="L562" s="14" t="s">
        <v>442</v>
      </c>
      <c r="M562" s="13" t="s">
        <v>204</v>
      </c>
      <c r="N562" s="14" t="s">
        <v>199</v>
      </c>
      <c r="O562" s="13" t="s">
        <v>202</v>
      </c>
      <c r="P562" s="14" t="s">
        <v>575</v>
      </c>
      <c r="Q562" s="13" t="s">
        <v>204</v>
      </c>
      <c r="R562" s="14" t="s">
        <v>199</v>
      </c>
      <c r="S562" s="15" t="n">
        <f>1210</f>
        <v>1210.0</v>
      </c>
      <c r="T562" s="16" t="n">
        <f>103</f>
        <v>103.0</v>
      </c>
      <c r="U562" s="16" t="n">
        <v>98.0</v>
      </c>
      <c r="V562" s="16" t="n">
        <f>119580000</f>
        <v>1.1958E8</v>
      </c>
      <c r="W562" s="16" t="n">
        <v>1.1354E8</v>
      </c>
      <c r="X562" s="16" t="str">
        <f>"－"</f>
        <v>－</v>
      </c>
      <c r="Y562" s="13"/>
      <c r="Z562" s="17" t="n">
        <f>75</f>
        <v>75.0</v>
      </c>
      <c r="AA562" s="18" t="n">
        <f>2</f>
        <v>2.0</v>
      </c>
      <c r="AB562" s="11" t="s">
        <v>574</v>
      </c>
    </row>
    <row r="563">
      <c r="A563" s="11" t="s">
        <v>46</v>
      </c>
      <c r="B563" s="11" t="s">
        <v>47</v>
      </c>
      <c r="C563" s="11" t="s">
        <v>48</v>
      </c>
      <c r="D563" s="11" t="s">
        <v>49</v>
      </c>
      <c r="E563" s="11" t="s">
        <v>572</v>
      </c>
      <c r="F563" s="12" t="n">
        <v>26000.0</v>
      </c>
      <c r="G563" s="13"/>
      <c r="H563" s="14" t="s">
        <v>57</v>
      </c>
      <c r="I563" s="13"/>
      <c r="J563" s="14" t="s">
        <v>57</v>
      </c>
      <c r="K563" s="13" t="s">
        <v>206</v>
      </c>
      <c r="L563" s="14" t="s">
        <v>543</v>
      </c>
      <c r="M563" s="13"/>
      <c r="N563" s="14" t="s">
        <v>57</v>
      </c>
      <c r="O563" s="13" t="s">
        <v>206</v>
      </c>
      <c r="P563" s="14" t="s">
        <v>543</v>
      </c>
      <c r="Q563" s="13"/>
      <c r="R563" s="14" t="s">
        <v>57</v>
      </c>
      <c r="S563" s="15" t="str">
        <f>"－"</f>
        <v>－</v>
      </c>
      <c r="T563" s="16" t="n">
        <f>100</f>
        <v>100.0</v>
      </c>
      <c r="U563" s="16" t="n">
        <v>100.0</v>
      </c>
      <c r="V563" s="16" t="n">
        <f>150400000</f>
        <v>1.504E8</v>
      </c>
      <c r="W563" s="16" t="n">
        <v>1.504E8</v>
      </c>
      <c r="X563" s="16" t="str">
        <f>"－"</f>
        <v>－</v>
      </c>
      <c r="Y563" s="13"/>
      <c r="Z563" s="17" t="n">
        <f>100</f>
        <v>100.0</v>
      </c>
      <c r="AA563" s="18" t="str">
        <f>"－"</f>
        <v>－</v>
      </c>
      <c r="AB563" s="11" t="s">
        <v>574</v>
      </c>
    </row>
    <row r="564">
      <c r="A564" s="11" t="s">
        <v>46</v>
      </c>
      <c r="B564" s="11" t="s">
        <v>47</v>
      </c>
      <c r="C564" s="11" t="s">
        <v>48</v>
      </c>
      <c r="D564" s="11" t="s">
        <v>49</v>
      </c>
      <c r="E564" s="11" t="s">
        <v>572</v>
      </c>
      <c r="F564" s="12" t="n">
        <v>26500.0</v>
      </c>
      <c r="G564" s="13"/>
      <c r="H564" s="14" t="s">
        <v>57</v>
      </c>
      <c r="I564" s="13"/>
      <c r="J564" s="14" t="s">
        <v>57</v>
      </c>
      <c r="K564" s="13" t="s">
        <v>204</v>
      </c>
      <c r="L564" s="14" t="s">
        <v>576</v>
      </c>
      <c r="M564" s="13"/>
      <c r="N564" s="14" t="s">
        <v>57</v>
      </c>
      <c r="O564" s="13" t="s">
        <v>204</v>
      </c>
      <c r="P564" s="14" t="s">
        <v>576</v>
      </c>
      <c r="Q564" s="13"/>
      <c r="R564" s="14" t="s">
        <v>57</v>
      </c>
      <c r="S564" s="15" t="str">
        <f>"－"</f>
        <v>－</v>
      </c>
      <c r="T564" s="16" t="n">
        <f>100</f>
        <v>100.0</v>
      </c>
      <c r="U564" s="16" t="n">
        <v>100.0</v>
      </c>
      <c r="V564" s="16" t="n">
        <f>176400000</f>
        <v>1.764E8</v>
      </c>
      <c r="W564" s="16" t="n">
        <v>1.764E8</v>
      </c>
      <c r="X564" s="16" t="str">
        <f>"－"</f>
        <v>－</v>
      </c>
      <c r="Y564" s="13"/>
      <c r="Z564" s="17" t="n">
        <f>100</f>
        <v>100.0</v>
      </c>
      <c r="AA564" s="18" t="str">
        <f>"－"</f>
        <v>－</v>
      </c>
      <c r="AB564" s="11" t="s">
        <v>574</v>
      </c>
    </row>
    <row r="565">
      <c r="A565" s="11" t="s">
        <v>46</v>
      </c>
      <c r="B565" s="11" t="s">
        <v>47</v>
      </c>
      <c r="C565" s="11" t="s">
        <v>48</v>
      </c>
      <c r="D565" s="11" t="s">
        <v>49</v>
      </c>
      <c r="E565" s="11" t="s">
        <v>572</v>
      </c>
      <c r="F565" s="12" t="n">
        <v>28500.0</v>
      </c>
      <c r="G565" s="13"/>
      <c r="H565" s="14" t="s">
        <v>57</v>
      </c>
      <c r="I565" s="13"/>
      <c r="J565" s="14" t="s">
        <v>57</v>
      </c>
      <c r="K565" s="13" t="s">
        <v>204</v>
      </c>
      <c r="L565" s="14" t="s">
        <v>577</v>
      </c>
      <c r="M565" s="13"/>
      <c r="N565" s="14" t="s">
        <v>57</v>
      </c>
      <c r="O565" s="13" t="s">
        <v>204</v>
      </c>
      <c r="P565" s="14" t="s">
        <v>577</v>
      </c>
      <c r="Q565" s="13"/>
      <c r="R565" s="14" t="s">
        <v>57</v>
      </c>
      <c r="S565" s="15" t="str">
        <f>"－"</f>
        <v>－</v>
      </c>
      <c r="T565" s="16" t="n">
        <f>70</f>
        <v>70.0</v>
      </c>
      <c r="U565" s="16" t="n">
        <v>70.0</v>
      </c>
      <c r="V565" s="16" t="n">
        <f>151928000</f>
        <v>1.51928E8</v>
      </c>
      <c r="W565" s="16" t="n">
        <v>1.51928E8</v>
      </c>
      <c r="X565" s="16" t="str">
        <f>"－"</f>
        <v>－</v>
      </c>
      <c r="Y565" s="13"/>
      <c r="Z565" s="17" t="n">
        <f>70</f>
        <v>70.0</v>
      </c>
      <c r="AA565" s="18" t="str">
        <f>"－"</f>
        <v>－</v>
      </c>
      <c r="AB565" s="11" t="s">
        <v>574</v>
      </c>
    </row>
    <row r="566">
      <c r="A566" s="11" t="s">
        <v>46</v>
      </c>
      <c r="B566" s="11" t="s">
        <v>47</v>
      </c>
      <c r="C566" s="11" t="s">
        <v>48</v>
      </c>
      <c r="D566" s="11" t="s">
        <v>49</v>
      </c>
      <c r="E566" s="11" t="s">
        <v>572</v>
      </c>
      <c r="F566" s="12" t="n">
        <v>29000.0</v>
      </c>
      <c r="G566" s="13"/>
      <c r="H566" s="14" t="s">
        <v>57</v>
      </c>
      <c r="I566" s="13"/>
      <c r="J566" s="14" t="s">
        <v>57</v>
      </c>
      <c r="K566" s="13" t="s">
        <v>61</v>
      </c>
      <c r="L566" s="14" t="s">
        <v>578</v>
      </c>
      <c r="M566" s="13"/>
      <c r="N566" s="14" t="s">
        <v>57</v>
      </c>
      <c r="O566" s="13" t="s">
        <v>61</v>
      </c>
      <c r="P566" s="14" t="s">
        <v>578</v>
      </c>
      <c r="Q566" s="13"/>
      <c r="R566" s="14" t="s">
        <v>57</v>
      </c>
      <c r="S566" s="15" t="str">
        <f>"－"</f>
        <v>－</v>
      </c>
      <c r="T566" s="16" t="n">
        <f>10</f>
        <v>10.0</v>
      </c>
      <c r="U566" s="16" t="n">
        <v>10.0</v>
      </c>
      <c r="V566" s="16" t="n">
        <f>26350000</f>
        <v>2.635E7</v>
      </c>
      <c r="W566" s="16" t="n">
        <v>2.635E7</v>
      </c>
      <c r="X566" s="16" t="str">
        <f>"－"</f>
        <v>－</v>
      </c>
      <c r="Y566" s="13"/>
      <c r="Z566" s="17" t="n">
        <f>10</f>
        <v>10.0</v>
      </c>
      <c r="AA566" s="18" t="str">
        <f>"－"</f>
        <v>－</v>
      </c>
      <c r="AB566" s="11" t="s">
        <v>574</v>
      </c>
    </row>
    <row r="567">
      <c r="A567" s="11" t="s">
        <v>46</v>
      </c>
      <c r="B567" s="11" t="s">
        <v>47</v>
      </c>
      <c r="C567" s="11" t="s">
        <v>48</v>
      </c>
      <c r="D567" s="11" t="s">
        <v>49</v>
      </c>
      <c r="E567" s="11" t="s">
        <v>572</v>
      </c>
      <c r="F567" s="12" t="n">
        <v>29750.0</v>
      </c>
      <c r="G567" s="13"/>
      <c r="H567" s="14" t="s">
        <v>57</v>
      </c>
      <c r="I567" s="13"/>
      <c r="J567" s="14" t="s">
        <v>57</v>
      </c>
      <c r="K567" s="13" t="s">
        <v>210</v>
      </c>
      <c r="L567" s="14" t="s">
        <v>579</v>
      </c>
      <c r="M567" s="13"/>
      <c r="N567" s="14" t="s">
        <v>57</v>
      </c>
      <c r="O567" s="13" t="s">
        <v>210</v>
      </c>
      <c r="P567" s="14" t="s">
        <v>579</v>
      </c>
      <c r="Q567" s="13"/>
      <c r="R567" s="14" t="s">
        <v>57</v>
      </c>
      <c r="S567" s="15" t="str">
        <f>"－"</f>
        <v>－</v>
      </c>
      <c r="T567" s="16" t="n">
        <f>200</f>
        <v>200.0</v>
      </c>
      <c r="U567" s="16" t="n">
        <v>200.0</v>
      </c>
      <c r="V567" s="16" t="n">
        <f>540200000</f>
        <v>5.402E8</v>
      </c>
      <c r="W567" s="16" t="n">
        <v>5.402E8</v>
      </c>
      <c r="X567" s="16" t="str">
        <f>"－"</f>
        <v>－</v>
      </c>
      <c r="Y567" s="13"/>
      <c r="Z567" s="17" t="n">
        <f>200</f>
        <v>200.0</v>
      </c>
      <c r="AA567" s="18" t="str">
        <f>"－"</f>
        <v>－</v>
      </c>
      <c r="AB567" s="11" t="s">
        <v>574</v>
      </c>
    </row>
    <row r="568">
      <c r="A568" s="11" t="s">
        <v>46</v>
      </c>
      <c r="B568" s="11" t="s">
        <v>47</v>
      </c>
      <c r="C568" s="11" t="s">
        <v>48</v>
      </c>
      <c r="D568" s="11" t="s">
        <v>49</v>
      </c>
      <c r="E568" s="11" t="s">
        <v>580</v>
      </c>
      <c r="F568" s="12" t="n">
        <v>12500.0</v>
      </c>
      <c r="G568" s="13"/>
      <c r="H568" s="14" t="s">
        <v>57</v>
      </c>
      <c r="I568" s="13"/>
      <c r="J568" s="14" t="s">
        <v>57</v>
      </c>
      <c r="K568" s="13"/>
      <c r="L568" s="14"/>
      <c r="M568" s="13"/>
      <c r="N568" s="14" t="s">
        <v>57</v>
      </c>
      <c r="O568" s="13"/>
      <c r="P568" s="14"/>
      <c r="Q568" s="13"/>
      <c r="R568" s="14" t="s">
        <v>57</v>
      </c>
      <c r="S568" s="15" t="str">
        <f>"－"</f>
        <v>－</v>
      </c>
      <c r="T568" s="16" t="str">
        <f>"－"</f>
        <v>－</v>
      </c>
      <c r="U568" s="16"/>
      <c r="V568" s="16" t="str">
        <f>"－"</f>
        <v>－</v>
      </c>
      <c r="W568" s="16"/>
      <c r="X568" s="16" t="str">
        <f>"－"</f>
        <v>－</v>
      </c>
      <c r="Y568" s="13"/>
      <c r="Z568" s="17" t="n">
        <f>150</f>
        <v>150.0</v>
      </c>
      <c r="AA568" s="18" t="str">
        <f>"－"</f>
        <v>－</v>
      </c>
      <c r="AB568" s="11" t="s">
        <v>581</v>
      </c>
    </row>
    <row r="569">
      <c r="A569" s="11" t="s">
        <v>46</v>
      </c>
      <c r="B569" s="11" t="s">
        <v>47</v>
      </c>
      <c r="C569" s="11" t="s">
        <v>48</v>
      </c>
      <c r="D569" s="11" t="s">
        <v>49</v>
      </c>
      <c r="E569" s="11" t="s">
        <v>580</v>
      </c>
      <c r="F569" s="12" t="n">
        <v>14000.0</v>
      </c>
      <c r="G569" s="13"/>
      <c r="H569" s="14" t="s">
        <v>57</v>
      </c>
      <c r="I569" s="13"/>
      <c r="J569" s="14" t="s">
        <v>57</v>
      </c>
      <c r="K569" s="13"/>
      <c r="L569" s="14"/>
      <c r="M569" s="13"/>
      <c r="N569" s="14" t="s">
        <v>57</v>
      </c>
      <c r="O569" s="13"/>
      <c r="P569" s="14"/>
      <c r="Q569" s="13"/>
      <c r="R569" s="14" t="s">
        <v>57</v>
      </c>
      <c r="S569" s="15" t="str">
        <f>"－"</f>
        <v>－</v>
      </c>
      <c r="T569" s="16" t="str">
        <f>"－"</f>
        <v>－</v>
      </c>
      <c r="U569" s="16"/>
      <c r="V569" s="16" t="str">
        <f>"－"</f>
        <v>－</v>
      </c>
      <c r="W569" s="16"/>
      <c r="X569" s="16" t="str">
        <f>"－"</f>
        <v>－</v>
      </c>
      <c r="Y569" s="13"/>
      <c r="Z569" s="17" t="n">
        <f>300</f>
        <v>300.0</v>
      </c>
      <c r="AA569" s="18" t="str">
        <f>"－"</f>
        <v>－</v>
      </c>
      <c r="AB569" s="11" t="s">
        <v>581</v>
      </c>
    </row>
    <row r="570">
      <c r="A570" s="11" t="s">
        <v>46</v>
      </c>
      <c r="B570" s="11" t="s">
        <v>47</v>
      </c>
      <c r="C570" s="11" t="s">
        <v>48</v>
      </c>
      <c r="D570" s="11" t="s">
        <v>49</v>
      </c>
      <c r="E570" s="11" t="s">
        <v>580</v>
      </c>
      <c r="F570" s="12" t="n">
        <v>15000.0</v>
      </c>
      <c r="G570" s="13"/>
      <c r="H570" s="14" t="s">
        <v>57</v>
      </c>
      <c r="I570" s="13"/>
      <c r="J570" s="14" t="s">
        <v>57</v>
      </c>
      <c r="K570" s="13" t="s">
        <v>288</v>
      </c>
      <c r="L570" s="14" t="s">
        <v>138</v>
      </c>
      <c r="M570" s="13"/>
      <c r="N570" s="14" t="s">
        <v>57</v>
      </c>
      <c r="O570" s="13" t="s">
        <v>202</v>
      </c>
      <c r="P570" s="14" t="s">
        <v>137</v>
      </c>
      <c r="Q570" s="13"/>
      <c r="R570" s="14" t="s">
        <v>57</v>
      </c>
      <c r="S570" s="15" t="str">
        <f>"－"</f>
        <v>－</v>
      </c>
      <c r="T570" s="16" t="n">
        <f>200</f>
        <v>200.0</v>
      </c>
      <c r="U570" s="16" t="n">
        <v>200.0</v>
      </c>
      <c r="V570" s="16" t="n">
        <f>54000000</f>
        <v>5.4E7</v>
      </c>
      <c r="W570" s="16" t="n">
        <v>5.4E7</v>
      </c>
      <c r="X570" s="16" t="str">
        <f>"－"</f>
        <v>－</v>
      </c>
      <c r="Y570" s="13"/>
      <c r="Z570" s="17" t="n">
        <f>762</f>
        <v>762.0</v>
      </c>
      <c r="AA570" s="18" t="str">
        <f>"－"</f>
        <v>－</v>
      </c>
      <c r="AB570" s="11" t="s">
        <v>581</v>
      </c>
    </row>
    <row r="571">
      <c r="A571" s="11" t="s">
        <v>46</v>
      </c>
      <c r="B571" s="11" t="s">
        <v>47</v>
      </c>
      <c r="C571" s="11" t="s">
        <v>48</v>
      </c>
      <c r="D571" s="11" t="s">
        <v>49</v>
      </c>
      <c r="E571" s="11" t="s">
        <v>580</v>
      </c>
      <c r="F571" s="12" t="n">
        <v>15500.0</v>
      </c>
      <c r="G571" s="13"/>
      <c r="H571" s="14" t="s">
        <v>57</v>
      </c>
      <c r="I571" s="13"/>
      <c r="J571" s="14" t="s">
        <v>57</v>
      </c>
      <c r="K571" s="13"/>
      <c r="L571" s="14"/>
      <c r="M571" s="13"/>
      <c r="N571" s="14" t="s">
        <v>57</v>
      </c>
      <c r="O571" s="13"/>
      <c r="P571" s="14"/>
      <c r="Q571" s="13"/>
      <c r="R571" s="14" t="s">
        <v>57</v>
      </c>
      <c r="S571" s="15" t="str">
        <f>"－"</f>
        <v>－</v>
      </c>
      <c r="T571" s="16" t="str">
        <f>"－"</f>
        <v>－</v>
      </c>
      <c r="U571" s="16"/>
      <c r="V571" s="16" t="str">
        <f>"－"</f>
        <v>－</v>
      </c>
      <c r="W571" s="16"/>
      <c r="X571" s="16" t="str">
        <f>"－"</f>
        <v>－</v>
      </c>
      <c r="Y571" s="13"/>
      <c r="Z571" s="17" t="n">
        <f>300</f>
        <v>300.0</v>
      </c>
      <c r="AA571" s="18" t="str">
        <f>"－"</f>
        <v>－</v>
      </c>
      <c r="AB571" s="11" t="s">
        <v>581</v>
      </c>
    </row>
    <row r="572">
      <c r="A572" s="11" t="s">
        <v>46</v>
      </c>
      <c r="B572" s="11" t="s">
        <v>47</v>
      </c>
      <c r="C572" s="11" t="s">
        <v>48</v>
      </c>
      <c r="D572" s="11" t="s">
        <v>49</v>
      </c>
      <c r="E572" s="11" t="s">
        <v>580</v>
      </c>
      <c r="F572" s="12" t="n">
        <v>15750.0</v>
      </c>
      <c r="G572" s="13"/>
      <c r="H572" s="14" t="s">
        <v>57</v>
      </c>
      <c r="I572" s="13"/>
      <c r="J572" s="14" t="s">
        <v>57</v>
      </c>
      <c r="K572" s="13"/>
      <c r="L572" s="14"/>
      <c r="M572" s="13"/>
      <c r="N572" s="14" t="s">
        <v>57</v>
      </c>
      <c r="O572" s="13"/>
      <c r="P572" s="14"/>
      <c r="Q572" s="13"/>
      <c r="R572" s="14" t="s">
        <v>57</v>
      </c>
      <c r="S572" s="15" t="str">
        <f>"－"</f>
        <v>－</v>
      </c>
      <c r="T572" s="16" t="str">
        <f>"－"</f>
        <v>－</v>
      </c>
      <c r="U572" s="16"/>
      <c r="V572" s="16" t="str">
        <f>"－"</f>
        <v>－</v>
      </c>
      <c r="W572" s="16"/>
      <c r="X572" s="16" t="str">
        <f>"－"</f>
        <v>－</v>
      </c>
      <c r="Y572" s="13"/>
      <c r="Z572" s="17" t="n">
        <f>35</f>
        <v>35.0</v>
      </c>
      <c r="AA572" s="18" t="str">
        <f>"－"</f>
        <v>－</v>
      </c>
      <c r="AB572" s="11" t="s">
        <v>581</v>
      </c>
    </row>
    <row r="573">
      <c r="A573" s="11" t="s">
        <v>46</v>
      </c>
      <c r="B573" s="11" t="s">
        <v>47</v>
      </c>
      <c r="C573" s="11" t="s">
        <v>48</v>
      </c>
      <c r="D573" s="11" t="s">
        <v>49</v>
      </c>
      <c r="E573" s="11" t="s">
        <v>580</v>
      </c>
      <c r="F573" s="12" t="n">
        <v>16000.0</v>
      </c>
      <c r="G573" s="13"/>
      <c r="H573" s="14" t="s">
        <v>57</v>
      </c>
      <c r="I573" s="13"/>
      <c r="J573" s="14" t="s">
        <v>57</v>
      </c>
      <c r="K573" s="13"/>
      <c r="L573" s="14"/>
      <c r="M573" s="13"/>
      <c r="N573" s="14" t="s">
        <v>57</v>
      </c>
      <c r="O573" s="13"/>
      <c r="P573" s="14"/>
      <c r="Q573" s="13"/>
      <c r="R573" s="14" t="s">
        <v>57</v>
      </c>
      <c r="S573" s="15" t="str">
        <f>"－"</f>
        <v>－</v>
      </c>
      <c r="T573" s="16" t="str">
        <f>"－"</f>
        <v>－</v>
      </c>
      <c r="U573" s="16"/>
      <c r="V573" s="16" t="str">
        <f>"－"</f>
        <v>－</v>
      </c>
      <c r="W573" s="16"/>
      <c r="X573" s="16" t="str">
        <f>"－"</f>
        <v>－</v>
      </c>
      <c r="Y573" s="13"/>
      <c r="Z573" s="17" t="n">
        <f>1000</f>
        <v>1000.0</v>
      </c>
      <c r="AA573" s="18" t="str">
        <f>"－"</f>
        <v>－</v>
      </c>
      <c r="AB573" s="11" t="s">
        <v>581</v>
      </c>
    </row>
    <row r="574">
      <c r="A574" s="11" t="s">
        <v>46</v>
      </c>
      <c r="B574" s="11" t="s">
        <v>47</v>
      </c>
      <c r="C574" s="11" t="s">
        <v>48</v>
      </c>
      <c r="D574" s="11" t="s">
        <v>49</v>
      </c>
      <c r="E574" s="11" t="s">
        <v>580</v>
      </c>
      <c r="F574" s="12" t="n">
        <v>16500.0</v>
      </c>
      <c r="G574" s="13"/>
      <c r="H574" s="14" t="s">
        <v>57</v>
      </c>
      <c r="I574" s="13"/>
      <c r="J574" s="14" t="s">
        <v>57</v>
      </c>
      <c r="K574" s="13"/>
      <c r="L574" s="14"/>
      <c r="M574" s="13"/>
      <c r="N574" s="14" t="s">
        <v>57</v>
      </c>
      <c r="O574" s="13"/>
      <c r="P574" s="14"/>
      <c r="Q574" s="13"/>
      <c r="R574" s="14" t="s">
        <v>57</v>
      </c>
      <c r="S574" s="15" t="str">
        <f>"－"</f>
        <v>－</v>
      </c>
      <c r="T574" s="16" t="str">
        <f>"－"</f>
        <v>－</v>
      </c>
      <c r="U574" s="16"/>
      <c r="V574" s="16" t="str">
        <f>"－"</f>
        <v>－</v>
      </c>
      <c r="W574" s="16"/>
      <c r="X574" s="16" t="str">
        <f>"－"</f>
        <v>－</v>
      </c>
      <c r="Y574" s="13"/>
      <c r="Z574" s="17" t="n">
        <f>300</f>
        <v>300.0</v>
      </c>
      <c r="AA574" s="18" t="str">
        <f>"－"</f>
        <v>－</v>
      </c>
      <c r="AB574" s="11" t="s">
        <v>581</v>
      </c>
    </row>
    <row r="575">
      <c r="A575" s="11" t="s">
        <v>46</v>
      </c>
      <c r="B575" s="11" t="s">
        <v>47</v>
      </c>
      <c r="C575" s="11" t="s">
        <v>48</v>
      </c>
      <c r="D575" s="11" t="s">
        <v>49</v>
      </c>
      <c r="E575" s="11" t="s">
        <v>580</v>
      </c>
      <c r="F575" s="12" t="n">
        <v>17000.0</v>
      </c>
      <c r="G575" s="13"/>
      <c r="H575" s="14" t="s">
        <v>57</v>
      </c>
      <c r="I575" s="13"/>
      <c r="J575" s="14" t="s">
        <v>57</v>
      </c>
      <c r="K575" s="13" t="s">
        <v>50</v>
      </c>
      <c r="L575" s="14" t="s">
        <v>582</v>
      </c>
      <c r="M575" s="13"/>
      <c r="N575" s="14" t="s">
        <v>57</v>
      </c>
      <c r="O575" s="13" t="s">
        <v>50</v>
      </c>
      <c r="P575" s="14" t="s">
        <v>582</v>
      </c>
      <c r="Q575" s="13"/>
      <c r="R575" s="14" t="s">
        <v>57</v>
      </c>
      <c r="S575" s="15" t="str">
        <f>"－"</f>
        <v>－</v>
      </c>
      <c r="T575" s="16" t="n">
        <f>250</f>
        <v>250.0</v>
      </c>
      <c r="U575" s="16" t="n">
        <v>250.0</v>
      </c>
      <c r="V575" s="16" t="n">
        <f>130910000</f>
        <v>1.3091E8</v>
      </c>
      <c r="W575" s="16" t="n">
        <v>1.3091E8</v>
      </c>
      <c r="X575" s="16" t="str">
        <f>"－"</f>
        <v>－</v>
      </c>
      <c r="Y575" s="13"/>
      <c r="Z575" s="17" t="n">
        <f>3195</f>
        <v>3195.0</v>
      </c>
      <c r="AA575" s="18" t="str">
        <f>"－"</f>
        <v>－</v>
      </c>
      <c r="AB575" s="11" t="s">
        <v>581</v>
      </c>
    </row>
    <row r="576">
      <c r="A576" s="11" t="s">
        <v>46</v>
      </c>
      <c r="B576" s="11" t="s">
        <v>47</v>
      </c>
      <c r="C576" s="11" t="s">
        <v>48</v>
      </c>
      <c r="D576" s="11" t="s">
        <v>49</v>
      </c>
      <c r="E576" s="11" t="s">
        <v>580</v>
      </c>
      <c r="F576" s="12" t="n">
        <v>17500.0</v>
      </c>
      <c r="G576" s="13"/>
      <c r="H576" s="14" t="s">
        <v>57</v>
      </c>
      <c r="I576" s="13"/>
      <c r="J576" s="14" t="s">
        <v>57</v>
      </c>
      <c r="K576" s="13"/>
      <c r="L576" s="14"/>
      <c r="M576" s="13"/>
      <c r="N576" s="14" t="s">
        <v>57</v>
      </c>
      <c r="O576" s="13"/>
      <c r="P576" s="14"/>
      <c r="Q576" s="13"/>
      <c r="R576" s="14" t="s">
        <v>57</v>
      </c>
      <c r="S576" s="15" t="str">
        <f>"－"</f>
        <v>－</v>
      </c>
      <c r="T576" s="16" t="str">
        <f>"－"</f>
        <v>－</v>
      </c>
      <c r="U576" s="16"/>
      <c r="V576" s="16" t="str">
        <f>"－"</f>
        <v>－</v>
      </c>
      <c r="W576" s="16"/>
      <c r="X576" s="16" t="str">
        <f>"－"</f>
        <v>－</v>
      </c>
      <c r="Y576" s="13"/>
      <c r="Z576" s="17" t="n">
        <f>300</f>
        <v>300.0</v>
      </c>
      <c r="AA576" s="18" t="str">
        <f>"－"</f>
        <v>－</v>
      </c>
      <c r="AB576" s="11" t="s">
        <v>581</v>
      </c>
    </row>
    <row r="577">
      <c r="A577" s="11" t="s">
        <v>46</v>
      </c>
      <c r="B577" s="11" t="s">
        <v>47</v>
      </c>
      <c r="C577" s="11" t="s">
        <v>48</v>
      </c>
      <c r="D577" s="11" t="s">
        <v>49</v>
      </c>
      <c r="E577" s="11" t="s">
        <v>580</v>
      </c>
      <c r="F577" s="12" t="n">
        <v>18000.0</v>
      </c>
      <c r="G577" s="13"/>
      <c r="H577" s="14" t="s">
        <v>57</v>
      </c>
      <c r="I577" s="13"/>
      <c r="J577" s="14" t="s">
        <v>57</v>
      </c>
      <c r="K577" s="13"/>
      <c r="L577" s="14"/>
      <c r="M577" s="13"/>
      <c r="N577" s="14" t="s">
        <v>57</v>
      </c>
      <c r="O577" s="13"/>
      <c r="P577" s="14"/>
      <c r="Q577" s="13"/>
      <c r="R577" s="14" t="s">
        <v>57</v>
      </c>
      <c r="S577" s="15" t="str">
        <f>"－"</f>
        <v>－</v>
      </c>
      <c r="T577" s="16" t="str">
        <f>"－"</f>
        <v>－</v>
      </c>
      <c r="U577" s="16"/>
      <c r="V577" s="16" t="str">
        <f>"－"</f>
        <v>－</v>
      </c>
      <c r="W577" s="16"/>
      <c r="X577" s="16" t="str">
        <f>"－"</f>
        <v>－</v>
      </c>
      <c r="Y577" s="13"/>
      <c r="Z577" s="17" t="n">
        <f>3050</f>
        <v>3050.0</v>
      </c>
      <c r="AA577" s="18" t="str">
        <f>"－"</f>
        <v>－</v>
      </c>
      <c r="AB577" s="11" t="s">
        <v>581</v>
      </c>
    </row>
    <row r="578">
      <c r="A578" s="11" t="s">
        <v>46</v>
      </c>
      <c r="B578" s="11" t="s">
        <v>47</v>
      </c>
      <c r="C578" s="11" t="s">
        <v>48</v>
      </c>
      <c r="D578" s="11" t="s">
        <v>49</v>
      </c>
      <c r="E578" s="11" t="s">
        <v>580</v>
      </c>
      <c r="F578" s="12" t="n">
        <v>18500.0</v>
      </c>
      <c r="G578" s="13"/>
      <c r="H578" s="14" t="s">
        <v>57</v>
      </c>
      <c r="I578" s="13"/>
      <c r="J578" s="14" t="s">
        <v>57</v>
      </c>
      <c r="K578" s="13"/>
      <c r="L578" s="14"/>
      <c r="M578" s="13"/>
      <c r="N578" s="14" t="s">
        <v>57</v>
      </c>
      <c r="O578" s="13"/>
      <c r="P578" s="14"/>
      <c r="Q578" s="13"/>
      <c r="R578" s="14" t="s">
        <v>57</v>
      </c>
      <c r="S578" s="15" t="str">
        <f>"－"</f>
        <v>－</v>
      </c>
      <c r="T578" s="16" t="str">
        <f>"－"</f>
        <v>－</v>
      </c>
      <c r="U578" s="16"/>
      <c r="V578" s="16" t="str">
        <f>"－"</f>
        <v>－</v>
      </c>
      <c r="W578" s="16"/>
      <c r="X578" s="16" t="str">
        <f>"－"</f>
        <v>－</v>
      </c>
      <c r="Y578" s="13"/>
      <c r="Z578" s="17" t="n">
        <f>842</f>
        <v>842.0</v>
      </c>
      <c r="AA578" s="18" t="str">
        <f>"－"</f>
        <v>－</v>
      </c>
      <c r="AB578" s="11" t="s">
        <v>581</v>
      </c>
    </row>
    <row r="579">
      <c r="A579" s="11" t="s">
        <v>46</v>
      </c>
      <c r="B579" s="11" t="s">
        <v>47</v>
      </c>
      <c r="C579" s="11" t="s">
        <v>48</v>
      </c>
      <c r="D579" s="11" t="s">
        <v>49</v>
      </c>
      <c r="E579" s="11" t="s">
        <v>580</v>
      </c>
      <c r="F579" s="12" t="n">
        <v>19000.0</v>
      </c>
      <c r="G579" s="13"/>
      <c r="H579" s="14" t="s">
        <v>57</v>
      </c>
      <c r="I579" s="13"/>
      <c r="J579" s="14" t="s">
        <v>57</v>
      </c>
      <c r="K579" s="13" t="s">
        <v>56</v>
      </c>
      <c r="L579" s="14" t="s">
        <v>422</v>
      </c>
      <c r="M579" s="13"/>
      <c r="N579" s="14" t="s">
        <v>57</v>
      </c>
      <c r="O579" s="13" t="s">
        <v>202</v>
      </c>
      <c r="P579" s="14" t="s">
        <v>245</v>
      </c>
      <c r="Q579" s="13"/>
      <c r="R579" s="14" t="s">
        <v>57</v>
      </c>
      <c r="S579" s="15" t="str">
        <f>"－"</f>
        <v>－</v>
      </c>
      <c r="T579" s="16" t="n">
        <f>200</f>
        <v>200.0</v>
      </c>
      <c r="U579" s="16" t="n">
        <v>200.0</v>
      </c>
      <c r="V579" s="16" t="n">
        <f>106000000</f>
        <v>1.06E8</v>
      </c>
      <c r="W579" s="16" t="n">
        <v>1.06E8</v>
      </c>
      <c r="X579" s="16" t="str">
        <f>"－"</f>
        <v>－</v>
      </c>
      <c r="Y579" s="13"/>
      <c r="Z579" s="17" t="n">
        <f>1550</f>
        <v>1550.0</v>
      </c>
      <c r="AA579" s="18" t="str">
        <f>"－"</f>
        <v>－</v>
      </c>
      <c r="AB579" s="11" t="s">
        <v>581</v>
      </c>
    </row>
    <row r="580">
      <c r="A580" s="11" t="s">
        <v>46</v>
      </c>
      <c r="B580" s="11" t="s">
        <v>47</v>
      </c>
      <c r="C580" s="11" t="s">
        <v>48</v>
      </c>
      <c r="D580" s="11" t="s">
        <v>49</v>
      </c>
      <c r="E580" s="11" t="s">
        <v>580</v>
      </c>
      <c r="F580" s="12" t="n">
        <v>19500.0</v>
      </c>
      <c r="G580" s="13"/>
      <c r="H580" s="14" t="s">
        <v>57</v>
      </c>
      <c r="I580" s="13"/>
      <c r="J580" s="14" t="s">
        <v>57</v>
      </c>
      <c r="K580" s="13"/>
      <c r="L580" s="14"/>
      <c r="M580" s="13"/>
      <c r="N580" s="14" t="s">
        <v>57</v>
      </c>
      <c r="O580" s="13"/>
      <c r="P580" s="14"/>
      <c r="Q580" s="13"/>
      <c r="R580" s="14" t="s">
        <v>57</v>
      </c>
      <c r="S580" s="15" t="str">
        <f>"－"</f>
        <v>－</v>
      </c>
      <c r="T580" s="16" t="str">
        <f>"－"</f>
        <v>－</v>
      </c>
      <c r="U580" s="16"/>
      <c r="V580" s="16" t="str">
        <f>"－"</f>
        <v>－</v>
      </c>
      <c r="W580" s="16"/>
      <c r="X580" s="16" t="str">
        <f>"－"</f>
        <v>－</v>
      </c>
      <c r="Y580" s="13"/>
      <c r="Z580" s="17" t="n">
        <f>100</f>
        <v>100.0</v>
      </c>
      <c r="AA580" s="18" t="str">
        <f>"－"</f>
        <v>－</v>
      </c>
      <c r="AB580" s="11" t="s">
        <v>581</v>
      </c>
    </row>
    <row r="581">
      <c r="A581" s="11" t="s">
        <v>46</v>
      </c>
      <c r="B581" s="11" t="s">
        <v>47</v>
      </c>
      <c r="C581" s="11" t="s">
        <v>48</v>
      </c>
      <c r="D581" s="11" t="s">
        <v>49</v>
      </c>
      <c r="E581" s="11" t="s">
        <v>580</v>
      </c>
      <c r="F581" s="12" t="n">
        <v>19750.0</v>
      </c>
      <c r="G581" s="13"/>
      <c r="H581" s="14" t="s">
        <v>57</v>
      </c>
      <c r="I581" s="13"/>
      <c r="J581" s="14" t="s">
        <v>57</v>
      </c>
      <c r="K581" s="13"/>
      <c r="L581" s="14"/>
      <c r="M581" s="13"/>
      <c r="N581" s="14" t="s">
        <v>57</v>
      </c>
      <c r="O581" s="13"/>
      <c r="P581" s="14"/>
      <c r="Q581" s="13"/>
      <c r="R581" s="14" t="s">
        <v>57</v>
      </c>
      <c r="S581" s="15" t="str">
        <f>"－"</f>
        <v>－</v>
      </c>
      <c r="T581" s="16" t="str">
        <f>"－"</f>
        <v>－</v>
      </c>
      <c r="U581" s="16"/>
      <c r="V581" s="16" t="str">
        <f>"－"</f>
        <v>－</v>
      </c>
      <c r="W581" s="16"/>
      <c r="X581" s="16" t="str">
        <f>"－"</f>
        <v>－</v>
      </c>
      <c r="Y581" s="13"/>
      <c r="Z581" s="17" t="n">
        <f>125</f>
        <v>125.0</v>
      </c>
      <c r="AA581" s="18" t="str">
        <f>"－"</f>
        <v>－</v>
      </c>
      <c r="AB581" s="11" t="s">
        <v>581</v>
      </c>
    </row>
    <row r="582">
      <c r="A582" s="11" t="s">
        <v>46</v>
      </c>
      <c r="B582" s="11" t="s">
        <v>47</v>
      </c>
      <c r="C582" s="11" t="s">
        <v>48</v>
      </c>
      <c r="D582" s="11" t="s">
        <v>49</v>
      </c>
      <c r="E582" s="11" t="s">
        <v>580</v>
      </c>
      <c r="F582" s="12" t="n">
        <v>20000.0</v>
      </c>
      <c r="G582" s="13"/>
      <c r="H582" s="14" t="s">
        <v>57</v>
      </c>
      <c r="I582" s="13"/>
      <c r="J582" s="14" t="s">
        <v>57</v>
      </c>
      <c r="K582" s="13" t="s">
        <v>60</v>
      </c>
      <c r="L582" s="14" t="s">
        <v>167</v>
      </c>
      <c r="M582" s="13"/>
      <c r="N582" s="14" t="s">
        <v>57</v>
      </c>
      <c r="O582" s="13" t="s">
        <v>56</v>
      </c>
      <c r="P582" s="14" t="s">
        <v>166</v>
      </c>
      <c r="Q582" s="13"/>
      <c r="R582" s="14" t="s">
        <v>57</v>
      </c>
      <c r="S582" s="15" t="str">
        <f>"－"</f>
        <v>－</v>
      </c>
      <c r="T582" s="16" t="n">
        <f>600</f>
        <v>600.0</v>
      </c>
      <c r="U582" s="16" t="n">
        <v>600.0</v>
      </c>
      <c r="V582" s="16" t="n">
        <f>413000000</f>
        <v>4.13E8</v>
      </c>
      <c r="W582" s="16" t="n">
        <v>4.13E8</v>
      </c>
      <c r="X582" s="16" t="str">
        <f>"－"</f>
        <v>－</v>
      </c>
      <c r="Y582" s="13"/>
      <c r="Z582" s="17" t="n">
        <f>2776</f>
        <v>2776.0</v>
      </c>
      <c r="AA582" s="18" t="str">
        <f>"－"</f>
        <v>－</v>
      </c>
      <c r="AB582" s="11" t="s">
        <v>581</v>
      </c>
    </row>
    <row r="583">
      <c r="A583" s="11" t="s">
        <v>46</v>
      </c>
      <c r="B583" s="11" t="s">
        <v>47</v>
      </c>
      <c r="C583" s="11" t="s">
        <v>48</v>
      </c>
      <c r="D583" s="11" t="s">
        <v>49</v>
      </c>
      <c r="E583" s="11" t="s">
        <v>580</v>
      </c>
      <c r="F583" s="12" t="n">
        <v>20500.0</v>
      </c>
      <c r="G583" s="13"/>
      <c r="H583" s="14" t="s">
        <v>57</v>
      </c>
      <c r="I583" s="13"/>
      <c r="J583" s="14" t="s">
        <v>57</v>
      </c>
      <c r="K583" s="13"/>
      <c r="L583" s="14"/>
      <c r="M583" s="13"/>
      <c r="N583" s="14" t="s">
        <v>57</v>
      </c>
      <c r="O583" s="13"/>
      <c r="P583" s="14"/>
      <c r="Q583" s="13"/>
      <c r="R583" s="14" t="s">
        <v>57</v>
      </c>
      <c r="S583" s="15" t="str">
        <f>"－"</f>
        <v>－</v>
      </c>
      <c r="T583" s="16" t="str">
        <f>"－"</f>
        <v>－</v>
      </c>
      <c r="U583" s="16"/>
      <c r="V583" s="16" t="str">
        <f>"－"</f>
        <v>－</v>
      </c>
      <c r="W583" s="16"/>
      <c r="X583" s="16" t="str">
        <f>"－"</f>
        <v>－</v>
      </c>
      <c r="Y583" s="13"/>
      <c r="Z583" s="17" t="n">
        <f>200</f>
        <v>200.0</v>
      </c>
      <c r="AA583" s="18" t="str">
        <f>"－"</f>
        <v>－</v>
      </c>
      <c r="AB583" s="11" t="s">
        <v>581</v>
      </c>
    </row>
    <row r="584">
      <c r="A584" s="11" t="s">
        <v>46</v>
      </c>
      <c r="B584" s="11" t="s">
        <v>47</v>
      </c>
      <c r="C584" s="11" t="s">
        <v>48</v>
      </c>
      <c r="D584" s="11" t="s">
        <v>49</v>
      </c>
      <c r="E584" s="11" t="s">
        <v>580</v>
      </c>
      <c r="F584" s="12" t="n">
        <v>20750.0</v>
      </c>
      <c r="G584" s="13"/>
      <c r="H584" s="14" t="s">
        <v>57</v>
      </c>
      <c r="I584" s="13"/>
      <c r="J584" s="14" t="s">
        <v>57</v>
      </c>
      <c r="K584" s="13"/>
      <c r="L584" s="14"/>
      <c r="M584" s="13"/>
      <c r="N584" s="14" t="s">
        <v>57</v>
      </c>
      <c r="O584" s="13"/>
      <c r="P584" s="14"/>
      <c r="Q584" s="13"/>
      <c r="R584" s="14" t="s">
        <v>57</v>
      </c>
      <c r="S584" s="15" t="str">
        <f>"－"</f>
        <v>－</v>
      </c>
      <c r="T584" s="16" t="str">
        <f>"－"</f>
        <v>－</v>
      </c>
      <c r="U584" s="16"/>
      <c r="V584" s="16" t="str">
        <f>"－"</f>
        <v>－</v>
      </c>
      <c r="W584" s="16"/>
      <c r="X584" s="16" t="str">
        <f>"－"</f>
        <v>－</v>
      </c>
      <c r="Y584" s="13"/>
      <c r="Z584" s="17" t="n">
        <f>300</f>
        <v>300.0</v>
      </c>
      <c r="AA584" s="18" t="str">
        <f>"－"</f>
        <v>－</v>
      </c>
      <c r="AB584" s="11" t="s">
        <v>581</v>
      </c>
    </row>
    <row r="585">
      <c r="A585" s="11" t="s">
        <v>46</v>
      </c>
      <c r="B585" s="11" t="s">
        <v>47</v>
      </c>
      <c r="C585" s="11" t="s">
        <v>48</v>
      </c>
      <c r="D585" s="11" t="s">
        <v>49</v>
      </c>
      <c r="E585" s="11" t="s">
        <v>580</v>
      </c>
      <c r="F585" s="12" t="n">
        <v>21000.0</v>
      </c>
      <c r="G585" s="13"/>
      <c r="H585" s="14" t="s">
        <v>57</v>
      </c>
      <c r="I585" s="13"/>
      <c r="J585" s="14" t="s">
        <v>57</v>
      </c>
      <c r="K585" s="13"/>
      <c r="L585" s="14"/>
      <c r="M585" s="13"/>
      <c r="N585" s="14" t="s">
        <v>57</v>
      </c>
      <c r="O585" s="13"/>
      <c r="P585" s="14"/>
      <c r="Q585" s="13"/>
      <c r="R585" s="14" t="s">
        <v>57</v>
      </c>
      <c r="S585" s="15" t="str">
        <f>"－"</f>
        <v>－</v>
      </c>
      <c r="T585" s="16" t="str">
        <f>"－"</f>
        <v>－</v>
      </c>
      <c r="U585" s="16"/>
      <c r="V585" s="16" t="str">
        <f>"－"</f>
        <v>－</v>
      </c>
      <c r="W585" s="16"/>
      <c r="X585" s="16" t="str">
        <f>"－"</f>
        <v>－</v>
      </c>
      <c r="Y585" s="13"/>
      <c r="Z585" s="17" t="n">
        <f>1380</f>
        <v>1380.0</v>
      </c>
      <c r="AA585" s="18" t="str">
        <f>"－"</f>
        <v>－</v>
      </c>
      <c r="AB585" s="11" t="s">
        <v>581</v>
      </c>
    </row>
    <row r="586">
      <c r="A586" s="11" t="s">
        <v>46</v>
      </c>
      <c r="B586" s="11" t="s">
        <v>47</v>
      </c>
      <c r="C586" s="11" t="s">
        <v>48</v>
      </c>
      <c r="D586" s="11" t="s">
        <v>49</v>
      </c>
      <c r="E586" s="11" t="s">
        <v>580</v>
      </c>
      <c r="F586" s="12" t="n">
        <v>22000.0</v>
      </c>
      <c r="G586" s="13"/>
      <c r="H586" s="14" t="s">
        <v>57</v>
      </c>
      <c r="I586" s="13"/>
      <c r="J586" s="14" t="s">
        <v>57</v>
      </c>
      <c r="K586" s="13"/>
      <c r="L586" s="14"/>
      <c r="M586" s="13"/>
      <c r="N586" s="14" t="s">
        <v>57</v>
      </c>
      <c r="O586" s="13"/>
      <c r="P586" s="14"/>
      <c r="Q586" s="13"/>
      <c r="R586" s="14" t="s">
        <v>57</v>
      </c>
      <c r="S586" s="15" t="str">
        <f>"－"</f>
        <v>－</v>
      </c>
      <c r="T586" s="16" t="str">
        <f>"－"</f>
        <v>－</v>
      </c>
      <c r="U586" s="16"/>
      <c r="V586" s="16" t="str">
        <f>"－"</f>
        <v>－</v>
      </c>
      <c r="W586" s="16"/>
      <c r="X586" s="16" t="str">
        <f>"－"</f>
        <v>－</v>
      </c>
      <c r="Y586" s="13"/>
      <c r="Z586" s="17" t="n">
        <f>2175</f>
        <v>2175.0</v>
      </c>
      <c r="AA586" s="18" t="str">
        <f>"－"</f>
        <v>－</v>
      </c>
      <c r="AB586" s="11" t="s">
        <v>581</v>
      </c>
    </row>
    <row r="587">
      <c r="A587" s="11" t="s">
        <v>46</v>
      </c>
      <c r="B587" s="11" t="s">
        <v>47</v>
      </c>
      <c r="C587" s="11" t="s">
        <v>48</v>
      </c>
      <c r="D587" s="11" t="s">
        <v>49</v>
      </c>
      <c r="E587" s="11" t="s">
        <v>580</v>
      </c>
      <c r="F587" s="12" t="n">
        <v>22250.0</v>
      </c>
      <c r="G587" s="13"/>
      <c r="H587" s="14" t="s">
        <v>57</v>
      </c>
      <c r="I587" s="13"/>
      <c r="J587" s="14" t="s">
        <v>57</v>
      </c>
      <c r="K587" s="13"/>
      <c r="L587" s="14"/>
      <c r="M587" s="13"/>
      <c r="N587" s="14" t="s">
        <v>57</v>
      </c>
      <c r="O587" s="13"/>
      <c r="P587" s="14"/>
      <c r="Q587" s="13"/>
      <c r="R587" s="14" t="s">
        <v>57</v>
      </c>
      <c r="S587" s="15" t="str">
        <f>"－"</f>
        <v>－</v>
      </c>
      <c r="T587" s="16" t="str">
        <f>"－"</f>
        <v>－</v>
      </c>
      <c r="U587" s="16"/>
      <c r="V587" s="16" t="str">
        <f>"－"</f>
        <v>－</v>
      </c>
      <c r="W587" s="16"/>
      <c r="X587" s="16" t="str">
        <f>"－"</f>
        <v>－</v>
      </c>
      <c r="Y587" s="13"/>
      <c r="Z587" s="17" t="n">
        <f>50</f>
        <v>50.0</v>
      </c>
      <c r="AA587" s="18" t="str">
        <f>"－"</f>
        <v>－</v>
      </c>
      <c r="AB587" s="11" t="s">
        <v>581</v>
      </c>
    </row>
    <row r="588">
      <c r="A588" s="11" t="s">
        <v>46</v>
      </c>
      <c r="B588" s="11" t="s">
        <v>47</v>
      </c>
      <c r="C588" s="11" t="s">
        <v>48</v>
      </c>
      <c r="D588" s="11" t="s">
        <v>49</v>
      </c>
      <c r="E588" s="11" t="s">
        <v>580</v>
      </c>
      <c r="F588" s="12" t="n">
        <v>22500.0</v>
      </c>
      <c r="G588" s="13"/>
      <c r="H588" s="14" t="s">
        <v>57</v>
      </c>
      <c r="I588" s="13"/>
      <c r="J588" s="14" t="s">
        <v>57</v>
      </c>
      <c r="K588" s="13"/>
      <c r="L588" s="14"/>
      <c r="M588" s="13"/>
      <c r="N588" s="14" t="s">
        <v>57</v>
      </c>
      <c r="O588" s="13"/>
      <c r="P588" s="14"/>
      <c r="Q588" s="13"/>
      <c r="R588" s="14" t="s">
        <v>57</v>
      </c>
      <c r="S588" s="15" t="str">
        <f>"－"</f>
        <v>－</v>
      </c>
      <c r="T588" s="16" t="str">
        <f>"－"</f>
        <v>－</v>
      </c>
      <c r="U588" s="16"/>
      <c r="V588" s="16" t="str">
        <f>"－"</f>
        <v>－</v>
      </c>
      <c r="W588" s="16"/>
      <c r="X588" s="16" t="str">
        <f>"－"</f>
        <v>－</v>
      </c>
      <c r="Y588" s="13"/>
      <c r="Z588" s="17" t="n">
        <f>150</f>
        <v>150.0</v>
      </c>
      <c r="AA588" s="18" t="str">
        <f>"－"</f>
        <v>－</v>
      </c>
      <c r="AB588" s="11" t="s">
        <v>581</v>
      </c>
    </row>
    <row r="589">
      <c r="A589" s="11" t="s">
        <v>46</v>
      </c>
      <c r="B589" s="11" t="s">
        <v>47</v>
      </c>
      <c r="C589" s="11" t="s">
        <v>48</v>
      </c>
      <c r="D589" s="11" t="s">
        <v>49</v>
      </c>
      <c r="E589" s="11" t="s">
        <v>580</v>
      </c>
      <c r="F589" s="12" t="n">
        <v>22750.0</v>
      </c>
      <c r="G589" s="13"/>
      <c r="H589" s="14" t="s">
        <v>57</v>
      </c>
      <c r="I589" s="13"/>
      <c r="J589" s="14" t="s">
        <v>57</v>
      </c>
      <c r="K589" s="13" t="s">
        <v>211</v>
      </c>
      <c r="L589" s="14" t="s">
        <v>169</v>
      </c>
      <c r="M589" s="13"/>
      <c r="N589" s="14" t="s">
        <v>57</v>
      </c>
      <c r="O589" s="13" t="s">
        <v>215</v>
      </c>
      <c r="P589" s="14" t="s">
        <v>326</v>
      </c>
      <c r="Q589" s="13"/>
      <c r="R589" s="14" t="s">
        <v>57</v>
      </c>
      <c r="S589" s="15" t="str">
        <f>"－"</f>
        <v>－</v>
      </c>
      <c r="T589" s="16" t="n">
        <f>2250</f>
        <v>2250.0</v>
      </c>
      <c r="U589" s="16" t="n">
        <v>2250.0</v>
      </c>
      <c r="V589" s="16" t="n">
        <f>2229000000</f>
        <v>2.229E9</v>
      </c>
      <c r="W589" s="16" t="n">
        <v>2.229E9</v>
      </c>
      <c r="X589" s="16" t="str">
        <f>"－"</f>
        <v>－</v>
      </c>
      <c r="Y589" s="13"/>
      <c r="Z589" s="17" t="n">
        <f>2250</f>
        <v>2250.0</v>
      </c>
      <c r="AA589" s="18" t="str">
        <f>"－"</f>
        <v>－</v>
      </c>
      <c r="AB589" s="11" t="s">
        <v>581</v>
      </c>
    </row>
    <row r="590">
      <c r="A590" s="11" t="s">
        <v>46</v>
      </c>
      <c r="B590" s="11" t="s">
        <v>47</v>
      </c>
      <c r="C590" s="11" t="s">
        <v>48</v>
      </c>
      <c r="D590" s="11" t="s">
        <v>49</v>
      </c>
      <c r="E590" s="11" t="s">
        <v>580</v>
      </c>
      <c r="F590" s="12" t="n">
        <v>23000.0</v>
      </c>
      <c r="G590" s="13"/>
      <c r="H590" s="14" t="s">
        <v>57</v>
      </c>
      <c r="I590" s="13"/>
      <c r="J590" s="14" t="s">
        <v>57</v>
      </c>
      <c r="K590" s="13"/>
      <c r="L590" s="14"/>
      <c r="M590" s="13"/>
      <c r="N590" s="14" t="s">
        <v>57</v>
      </c>
      <c r="O590" s="13"/>
      <c r="P590" s="14"/>
      <c r="Q590" s="13"/>
      <c r="R590" s="14" t="s">
        <v>57</v>
      </c>
      <c r="S590" s="15" t="str">
        <f>"－"</f>
        <v>－</v>
      </c>
      <c r="T590" s="16" t="str">
        <f>"－"</f>
        <v>－</v>
      </c>
      <c r="U590" s="16"/>
      <c r="V590" s="16" t="str">
        <f>"－"</f>
        <v>－</v>
      </c>
      <c r="W590" s="16"/>
      <c r="X590" s="16" t="str">
        <f>"－"</f>
        <v>－</v>
      </c>
      <c r="Y590" s="13"/>
      <c r="Z590" s="17" t="n">
        <f>1055</f>
        <v>1055.0</v>
      </c>
      <c r="AA590" s="18" t="str">
        <f>"－"</f>
        <v>－</v>
      </c>
      <c r="AB590" s="11" t="s">
        <v>581</v>
      </c>
    </row>
    <row r="591">
      <c r="A591" s="11" t="s">
        <v>46</v>
      </c>
      <c r="B591" s="11" t="s">
        <v>47</v>
      </c>
      <c r="C591" s="11" t="s">
        <v>48</v>
      </c>
      <c r="D591" s="11" t="s">
        <v>49</v>
      </c>
      <c r="E591" s="11" t="s">
        <v>580</v>
      </c>
      <c r="F591" s="12" t="n">
        <v>23500.0</v>
      </c>
      <c r="G591" s="13"/>
      <c r="H591" s="14" t="s">
        <v>57</v>
      </c>
      <c r="I591" s="13"/>
      <c r="J591" s="14" t="s">
        <v>57</v>
      </c>
      <c r="K591" s="13" t="s">
        <v>55</v>
      </c>
      <c r="L591" s="14" t="s">
        <v>474</v>
      </c>
      <c r="M591" s="13"/>
      <c r="N591" s="14" t="s">
        <v>57</v>
      </c>
      <c r="O591" s="13" t="s">
        <v>55</v>
      </c>
      <c r="P591" s="14" t="s">
        <v>474</v>
      </c>
      <c r="Q591" s="13"/>
      <c r="R591" s="14" t="s">
        <v>57</v>
      </c>
      <c r="S591" s="15" t="str">
        <f>"－"</f>
        <v>－</v>
      </c>
      <c r="T591" s="16" t="n">
        <f>100</f>
        <v>100.0</v>
      </c>
      <c r="U591" s="16" t="n">
        <v>100.0</v>
      </c>
      <c r="V591" s="16" t="n">
        <f>141000000</f>
        <v>1.41E8</v>
      </c>
      <c r="W591" s="16" t="n">
        <v>1.41E8</v>
      </c>
      <c r="X591" s="16" t="str">
        <f>"－"</f>
        <v>－</v>
      </c>
      <c r="Y591" s="13"/>
      <c r="Z591" s="17" t="n">
        <f>100</f>
        <v>100.0</v>
      </c>
      <c r="AA591" s="18" t="str">
        <f>"－"</f>
        <v>－</v>
      </c>
      <c r="AB591" s="11" t="s">
        <v>581</v>
      </c>
    </row>
    <row r="592">
      <c r="A592" s="11" t="s">
        <v>46</v>
      </c>
      <c r="B592" s="11" t="s">
        <v>47</v>
      </c>
      <c r="C592" s="11" t="s">
        <v>48</v>
      </c>
      <c r="D592" s="11" t="s">
        <v>49</v>
      </c>
      <c r="E592" s="11" t="s">
        <v>580</v>
      </c>
      <c r="F592" s="12" t="n">
        <v>24000.0</v>
      </c>
      <c r="G592" s="13"/>
      <c r="H592" s="14" t="s">
        <v>57</v>
      </c>
      <c r="I592" s="13"/>
      <c r="J592" s="14" t="s">
        <v>57</v>
      </c>
      <c r="K592" s="13" t="s">
        <v>55</v>
      </c>
      <c r="L592" s="14" t="s">
        <v>583</v>
      </c>
      <c r="M592" s="13"/>
      <c r="N592" s="14" t="s">
        <v>57</v>
      </c>
      <c r="O592" s="13" t="s">
        <v>288</v>
      </c>
      <c r="P592" s="14" t="s">
        <v>584</v>
      </c>
      <c r="Q592" s="13"/>
      <c r="R592" s="14" t="s">
        <v>57</v>
      </c>
      <c r="S592" s="15" t="str">
        <f>"－"</f>
        <v>－</v>
      </c>
      <c r="T592" s="16" t="n">
        <f>830</f>
        <v>830.0</v>
      </c>
      <c r="U592" s="16" t="n">
        <v>830.0</v>
      </c>
      <c r="V592" s="16" t="n">
        <f>1120454800</f>
        <v>1.1204548E9</v>
      </c>
      <c r="W592" s="16" t="n">
        <v>1.1204548E9</v>
      </c>
      <c r="X592" s="16" t="str">
        <f>"－"</f>
        <v>－</v>
      </c>
      <c r="Y592" s="13"/>
      <c r="Z592" s="17" t="n">
        <f>1530</f>
        <v>1530.0</v>
      </c>
      <c r="AA592" s="18" t="str">
        <f>"－"</f>
        <v>－</v>
      </c>
      <c r="AB592" s="11" t="s">
        <v>581</v>
      </c>
    </row>
    <row r="593">
      <c r="A593" s="11" t="s">
        <v>46</v>
      </c>
      <c r="B593" s="11" t="s">
        <v>47</v>
      </c>
      <c r="C593" s="11" t="s">
        <v>48</v>
      </c>
      <c r="D593" s="11" t="s">
        <v>49</v>
      </c>
      <c r="E593" s="11" t="s">
        <v>580</v>
      </c>
      <c r="F593" s="12" t="n">
        <v>24250.0</v>
      </c>
      <c r="G593" s="13"/>
      <c r="H593" s="14" t="s">
        <v>57</v>
      </c>
      <c r="I593" s="13"/>
      <c r="J593" s="14" t="s">
        <v>57</v>
      </c>
      <c r="K593" s="13"/>
      <c r="L593" s="14"/>
      <c r="M593" s="13"/>
      <c r="N593" s="14" t="s">
        <v>57</v>
      </c>
      <c r="O593" s="13"/>
      <c r="P593" s="14"/>
      <c r="Q593" s="13"/>
      <c r="R593" s="14" t="s">
        <v>57</v>
      </c>
      <c r="S593" s="15" t="str">
        <f>"－"</f>
        <v>－</v>
      </c>
      <c r="T593" s="16" t="str">
        <f>"－"</f>
        <v>－</v>
      </c>
      <c r="U593" s="16"/>
      <c r="V593" s="16" t="str">
        <f>"－"</f>
        <v>－</v>
      </c>
      <c r="W593" s="16"/>
      <c r="X593" s="16" t="str">
        <f>"－"</f>
        <v>－</v>
      </c>
      <c r="Y593" s="13"/>
      <c r="Z593" s="17" t="n">
        <f>10</f>
        <v>10.0</v>
      </c>
      <c r="AA593" s="18" t="str">
        <f>"－"</f>
        <v>－</v>
      </c>
      <c r="AB593" s="11" t="s">
        <v>581</v>
      </c>
    </row>
    <row r="594">
      <c r="A594" s="11" t="s">
        <v>46</v>
      </c>
      <c r="B594" s="11" t="s">
        <v>47</v>
      </c>
      <c r="C594" s="11" t="s">
        <v>48</v>
      </c>
      <c r="D594" s="11" t="s">
        <v>49</v>
      </c>
      <c r="E594" s="11" t="s">
        <v>580</v>
      </c>
      <c r="F594" s="12" t="n">
        <v>25000.0</v>
      </c>
      <c r="G594" s="13"/>
      <c r="H594" s="14" t="s">
        <v>57</v>
      </c>
      <c r="I594" s="13"/>
      <c r="J594" s="14" t="s">
        <v>57</v>
      </c>
      <c r="K594" s="13" t="s">
        <v>56</v>
      </c>
      <c r="L594" s="14" t="s">
        <v>585</v>
      </c>
      <c r="M594" s="13"/>
      <c r="N594" s="14" t="s">
        <v>57</v>
      </c>
      <c r="O594" s="13" t="s">
        <v>56</v>
      </c>
      <c r="P594" s="14" t="s">
        <v>585</v>
      </c>
      <c r="Q594" s="13"/>
      <c r="R594" s="14" t="s">
        <v>57</v>
      </c>
      <c r="S594" s="15" t="str">
        <f>"－"</f>
        <v>－</v>
      </c>
      <c r="T594" s="16" t="n">
        <f>200</f>
        <v>200.0</v>
      </c>
      <c r="U594" s="16" t="n">
        <v>200.0</v>
      </c>
      <c r="V594" s="16" t="n">
        <f>308400000</f>
        <v>3.084E8</v>
      </c>
      <c r="W594" s="16" t="n">
        <v>3.084E8</v>
      </c>
      <c r="X594" s="16" t="str">
        <f>"－"</f>
        <v>－</v>
      </c>
      <c r="Y594" s="13"/>
      <c r="Z594" s="17" t="n">
        <f>300</f>
        <v>300.0</v>
      </c>
      <c r="AA594" s="18" t="str">
        <f>"－"</f>
        <v>－</v>
      </c>
      <c r="AB594" s="11" t="s">
        <v>581</v>
      </c>
    </row>
    <row r="595">
      <c r="A595" s="11" t="s">
        <v>46</v>
      </c>
      <c r="B595" s="11" t="s">
        <v>47</v>
      </c>
      <c r="C595" s="11" t="s">
        <v>48</v>
      </c>
      <c r="D595" s="11" t="s">
        <v>49</v>
      </c>
      <c r="E595" s="11" t="s">
        <v>580</v>
      </c>
      <c r="F595" s="12" t="n">
        <v>25500.0</v>
      </c>
      <c r="G595" s="13"/>
      <c r="H595" s="14" t="s">
        <v>57</v>
      </c>
      <c r="I595" s="13"/>
      <c r="J595" s="14" t="s">
        <v>57</v>
      </c>
      <c r="K595" s="13"/>
      <c r="L595" s="14"/>
      <c r="M595" s="13"/>
      <c r="N595" s="14" t="s">
        <v>57</v>
      </c>
      <c r="O595" s="13"/>
      <c r="P595" s="14"/>
      <c r="Q595" s="13"/>
      <c r="R595" s="14" t="s">
        <v>57</v>
      </c>
      <c r="S595" s="15" t="str">
        <f>"－"</f>
        <v>－</v>
      </c>
      <c r="T595" s="16" t="str">
        <f>"－"</f>
        <v>－</v>
      </c>
      <c r="U595" s="16"/>
      <c r="V595" s="16" t="str">
        <f>"－"</f>
        <v>－</v>
      </c>
      <c r="W595" s="16"/>
      <c r="X595" s="16" t="str">
        <f>"－"</f>
        <v>－</v>
      </c>
      <c r="Y595" s="13"/>
      <c r="Z595" s="17" t="n">
        <f>300</f>
        <v>300.0</v>
      </c>
      <c r="AA595" s="18" t="str">
        <f>"－"</f>
        <v>－</v>
      </c>
      <c r="AB595" s="11" t="s">
        <v>581</v>
      </c>
    </row>
    <row r="596">
      <c r="A596" s="11" t="s">
        <v>46</v>
      </c>
      <c r="B596" s="11" t="s">
        <v>47</v>
      </c>
      <c r="C596" s="11" t="s">
        <v>48</v>
      </c>
      <c r="D596" s="11" t="s">
        <v>49</v>
      </c>
      <c r="E596" s="11" t="s">
        <v>580</v>
      </c>
      <c r="F596" s="12" t="n">
        <v>26000.0</v>
      </c>
      <c r="G596" s="13"/>
      <c r="H596" s="14" t="s">
        <v>57</v>
      </c>
      <c r="I596" s="13"/>
      <c r="J596" s="14" t="s">
        <v>57</v>
      </c>
      <c r="K596" s="13" t="s">
        <v>210</v>
      </c>
      <c r="L596" s="14" t="s">
        <v>586</v>
      </c>
      <c r="M596" s="13"/>
      <c r="N596" s="14" t="s">
        <v>57</v>
      </c>
      <c r="O596" s="13" t="s">
        <v>215</v>
      </c>
      <c r="P596" s="14" t="s">
        <v>587</v>
      </c>
      <c r="Q596" s="13"/>
      <c r="R596" s="14" t="s">
        <v>57</v>
      </c>
      <c r="S596" s="15" t="str">
        <f>"－"</f>
        <v>－</v>
      </c>
      <c r="T596" s="16" t="n">
        <f>1900</f>
        <v>1900.0</v>
      </c>
      <c r="U596" s="16" t="n">
        <v>1900.0</v>
      </c>
      <c r="V596" s="16" t="n">
        <f>3184300000</f>
        <v>3.1843E9</v>
      </c>
      <c r="W596" s="16" t="n">
        <v>3.1843E9</v>
      </c>
      <c r="X596" s="16" t="str">
        <f>"－"</f>
        <v>－</v>
      </c>
      <c r="Y596" s="13"/>
      <c r="Z596" s="17" t="n">
        <f>2250</f>
        <v>2250.0</v>
      </c>
      <c r="AA596" s="18" t="str">
        <f>"－"</f>
        <v>－</v>
      </c>
      <c r="AB596" s="11" t="s">
        <v>581</v>
      </c>
    </row>
    <row r="597">
      <c r="A597" s="11" t="s">
        <v>46</v>
      </c>
      <c r="B597" s="11" t="s">
        <v>47</v>
      </c>
      <c r="C597" s="11" t="s">
        <v>48</v>
      </c>
      <c r="D597" s="11" t="s">
        <v>49</v>
      </c>
      <c r="E597" s="11" t="s">
        <v>580</v>
      </c>
      <c r="F597" s="12" t="n">
        <v>26500.0</v>
      </c>
      <c r="G597" s="13"/>
      <c r="H597" s="14" t="s">
        <v>57</v>
      </c>
      <c r="I597" s="13"/>
      <c r="J597" s="14" t="s">
        <v>57</v>
      </c>
      <c r="K597" s="13"/>
      <c r="L597" s="14"/>
      <c r="M597" s="13"/>
      <c r="N597" s="14" t="s">
        <v>57</v>
      </c>
      <c r="O597" s="13"/>
      <c r="P597" s="14"/>
      <c r="Q597" s="13"/>
      <c r="R597" s="14" t="s">
        <v>57</v>
      </c>
      <c r="S597" s="15" t="str">
        <f>"－"</f>
        <v>－</v>
      </c>
      <c r="T597" s="16" t="str">
        <f>"－"</f>
        <v>－</v>
      </c>
      <c r="U597" s="16"/>
      <c r="V597" s="16" t="str">
        <f>"－"</f>
        <v>－</v>
      </c>
      <c r="W597" s="16"/>
      <c r="X597" s="16" t="str">
        <f>"－"</f>
        <v>－</v>
      </c>
      <c r="Y597" s="13"/>
      <c r="Z597" s="17" t="n">
        <f>50</f>
        <v>50.0</v>
      </c>
      <c r="AA597" s="18" t="str">
        <f>"－"</f>
        <v>－</v>
      </c>
      <c r="AB597" s="11" t="s">
        <v>581</v>
      </c>
    </row>
    <row r="598">
      <c r="A598" s="11" t="s">
        <v>46</v>
      </c>
      <c r="B598" s="11" t="s">
        <v>47</v>
      </c>
      <c r="C598" s="11" t="s">
        <v>48</v>
      </c>
      <c r="D598" s="11" t="s">
        <v>49</v>
      </c>
      <c r="E598" s="11" t="s">
        <v>580</v>
      </c>
      <c r="F598" s="12" t="n">
        <v>27000.0</v>
      </c>
      <c r="G598" s="13"/>
      <c r="H598" s="14" t="s">
        <v>57</v>
      </c>
      <c r="I598" s="13"/>
      <c r="J598" s="14" t="s">
        <v>57</v>
      </c>
      <c r="K598" s="13" t="s">
        <v>215</v>
      </c>
      <c r="L598" s="14" t="s">
        <v>522</v>
      </c>
      <c r="M598" s="13"/>
      <c r="N598" s="14" t="s">
        <v>57</v>
      </c>
      <c r="O598" s="13" t="s">
        <v>215</v>
      </c>
      <c r="P598" s="14" t="s">
        <v>522</v>
      </c>
      <c r="Q598" s="13"/>
      <c r="R598" s="14" t="s">
        <v>57</v>
      </c>
      <c r="S598" s="15" t="str">
        <f>"－"</f>
        <v>－</v>
      </c>
      <c r="T598" s="16" t="n">
        <f>50</f>
        <v>50.0</v>
      </c>
      <c r="U598" s="16" t="n">
        <v>50.0</v>
      </c>
      <c r="V598" s="16" t="n">
        <f>105000000</f>
        <v>1.05E8</v>
      </c>
      <c r="W598" s="16" t="n">
        <v>1.05E8</v>
      </c>
      <c r="X598" s="16" t="str">
        <f>"－"</f>
        <v>－</v>
      </c>
      <c r="Y598" s="13"/>
      <c r="Z598" s="17" t="n">
        <f>125</f>
        <v>125.0</v>
      </c>
      <c r="AA598" s="18" t="str">
        <f>"－"</f>
        <v>－</v>
      </c>
      <c r="AB598" s="11" t="s">
        <v>581</v>
      </c>
    </row>
    <row r="599">
      <c r="A599" s="11" t="s">
        <v>46</v>
      </c>
      <c r="B599" s="11" t="s">
        <v>47</v>
      </c>
      <c r="C599" s="11" t="s">
        <v>48</v>
      </c>
      <c r="D599" s="11" t="s">
        <v>49</v>
      </c>
      <c r="E599" s="11" t="s">
        <v>580</v>
      </c>
      <c r="F599" s="12" t="n">
        <v>27500.0</v>
      </c>
      <c r="G599" s="13"/>
      <c r="H599" s="14" t="s">
        <v>57</v>
      </c>
      <c r="I599" s="13"/>
      <c r="J599" s="14" t="s">
        <v>57</v>
      </c>
      <c r="K599" s="13"/>
      <c r="L599" s="14"/>
      <c r="M599" s="13"/>
      <c r="N599" s="14" t="s">
        <v>57</v>
      </c>
      <c r="O599" s="13"/>
      <c r="P599" s="14"/>
      <c r="Q599" s="13"/>
      <c r="R599" s="14" t="s">
        <v>57</v>
      </c>
      <c r="S599" s="15" t="str">
        <f>"－"</f>
        <v>－</v>
      </c>
      <c r="T599" s="16" t="str">
        <f>"－"</f>
        <v>－</v>
      </c>
      <c r="U599" s="16"/>
      <c r="V599" s="16" t="str">
        <f>"－"</f>
        <v>－</v>
      </c>
      <c r="W599" s="16"/>
      <c r="X599" s="16" t="str">
        <f>"－"</f>
        <v>－</v>
      </c>
      <c r="Y599" s="13"/>
      <c r="Z599" s="17" t="n">
        <f>50</f>
        <v>50.0</v>
      </c>
      <c r="AA599" s="18" t="str">
        <f>"－"</f>
        <v>－</v>
      </c>
      <c r="AB599" s="11" t="s">
        <v>581</v>
      </c>
    </row>
    <row r="600">
      <c r="A600" s="11" t="s">
        <v>46</v>
      </c>
      <c r="B600" s="11" t="s">
        <v>47</v>
      </c>
      <c r="C600" s="11" t="s">
        <v>48</v>
      </c>
      <c r="D600" s="11" t="s">
        <v>49</v>
      </c>
      <c r="E600" s="11" t="s">
        <v>580</v>
      </c>
      <c r="F600" s="12" t="n">
        <v>28000.0</v>
      </c>
      <c r="G600" s="13"/>
      <c r="H600" s="14" t="s">
        <v>57</v>
      </c>
      <c r="I600" s="13"/>
      <c r="J600" s="14" t="s">
        <v>57</v>
      </c>
      <c r="K600" s="13" t="s">
        <v>204</v>
      </c>
      <c r="L600" s="14" t="s">
        <v>588</v>
      </c>
      <c r="M600" s="13"/>
      <c r="N600" s="14" t="s">
        <v>57</v>
      </c>
      <c r="O600" s="13" t="s">
        <v>206</v>
      </c>
      <c r="P600" s="14" t="s">
        <v>589</v>
      </c>
      <c r="Q600" s="13"/>
      <c r="R600" s="14" t="s">
        <v>57</v>
      </c>
      <c r="S600" s="15" t="str">
        <f>"－"</f>
        <v>－</v>
      </c>
      <c r="T600" s="16" t="n">
        <f>500</f>
        <v>500.0</v>
      </c>
      <c r="U600" s="16" t="n">
        <v>500.0</v>
      </c>
      <c r="V600" s="16" t="n">
        <f>1327700000</f>
        <v>1.3277E9</v>
      </c>
      <c r="W600" s="16" t="n">
        <v>1.3277E9</v>
      </c>
      <c r="X600" s="16" t="str">
        <f>"－"</f>
        <v>－</v>
      </c>
      <c r="Y600" s="13"/>
      <c r="Z600" s="17" t="n">
        <f>550</f>
        <v>550.0</v>
      </c>
      <c r="AA600" s="18" t="str">
        <f>"－"</f>
        <v>－</v>
      </c>
      <c r="AB600" s="11" t="s">
        <v>581</v>
      </c>
    </row>
    <row r="601">
      <c r="A601" s="11" t="s">
        <v>46</v>
      </c>
      <c r="B601" s="11" t="s">
        <v>47</v>
      </c>
      <c r="C601" s="11" t="s">
        <v>48</v>
      </c>
      <c r="D601" s="11" t="s">
        <v>49</v>
      </c>
      <c r="E601" s="11" t="s">
        <v>580</v>
      </c>
      <c r="F601" s="12" t="n">
        <v>28500.0</v>
      </c>
      <c r="G601" s="13"/>
      <c r="H601" s="14" t="s">
        <v>57</v>
      </c>
      <c r="I601" s="13"/>
      <c r="J601" s="14" t="s">
        <v>57</v>
      </c>
      <c r="K601" s="13"/>
      <c r="L601" s="14"/>
      <c r="M601" s="13"/>
      <c r="N601" s="14" t="s">
        <v>57</v>
      </c>
      <c r="O601" s="13"/>
      <c r="P601" s="14"/>
      <c r="Q601" s="13"/>
      <c r="R601" s="14" t="s">
        <v>57</v>
      </c>
      <c r="S601" s="15" t="str">
        <f>"－"</f>
        <v>－</v>
      </c>
      <c r="T601" s="16" t="str">
        <f>"－"</f>
        <v>－</v>
      </c>
      <c r="U601" s="16"/>
      <c r="V601" s="16" t="str">
        <f>"－"</f>
        <v>－</v>
      </c>
      <c r="W601" s="16"/>
      <c r="X601" s="16" t="str">
        <f>"－"</f>
        <v>－</v>
      </c>
      <c r="Y601" s="13"/>
      <c r="Z601" s="17" t="n">
        <f>10</f>
        <v>10.0</v>
      </c>
      <c r="AA601" s="18" t="str">
        <f>"－"</f>
        <v>－</v>
      </c>
      <c r="AB601" s="11" t="s">
        <v>581</v>
      </c>
    </row>
    <row r="602">
      <c r="A602" s="11" t="s">
        <v>46</v>
      </c>
      <c r="B602" s="11" t="s">
        <v>47</v>
      </c>
      <c r="C602" s="11" t="s">
        <v>48</v>
      </c>
      <c r="D602" s="11" t="s">
        <v>49</v>
      </c>
      <c r="E602" s="11" t="s">
        <v>580</v>
      </c>
      <c r="F602" s="12" t="n">
        <v>29000.0</v>
      </c>
      <c r="G602" s="13"/>
      <c r="H602" s="14" t="s">
        <v>57</v>
      </c>
      <c r="I602" s="13"/>
      <c r="J602" s="14" t="s">
        <v>57</v>
      </c>
      <c r="K602" s="13" t="s">
        <v>288</v>
      </c>
      <c r="L602" s="14" t="s">
        <v>590</v>
      </c>
      <c r="M602" s="13"/>
      <c r="N602" s="14" t="s">
        <v>57</v>
      </c>
      <c r="O602" s="13" t="s">
        <v>288</v>
      </c>
      <c r="P602" s="14" t="s">
        <v>590</v>
      </c>
      <c r="Q602" s="13"/>
      <c r="R602" s="14" t="s">
        <v>57</v>
      </c>
      <c r="S602" s="15" t="str">
        <f>"－"</f>
        <v>－</v>
      </c>
      <c r="T602" s="16" t="n">
        <f>100</f>
        <v>100.0</v>
      </c>
      <c r="U602" s="16" t="n">
        <v>100.0</v>
      </c>
      <c r="V602" s="16" t="n">
        <f>236000000</f>
        <v>2.36E8</v>
      </c>
      <c r="W602" s="16" t="n">
        <v>2.36E8</v>
      </c>
      <c r="X602" s="16" t="str">
        <f>"－"</f>
        <v>－</v>
      </c>
      <c r="Y602" s="13"/>
      <c r="Z602" s="17" t="n">
        <f>100</f>
        <v>100.0</v>
      </c>
      <c r="AA602" s="18" t="str">
        <f>"－"</f>
        <v>－</v>
      </c>
      <c r="AB602" s="11" t="s">
        <v>581</v>
      </c>
    </row>
    <row r="603">
      <c r="A603" s="11" t="s">
        <v>46</v>
      </c>
      <c r="B603" s="11" t="s">
        <v>47</v>
      </c>
      <c r="C603" s="11" t="s">
        <v>48</v>
      </c>
      <c r="D603" s="11" t="s">
        <v>49</v>
      </c>
      <c r="E603" s="11" t="s">
        <v>580</v>
      </c>
      <c r="F603" s="12" t="n">
        <v>30000.0</v>
      </c>
      <c r="G603" s="13"/>
      <c r="H603" s="14" t="s">
        <v>57</v>
      </c>
      <c r="I603" s="13"/>
      <c r="J603" s="14" t="s">
        <v>57</v>
      </c>
      <c r="K603" s="13" t="s">
        <v>202</v>
      </c>
      <c r="L603" s="14" t="s">
        <v>591</v>
      </c>
      <c r="M603" s="13"/>
      <c r="N603" s="14" t="s">
        <v>57</v>
      </c>
      <c r="O603" s="13" t="s">
        <v>202</v>
      </c>
      <c r="P603" s="14" t="s">
        <v>592</v>
      </c>
      <c r="Q603" s="13"/>
      <c r="R603" s="14" t="s">
        <v>57</v>
      </c>
      <c r="S603" s="15" t="str">
        <f>"－"</f>
        <v>－</v>
      </c>
      <c r="T603" s="16" t="n">
        <f>200</f>
        <v>200.0</v>
      </c>
      <c r="U603" s="16" t="n">
        <v>200.0</v>
      </c>
      <c r="V603" s="16" t="n">
        <f>640750000</f>
        <v>6.4075E8</v>
      </c>
      <c r="W603" s="16" t="n">
        <v>6.4075E8</v>
      </c>
      <c r="X603" s="16" t="str">
        <f>"－"</f>
        <v>－</v>
      </c>
      <c r="Y603" s="13"/>
      <c r="Z603" s="17" t="n">
        <f>300</f>
        <v>300.0</v>
      </c>
      <c r="AA603" s="18" t="str">
        <f>"－"</f>
        <v>－</v>
      </c>
      <c r="AB603" s="11" t="s">
        <v>581</v>
      </c>
    </row>
    <row r="604">
      <c r="A604" s="11" t="s">
        <v>46</v>
      </c>
      <c r="B604" s="11" t="s">
        <v>47</v>
      </c>
      <c r="C604" s="11" t="s">
        <v>48</v>
      </c>
      <c r="D604" s="11" t="s">
        <v>49</v>
      </c>
      <c r="E604" s="11" t="s">
        <v>593</v>
      </c>
      <c r="F604" s="12" t="n">
        <v>7000.0</v>
      </c>
      <c r="G604" s="13"/>
      <c r="H604" s="14" t="s">
        <v>57</v>
      </c>
      <c r="I604" s="13"/>
      <c r="J604" s="14" t="s">
        <v>57</v>
      </c>
      <c r="K604" s="13"/>
      <c r="L604" s="14"/>
      <c r="M604" s="13"/>
      <c r="N604" s="14" t="s">
        <v>57</v>
      </c>
      <c r="O604" s="13"/>
      <c r="P604" s="14"/>
      <c r="Q604" s="13"/>
      <c r="R604" s="14" t="s">
        <v>57</v>
      </c>
      <c r="S604" s="15" t="str">
        <f>"－"</f>
        <v>－</v>
      </c>
      <c r="T604" s="16" t="str">
        <f>"－"</f>
        <v>－</v>
      </c>
      <c r="U604" s="16"/>
      <c r="V604" s="16" t="str">
        <f>"－"</f>
        <v>－</v>
      </c>
      <c r="W604" s="16"/>
      <c r="X604" s="16" t="str">
        <f>"－"</f>
        <v>－</v>
      </c>
      <c r="Y604" s="13"/>
      <c r="Z604" s="17" t="n">
        <f>1</f>
        <v>1.0</v>
      </c>
      <c r="AA604" s="18" t="str">
        <f>"－"</f>
        <v>－</v>
      </c>
      <c r="AB604" s="11" t="s">
        <v>594</v>
      </c>
    </row>
    <row r="605">
      <c r="A605" s="11" t="s">
        <v>46</v>
      </c>
      <c r="B605" s="11" t="s">
        <v>47</v>
      </c>
      <c r="C605" s="11" t="s">
        <v>48</v>
      </c>
      <c r="D605" s="11" t="s">
        <v>49</v>
      </c>
      <c r="E605" s="11" t="s">
        <v>593</v>
      </c>
      <c r="F605" s="12" t="n">
        <v>8000.0</v>
      </c>
      <c r="G605" s="13" t="s">
        <v>211</v>
      </c>
      <c r="H605" s="14" t="s">
        <v>449</v>
      </c>
      <c r="I605" s="13" t="s">
        <v>211</v>
      </c>
      <c r="J605" s="14" t="s">
        <v>449</v>
      </c>
      <c r="K605" s="13"/>
      <c r="L605" s="14"/>
      <c r="M605" s="13" t="s">
        <v>211</v>
      </c>
      <c r="N605" s="14" t="s">
        <v>449</v>
      </c>
      <c r="O605" s="13"/>
      <c r="P605" s="14"/>
      <c r="Q605" s="13" t="s">
        <v>211</v>
      </c>
      <c r="R605" s="14" t="s">
        <v>449</v>
      </c>
      <c r="S605" s="15" t="n">
        <f>81</f>
        <v>81.0</v>
      </c>
      <c r="T605" s="16" t="n">
        <f>1</f>
        <v>1.0</v>
      </c>
      <c r="U605" s="16"/>
      <c r="V605" s="16" t="n">
        <f>81000</f>
        <v>81000.0</v>
      </c>
      <c r="W605" s="16"/>
      <c r="X605" s="16" t="str">
        <f>"－"</f>
        <v>－</v>
      </c>
      <c r="Y605" s="13"/>
      <c r="Z605" s="17" t="n">
        <f>2600</f>
        <v>2600.0</v>
      </c>
      <c r="AA605" s="18" t="n">
        <f>1</f>
        <v>1.0</v>
      </c>
      <c r="AB605" s="11" t="s">
        <v>594</v>
      </c>
    </row>
    <row r="606">
      <c r="A606" s="11" t="s">
        <v>46</v>
      </c>
      <c r="B606" s="11" t="s">
        <v>47</v>
      </c>
      <c r="C606" s="11" t="s">
        <v>48</v>
      </c>
      <c r="D606" s="11" t="s">
        <v>49</v>
      </c>
      <c r="E606" s="11" t="s">
        <v>593</v>
      </c>
      <c r="F606" s="12" t="n">
        <v>10000.0</v>
      </c>
      <c r="G606" s="13" t="s">
        <v>63</v>
      </c>
      <c r="H606" s="14" t="s">
        <v>123</v>
      </c>
      <c r="I606" s="13" t="s">
        <v>63</v>
      </c>
      <c r="J606" s="14" t="s">
        <v>123</v>
      </c>
      <c r="K606" s="13" t="s">
        <v>56</v>
      </c>
      <c r="L606" s="14" t="s">
        <v>286</v>
      </c>
      <c r="M606" s="13" t="s">
        <v>63</v>
      </c>
      <c r="N606" s="14" t="s">
        <v>123</v>
      </c>
      <c r="O606" s="13" t="s">
        <v>56</v>
      </c>
      <c r="P606" s="14" t="s">
        <v>286</v>
      </c>
      <c r="Q606" s="13" t="s">
        <v>63</v>
      </c>
      <c r="R606" s="14" t="s">
        <v>123</v>
      </c>
      <c r="S606" s="15" t="n">
        <f>150</f>
        <v>150.0</v>
      </c>
      <c r="T606" s="16" t="n">
        <f>102</f>
        <v>102.0</v>
      </c>
      <c r="U606" s="16" t="n">
        <v>100.0</v>
      </c>
      <c r="V606" s="16" t="n">
        <f>14300000</f>
        <v>1.43E7</v>
      </c>
      <c r="W606" s="16" t="n">
        <v>1.4E7</v>
      </c>
      <c r="X606" s="16" t="str">
        <f>"－"</f>
        <v>－</v>
      </c>
      <c r="Y606" s="13"/>
      <c r="Z606" s="17" t="n">
        <f>1102</f>
        <v>1102.0</v>
      </c>
      <c r="AA606" s="18" t="n">
        <f>1</f>
        <v>1.0</v>
      </c>
      <c r="AB606" s="11" t="s">
        <v>594</v>
      </c>
    </row>
    <row r="607">
      <c r="A607" s="11" t="s">
        <v>46</v>
      </c>
      <c r="B607" s="11" t="s">
        <v>47</v>
      </c>
      <c r="C607" s="11" t="s">
        <v>48</v>
      </c>
      <c r="D607" s="11" t="s">
        <v>49</v>
      </c>
      <c r="E607" s="11" t="s">
        <v>593</v>
      </c>
      <c r="F607" s="12" t="n">
        <v>11000.0</v>
      </c>
      <c r="G607" s="13" t="s">
        <v>202</v>
      </c>
      <c r="H607" s="14" t="s">
        <v>125</v>
      </c>
      <c r="I607" s="13" t="s">
        <v>207</v>
      </c>
      <c r="J607" s="14" t="s">
        <v>128</v>
      </c>
      <c r="K607" s="13"/>
      <c r="L607" s="14"/>
      <c r="M607" s="13" t="s">
        <v>202</v>
      </c>
      <c r="N607" s="14" t="s">
        <v>125</v>
      </c>
      <c r="O607" s="13"/>
      <c r="P607" s="14"/>
      <c r="Q607" s="13" t="s">
        <v>207</v>
      </c>
      <c r="R607" s="14" t="s">
        <v>128</v>
      </c>
      <c r="S607" s="15" t="n">
        <f>170</f>
        <v>170.0</v>
      </c>
      <c r="T607" s="16" t="n">
        <f>2</f>
        <v>2.0</v>
      </c>
      <c r="U607" s="16"/>
      <c r="V607" s="16" t="n">
        <f>340000</f>
        <v>340000.0</v>
      </c>
      <c r="W607" s="16"/>
      <c r="X607" s="16" t="str">
        <f>"－"</f>
        <v>－</v>
      </c>
      <c r="Y607" s="13"/>
      <c r="Z607" s="17" t="n">
        <f>106</f>
        <v>106.0</v>
      </c>
      <c r="AA607" s="18" t="n">
        <f>2</f>
        <v>2.0</v>
      </c>
      <c r="AB607" s="11" t="s">
        <v>594</v>
      </c>
    </row>
    <row r="608">
      <c r="A608" s="11" t="s">
        <v>46</v>
      </c>
      <c r="B608" s="11" t="s">
        <v>47</v>
      </c>
      <c r="C608" s="11" t="s">
        <v>48</v>
      </c>
      <c r="D608" s="11" t="s">
        <v>49</v>
      </c>
      <c r="E608" s="11" t="s">
        <v>593</v>
      </c>
      <c r="F608" s="12" t="n">
        <v>11500.0</v>
      </c>
      <c r="G608" s="13"/>
      <c r="H608" s="14" t="s">
        <v>57</v>
      </c>
      <c r="I608" s="13"/>
      <c r="J608" s="14" t="s">
        <v>57</v>
      </c>
      <c r="K608" s="13"/>
      <c r="L608" s="14"/>
      <c r="M608" s="13"/>
      <c r="N608" s="14" t="s">
        <v>57</v>
      </c>
      <c r="O608" s="13"/>
      <c r="P608" s="14"/>
      <c r="Q608" s="13"/>
      <c r="R608" s="14" t="s">
        <v>57</v>
      </c>
      <c r="S608" s="15" t="str">
        <f>"－"</f>
        <v>－</v>
      </c>
      <c r="T608" s="16" t="str">
        <f>"－"</f>
        <v>－</v>
      </c>
      <c r="U608" s="16"/>
      <c r="V608" s="16" t="str">
        <f>"－"</f>
        <v>－</v>
      </c>
      <c r="W608" s="16"/>
      <c r="X608" s="16" t="str">
        <f>"－"</f>
        <v>－</v>
      </c>
      <c r="Y608" s="13"/>
      <c r="Z608" s="17" t="n">
        <f>400</f>
        <v>400.0</v>
      </c>
      <c r="AA608" s="18" t="str">
        <f>"－"</f>
        <v>－</v>
      </c>
      <c r="AB608" s="11" t="s">
        <v>594</v>
      </c>
    </row>
    <row r="609">
      <c r="A609" s="11" t="s">
        <v>46</v>
      </c>
      <c r="B609" s="11" t="s">
        <v>47</v>
      </c>
      <c r="C609" s="11" t="s">
        <v>48</v>
      </c>
      <c r="D609" s="11" t="s">
        <v>49</v>
      </c>
      <c r="E609" s="11" t="s">
        <v>593</v>
      </c>
      <c r="F609" s="12" t="n">
        <v>12000.0</v>
      </c>
      <c r="G609" s="13"/>
      <c r="H609" s="14" t="s">
        <v>57</v>
      </c>
      <c r="I609" s="13"/>
      <c r="J609" s="14" t="s">
        <v>57</v>
      </c>
      <c r="K609" s="13"/>
      <c r="L609" s="14"/>
      <c r="M609" s="13"/>
      <c r="N609" s="14" t="s">
        <v>57</v>
      </c>
      <c r="O609" s="13"/>
      <c r="P609" s="14"/>
      <c r="Q609" s="13"/>
      <c r="R609" s="14" t="s">
        <v>57</v>
      </c>
      <c r="S609" s="15" t="str">
        <f>"－"</f>
        <v>－</v>
      </c>
      <c r="T609" s="16" t="str">
        <f>"－"</f>
        <v>－</v>
      </c>
      <c r="U609" s="16"/>
      <c r="V609" s="16" t="str">
        <f>"－"</f>
        <v>－</v>
      </c>
      <c r="W609" s="16"/>
      <c r="X609" s="16" t="str">
        <f>"－"</f>
        <v>－</v>
      </c>
      <c r="Y609" s="13"/>
      <c r="Z609" s="17" t="n">
        <f>2701</f>
        <v>2701.0</v>
      </c>
      <c r="AA609" s="18" t="str">
        <f>"－"</f>
        <v>－</v>
      </c>
      <c r="AB609" s="11" t="s">
        <v>594</v>
      </c>
    </row>
    <row r="610">
      <c r="A610" s="11" t="s">
        <v>46</v>
      </c>
      <c r="B610" s="11" t="s">
        <v>47</v>
      </c>
      <c r="C610" s="11" t="s">
        <v>48</v>
      </c>
      <c r="D610" s="11" t="s">
        <v>49</v>
      </c>
      <c r="E610" s="11" t="s">
        <v>593</v>
      </c>
      <c r="F610" s="12" t="n">
        <v>13000.0</v>
      </c>
      <c r="G610" s="13"/>
      <c r="H610" s="14" t="s">
        <v>57</v>
      </c>
      <c r="I610" s="13"/>
      <c r="J610" s="14" t="s">
        <v>57</v>
      </c>
      <c r="K610" s="13"/>
      <c r="L610" s="14"/>
      <c r="M610" s="13"/>
      <c r="N610" s="14" t="s">
        <v>57</v>
      </c>
      <c r="O610" s="13"/>
      <c r="P610" s="14"/>
      <c r="Q610" s="13"/>
      <c r="R610" s="14" t="s">
        <v>57</v>
      </c>
      <c r="S610" s="15" t="str">
        <f>"－"</f>
        <v>－</v>
      </c>
      <c r="T610" s="16" t="str">
        <f>"－"</f>
        <v>－</v>
      </c>
      <c r="U610" s="16"/>
      <c r="V610" s="16" t="str">
        <f>"－"</f>
        <v>－</v>
      </c>
      <c r="W610" s="16"/>
      <c r="X610" s="16" t="str">
        <f>"－"</f>
        <v>－</v>
      </c>
      <c r="Y610" s="13"/>
      <c r="Z610" s="17" t="n">
        <f>5700</f>
        <v>5700.0</v>
      </c>
      <c r="AA610" s="18" t="str">
        <f>"－"</f>
        <v>－</v>
      </c>
      <c r="AB610" s="11" t="s">
        <v>594</v>
      </c>
    </row>
    <row r="611">
      <c r="A611" s="11" t="s">
        <v>46</v>
      </c>
      <c r="B611" s="11" t="s">
        <v>47</v>
      </c>
      <c r="C611" s="11" t="s">
        <v>48</v>
      </c>
      <c r="D611" s="11" t="s">
        <v>49</v>
      </c>
      <c r="E611" s="11" t="s">
        <v>593</v>
      </c>
      <c r="F611" s="12" t="n">
        <v>14000.0</v>
      </c>
      <c r="G611" s="13"/>
      <c r="H611" s="14" t="s">
        <v>57</v>
      </c>
      <c r="I611" s="13"/>
      <c r="J611" s="14" t="s">
        <v>57</v>
      </c>
      <c r="K611" s="13" t="s">
        <v>63</v>
      </c>
      <c r="L611" s="14" t="s">
        <v>187</v>
      </c>
      <c r="M611" s="13"/>
      <c r="N611" s="14" t="s">
        <v>57</v>
      </c>
      <c r="O611" s="13" t="s">
        <v>208</v>
      </c>
      <c r="P611" s="14" t="s">
        <v>595</v>
      </c>
      <c r="Q611" s="13"/>
      <c r="R611" s="14" t="s">
        <v>57</v>
      </c>
      <c r="S611" s="15" t="str">
        <f>"－"</f>
        <v>－</v>
      </c>
      <c r="T611" s="16" t="n">
        <f>1400</f>
        <v>1400.0</v>
      </c>
      <c r="U611" s="16" t="n">
        <v>1400.0</v>
      </c>
      <c r="V611" s="16" t="n">
        <f>484800000</f>
        <v>4.848E8</v>
      </c>
      <c r="W611" s="16" t="n">
        <v>4.848E8</v>
      </c>
      <c r="X611" s="16" t="str">
        <f>"－"</f>
        <v>－</v>
      </c>
      <c r="Y611" s="13"/>
      <c r="Z611" s="17" t="n">
        <f>3640</f>
        <v>3640.0</v>
      </c>
      <c r="AA611" s="18" t="str">
        <f>"－"</f>
        <v>－</v>
      </c>
      <c r="AB611" s="11" t="s">
        <v>594</v>
      </c>
    </row>
    <row r="612">
      <c r="A612" s="11" t="s">
        <v>46</v>
      </c>
      <c r="B612" s="11" t="s">
        <v>47</v>
      </c>
      <c r="C612" s="11" t="s">
        <v>48</v>
      </c>
      <c r="D612" s="11" t="s">
        <v>49</v>
      </c>
      <c r="E612" s="11" t="s">
        <v>593</v>
      </c>
      <c r="F612" s="12" t="n">
        <v>14500.0</v>
      </c>
      <c r="G612" s="13"/>
      <c r="H612" s="14" t="s">
        <v>57</v>
      </c>
      <c r="I612" s="13"/>
      <c r="J612" s="14" t="s">
        <v>57</v>
      </c>
      <c r="K612" s="13"/>
      <c r="L612" s="14"/>
      <c r="M612" s="13"/>
      <c r="N612" s="14" t="s">
        <v>57</v>
      </c>
      <c r="O612" s="13"/>
      <c r="P612" s="14"/>
      <c r="Q612" s="13"/>
      <c r="R612" s="14" t="s">
        <v>57</v>
      </c>
      <c r="S612" s="15" t="str">
        <f>"－"</f>
        <v>－</v>
      </c>
      <c r="T612" s="16" t="str">
        <f>"－"</f>
        <v>－</v>
      </c>
      <c r="U612" s="16"/>
      <c r="V612" s="16" t="str">
        <f>"－"</f>
        <v>－</v>
      </c>
      <c r="W612" s="16"/>
      <c r="X612" s="16" t="str">
        <f>"－"</f>
        <v>－</v>
      </c>
      <c r="Y612" s="13"/>
      <c r="Z612" s="17" t="n">
        <f>400</f>
        <v>400.0</v>
      </c>
      <c r="AA612" s="18" t="str">
        <f>"－"</f>
        <v>－</v>
      </c>
      <c r="AB612" s="11" t="s">
        <v>594</v>
      </c>
    </row>
    <row r="613">
      <c r="A613" s="11" t="s">
        <v>46</v>
      </c>
      <c r="B613" s="11" t="s">
        <v>47</v>
      </c>
      <c r="C613" s="11" t="s">
        <v>48</v>
      </c>
      <c r="D613" s="11" t="s">
        <v>49</v>
      </c>
      <c r="E613" s="11" t="s">
        <v>593</v>
      </c>
      <c r="F613" s="12" t="n">
        <v>15000.0</v>
      </c>
      <c r="G613" s="13"/>
      <c r="H613" s="14" t="s">
        <v>57</v>
      </c>
      <c r="I613" s="13"/>
      <c r="J613" s="14" t="s">
        <v>57</v>
      </c>
      <c r="K613" s="13"/>
      <c r="L613" s="14"/>
      <c r="M613" s="13"/>
      <c r="N613" s="14" t="s">
        <v>57</v>
      </c>
      <c r="O613" s="13"/>
      <c r="P613" s="14"/>
      <c r="Q613" s="13"/>
      <c r="R613" s="14" t="s">
        <v>57</v>
      </c>
      <c r="S613" s="15" t="str">
        <f>"－"</f>
        <v>－</v>
      </c>
      <c r="T613" s="16" t="str">
        <f>"－"</f>
        <v>－</v>
      </c>
      <c r="U613" s="16"/>
      <c r="V613" s="16" t="str">
        <f>"－"</f>
        <v>－</v>
      </c>
      <c r="W613" s="16"/>
      <c r="X613" s="16" t="str">
        <f>"－"</f>
        <v>－</v>
      </c>
      <c r="Y613" s="13"/>
      <c r="Z613" s="17" t="n">
        <f>7287</f>
        <v>7287.0</v>
      </c>
      <c r="AA613" s="18" t="str">
        <f>"－"</f>
        <v>－</v>
      </c>
      <c r="AB613" s="11" t="s">
        <v>594</v>
      </c>
    </row>
    <row r="614">
      <c r="A614" s="11" t="s">
        <v>46</v>
      </c>
      <c r="B614" s="11" t="s">
        <v>47</v>
      </c>
      <c r="C614" s="11" t="s">
        <v>48</v>
      </c>
      <c r="D614" s="11" t="s">
        <v>49</v>
      </c>
      <c r="E614" s="11" t="s">
        <v>593</v>
      </c>
      <c r="F614" s="12" t="n">
        <v>15500.0</v>
      </c>
      <c r="G614" s="13"/>
      <c r="H614" s="14" t="s">
        <v>57</v>
      </c>
      <c r="I614" s="13"/>
      <c r="J614" s="14" t="s">
        <v>57</v>
      </c>
      <c r="K614" s="13"/>
      <c r="L614" s="14"/>
      <c r="M614" s="13"/>
      <c r="N614" s="14" t="s">
        <v>57</v>
      </c>
      <c r="O614" s="13"/>
      <c r="P614" s="14"/>
      <c r="Q614" s="13"/>
      <c r="R614" s="14" t="s">
        <v>57</v>
      </c>
      <c r="S614" s="15" t="str">
        <f>"－"</f>
        <v>－</v>
      </c>
      <c r="T614" s="16" t="str">
        <f>"－"</f>
        <v>－</v>
      </c>
      <c r="U614" s="16"/>
      <c r="V614" s="16" t="str">
        <f>"－"</f>
        <v>－</v>
      </c>
      <c r="W614" s="16"/>
      <c r="X614" s="16" t="str">
        <f>"－"</f>
        <v>－</v>
      </c>
      <c r="Y614" s="13"/>
      <c r="Z614" s="17" t="n">
        <f>875</f>
        <v>875.0</v>
      </c>
      <c r="AA614" s="18" t="str">
        <f>"－"</f>
        <v>－</v>
      </c>
      <c r="AB614" s="11" t="s">
        <v>594</v>
      </c>
    </row>
    <row r="615">
      <c r="A615" s="11" t="s">
        <v>46</v>
      </c>
      <c r="B615" s="11" t="s">
        <v>47</v>
      </c>
      <c r="C615" s="11" t="s">
        <v>48</v>
      </c>
      <c r="D615" s="11" t="s">
        <v>49</v>
      </c>
      <c r="E615" s="11" t="s">
        <v>593</v>
      </c>
      <c r="F615" s="12" t="n">
        <v>16000.0</v>
      </c>
      <c r="G615" s="13"/>
      <c r="H615" s="14" t="s">
        <v>57</v>
      </c>
      <c r="I615" s="13"/>
      <c r="J615" s="14" t="s">
        <v>57</v>
      </c>
      <c r="K615" s="13" t="s">
        <v>56</v>
      </c>
      <c r="L615" s="14" t="s">
        <v>596</v>
      </c>
      <c r="M615" s="13"/>
      <c r="N615" s="14" t="s">
        <v>57</v>
      </c>
      <c r="O615" s="13" t="s">
        <v>56</v>
      </c>
      <c r="P615" s="14" t="s">
        <v>596</v>
      </c>
      <c r="Q615" s="13"/>
      <c r="R615" s="14" t="s">
        <v>57</v>
      </c>
      <c r="S615" s="15" t="str">
        <f>"－"</f>
        <v>－</v>
      </c>
      <c r="T615" s="16" t="n">
        <f>100</f>
        <v>100.0</v>
      </c>
      <c r="U615" s="16" t="n">
        <v>100.0</v>
      </c>
      <c r="V615" s="16" t="n">
        <f>47400000</f>
        <v>4.74E7</v>
      </c>
      <c r="W615" s="16" t="n">
        <v>4.74E7</v>
      </c>
      <c r="X615" s="16" t="str">
        <f>"－"</f>
        <v>－</v>
      </c>
      <c r="Y615" s="13"/>
      <c r="Z615" s="17" t="n">
        <f>4875</f>
        <v>4875.0</v>
      </c>
      <c r="AA615" s="18" t="str">
        <f>"－"</f>
        <v>－</v>
      </c>
      <c r="AB615" s="11" t="s">
        <v>594</v>
      </c>
    </row>
    <row r="616">
      <c r="A616" s="11" t="s">
        <v>46</v>
      </c>
      <c r="B616" s="11" t="s">
        <v>47</v>
      </c>
      <c r="C616" s="11" t="s">
        <v>48</v>
      </c>
      <c r="D616" s="11" t="s">
        <v>49</v>
      </c>
      <c r="E616" s="11" t="s">
        <v>593</v>
      </c>
      <c r="F616" s="12" t="n">
        <v>16500.0</v>
      </c>
      <c r="G616" s="13"/>
      <c r="H616" s="14" t="s">
        <v>57</v>
      </c>
      <c r="I616" s="13"/>
      <c r="J616" s="14" t="s">
        <v>57</v>
      </c>
      <c r="K616" s="13"/>
      <c r="L616" s="14"/>
      <c r="M616" s="13"/>
      <c r="N616" s="14" t="s">
        <v>57</v>
      </c>
      <c r="O616" s="13"/>
      <c r="P616" s="14"/>
      <c r="Q616" s="13"/>
      <c r="R616" s="14" t="s">
        <v>57</v>
      </c>
      <c r="S616" s="15" t="str">
        <f>"－"</f>
        <v>－</v>
      </c>
      <c r="T616" s="16" t="str">
        <f>"－"</f>
        <v>－</v>
      </c>
      <c r="U616" s="16"/>
      <c r="V616" s="16" t="str">
        <f>"－"</f>
        <v>－</v>
      </c>
      <c r="W616" s="16"/>
      <c r="X616" s="16" t="str">
        <f>"－"</f>
        <v>－</v>
      </c>
      <c r="Y616" s="13"/>
      <c r="Z616" s="17" t="n">
        <f>1530</f>
        <v>1530.0</v>
      </c>
      <c r="AA616" s="18" t="str">
        <f>"－"</f>
        <v>－</v>
      </c>
      <c r="AB616" s="11" t="s">
        <v>594</v>
      </c>
    </row>
    <row r="617">
      <c r="A617" s="11" t="s">
        <v>46</v>
      </c>
      <c r="B617" s="11" t="s">
        <v>47</v>
      </c>
      <c r="C617" s="11" t="s">
        <v>48</v>
      </c>
      <c r="D617" s="11" t="s">
        <v>49</v>
      </c>
      <c r="E617" s="11" t="s">
        <v>593</v>
      </c>
      <c r="F617" s="12" t="n">
        <v>17000.0</v>
      </c>
      <c r="G617" s="13"/>
      <c r="H617" s="14" t="s">
        <v>57</v>
      </c>
      <c r="I617" s="13"/>
      <c r="J617" s="14" t="s">
        <v>57</v>
      </c>
      <c r="K617" s="13"/>
      <c r="L617" s="14"/>
      <c r="M617" s="13"/>
      <c r="N617" s="14" t="s">
        <v>57</v>
      </c>
      <c r="O617" s="13"/>
      <c r="P617" s="14"/>
      <c r="Q617" s="13"/>
      <c r="R617" s="14" t="s">
        <v>57</v>
      </c>
      <c r="S617" s="15" t="str">
        <f>"－"</f>
        <v>－</v>
      </c>
      <c r="T617" s="16" t="str">
        <f>"－"</f>
        <v>－</v>
      </c>
      <c r="U617" s="16"/>
      <c r="V617" s="16" t="str">
        <f>"－"</f>
        <v>－</v>
      </c>
      <c r="W617" s="16"/>
      <c r="X617" s="16" t="str">
        <f>"－"</f>
        <v>－</v>
      </c>
      <c r="Y617" s="13"/>
      <c r="Z617" s="17" t="n">
        <f>7420</f>
        <v>7420.0</v>
      </c>
      <c r="AA617" s="18" t="str">
        <f>"－"</f>
        <v>－</v>
      </c>
      <c r="AB617" s="11" t="s">
        <v>594</v>
      </c>
    </row>
    <row r="618">
      <c r="A618" s="11" t="s">
        <v>46</v>
      </c>
      <c r="B618" s="11" t="s">
        <v>47</v>
      </c>
      <c r="C618" s="11" t="s">
        <v>48</v>
      </c>
      <c r="D618" s="11" t="s">
        <v>49</v>
      </c>
      <c r="E618" s="11" t="s">
        <v>593</v>
      </c>
      <c r="F618" s="12" t="n">
        <v>17250.0</v>
      </c>
      <c r="G618" s="13"/>
      <c r="H618" s="14" t="s">
        <v>57</v>
      </c>
      <c r="I618" s="13"/>
      <c r="J618" s="14" t="s">
        <v>57</v>
      </c>
      <c r="K618" s="13"/>
      <c r="L618" s="14"/>
      <c r="M618" s="13"/>
      <c r="N618" s="14" t="s">
        <v>57</v>
      </c>
      <c r="O618" s="13"/>
      <c r="P618" s="14"/>
      <c r="Q618" s="13"/>
      <c r="R618" s="14" t="s">
        <v>57</v>
      </c>
      <c r="S618" s="15" t="str">
        <f>"－"</f>
        <v>－</v>
      </c>
      <c r="T618" s="16" t="str">
        <f>"－"</f>
        <v>－</v>
      </c>
      <c r="U618" s="16"/>
      <c r="V618" s="16" t="str">
        <f>"－"</f>
        <v>－</v>
      </c>
      <c r="W618" s="16"/>
      <c r="X618" s="16" t="str">
        <f>"－"</f>
        <v>－</v>
      </c>
      <c r="Y618" s="13"/>
      <c r="Z618" s="17" t="n">
        <f>675</f>
        <v>675.0</v>
      </c>
      <c r="AA618" s="18" t="str">
        <f>"－"</f>
        <v>－</v>
      </c>
      <c r="AB618" s="11" t="s">
        <v>594</v>
      </c>
    </row>
    <row r="619">
      <c r="A619" s="11" t="s">
        <v>46</v>
      </c>
      <c r="B619" s="11" t="s">
        <v>47</v>
      </c>
      <c r="C619" s="11" t="s">
        <v>48</v>
      </c>
      <c r="D619" s="11" t="s">
        <v>49</v>
      </c>
      <c r="E619" s="11" t="s">
        <v>593</v>
      </c>
      <c r="F619" s="12" t="n">
        <v>17500.0</v>
      </c>
      <c r="G619" s="13"/>
      <c r="H619" s="14" t="s">
        <v>57</v>
      </c>
      <c r="I619" s="13"/>
      <c r="J619" s="14" t="s">
        <v>57</v>
      </c>
      <c r="K619" s="13"/>
      <c r="L619" s="14"/>
      <c r="M619" s="13"/>
      <c r="N619" s="14" t="s">
        <v>57</v>
      </c>
      <c r="O619" s="13"/>
      <c r="P619" s="14"/>
      <c r="Q619" s="13"/>
      <c r="R619" s="14" t="s">
        <v>57</v>
      </c>
      <c r="S619" s="15" t="str">
        <f>"－"</f>
        <v>－</v>
      </c>
      <c r="T619" s="16" t="str">
        <f>"－"</f>
        <v>－</v>
      </c>
      <c r="U619" s="16"/>
      <c r="V619" s="16" t="str">
        <f>"－"</f>
        <v>－</v>
      </c>
      <c r="W619" s="16"/>
      <c r="X619" s="16" t="str">
        <f>"－"</f>
        <v>－</v>
      </c>
      <c r="Y619" s="13"/>
      <c r="Z619" s="17" t="n">
        <f>2950</f>
        <v>2950.0</v>
      </c>
      <c r="AA619" s="18" t="str">
        <f>"－"</f>
        <v>－</v>
      </c>
      <c r="AB619" s="11" t="s">
        <v>594</v>
      </c>
    </row>
    <row r="620">
      <c r="A620" s="11" t="s">
        <v>46</v>
      </c>
      <c r="B620" s="11" t="s">
        <v>47</v>
      </c>
      <c r="C620" s="11" t="s">
        <v>48</v>
      </c>
      <c r="D620" s="11" t="s">
        <v>49</v>
      </c>
      <c r="E620" s="11" t="s">
        <v>593</v>
      </c>
      <c r="F620" s="12" t="n">
        <v>18000.0</v>
      </c>
      <c r="G620" s="13"/>
      <c r="H620" s="14" t="s">
        <v>57</v>
      </c>
      <c r="I620" s="13"/>
      <c r="J620" s="14" t="s">
        <v>57</v>
      </c>
      <c r="K620" s="13" t="s">
        <v>63</v>
      </c>
      <c r="L620" s="14" t="s">
        <v>597</v>
      </c>
      <c r="M620" s="13"/>
      <c r="N620" s="14" t="s">
        <v>57</v>
      </c>
      <c r="O620" s="13" t="s">
        <v>208</v>
      </c>
      <c r="P620" s="14" t="s">
        <v>160</v>
      </c>
      <c r="Q620" s="13"/>
      <c r="R620" s="14" t="s">
        <v>57</v>
      </c>
      <c r="S620" s="15" t="str">
        <f>"－"</f>
        <v>－</v>
      </c>
      <c r="T620" s="16" t="n">
        <f>1100</f>
        <v>1100.0</v>
      </c>
      <c r="U620" s="16" t="n">
        <v>1100.0</v>
      </c>
      <c r="V620" s="16" t="n">
        <f>743500000</f>
        <v>7.435E8</v>
      </c>
      <c r="W620" s="16" t="n">
        <v>7.435E8</v>
      </c>
      <c r="X620" s="16" t="str">
        <f>"－"</f>
        <v>－</v>
      </c>
      <c r="Y620" s="13"/>
      <c r="Z620" s="17" t="n">
        <f>9241</f>
        <v>9241.0</v>
      </c>
      <c r="AA620" s="18" t="str">
        <f>"－"</f>
        <v>－</v>
      </c>
      <c r="AB620" s="11" t="s">
        <v>594</v>
      </c>
    </row>
    <row r="621">
      <c r="A621" s="11" t="s">
        <v>46</v>
      </c>
      <c r="B621" s="11" t="s">
        <v>47</v>
      </c>
      <c r="C621" s="11" t="s">
        <v>48</v>
      </c>
      <c r="D621" s="11" t="s">
        <v>49</v>
      </c>
      <c r="E621" s="11" t="s">
        <v>593</v>
      </c>
      <c r="F621" s="12" t="n">
        <v>18500.0</v>
      </c>
      <c r="G621" s="13"/>
      <c r="H621" s="14" t="s">
        <v>57</v>
      </c>
      <c r="I621" s="13"/>
      <c r="J621" s="14" t="s">
        <v>57</v>
      </c>
      <c r="K621" s="13"/>
      <c r="L621" s="14"/>
      <c r="M621" s="13"/>
      <c r="N621" s="14" t="s">
        <v>57</v>
      </c>
      <c r="O621" s="13"/>
      <c r="P621" s="14"/>
      <c r="Q621" s="13"/>
      <c r="R621" s="14" t="s">
        <v>57</v>
      </c>
      <c r="S621" s="15" t="str">
        <f>"－"</f>
        <v>－</v>
      </c>
      <c r="T621" s="16" t="str">
        <f>"－"</f>
        <v>－</v>
      </c>
      <c r="U621" s="16"/>
      <c r="V621" s="16" t="str">
        <f>"－"</f>
        <v>－</v>
      </c>
      <c r="W621" s="16"/>
      <c r="X621" s="16" t="str">
        <f>"－"</f>
        <v>－</v>
      </c>
      <c r="Y621" s="13"/>
      <c r="Z621" s="17" t="n">
        <f>2550</f>
        <v>2550.0</v>
      </c>
      <c r="AA621" s="18" t="str">
        <f>"－"</f>
        <v>－</v>
      </c>
      <c r="AB621" s="11" t="s">
        <v>594</v>
      </c>
    </row>
    <row r="622">
      <c r="A622" s="11" t="s">
        <v>46</v>
      </c>
      <c r="B622" s="11" t="s">
        <v>47</v>
      </c>
      <c r="C622" s="11" t="s">
        <v>48</v>
      </c>
      <c r="D622" s="11" t="s">
        <v>49</v>
      </c>
      <c r="E622" s="11" t="s">
        <v>593</v>
      </c>
      <c r="F622" s="12" t="n">
        <v>18750.0</v>
      </c>
      <c r="G622" s="13"/>
      <c r="H622" s="14" t="s">
        <v>57</v>
      </c>
      <c r="I622" s="13"/>
      <c r="J622" s="14" t="s">
        <v>57</v>
      </c>
      <c r="K622" s="13"/>
      <c r="L622" s="14"/>
      <c r="M622" s="13"/>
      <c r="N622" s="14" t="s">
        <v>57</v>
      </c>
      <c r="O622" s="13"/>
      <c r="P622" s="14"/>
      <c r="Q622" s="13"/>
      <c r="R622" s="14" t="s">
        <v>57</v>
      </c>
      <c r="S622" s="15" t="str">
        <f>"－"</f>
        <v>－</v>
      </c>
      <c r="T622" s="16" t="str">
        <f>"－"</f>
        <v>－</v>
      </c>
      <c r="U622" s="16"/>
      <c r="V622" s="16" t="str">
        <f>"－"</f>
        <v>－</v>
      </c>
      <c r="W622" s="16"/>
      <c r="X622" s="16" t="str">
        <f>"－"</f>
        <v>－</v>
      </c>
      <c r="Y622" s="13"/>
      <c r="Z622" s="17" t="n">
        <f>100</f>
        <v>100.0</v>
      </c>
      <c r="AA622" s="18" t="str">
        <f>"－"</f>
        <v>－</v>
      </c>
      <c r="AB622" s="11" t="s">
        <v>594</v>
      </c>
    </row>
    <row r="623">
      <c r="A623" s="11" t="s">
        <v>46</v>
      </c>
      <c r="B623" s="11" t="s">
        <v>47</v>
      </c>
      <c r="C623" s="11" t="s">
        <v>48</v>
      </c>
      <c r="D623" s="11" t="s">
        <v>49</v>
      </c>
      <c r="E623" s="11" t="s">
        <v>593</v>
      </c>
      <c r="F623" s="12" t="n">
        <v>19000.0</v>
      </c>
      <c r="G623" s="13"/>
      <c r="H623" s="14" t="s">
        <v>57</v>
      </c>
      <c r="I623" s="13"/>
      <c r="J623" s="14" t="s">
        <v>57</v>
      </c>
      <c r="K623" s="13" t="s">
        <v>205</v>
      </c>
      <c r="L623" s="14" t="s">
        <v>167</v>
      </c>
      <c r="M623" s="13"/>
      <c r="N623" s="14" t="s">
        <v>57</v>
      </c>
      <c r="O623" s="13" t="s">
        <v>205</v>
      </c>
      <c r="P623" s="14" t="s">
        <v>167</v>
      </c>
      <c r="Q623" s="13"/>
      <c r="R623" s="14" t="s">
        <v>57</v>
      </c>
      <c r="S623" s="15" t="str">
        <f>"－"</f>
        <v>－</v>
      </c>
      <c r="T623" s="16" t="n">
        <f>600</f>
        <v>600.0</v>
      </c>
      <c r="U623" s="16" t="n">
        <v>600.0</v>
      </c>
      <c r="V623" s="16" t="n">
        <f>420000000</f>
        <v>4.2E8</v>
      </c>
      <c r="W623" s="16" t="n">
        <v>4.2E8</v>
      </c>
      <c r="X623" s="16" t="str">
        <f>"－"</f>
        <v>－</v>
      </c>
      <c r="Y623" s="13"/>
      <c r="Z623" s="17" t="n">
        <f>6110</f>
        <v>6110.0</v>
      </c>
      <c r="AA623" s="18" t="str">
        <f>"－"</f>
        <v>－</v>
      </c>
      <c r="AB623" s="11" t="s">
        <v>594</v>
      </c>
    </row>
    <row r="624">
      <c r="A624" s="11" t="s">
        <v>46</v>
      </c>
      <c r="B624" s="11" t="s">
        <v>47</v>
      </c>
      <c r="C624" s="11" t="s">
        <v>48</v>
      </c>
      <c r="D624" s="11" t="s">
        <v>49</v>
      </c>
      <c r="E624" s="11" t="s">
        <v>593</v>
      </c>
      <c r="F624" s="12" t="n">
        <v>19250.0</v>
      </c>
      <c r="G624" s="13"/>
      <c r="H624" s="14" t="s">
        <v>57</v>
      </c>
      <c r="I624" s="13"/>
      <c r="J624" s="14" t="s">
        <v>57</v>
      </c>
      <c r="K624" s="13"/>
      <c r="L624" s="14"/>
      <c r="M624" s="13"/>
      <c r="N624" s="14" t="s">
        <v>57</v>
      </c>
      <c r="O624" s="13"/>
      <c r="P624" s="14"/>
      <c r="Q624" s="13"/>
      <c r="R624" s="14" t="s">
        <v>57</v>
      </c>
      <c r="S624" s="15" t="str">
        <f>"－"</f>
        <v>－</v>
      </c>
      <c r="T624" s="16" t="str">
        <f>"－"</f>
        <v>－</v>
      </c>
      <c r="U624" s="16"/>
      <c r="V624" s="16" t="str">
        <f>"－"</f>
        <v>－</v>
      </c>
      <c r="W624" s="16"/>
      <c r="X624" s="16" t="str">
        <f>"－"</f>
        <v>－</v>
      </c>
      <c r="Y624" s="13"/>
      <c r="Z624" s="17" t="n">
        <f>18</f>
        <v>18.0</v>
      </c>
      <c r="AA624" s="18" t="str">
        <f>"－"</f>
        <v>－</v>
      </c>
      <c r="AB624" s="11" t="s">
        <v>594</v>
      </c>
    </row>
    <row r="625">
      <c r="A625" s="11" t="s">
        <v>46</v>
      </c>
      <c r="B625" s="11" t="s">
        <v>47</v>
      </c>
      <c r="C625" s="11" t="s">
        <v>48</v>
      </c>
      <c r="D625" s="11" t="s">
        <v>49</v>
      </c>
      <c r="E625" s="11" t="s">
        <v>593</v>
      </c>
      <c r="F625" s="12" t="n">
        <v>19500.0</v>
      </c>
      <c r="G625" s="13"/>
      <c r="H625" s="14" t="s">
        <v>57</v>
      </c>
      <c r="I625" s="13"/>
      <c r="J625" s="14" t="s">
        <v>57</v>
      </c>
      <c r="K625" s="13"/>
      <c r="L625" s="14"/>
      <c r="M625" s="13"/>
      <c r="N625" s="14" t="s">
        <v>57</v>
      </c>
      <c r="O625" s="13"/>
      <c r="P625" s="14"/>
      <c r="Q625" s="13"/>
      <c r="R625" s="14" t="s">
        <v>57</v>
      </c>
      <c r="S625" s="15" t="str">
        <f>"－"</f>
        <v>－</v>
      </c>
      <c r="T625" s="16" t="str">
        <f>"－"</f>
        <v>－</v>
      </c>
      <c r="U625" s="16"/>
      <c r="V625" s="16" t="str">
        <f>"－"</f>
        <v>－</v>
      </c>
      <c r="W625" s="16"/>
      <c r="X625" s="16" t="str">
        <f>"－"</f>
        <v>－</v>
      </c>
      <c r="Y625" s="13"/>
      <c r="Z625" s="17" t="n">
        <f>1825</f>
        <v>1825.0</v>
      </c>
      <c r="AA625" s="18" t="str">
        <f>"－"</f>
        <v>－</v>
      </c>
      <c r="AB625" s="11" t="s">
        <v>594</v>
      </c>
    </row>
    <row r="626">
      <c r="A626" s="11" t="s">
        <v>46</v>
      </c>
      <c r="B626" s="11" t="s">
        <v>47</v>
      </c>
      <c r="C626" s="11" t="s">
        <v>48</v>
      </c>
      <c r="D626" s="11" t="s">
        <v>49</v>
      </c>
      <c r="E626" s="11" t="s">
        <v>593</v>
      </c>
      <c r="F626" s="12" t="n">
        <v>20000.0</v>
      </c>
      <c r="G626" s="13"/>
      <c r="H626" s="14" t="s">
        <v>57</v>
      </c>
      <c r="I626" s="13"/>
      <c r="J626" s="14" t="s">
        <v>57</v>
      </c>
      <c r="K626" s="13" t="s">
        <v>50</v>
      </c>
      <c r="L626" s="14" t="s">
        <v>442</v>
      </c>
      <c r="M626" s="13"/>
      <c r="N626" s="14" t="s">
        <v>57</v>
      </c>
      <c r="O626" s="13" t="s">
        <v>208</v>
      </c>
      <c r="P626" s="14" t="s">
        <v>287</v>
      </c>
      <c r="Q626" s="13"/>
      <c r="R626" s="14" t="s">
        <v>57</v>
      </c>
      <c r="S626" s="15" t="str">
        <f>"－"</f>
        <v>－</v>
      </c>
      <c r="T626" s="16" t="n">
        <f>300</f>
        <v>300.0</v>
      </c>
      <c r="U626" s="16" t="n">
        <v>300.0</v>
      </c>
      <c r="V626" s="16" t="n">
        <f>292000000</f>
        <v>2.92E8</v>
      </c>
      <c r="W626" s="16" t="n">
        <v>2.92E8</v>
      </c>
      <c r="X626" s="16" t="str">
        <f>"－"</f>
        <v>－</v>
      </c>
      <c r="Y626" s="13"/>
      <c r="Z626" s="17" t="n">
        <f>5715</f>
        <v>5715.0</v>
      </c>
      <c r="AA626" s="18" t="str">
        <f>"－"</f>
        <v>－</v>
      </c>
      <c r="AB626" s="11" t="s">
        <v>594</v>
      </c>
    </row>
    <row r="627">
      <c r="A627" s="11" t="s">
        <v>46</v>
      </c>
      <c r="B627" s="11" t="s">
        <v>47</v>
      </c>
      <c r="C627" s="11" t="s">
        <v>48</v>
      </c>
      <c r="D627" s="11" t="s">
        <v>49</v>
      </c>
      <c r="E627" s="11" t="s">
        <v>593</v>
      </c>
      <c r="F627" s="12" t="n">
        <v>20250.0</v>
      </c>
      <c r="G627" s="13"/>
      <c r="H627" s="14" t="s">
        <v>57</v>
      </c>
      <c r="I627" s="13"/>
      <c r="J627" s="14" t="s">
        <v>57</v>
      </c>
      <c r="K627" s="13"/>
      <c r="L627" s="14"/>
      <c r="M627" s="13"/>
      <c r="N627" s="14" t="s">
        <v>57</v>
      </c>
      <c r="O627" s="13"/>
      <c r="P627" s="14"/>
      <c r="Q627" s="13"/>
      <c r="R627" s="14" t="s">
        <v>57</v>
      </c>
      <c r="S627" s="15" t="str">
        <f>"－"</f>
        <v>－</v>
      </c>
      <c r="T627" s="16" t="str">
        <f>"－"</f>
        <v>－</v>
      </c>
      <c r="U627" s="16"/>
      <c r="V627" s="16" t="str">
        <f>"－"</f>
        <v>－</v>
      </c>
      <c r="W627" s="16"/>
      <c r="X627" s="16" t="str">
        <f>"－"</f>
        <v>－</v>
      </c>
      <c r="Y627" s="13"/>
      <c r="Z627" s="17" t="n">
        <f>475</f>
        <v>475.0</v>
      </c>
      <c r="AA627" s="18" t="str">
        <f>"－"</f>
        <v>－</v>
      </c>
      <c r="AB627" s="11" t="s">
        <v>594</v>
      </c>
    </row>
    <row r="628">
      <c r="A628" s="11" t="s">
        <v>46</v>
      </c>
      <c r="B628" s="11" t="s">
        <v>47</v>
      </c>
      <c r="C628" s="11" t="s">
        <v>48</v>
      </c>
      <c r="D628" s="11" t="s">
        <v>49</v>
      </c>
      <c r="E628" s="11" t="s">
        <v>593</v>
      </c>
      <c r="F628" s="12" t="n">
        <v>20500.0</v>
      </c>
      <c r="G628" s="13"/>
      <c r="H628" s="14" t="s">
        <v>57</v>
      </c>
      <c r="I628" s="13"/>
      <c r="J628" s="14" t="s">
        <v>57</v>
      </c>
      <c r="K628" s="13" t="s">
        <v>202</v>
      </c>
      <c r="L628" s="14" t="s">
        <v>598</v>
      </c>
      <c r="M628" s="13"/>
      <c r="N628" s="14" t="s">
        <v>57</v>
      </c>
      <c r="O628" s="13" t="s">
        <v>202</v>
      </c>
      <c r="P628" s="14" t="s">
        <v>598</v>
      </c>
      <c r="Q628" s="13"/>
      <c r="R628" s="14" t="s">
        <v>57</v>
      </c>
      <c r="S628" s="15" t="str">
        <f>"－"</f>
        <v>－</v>
      </c>
      <c r="T628" s="16" t="n">
        <f>200</f>
        <v>200.0</v>
      </c>
      <c r="U628" s="16" t="n">
        <v>200.0</v>
      </c>
      <c r="V628" s="16" t="n">
        <f>174200000</f>
        <v>1.742E8</v>
      </c>
      <c r="W628" s="16" t="n">
        <v>1.742E8</v>
      </c>
      <c r="X628" s="16" t="str">
        <f>"－"</f>
        <v>－</v>
      </c>
      <c r="Y628" s="13"/>
      <c r="Z628" s="17" t="n">
        <f>1748</f>
        <v>1748.0</v>
      </c>
      <c r="AA628" s="18" t="str">
        <f>"－"</f>
        <v>－</v>
      </c>
      <c r="AB628" s="11" t="s">
        <v>594</v>
      </c>
    </row>
    <row r="629">
      <c r="A629" s="11" t="s">
        <v>46</v>
      </c>
      <c r="B629" s="11" t="s">
        <v>47</v>
      </c>
      <c r="C629" s="11" t="s">
        <v>48</v>
      </c>
      <c r="D629" s="11" t="s">
        <v>49</v>
      </c>
      <c r="E629" s="11" t="s">
        <v>593</v>
      </c>
      <c r="F629" s="12" t="n">
        <v>20750.0</v>
      </c>
      <c r="G629" s="13"/>
      <c r="H629" s="14" t="s">
        <v>57</v>
      </c>
      <c r="I629" s="13"/>
      <c r="J629" s="14" t="s">
        <v>57</v>
      </c>
      <c r="K629" s="13"/>
      <c r="L629" s="14"/>
      <c r="M629" s="13"/>
      <c r="N629" s="14" t="s">
        <v>57</v>
      </c>
      <c r="O629" s="13"/>
      <c r="P629" s="14"/>
      <c r="Q629" s="13"/>
      <c r="R629" s="14" t="s">
        <v>57</v>
      </c>
      <c r="S629" s="15" t="str">
        <f>"－"</f>
        <v>－</v>
      </c>
      <c r="T629" s="16" t="str">
        <f>"－"</f>
        <v>－</v>
      </c>
      <c r="U629" s="16"/>
      <c r="V629" s="16" t="str">
        <f>"－"</f>
        <v>－</v>
      </c>
      <c r="W629" s="16"/>
      <c r="X629" s="16" t="str">
        <f>"－"</f>
        <v>－</v>
      </c>
      <c r="Y629" s="13"/>
      <c r="Z629" s="17" t="n">
        <f>400</f>
        <v>400.0</v>
      </c>
      <c r="AA629" s="18" t="str">
        <f>"－"</f>
        <v>－</v>
      </c>
      <c r="AB629" s="11" t="s">
        <v>594</v>
      </c>
    </row>
    <row r="630">
      <c r="A630" s="11" t="s">
        <v>46</v>
      </c>
      <c r="B630" s="11" t="s">
        <v>47</v>
      </c>
      <c r="C630" s="11" t="s">
        <v>48</v>
      </c>
      <c r="D630" s="11" t="s">
        <v>49</v>
      </c>
      <c r="E630" s="11" t="s">
        <v>593</v>
      </c>
      <c r="F630" s="12" t="n">
        <v>21000.0</v>
      </c>
      <c r="G630" s="13"/>
      <c r="H630" s="14" t="s">
        <v>57</v>
      </c>
      <c r="I630" s="13"/>
      <c r="J630" s="14" t="s">
        <v>57</v>
      </c>
      <c r="K630" s="13" t="s">
        <v>206</v>
      </c>
      <c r="L630" s="14" t="s">
        <v>305</v>
      </c>
      <c r="M630" s="13"/>
      <c r="N630" s="14" t="s">
        <v>57</v>
      </c>
      <c r="O630" s="13" t="s">
        <v>204</v>
      </c>
      <c r="P630" s="14" t="s">
        <v>599</v>
      </c>
      <c r="Q630" s="13"/>
      <c r="R630" s="14" t="s">
        <v>57</v>
      </c>
      <c r="S630" s="15" t="str">
        <f>"－"</f>
        <v>－</v>
      </c>
      <c r="T630" s="16" t="n">
        <f>400</f>
        <v>400.0</v>
      </c>
      <c r="U630" s="16" t="n">
        <v>400.0</v>
      </c>
      <c r="V630" s="16" t="n">
        <f>344800000</f>
        <v>3.448E8</v>
      </c>
      <c r="W630" s="16" t="n">
        <v>3.448E8</v>
      </c>
      <c r="X630" s="16" t="str">
        <f>"－"</f>
        <v>－</v>
      </c>
      <c r="Y630" s="13"/>
      <c r="Z630" s="17" t="n">
        <f>4360</f>
        <v>4360.0</v>
      </c>
      <c r="AA630" s="18" t="str">
        <f>"－"</f>
        <v>－</v>
      </c>
      <c r="AB630" s="11" t="s">
        <v>594</v>
      </c>
    </row>
    <row r="631">
      <c r="A631" s="11" t="s">
        <v>46</v>
      </c>
      <c r="B631" s="11" t="s">
        <v>47</v>
      </c>
      <c r="C631" s="11" t="s">
        <v>48</v>
      </c>
      <c r="D631" s="11" t="s">
        <v>49</v>
      </c>
      <c r="E631" s="11" t="s">
        <v>593</v>
      </c>
      <c r="F631" s="12" t="n">
        <v>21250.0</v>
      </c>
      <c r="G631" s="13"/>
      <c r="H631" s="14" t="s">
        <v>57</v>
      </c>
      <c r="I631" s="13"/>
      <c r="J631" s="14" t="s">
        <v>57</v>
      </c>
      <c r="K631" s="13"/>
      <c r="L631" s="14"/>
      <c r="M631" s="13"/>
      <c r="N631" s="14" t="s">
        <v>57</v>
      </c>
      <c r="O631" s="13"/>
      <c r="P631" s="14"/>
      <c r="Q631" s="13"/>
      <c r="R631" s="14" t="s">
        <v>57</v>
      </c>
      <c r="S631" s="15" t="str">
        <f>"－"</f>
        <v>－</v>
      </c>
      <c r="T631" s="16" t="str">
        <f>"－"</f>
        <v>－</v>
      </c>
      <c r="U631" s="16"/>
      <c r="V631" s="16" t="str">
        <f>"－"</f>
        <v>－</v>
      </c>
      <c r="W631" s="16"/>
      <c r="X631" s="16" t="str">
        <f>"－"</f>
        <v>－</v>
      </c>
      <c r="Y631" s="13"/>
      <c r="Z631" s="17" t="n">
        <f>350</f>
        <v>350.0</v>
      </c>
      <c r="AA631" s="18" t="str">
        <f>"－"</f>
        <v>－</v>
      </c>
      <c r="AB631" s="11" t="s">
        <v>594</v>
      </c>
    </row>
    <row r="632">
      <c r="A632" s="11" t="s">
        <v>46</v>
      </c>
      <c r="B632" s="11" t="s">
        <v>47</v>
      </c>
      <c r="C632" s="11" t="s">
        <v>48</v>
      </c>
      <c r="D632" s="11" t="s">
        <v>49</v>
      </c>
      <c r="E632" s="11" t="s">
        <v>593</v>
      </c>
      <c r="F632" s="12" t="n">
        <v>21500.0</v>
      </c>
      <c r="G632" s="13"/>
      <c r="H632" s="14" t="s">
        <v>57</v>
      </c>
      <c r="I632" s="13"/>
      <c r="J632" s="14" t="s">
        <v>57</v>
      </c>
      <c r="K632" s="13" t="s">
        <v>202</v>
      </c>
      <c r="L632" s="14" t="s">
        <v>169</v>
      </c>
      <c r="M632" s="13"/>
      <c r="N632" s="14" t="s">
        <v>57</v>
      </c>
      <c r="O632" s="13" t="s">
        <v>202</v>
      </c>
      <c r="P632" s="14" t="s">
        <v>169</v>
      </c>
      <c r="Q632" s="13"/>
      <c r="R632" s="14" t="s">
        <v>57</v>
      </c>
      <c r="S632" s="15" t="str">
        <f>"－"</f>
        <v>－</v>
      </c>
      <c r="T632" s="16" t="n">
        <f>400</f>
        <v>400.0</v>
      </c>
      <c r="U632" s="16" t="n">
        <v>400.0</v>
      </c>
      <c r="V632" s="16" t="n">
        <f>400000000</f>
        <v>4.0E8</v>
      </c>
      <c r="W632" s="16" t="n">
        <v>4.0E8</v>
      </c>
      <c r="X632" s="16" t="str">
        <f>"－"</f>
        <v>－</v>
      </c>
      <c r="Y632" s="13"/>
      <c r="Z632" s="17" t="n">
        <f>3385</f>
        <v>3385.0</v>
      </c>
      <c r="AA632" s="18" t="str">
        <f>"－"</f>
        <v>－</v>
      </c>
      <c r="AB632" s="11" t="s">
        <v>594</v>
      </c>
    </row>
    <row r="633">
      <c r="A633" s="11" t="s">
        <v>46</v>
      </c>
      <c r="B633" s="11" t="s">
        <v>47</v>
      </c>
      <c r="C633" s="11" t="s">
        <v>48</v>
      </c>
      <c r="D633" s="11" t="s">
        <v>49</v>
      </c>
      <c r="E633" s="11" t="s">
        <v>593</v>
      </c>
      <c r="F633" s="12" t="n">
        <v>21750.0</v>
      </c>
      <c r="G633" s="13"/>
      <c r="H633" s="14" t="s">
        <v>57</v>
      </c>
      <c r="I633" s="13"/>
      <c r="J633" s="14" t="s">
        <v>57</v>
      </c>
      <c r="K633" s="13"/>
      <c r="L633" s="14"/>
      <c r="M633" s="13"/>
      <c r="N633" s="14" t="s">
        <v>57</v>
      </c>
      <c r="O633" s="13"/>
      <c r="P633" s="14"/>
      <c r="Q633" s="13"/>
      <c r="R633" s="14" t="s">
        <v>57</v>
      </c>
      <c r="S633" s="15" t="str">
        <f>"－"</f>
        <v>－</v>
      </c>
      <c r="T633" s="16" t="str">
        <f>"－"</f>
        <v>－</v>
      </c>
      <c r="U633" s="16"/>
      <c r="V633" s="16" t="str">
        <f>"－"</f>
        <v>－</v>
      </c>
      <c r="W633" s="16"/>
      <c r="X633" s="16" t="str">
        <f>"－"</f>
        <v>－</v>
      </c>
      <c r="Y633" s="13"/>
      <c r="Z633" s="17" t="n">
        <f>650</f>
        <v>650.0</v>
      </c>
      <c r="AA633" s="18" t="str">
        <f>"－"</f>
        <v>－</v>
      </c>
      <c r="AB633" s="11" t="s">
        <v>594</v>
      </c>
    </row>
    <row r="634">
      <c r="A634" s="11" t="s">
        <v>46</v>
      </c>
      <c r="B634" s="11" t="s">
        <v>47</v>
      </c>
      <c r="C634" s="11" t="s">
        <v>48</v>
      </c>
      <c r="D634" s="11" t="s">
        <v>49</v>
      </c>
      <c r="E634" s="11" t="s">
        <v>593</v>
      </c>
      <c r="F634" s="12" t="n">
        <v>22000.0</v>
      </c>
      <c r="G634" s="13"/>
      <c r="H634" s="14" t="s">
        <v>57</v>
      </c>
      <c r="I634" s="13"/>
      <c r="J634" s="14" t="s">
        <v>57</v>
      </c>
      <c r="K634" s="13" t="s">
        <v>63</v>
      </c>
      <c r="L634" s="14" t="s">
        <v>600</v>
      </c>
      <c r="M634" s="13"/>
      <c r="N634" s="14" t="s">
        <v>57</v>
      </c>
      <c r="O634" s="13" t="s">
        <v>205</v>
      </c>
      <c r="P634" s="14" t="s">
        <v>601</v>
      </c>
      <c r="Q634" s="13"/>
      <c r="R634" s="14" t="s">
        <v>57</v>
      </c>
      <c r="S634" s="15" t="str">
        <f>"－"</f>
        <v>－</v>
      </c>
      <c r="T634" s="16" t="n">
        <f>1150</f>
        <v>1150.0</v>
      </c>
      <c r="U634" s="16" t="n">
        <v>1150.0</v>
      </c>
      <c r="V634" s="16" t="n">
        <f>1357100000</f>
        <v>1.3571E9</v>
      </c>
      <c r="W634" s="16" t="n">
        <v>1.3571E9</v>
      </c>
      <c r="X634" s="16" t="str">
        <f>"－"</f>
        <v>－</v>
      </c>
      <c r="Y634" s="13"/>
      <c r="Z634" s="17" t="n">
        <f>4867</f>
        <v>4867.0</v>
      </c>
      <c r="AA634" s="18" t="str">
        <f>"－"</f>
        <v>－</v>
      </c>
      <c r="AB634" s="11" t="s">
        <v>594</v>
      </c>
    </row>
    <row r="635">
      <c r="A635" s="11" t="s">
        <v>46</v>
      </c>
      <c r="B635" s="11" t="s">
        <v>47</v>
      </c>
      <c r="C635" s="11" t="s">
        <v>48</v>
      </c>
      <c r="D635" s="11" t="s">
        <v>49</v>
      </c>
      <c r="E635" s="11" t="s">
        <v>593</v>
      </c>
      <c r="F635" s="12" t="n">
        <v>22250.0</v>
      </c>
      <c r="G635" s="13"/>
      <c r="H635" s="14" t="s">
        <v>57</v>
      </c>
      <c r="I635" s="13"/>
      <c r="J635" s="14" t="s">
        <v>57</v>
      </c>
      <c r="K635" s="13"/>
      <c r="L635" s="14"/>
      <c r="M635" s="13"/>
      <c r="N635" s="14" t="s">
        <v>57</v>
      </c>
      <c r="O635" s="13"/>
      <c r="P635" s="14"/>
      <c r="Q635" s="13"/>
      <c r="R635" s="14" t="s">
        <v>57</v>
      </c>
      <c r="S635" s="15" t="str">
        <f>"－"</f>
        <v>－</v>
      </c>
      <c r="T635" s="16" t="str">
        <f>"－"</f>
        <v>－</v>
      </c>
      <c r="U635" s="16"/>
      <c r="V635" s="16" t="str">
        <f>"－"</f>
        <v>－</v>
      </c>
      <c r="W635" s="16"/>
      <c r="X635" s="16" t="str">
        <f>"－"</f>
        <v>－</v>
      </c>
      <c r="Y635" s="13"/>
      <c r="Z635" s="17" t="n">
        <f>650</f>
        <v>650.0</v>
      </c>
      <c r="AA635" s="18" t="str">
        <f>"－"</f>
        <v>－</v>
      </c>
      <c r="AB635" s="11" t="s">
        <v>594</v>
      </c>
    </row>
    <row r="636">
      <c r="A636" s="11" t="s">
        <v>46</v>
      </c>
      <c r="B636" s="11" t="s">
        <v>47</v>
      </c>
      <c r="C636" s="11" t="s">
        <v>48</v>
      </c>
      <c r="D636" s="11" t="s">
        <v>49</v>
      </c>
      <c r="E636" s="11" t="s">
        <v>593</v>
      </c>
      <c r="F636" s="12" t="n">
        <v>22500.0</v>
      </c>
      <c r="G636" s="13"/>
      <c r="H636" s="14" t="s">
        <v>57</v>
      </c>
      <c r="I636" s="13"/>
      <c r="J636" s="14" t="s">
        <v>57</v>
      </c>
      <c r="K636" s="13" t="s">
        <v>202</v>
      </c>
      <c r="L636" s="14" t="s">
        <v>425</v>
      </c>
      <c r="M636" s="13"/>
      <c r="N636" s="14" t="s">
        <v>57</v>
      </c>
      <c r="O636" s="13" t="s">
        <v>202</v>
      </c>
      <c r="P636" s="14" t="s">
        <v>425</v>
      </c>
      <c r="Q636" s="13"/>
      <c r="R636" s="14" t="s">
        <v>57</v>
      </c>
      <c r="S636" s="15" t="str">
        <f>"－"</f>
        <v>－</v>
      </c>
      <c r="T636" s="16" t="n">
        <f>200</f>
        <v>200.0</v>
      </c>
      <c r="U636" s="16" t="n">
        <v>200.0</v>
      </c>
      <c r="V636" s="16" t="n">
        <f>230000000</f>
        <v>2.3E8</v>
      </c>
      <c r="W636" s="16" t="n">
        <v>2.3E8</v>
      </c>
      <c r="X636" s="16" t="str">
        <f>"－"</f>
        <v>－</v>
      </c>
      <c r="Y636" s="13"/>
      <c r="Z636" s="17" t="n">
        <f>1980</f>
        <v>1980.0</v>
      </c>
      <c r="AA636" s="18" t="str">
        <f>"－"</f>
        <v>－</v>
      </c>
      <c r="AB636" s="11" t="s">
        <v>594</v>
      </c>
    </row>
    <row r="637">
      <c r="A637" s="11" t="s">
        <v>46</v>
      </c>
      <c r="B637" s="11" t="s">
        <v>47</v>
      </c>
      <c r="C637" s="11" t="s">
        <v>48</v>
      </c>
      <c r="D637" s="11" t="s">
        <v>49</v>
      </c>
      <c r="E637" s="11" t="s">
        <v>593</v>
      </c>
      <c r="F637" s="12" t="n">
        <v>22750.0</v>
      </c>
      <c r="G637" s="13"/>
      <c r="H637" s="14" t="s">
        <v>57</v>
      </c>
      <c r="I637" s="13"/>
      <c r="J637" s="14" t="s">
        <v>57</v>
      </c>
      <c r="K637" s="13"/>
      <c r="L637" s="14"/>
      <c r="M637" s="13"/>
      <c r="N637" s="14" t="s">
        <v>57</v>
      </c>
      <c r="O637" s="13"/>
      <c r="P637" s="14"/>
      <c r="Q637" s="13"/>
      <c r="R637" s="14" t="s">
        <v>57</v>
      </c>
      <c r="S637" s="15" t="str">
        <f>"－"</f>
        <v>－</v>
      </c>
      <c r="T637" s="16" t="str">
        <f>"－"</f>
        <v>－</v>
      </c>
      <c r="U637" s="16"/>
      <c r="V637" s="16" t="str">
        <f>"－"</f>
        <v>－</v>
      </c>
      <c r="W637" s="16"/>
      <c r="X637" s="16" t="str">
        <f>"－"</f>
        <v>－</v>
      </c>
      <c r="Y637" s="13"/>
      <c r="Z637" s="17" t="n">
        <f>684</f>
        <v>684.0</v>
      </c>
      <c r="AA637" s="18" t="str">
        <f>"－"</f>
        <v>－</v>
      </c>
      <c r="AB637" s="11" t="s">
        <v>594</v>
      </c>
    </row>
    <row r="638">
      <c r="A638" s="11" t="s">
        <v>46</v>
      </c>
      <c r="B638" s="11" t="s">
        <v>47</v>
      </c>
      <c r="C638" s="11" t="s">
        <v>48</v>
      </c>
      <c r="D638" s="11" t="s">
        <v>49</v>
      </c>
      <c r="E638" s="11" t="s">
        <v>593</v>
      </c>
      <c r="F638" s="12" t="n">
        <v>23000.0</v>
      </c>
      <c r="G638" s="13"/>
      <c r="H638" s="14" t="s">
        <v>57</v>
      </c>
      <c r="I638" s="13"/>
      <c r="J638" s="14" t="s">
        <v>57</v>
      </c>
      <c r="K638" s="13" t="s">
        <v>58</v>
      </c>
      <c r="L638" s="14" t="s">
        <v>602</v>
      </c>
      <c r="M638" s="13"/>
      <c r="N638" s="14" t="s">
        <v>57</v>
      </c>
      <c r="O638" s="13" t="s">
        <v>288</v>
      </c>
      <c r="P638" s="14" t="s">
        <v>600</v>
      </c>
      <c r="Q638" s="13"/>
      <c r="R638" s="14" t="s">
        <v>57</v>
      </c>
      <c r="S638" s="15" t="str">
        <f>"－"</f>
        <v>－</v>
      </c>
      <c r="T638" s="16" t="n">
        <f>550</f>
        <v>550.0</v>
      </c>
      <c r="U638" s="16" t="n">
        <v>550.0</v>
      </c>
      <c r="V638" s="16" t="n">
        <f>798700000</f>
        <v>7.987E8</v>
      </c>
      <c r="W638" s="16" t="n">
        <v>7.987E8</v>
      </c>
      <c r="X638" s="16" t="str">
        <f>"－"</f>
        <v>－</v>
      </c>
      <c r="Y638" s="13"/>
      <c r="Z638" s="17" t="n">
        <f>2190</f>
        <v>2190.0</v>
      </c>
      <c r="AA638" s="18" t="str">
        <f>"－"</f>
        <v>－</v>
      </c>
      <c r="AB638" s="11" t="s">
        <v>594</v>
      </c>
    </row>
    <row r="639">
      <c r="A639" s="11" t="s">
        <v>46</v>
      </c>
      <c r="B639" s="11" t="s">
        <v>47</v>
      </c>
      <c r="C639" s="11" t="s">
        <v>48</v>
      </c>
      <c r="D639" s="11" t="s">
        <v>49</v>
      </c>
      <c r="E639" s="11" t="s">
        <v>593</v>
      </c>
      <c r="F639" s="12" t="n">
        <v>23250.0</v>
      </c>
      <c r="G639" s="13"/>
      <c r="H639" s="14" t="s">
        <v>57</v>
      </c>
      <c r="I639" s="13"/>
      <c r="J639" s="14" t="s">
        <v>57</v>
      </c>
      <c r="K639" s="13"/>
      <c r="L639" s="14"/>
      <c r="M639" s="13"/>
      <c r="N639" s="14" t="s">
        <v>57</v>
      </c>
      <c r="O639" s="13"/>
      <c r="P639" s="14"/>
      <c r="Q639" s="13"/>
      <c r="R639" s="14" t="s">
        <v>57</v>
      </c>
      <c r="S639" s="15" t="str">
        <f>"－"</f>
        <v>－</v>
      </c>
      <c r="T639" s="16" t="str">
        <f>"－"</f>
        <v>－</v>
      </c>
      <c r="U639" s="16"/>
      <c r="V639" s="16" t="str">
        <f>"－"</f>
        <v>－</v>
      </c>
      <c r="W639" s="16"/>
      <c r="X639" s="16" t="str">
        <f>"－"</f>
        <v>－</v>
      </c>
      <c r="Y639" s="13"/>
      <c r="Z639" s="17" t="n">
        <f>200</f>
        <v>200.0</v>
      </c>
      <c r="AA639" s="18" t="str">
        <f>"－"</f>
        <v>－</v>
      </c>
      <c r="AB639" s="11" t="s">
        <v>594</v>
      </c>
    </row>
    <row r="640">
      <c r="A640" s="11" t="s">
        <v>46</v>
      </c>
      <c r="B640" s="11" t="s">
        <v>47</v>
      </c>
      <c r="C640" s="11" t="s">
        <v>48</v>
      </c>
      <c r="D640" s="11" t="s">
        <v>49</v>
      </c>
      <c r="E640" s="11" t="s">
        <v>593</v>
      </c>
      <c r="F640" s="12" t="n">
        <v>23500.0</v>
      </c>
      <c r="G640" s="13"/>
      <c r="H640" s="14" t="s">
        <v>57</v>
      </c>
      <c r="I640" s="13"/>
      <c r="J640" s="14" t="s">
        <v>57</v>
      </c>
      <c r="K640" s="13"/>
      <c r="L640" s="14"/>
      <c r="M640" s="13"/>
      <c r="N640" s="14" t="s">
        <v>57</v>
      </c>
      <c r="O640" s="13"/>
      <c r="P640" s="14"/>
      <c r="Q640" s="13"/>
      <c r="R640" s="14" t="s">
        <v>57</v>
      </c>
      <c r="S640" s="15" t="str">
        <f>"－"</f>
        <v>－</v>
      </c>
      <c r="T640" s="16" t="str">
        <f>"－"</f>
        <v>－</v>
      </c>
      <c r="U640" s="16"/>
      <c r="V640" s="16" t="str">
        <f>"－"</f>
        <v>－</v>
      </c>
      <c r="W640" s="16"/>
      <c r="X640" s="16" t="str">
        <f>"－"</f>
        <v>－</v>
      </c>
      <c r="Y640" s="13"/>
      <c r="Z640" s="17" t="n">
        <f>1975</f>
        <v>1975.0</v>
      </c>
      <c r="AA640" s="18" t="str">
        <f>"－"</f>
        <v>－</v>
      </c>
      <c r="AB640" s="11" t="s">
        <v>594</v>
      </c>
    </row>
    <row r="641">
      <c r="A641" s="11" t="s">
        <v>46</v>
      </c>
      <c r="B641" s="11" t="s">
        <v>47</v>
      </c>
      <c r="C641" s="11" t="s">
        <v>48</v>
      </c>
      <c r="D641" s="11" t="s">
        <v>49</v>
      </c>
      <c r="E641" s="11" t="s">
        <v>593</v>
      </c>
      <c r="F641" s="12" t="n">
        <v>24000.0</v>
      </c>
      <c r="G641" s="13"/>
      <c r="H641" s="14" t="s">
        <v>57</v>
      </c>
      <c r="I641" s="13"/>
      <c r="J641" s="14" t="s">
        <v>57</v>
      </c>
      <c r="K641" s="13" t="s">
        <v>208</v>
      </c>
      <c r="L641" s="14" t="s">
        <v>603</v>
      </c>
      <c r="M641" s="13"/>
      <c r="N641" s="14" t="s">
        <v>57</v>
      </c>
      <c r="O641" s="13" t="s">
        <v>52</v>
      </c>
      <c r="P641" s="14" t="s">
        <v>604</v>
      </c>
      <c r="Q641" s="13"/>
      <c r="R641" s="14" t="s">
        <v>57</v>
      </c>
      <c r="S641" s="15" t="str">
        <f>"－"</f>
        <v>－</v>
      </c>
      <c r="T641" s="16" t="n">
        <f>470</f>
        <v>470.0</v>
      </c>
      <c r="U641" s="16" t="n">
        <v>470.0</v>
      </c>
      <c r="V641" s="16" t="n">
        <f>747900000</f>
        <v>7.479E8</v>
      </c>
      <c r="W641" s="16" t="n">
        <v>7.479E8</v>
      </c>
      <c r="X641" s="16" t="str">
        <f>"－"</f>
        <v>－</v>
      </c>
      <c r="Y641" s="13"/>
      <c r="Z641" s="17" t="n">
        <f>1875</f>
        <v>1875.0</v>
      </c>
      <c r="AA641" s="18" t="str">
        <f>"－"</f>
        <v>－</v>
      </c>
      <c r="AB641" s="11" t="s">
        <v>594</v>
      </c>
    </row>
    <row r="642">
      <c r="A642" s="11" t="s">
        <v>46</v>
      </c>
      <c r="B642" s="11" t="s">
        <v>47</v>
      </c>
      <c r="C642" s="11" t="s">
        <v>48</v>
      </c>
      <c r="D642" s="11" t="s">
        <v>49</v>
      </c>
      <c r="E642" s="11" t="s">
        <v>593</v>
      </c>
      <c r="F642" s="12" t="n">
        <v>24500.0</v>
      </c>
      <c r="G642" s="13"/>
      <c r="H642" s="14" t="s">
        <v>57</v>
      </c>
      <c r="I642" s="13"/>
      <c r="J642" s="14" t="s">
        <v>57</v>
      </c>
      <c r="K642" s="13" t="s">
        <v>208</v>
      </c>
      <c r="L642" s="14" t="s">
        <v>605</v>
      </c>
      <c r="M642" s="13"/>
      <c r="N642" s="14" t="s">
        <v>57</v>
      </c>
      <c r="O642" s="13" t="s">
        <v>204</v>
      </c>
      <c r="P642" s="14" t="s">
        <v>606</v>
      </c>
      <c r="Q642" s="13"/>
      <c r="R642" s="14" t="s">
        <v>57</v>
      </c>
      <c r="S642" s="15" t="str">
        <f>"－"</f>
        <v>－</v>
      </c>
      <c r="T642" s="16" t="n">
        <f>400</f>
        <v>400.0</v>
      </c>
      <c r="U642" s="16" t="n">
        <v>400.0</v>
      </c>
      <c r="V642" s="16" t="n">
        <f>623200000</f>
        <v>6.232E8</v>
      </c>
      <c r="W642" s="16" t="n">
        <v>6.232E8</v>
      </c>
      <c r="X642" s="16" t="str">
        <f>"－"</f>
        <v>－</v>
      </c>
      <c r="Y642" s="13"/>
      <c r="Z642" s="17" t="n">
        <f>400</f>
        <v>400.0</v>
      </c>
      <c r="AA642" s="18" t="str">
        <f>"－"</f>
        <v>－</v>
      </c>
      <c r="AB642" s="11" t="s">
        <v>594</v>
      </c>
    </row>
    <row r="643">
      <c r="A643" s="11" t="s">
        <v>46</v>
      </c>
      <c r="B643" s="11" t="s">
        <v>47</v>
      </c>
      <c r="C643" s="11" t="s">
        <v>48</v>
      </c>
      <c r="D643" s="11" t="s">
        <v>49</v>
      </c>
      <c r="E643" s="11" t="s">
        <v>593</v>
      </c>
      <c r="F643" s="12" t="n">
        <v>25000.0</v>
      </c>
      <c r="G643" s="13"/>
      <c r="H643" s="14" t="s">
        <v>57</v>
      </c>
      <c r="I643" s="13"/>
      <c r="J643" s="14" t="s">
        <v>57</v>
      </c>
      <c r="K643" s="13" t="s">
        <v>207</v>
      </c>
      <c r="L643" s="14" t="s">
        <v>607</v>
      </c>
      <c r="M643" s="13"/>
      <c r="N643" s="14" t="s">
        <v>57</v>
      </c>
      <c r="O643" s="13" t="s">
        <v>207</v>
      </c>
      <c r="P643" s="14" t="s">
        <v>607</v>
      </c>
      <c r="Q643" s="13"/>
      <c r="R643" s="14" t="s">
        <v>57</v>
      </c>
      <c r="S643" s="15" t="str">
        <f>"－"</f>
        <v>－</v>
      </c>
      <c r="T643" s="16" t="n">
        <f>25</f>
        <v>25.0</v>
      </c>
      <c r="U643" s="16" t="n">
        <v>25.0</v>
      </c>
      <c r="V643" s="16" t="n">
        <f>46000000</f>
        <v>4.6E7</v>
      </c>
      <c r="W643" s="16" t="n">
        <v>4.6E7</v>
      </c>
      <c r="X643" s="16" t="str">
        <f>"－"</f>
        <v>－</v>
      </c>
      <c r="Y643" s="13"/>
      <c r="Z643" s="17" t="n">
        <f>1715</f>
        <v>1715.0</v>
      </c>
      <c r="AA643" s="18" t="str">
        <f>"－"</f>
        <v>－</v>
      </c>
      <c r="AB643" s="11" t="s">
        <v>594</v>
      </c>
    </row>
    <row r="644">
      <c r="A644" s="11" t="s">
        <v>46</v>
      </c>
      <c r="B644" s="11" t="s">
        <v>47</v>
      </c>
      <c r="C644" s="11" t="s">
        <v>48</v>
      </c>
      <c r="D644" s="11" t="s">
        <v>49</v>
      </c>
      <c r="E644" s="11" t="s">
        <v>593</v>
      </c>
      <c r="F644" s="12" t="n">
        <v>25500.0</v>
      </c>
      <c r="G644" s="13"/>
      <c r="H644" s="14" t="s">
        <v>57</v>
      </c>
      <c r="I644" s="13"/>
      <c r="J644" s="14" t="s">
        <v>57</v>
      </c>
      <c r="K644" s="13" t="s">
        <v>63</v>
      </c>
      <c r="L644" s="14" t="s">
        <v>608</v>
      </c>
      <c r="M644" s="13"/>
      <c r="N644" s="14" t="s">
        <v>57</v>
      </c>
      <c r="O644" s="13" t="s">
        <v>63</v>
      </c>
      <c r="P644" s="14" t="s">
        <v>608</v>
      </c>
      <c r="Q644" s="13"/>
      <c r="R644" s="14" t="s">
        <v>57</v>
      </c>
      <c r="S644" s="15" t="str">
        <f>"－"</f>
        <v>－</v>
      </c>
      <c r="T644" s="16" t="n">
        <f>100</f>
        <v>100.0</v>
      </c>
      <c r="U644" s="16" t="n">
        <v>100.0</v>
      </c>
      <c r="V644" s="16" t="n">
        <f>228300000</f>
        <v>2.283E8</v>
      </c>
      <c r="W644" s="16" t="n">
        <v>2.283E8</v>
      </c>
      <c r="X644" s="16" t="str">
        <f>"－"</f>
        <v>－</v>
      </c>
      <c r="Y644" s="13"/>
      <c r="Z644" s="17" t="n">
        <f>1014</f>
        <v>1014.0</v>
      </c>
      <c r="AA644" s="18" t="str">
        <f>"－"</f>
        <v>－</v>
      </c>
      <c r="AB644" s="11" t="s">
        <v>594</v>
      </c>
    </row>
    <row r="645">
      <c r="A645" s="11" t="s">
        <v>46</v>
      </c>
      <c r="B645" s="11" t="s">
        <v>47</v>
      </c>
      <c r="C645" s="11" t="s">
        <v>48</v>
      </c>
      <c r="D645" s="11" t="s">
        <v>49</v>
      </c>
      <c r="E645" s="11" t="s">
        <v>593</v>
      </c>
      <c r="F645" s="12" t="n">
        <v>26000.0</v>
      </c>
      <c r="G645" s="13"/>
      <c r="H645" s="14" t="s">
        <v>57</v>
      </c>
      <c r="I645" s="13"/>
      <c r="J645" s="14" t="s">
        <v>57</v>
      </c>
      <c r="K645" s="13" t="s">
        <v>60</v>
      </c>
      <c r="L645" s="14" t="s">
        <v>609</v>
      </c>
      <c r="M645" s="13"/>
      <c r="N645" s="14" t="s">
        <v>57</v>
      </c>
      <c r="O645" s="13" t="s">
        <v>288</v>
      </c>
      <c r="P645" s="14" t="s">
        <v>610</v>
      </c>
      <c r="Q645" s="13"/>
      <c r="R645" s="14" t="s">
        <v>57</v>
      </c>
      <c r="S645" s="15" t="str">
        <f>"－"</f>
        <v>－</v>
      </c>
      <c r="T645" s="16" t="n">
        <f>1500</f>
        <v>1500.0</v>
      </c>
      <c r="U645" s="16" t="n">
        <v>1500.0</v>
      </c>
      <c r="V645" s="16" t="n">
        <f>3353500000</f>
        <v>3.3535E9</v>
      </c>
      <c r="W645" s="16" t="n">
        <v>3.3535E9</v>
      </c>
      <c r="X645" s="16" t="str">
        <f>"－"</f>
        <v>－</v>
      </c>
      <c r="Y645" s="13"/>
      <c r="Z645" s="17" t="n">
        <f>1990</f>
        <v>1990.0</v>
      </c>
      <c r="AA645" s="18" t="str">
        <f>"－"</f>
        <v>－</v>
      </c>
      <c r="AB645" s="11" t="s">
        <v>594</v>
      </c>
    </row>
    <row r="646">
      <c r="A646" s="11" t="s">
        <v>46</v>
      </c>
      <c r="B646" s="11" t="s">
        <v>47</v>
      </c>
      <c r="C646" s="11" t="s">
        <v>48</v>
      </c>
      <c r="D646" s="11" t="s">
        <v>49</v>
      </c>
      <c r="E646" s="11" t="s">
        <v>593</v>
      </c>
      <c r="F646" s="12" t="n">
        <v>26500.0</v>
      </c>
      <c r="G646" s="13"/>
      <c r="H646" s="14" t="s">
        <v>57</v>
      </c>
      <c r="I646" s="13"/>
      <c r="J646" s="14" t="s">
        <v>57</v>
      </c>
      <c r="K646" s="13" t="s">
        <v>52</v>
      </c>
      <c r="L646" s="14" t="s">
        <v>611</v>
      </c>
      <c r="M646" s="13"/>
      <c r="N646" s="14" t="s">
        <v>57</v>
      </c>
      <c r="O646" s="13" t="s">
        <v>52</v>
      </c>
      <c r="P646" s="14" t="s">
        <v>611</v>
      </c>
      <c r="Q646" s="13"/>
      <c r="R646" s="14" t="s">
        <v>57</v>
      </c>
      <c r="S646" s="15" t="str">
        <f>"－"</f>
        <v>－</v>
      </c>
      <c r="T646" s="16" t="n">
        <f>300</f>
        <v>300.0</v>
      </c>
      <c r="U646" s="16" t="n">
        <v>300.0</v>
      </c>
      <c r="V646" s="16" t="n">
        <f>723600000</f>
        <v>7.236E8</v>
      </c>
      <c r="W646" s="16" t="n">
        <v>7.236E8</v>
      </c>
      <c r="X646" s="16" t="str">
        <f>"－"</f>
        <v>－</v>
      </c>
      <c r="Y646" s="13"/>
      <c r="Z646" s="17" t="n">
        <f>475</f>
        <v>475.0</v>
      </c>
      <c r="AA646" s="18" t="str">
        <f>"－"</f>
        <v>－</v>
      </c>
      <c r="AB646" s="11" t="s">
        <v>594</v>
      </c>
    </row>
    <row r="647">
      <c r="A647" s="11" t="s">
        <v>46</v>
      </c>
      <c r="B647" s="11" t="s">
        <v>47</v>
      </c>
      <c r="C647" s="11" t="s">
        <v>48</v>
      </c>
      <c r="D647" s="11" t="s">
        <v>49</v>
      </c>
      <c r="E647" s="11" t="s">
        <v>593</v>
      </c>
      <c r="F647" s="12" t="n">
        <v>26750.0</v>
      </c>
      <c r="G647" s="13"/>
      <c r="H647" s="14" t="s">
        <v>57</v>
      </c>
      <c r="I647" s="13"/>
      <c r="J647" s="14" t="s">
        <v>57</v>
      </c>
      <c r="K647" s="13"/>
      <c r="L647" s="14"/>
      <c r="M647" s="13"/>
      <c r="N647" s="14" t="s">
        <v>57</v>
      </c>
      <c r="O647" s="13"/>
      <c r="P647" s="14"/>
      <c r="Q647" s="13"/>
      <c r="R647" s="14" t="s">
        <v>57</v>
      </c>
      <c r="S647" s="15" t="str">
        <f>"－"</f>
        <v>－</v>
      </c>
      <c r="T647" s="16" t="str">
        <f>"－"</f>
        <v>－</v>
      </c>
      <c r="U647" s="16"/>
      <c r="V647" s="16" t="str">
        <f>"－"</f>
        <v>－</v>
      </c>
      <c r="W647" s="16"/>
      <c r="X647" s="16" t="str">
        <f>"－"</f>
        <v>－</v>
      </c>
      <c r="Y647" s="13"/>
      <c r="Z647" s="17" t="n">
        <f>25</f>
        <v>25.0</v>
      </c>
      <c r="AA647" s="18" t="str">
        <f>"－"</f>
        <v>－</v>
      </c>
      <c r="AB647" s="11" t="s">
        <v>594</v>
      </c>
    </row>
    <row r="648">
      <c r="A648" s="11" t="s">
        <v>46</v>
      </c>
      <c r="B648" s="11" t="s">
        <v>47</v>
      </c>
      <c r="C648" s="11" t="s">
        <v>48</v>
      </c>
      <c r="D648" s="11" t="s">
        <v>49</v>
      </c>
      <c r="E648" s="11" t="s">
        <v>593</v>
      </c>
      <c r="F648" s="12" t="n">
        <v>27000.0</v>
      </c>
      <c r="G648" s="13"/>
      <c r="H648" s="14" t="s">
        <v>57</v>
      </c>
      <c r="I648" s="13"/>
      <c r="J648" s="14" t="s">
        <v>57</v>
      </c>
      <c r="K648" s="13" t="s">
        <v>205</v>
      </c>
      <c r="L648" s="14" t="s">
        <v>612</v>
      </c>
      <c r="M648" s="13"/>
      <c r="N648" s="14" t="s">
        <v>57</v>
      </c>
      <c r="O648" s="13" t="s">
        <v>205</v>
      </c>
      <c r="P648" s="14" t="s">
        <v>612</v>
      </c>
      <c r="Q648" s="13"/>
      <c r="R648" s="14" t="s">
        <v>57</v>
      </c>
      <c r="S648" s="15" t="str">
        <f>"－"</f>
        <v>－</v>
      </c>
      <c r="T648" s="16" t="n">
        <f>100</f>
        <v>100.0</v>
      </c>
      <c r="U648" s="16" t="n">
        <v>100.0</v>
      </c>
      <c r="V648" s="16" t="n">
        <f>256900000</f>
        <v>2.569E8</v>
      </c>
      <c r="W648" s="16" t="n">
        <v>2.569E8</v>
      </c>
      <c r="X648" s="16" t="str">
        <f>"－"</f>
        <v>－</v>
      </c>
      <c r="Y648" s="13"/>
      <c r="Z648" s="17" t="n">
        <f>850</f>
        <v>850.0</v>
      </c>
      <c r="AA648" s="18" t="str">
        <f>"－"</f>
        <v>－</v>
      </c>
      <c r="AB648" s="11" t="s">
        <v>594</v>
      </c>
    </row>
    <row r="649">
      <c r="A649" s="11" t="s">
        <v>46</v>
      </c>
      <c r="B649" s="11" t="s">
        <v>47</v>
      </c>
      <c r="C649" s="11" t="s">
        <v>48</v>
      </c>
      <c r="D649" s="11" t="s">
        <v>49</v>
      </c>
      <c r="E649" s="11" t="s">
        <v>593</v>
      </c>
      <c r="F649" s="12" t="n">
        <v>27250.0</v>
      </c>
      <c r="G649" s="13"/>
      <c r="H649" s="14" t="s">
        <v>57</v>
      </c>
      <c r="I649" s="13"/>
      <c r="J649" s="14" t="s">
        <v>57</v>
      </c>
      <c r="K649" s="13"/>
      <c r="L649" s="14"/>
      <c r="M649" s="13"/>
      <c r="N649" s="14" t="s">
        <v>57</v>
      </c>
      <c r="O649" s="13"/>
      <c r="P649" s="14"/>
      <c r="Q649" s="13"/>
      <c r="R649" s="14" t="s">
        <v>57</v>
      </c>
      <c r="S649" s="15" t="str">
        <f>"－"</f>
        <v>－</v>
      </c>
      <c r="T649" s="16" t="str">
        <f>"－"</f>
        <v>－</v>
      </c>
      <c r="U649" s="16"/>
      <c r="V649" s="16" t="str">
        <f>"－"</f>
        <v>－</v>
      </c>
      <c r="W649" s="16"/>
      <c r="X649" s="16" t="str">
        <f>"－"</f>
        <v>－</v>
      </c>
      <c r="Y649" s="13"/>
      <c r="Z649" s="17" t="n">
        <f>200</f>
        <v>200.0</v>
      </c>
      <c r="AA649" s="18" t="str">
        <f>"－"</f>
        <v>－</v>
      </c>
      <c r="AB649" s="11" t="s">
        <v>594</v>
      </c>
    </row>
    <row r="650">
      <c r="A650" s="11" t="s">
        <v>46</v>
      </c>
      <c r="B650" s="11" t="s">
        <v>47</v>
      </c>
      <c r="C650" s="11" t="s">
        <v>48</v>
      </c>
      <c r="D650" s="11" t="s">
        <v>49</v>
      </c>
      <c r="E650" s="11" t="s">
        <v>593</v>
      </c>
      <c r="F650" s="12" t="n">
        <v>27500.0</v>
      </c>
      <c r="G650" s="13"/>
      <c r="H650" s="14" t="s">
        <v>57</v>
      </c>
      <c r="I650" s="13"/>
      <c r="J650" s="14" t="s">
        <v>57</v>
      </c>
      <c r="K650" s="13"/>
      <c r="L650" s="14"/>
      <c r="M650" s="13"/>
      <c r="N650" s="14" t="s">
        <v>57</v>
      </c>
      <c r="O650" s="13"/>
      <c r="P650" s="14"/>
      <c r="Q650" s="13"/>
      <c r="R650" s="14" t="s">
        <v>57</v>
      </c>
      <c r="S650" s="15" t="str">
        <f>"－"</f>
        <v>－</v>
      </c>
      <c r="T650" s="16" t="str">
        <f>"－"</f>
        <v>－</v>
      </c>
      <c r="U650" s="16"/>
      <c r="V650" s="16" t="str">
        <f>"－"</f>
        <v>－</v>
      </c>
      <c r="W650" s="16"/>
      <c r="X650" s="16" t="str">
        <f>"－"</f>
        <v>－</v>
      </c>
      <c r="Y650" s="13"/>
      <c r="Z650" s="17" t="n">
        <f>75</f>
        <v>75.0</v>
      </c>
      <c r="AA650" s="18" t="str">
        <f>"－"</f>
        <v>－</v>
      </c>
      <c r="AB650" s="11" t="s">
        <v>594</v>
      </c>
    </row>
    <row r="651">
      <c r="A651" s="11" t="s">
        <v>46</v>
      </c>
      <c r="B651" s="11" t="s">
        <v>47</v>
      </c>
      <c r="C651" s="11" t="s">
        <v>48</v>
      </c>
      <c r="D651" s="11" t="s">
        <v>49</v>
      </c>
      <c r="E651" s="11" t="s">
        <v>593</v>
      </c>
      <c r="F651" s="12" t="n">
        <v>28000.0</v>
      </c>
      <c r="G651" s="13"/>
      <c r="H651" s="14" t="s">
        <v>57</v>
      </c>
      <c r="I651" s="13"/>
      <c r="J651" s="14" t="s">
        <v>57</v>
      </c>
      <c r="K651" s="13" t="s">
        <v>56</v>
      </c>
      <c r="L651" s="14" t="s">
        <v>613</v>
      </c>
      <c r="M651" s="13"/>
      <c r="N651" s="14" t="s">
        <v>57</v>
      </c>
      <c r="O651" s="13" t="s">
        <v>211</v>
      </c>
      <c r="P651" s="14" t="s">
        <v>614</v>
      </c>
      <c r="Q651" s="13"/>
      <c r="R651" s="14" t="s">
        <v>57</v>
      </c>
      <c r="S651" s="15" t="str">
        <f>"－"</f>
        <v>－</v>
      </c>
      <c r="T651" s="16" t="n">
        <f>225</f>
        <v>225.0</v>
      </c>
      <c r="U651" s="16" t="n">
        <v>225.0</v>
      </c>
      <c r="V651" s="16" t="n">
        <f>655000000</f>
        <v>6.55E8</v>
      </c>
      <c r="W651" s="16" t="n">
        <v>6.55E8</v>
      </c>
      <c r="X651" s="16" t="str">
        <f>"－"</f>
        <v>－</v>
      </c>
      <c r="Y651" s="13"/>
      <c r="Z651" s="17" t="n">
        <f>3370</f>
        <v>3370.0</v>
      </c>
      <c r="AA651" s="18" t="str">
        <f>"－"</f>
        <v>－</v>
      </c>
      <c r="AB651" s="11" t="s">
        <v>594</v>
      </c>
    </row>
    <row r="652">
      <c r="A652" s="11" t="s">
        <v>46</v>
      </c>
      <c r="B652" s="11" t="s">
        <v>47</v>
      </c>
      <c r="C652" s="11" t="s">
        <v>48</v>
      </c>
      <c r="D652" s="11" t="s">
        <v>49</v>
      </c>
      <c r="E652" s="11" t="s">
        <v>593</v>
      </c>
      <c r="F652" s="12" t="n">
        <v>28250.0</v>
      </c>
      <c r="G652" s="13"/>
      <c r="H652" s="14" t="s">
        <v>57</v>
      </c>
      <c r="I652" s="13"/>
      <c r="J652" s="14" t="s">
        <v>57</v>
      </c>
      <c r="K652" s="13"/>
      <c r="L652" s="14"/>
      <c r="M652" s="13"/>
      <c r="N652" s="14" t="s">
        <v>57</v>
      </c>
      <c r="O652" s="13"/>
      <c r="P652" s="14"/>
      <c r="Q652" s="13"/>
      <c r="R652" s="14" t="s">
        <v>57</v>
      </c>
      <c r="S652" s="15" t="str">
        <f>"－"</f>
        <v>－</v>
      </c>
      <c r="T652" s="16" t="str">
        <f>"－"</f>
        <v>－</v>
      </c>
      <c r="U652" s="16"/>
      <c r="V652" s="16" t="str">
        <f>"－"</f>
        <v>－</v>
      </c>
      <c r="W652" s="16"/>
      <c r="X652" s="16" t="str">
        <f>"－"</f>
        <v>－</v>
      </c>
      <c r="Y652" s="13"/>
      <c r="Z652" s="17" t="n">
        <f>100</f>
        <v>100.0</v>
      </c>
      <c r="AA652" s="18" t="str">
        <f>"－"</f>
        <v>－</v>
      </c>
      <c r="AB652" s="11" t="s">
        <v>594</v>
      </c>
    </row>
    <row r="653">
      <c r="A653" s="11" t="s">
        <v>46</v>
      </c>
      <c r="B653" s="11" t="s">
        <v>47</v>
      </c>
      <c r="C653" s="11" t="s">
        <v>48</v>
      </c>
      <c r="D653" s="11" t="s">
        <v>49</v>
      </c>
      <c r="E653" s="11" t="s">
        <v>593</v>
      </c>
      <c r="F653" s="12" t="n">
        <v>28500.0</v>
      </c>
      <c r="G653" s="13"/>
      <c r="H653" s="14" t="s">
        <v>57</v>
      </c>
      <c r="I653" s="13"/>
      <c r="J653" s="14" t="s">
        <v>57</v>
      </c>
      <c r="K653" s="13"/>
      <c r="L653" s="14"/>
      <c r="M653" s="13"/>
      <c r="N653" s="14" t="s">
        <v>57</v>
      </c>
      <c r="O653" s="13"/>
      <c r="P653" s="14"/>
      <c r="Q653" s="13"/>
      <c r="R653" s="14" t="s">
        <v>57</v>
      </c>
      <c r="S653" s="15" t="str">
        <f>"－"</f>
        <v>－</v>
      </c>
      <c r="T653" s="16" t="str">
        <f>"－"</f>
        <v>－</v>
      </c>
      <c r="U653" s="16"/>
      <c r="V653" s="16" t="str">
        <f>"－"</f>
        <v>－</v>
      </c>
      <c r="W653" s="16"/>
      <c r="X653" s="16" t="str">
        <f>"－"</f>
        <v>－</v>
      </c>
      <c r="Y653" s="13"/>
      <c r="Z653" s="17" t="n">
        <f>50</f>
        <v>50.0</v>
      </c>
      <c r="AA653" s="18" t="str">
        <f>"－"</f>
        <v>－</v>
      </c>
      <c r="AB653" s="11" t="s">
        <v>594</v>
      </c>
    </row>
    <row r="654">
      <c r="A654" s="11" t="s">
        <v>46</v>
      </c>
      <c r="B654" s="11" t="s">
        <v>47</v>
      </c>
      <c r="C654" s="11" t="s">
        <v>48</v>
      </c>
      <c r="D654" s="11" t="s">
        <v>49</v>
      </c>
      <c r="E654" s="11" t="s">
        <v>593</v>
      </c>
      <c r="F654" s="12" t="n">
        <v>29000.0</v>
      </c>
      <c r="G654" s="13"/>
      <c r="H654" s="14" t="s">
        <v>57</v>
      </c>
      <c r="I654" s="13"/>
      <c r="J654" s="14" t="s">
        <v>57</v>
      </c>
      <c r="K654" s="13" t="s">
        <v>52</v>
      </c>
      <c r="L654" s="14" t="s">
        <v>615</v>
      </c>
      <c r="M654" s="13"/>
      <c r="N654" s="14" t="s">
        <v>57</v>
      </c>
      <c r="O654" s="13" t="s">
        <v>52</v>
      </c>
      <c r="P654" s="14" t="s">
        <v>616</v>
      </c>
      <c r="Q654" s="13"/>
      <c r="R654" s="14" t="s">
        <v>57</v>
      </c>
      <c r="S654" s="15" t="str">
        <f>"－"</f>
        <v>－</v>
      </c>
      <c r="T654" s="16" t="n">
        <f>820</f>
        <v>820.0</v>
      </c>
      <c r="U654" s="16" t="n">
        <v>820.0</v>
      </c>
      <c r="V654" s="16" t="n">
        <f>2824900000</f>
        <v>2.8249E9</v>
      </c>
      <c r="W654" s="16" t="n">
        <v>2.8249E9</v>
      </c>
      <c r="X654" s="16" t="str">
        <f>"－"</f>
        <v>－</v>
      </c>
      <c r="Y654" s="13"/>
      <c r="Z654" s="17" t="n">
        <f>920</f>
        <v>920.0</v>
      </c>
      <c r="AA654" s="18" t="str">
        <f>"－"</f>
        <v>－</v>
      </c>
      <c r="AB654" s="11" t="s">
        <v>594</v>
      </c>
    </row>
    <row r="655">
      <c r="A655" s="11" t="s">
        <v>46</v>
      </c>
      <c r="B655" s="11" t="s">
        <v>47</v>
      </c>
      <c r="C655" s="11" t="s">
        <v>48</v>
      </c>
      <c r="D655" s="11" t="s">
        <v>49</v>
      </c>
      <c r="E655" s="11" t="s">
        <v>593</v>
      </c>
      <c r="F655" s="12" t="n">
        <v>29500.0</v>
      </c>
      <c r="G655" s="13"/>
      <c r="H655" s="14" t="s">
        <v>57</v>
      </c>
      <c r="I655" s="13"/>
      <c r="J655" s="14" t="s">
        <v>57</v>
      </c>
      <c r="K655" s="13" t="s">
        <v>204</v>
      </c>
      <c r="L655" s="14" t="s">
        <v>617</v>
      </c>
      <c r="M655" s="13"/>
      <c r="N655" s="14" t="s">
        <v>57</v>
      </c>
      <c r="O655" s="13" t="s">
        <v>204</v>
      </c>
      <c r="P655" s="14" t="s">
        <v>618</v>
      </c>
      <c r="Q655" s="13"/>
      <c r="R655" s="14" t="s">
        <v>57</v>
      </c>
      <c r="S655" s="15" t="str">
        <f>"－"</f>
        <v>－</v>
      </c>
      <c r="T655" s="16" t="n">
        <f>257</f>
        <v>257.0</v>
      </c>
      <c r="U655" s="16" t="n">
        <v>257.0</v>
      </c>
      <c r="V655" s="16" t="n">
        <f>874610000</f>
        <v>8.7461E8</v>
      </c>
      <c r="W655" s="16" t="n">
        <v>8.7461E8</v>
      </c>
      <c r="X655" s="16" t="str">
        <f>"－"</f>
        <v>－</v>
      </c>
      <c r="Y655" s="13"/>
      <c r="Z655" s="17" t="n">
        <f>150</f>
        <v>150.0</v>
      </c>
      <c r="AA655" s="18" t="str">
        <f>"－"</f>
        <v>－</v>
      </c>
      <c r="AB655" s="11" t="s">
        <v>594</v>
      </c>
    </row>
    <row r="656">
      <c r="A656" s="11" t="s">
        <v>46</v>
      </c>
      <c r="B656" s="11" t="s">
        <v>47</v>
      </c>
      <c r="C656" s="11" t="s">
        <v>48</v>
      </c>
      <c r="D656" s="11" t="s">
        <v>49</v>
      </c>
      <c r="E656" s="11" t="s">
        <v>593</v>
      </c>
      <c r="F656" s="12" t="n">
        <v>30000.0</v>
      </c>
      <c r="G656" s="13"/>
      <c r="H656" s="14" t="s">
        <v>57</v>
      </c>
      <c r="I656" s="13"/>
      <c r="J656" s="14" t="s">
        <v>57</v>
      </c>
      <c r="K656" s="13" t="s">
        <v>208</v>
      </c>
      <c r="L656" s="14" t="s">
        <v>619</v>
      </c>
      <c r="M656" s="13"/>
      <c r="N656" s="14" t="s">
        <v>57</v>
      </c>
      <c r="O656" s="13" t="s">
        <v>204</v>
      </c>
      <c r="P656" s="14" t="s">
        <v>620</v>
      </c>
      <c r="Q656" s="13"/>
      <c r="R656" s="14" t="s">
        <v>57</v>
      </c>
      <c r="S656" s="15" t="str">
        <f>"－"</f>
        <v>－</v>
      </c>
      <c r="T656" s="16" t="n">
        <f>575</f>
        <v>575.0</v>
      </c>
      <c r="U656" s="16" t="n">
        <v>575.0</v>
      </c>
      <c r="V656" s="16" t="n">
        <f>2198000000</f>
        <v>2.198E9</v>
      </c>
      <c r="W656" s="16" t="n">
        <v>2.198E9</v>
      </c>
      <c r="X656" s="16" t="str">
        <f>"－"</f>
        <v>－</v>
      </c>
      <c r="Y656" s="13"/>
      <c r="Z656" s="17" t="n">
        <f>575</f>
        <v>575.0</v>
      </c>
      <c r="AA656" s="18" t="str">
        <f>"－"</f>
        <v>－</v>
      </c>
      <c r="AB656" s="11" t="s">
        <v>594</v>
      </c>
    </row>
    <row r="657">
      <c r="A657" s="11" t="s">
        <v>46</v>
      </c>
      <c r="B657" s="11" t="s">
        <v>47</v>
      </c>
      <c r="C657" s="11" t="s">
        <v>48</v>
      </c>
      <c r="D657" s="11" t="s">
        <v>49</v>
      </c>
      <c r="E657" s="11" t="s">
        <v>593</v>
      </c>
      <c r="F657" s="12" t="n">
        <v>30250.0</v>
      </c>
      <c r="G657" s="13"/>
      <c r="H657" s="14" t="s">
        <v>57</v>
      </c>
      <c r="I657" s="13"/>
      <c r="J657" s="14" t="s">
        <v>57</v>
      </c>
      <c r="K657" s="13" t="s">
        <v>288</v>
      </c>
      <c r="L657" s="14" t="s">
        <v>621</v>
      </c>
      <c r="M657" s="13"/>
      <c r="N657" s="14" t="s">
        <v>57</v>
      </c>
      <c r="O657" s="13" t="s">
        <v>288</v>
      </c>
      <c r="P657" s="14" t="s">
        <v>621</v>
      </c>
      <c r="Q657" s="13"/>
      <c r="R657" s="14" t="s">
        <v>57</v>
      </c>
      <c r="S657" s="15" t="str">
        <f>"－"</f>
        <v>－</v>
      </c>
      <c r="T657" s="16" t="n">
        <f>150</f>
        <v>150.0</v>
      </c>
      <c r="U657" s="16" t="n">
        <v>150.0</v>
      </c>
      <c r="V657" s="16" t="n">
        <f>559500000</f>
        <v>5.595E8</v>
      </c>
      <c r="W657" s="16" t="n">
        <v>5.595E8</v>
      </c>
      <c r="X657" s="16" t="str">
        <f>"－"</f>
        <v>－</v>
      </c>
      <c r="Y657" s="13"/>
      <c r="Z657" s="17" t="n">
        <f>150</f>
        <v>150.0</v>
      </c>
      <c r="AA657" s="18" t="str">
        <f>"－"</f>
        <v>－</v>
      </c>
      <c r="AB657" s="11" t="s">
        <v>594</v>
      </c>
    </row>
    <row r="658">
      <c r="A658" s="11" t="s">
        <v>46</v>
      </c>
      <c r="B658" s="11" t="s">
        <v>47</v>
      </c>
      <c r="C658" s="11" t="s">
        <v>48</v>
      </c>
      <c r="D658" s="11" t="s">
        <v>49</v>
      </c>
      <c r="E658" s="11" t="s">
        <v>593</v>
      </c>
      <c r="F658" s="12" t="n">
        <v>34000.0</v>
      </c>
      <c r="G658" s="13"/>
      <c r="H658" s="14" t="s">
        <v>57</v>
      </c>
      <c r="I658" s="13"/>
      <c r="J658" s="14" t="s">
        <v>57</v>
      </c>
      <c r="K658" s="13" t="s">
        <v>52</v>
      </c>
      <c r="L658" s="14" t="s">
        <v>622</v>
      </c>
      <c r="M658" s="13"/>
      <c r="N658" s="14" t="s">
        <v>57</v>
      </c>
      <c r="O658" s="13" t="s">
        <v>52</v>
      </c>
      <c r="P658" s="14" t="s">
        <v>622</v>
      </c>
      <c r="Q658" s="13"/>
      <c r="R658" s="14" t="s">
        <v>57</v>
      </c>
      <c r="S658" s="15" t="str">
        <f>"－"</f>
        <v>－</v>
      </c>
      <c r="T658" s="16" t="n">
        <f>200</f>
        <v>200.0</v>
      </c>
      <c r="U658" s="16" t="n">
        <v>200.0</v>
      </c>
      <c r="V658" s="16" t="n">
        <f>1320000000</f>
        <v>1.32E9</v>
      </c>
      <c r="W658" s="16" t="n">
        <v>1.32E9</v>
      </c>
      <c r="X658" s="16" t="str">
        <f>"－"</f>
        <v>－</v>
      </c>
      <c r="Y658" s="13"/>
      <c r="Z658" s="17" t="n">
        <f>200</f>
        <v>200.0</v>
      </c>
      <c r="AA658" s="18" t="str">
        <f>"－"</f>
        <v>－</v>
      </c>
      <c r="AB658" s="11" t="s">
        <v>594</v>
      </c>
    </row>
    <row r="659">
      <c r="A659" s="11" t="s">
        <v>46</v>
      </c>
      <c r="B659" s="11" t="s">
        <v>47</v>
      </c>
      <c r="C659" s="11" t="s">
        <v>48</v>
      </c>
      <c r="D659" s="11" t="s">
        <v>49</v>
      </c>
      <c r="E659" s="11" t="s">
        <v>623</v>
      </c>
      <c r="F659" s="12" t="n">
        <v>15000.0</v>
      </c>
      <c r="G659" s="13"/>
      <c r="H659" s="14" t="s">
        <v>57</v>
      </c>
      <c r="I659" s="13"/>
      <c r="J659" s="14" t="s">
        <v>57</v>
      </c>
      <c r="K659" s="13"/>
      <c r="L659" s="14"/>
      <c r="M659" s="13"/>
      <c r="N659" s="14" t="s">
        <v>57</v>
      </c>
      <c r="O659" s="13"/>
      <c r="P659" s="14"/>
      <c r="Q659" s="13"/>
      <c r="R659" s="14" t="s">
        <v>57</v>
      </c>
      <c r="S659" s="15" t="str">
        <f>"－"</f>
        <v>－</v>
      </c>
      <c r="T659" s="16" t="str">
        <f>"－"</f>
        <v>－</v>
      </c>
      <c r="U659" s="16"/>
      <c r="V659" s="16" t="str">
        <f>"－"</f>
        <v>－</v>
      </c>
      <c r="W659" s="16"/>
      <c r="X659" s="16" t="str">
        <f>"－"</f>
        <v>－</v>
      </c>
      <c r="Y659" s="13"/>
      <c r="Z659" s="17" t="n">
        <f>900</f>
        <v>900.0</v>
      </c>
      <c r="AA659" s="18" t="str">
        <f>"－"</f>
        <v>－</v>
      </c>
      <c r="AB659" s="11" t="s">
        <v>624</v>
      </c>
    </row>
    <row r="660">
      <c r="A660" s="11" t="s">
        <v>46</v>
      </c>
      <c r="B660" s="11" t="s">
        <v>47</v>
      </c>
      <c r="C660" s="11" t="s">
        <v>48</v>
      </c>
      <c r="D660" s="11" t="s">
        <v>49</v>
      </c>
      <c r="E660" s="11" t="s">
        <v>623</v>
      </c>
      <c r="F660" s="12" t="n">
        <v>15500.0</v>
      </c>
      <c r="G660" s="13"/>
      <c r="H660" s="14" t="s">
        <v>57</v>
      </c>
      <c r="I660" s="13"/>
      <c r="J660" s="14" t="s">
        <v>57</v>
      </c>
      <c r="K660" s="13"/>
      <c r="L660" s="14"/>
      <c r="M660" s="13"/>
      <c r="N660" s="14" t="s">
        <v>57</v>
      </c>
      <c r="O660" s="13"/>
      <c r="P660" s="14"/>
      <c r="Q660" s="13"/>
      <c r="R660" s="14" t="s">
        <v>57</v>
      </c>
      <c r="S660" s="15" t="str">
        <f>"－"</f>
        <v>－</v>
      </c>
      <c r="T660" s="16" t="str">
        <f>"－"</f>
        <v>－</v>
      </c>
      <c r="U660" s="16"/>
      <c r="V660" s="16" t="str">
        <f>"－"</f>
        <v>－</v>
      </c>
      <c r="W660" s="16"/>
      <c r="X660" s="16" t="str">
        <f>"－"</f>
        <v>－</v>
      </c>
      <c r="Y660" s="13"/>
      <c r="Z660" s="17" t="n">
        <f>200</f>
        <v>200.0</v>
      </c>
      <c r="AA660" s="18" t="str">
        <f>"－"</f>
        <v>－</v>
      </c>
      <c r="AB660" s="11" t="s">
        <v>624</v>
      </c>
    </row>
    <row r="661">
      <c r="A661" s="11" t="s">
        <v>46</v>
      </c>
      <c r="B661" s="11" t="s">
        <v>47</v>
      </c>
      <c r="C661" s="11" t="s">
        <v>48</v>
      </c>
      <c r="D661" s="11" t="s">
        <v>49</v>
      </c>
      <c r="E661" s="11" t="s">
        <v>623</v>
      </c>
      <c r="F661" s="12" t="n">
        <v>16000.0</v>
      </c>
      <c r="G661" s="13"/>
      <c r="H661" s="14" t="s">
        <v>57</v>
      </c>
      <c r="I661" s="13"/>
      <c r="J661" s="14" t="s">
        <v>57</v>
      </c>
      <c r="K661" s="13"/>
      <c r="L661" s="14"/>
      <c r="M661" s="13"/>
      <c r="N661" s="14" t="s">
        <v>57</v>
      </c>
      <c r="O661" s="13"/>
      <c r="P661" s="14"/>
      <c r="Q661" s="13"/>
      <c r="R661" s="14" t="s">
        <v>57</v>
      </c>
      <c r="S661" s="15" t="str">
        <f>"－"</f>
        <v>－</v>
      </c>
      <c r="T661" s="16" t="str">
        <f>"－"</f>
        <v>－</v>
      </c>
      <c r="U661" s="16"/>
      <c r="V661" s="16" t="str">
        <f>"－"</f>
        <v>－</v>
      </c>
      <c r="W661" s="16"/>
      <c r="X661" s="16" t="str">
        <f>"－"</f>
        <v>－</v>
      </c>
      <c r="Y661" s="13"/>
      <c r="Z661" s="17" t="n">
        <f>300</f>
        <v>300.0</v>
      </c>
      <c r="AA661" s="18" t="str">
        <f>"－"</f>
        <v>－</v>
      </c>
      <c r="AB661" s="11" t="s">
        <v>624</v>
      </c>
    </row>
    <row r="662">
      <c r="A662" s="11" t="s">
        <v>46</v>
      </c>
      <c r="B662" s="11" t="s">
        <v>47</v>
      </c>
      <c r="C662" s="11" t="s">
        <v>48</v>
      </c>
      <c r="D662" s="11" t="s">
        <v>49</v>
      </c>
      <c r="E662" s="11" t="s">
        <v>623</v>
      </c>
      <c r="F662" s="12" t="n">
        <v>17000.0</v>
      </c>
      <c r="G662" s="13"/>
      <c r="H662" s="14" t="s">
        <v>57</v>
      </c>
      <c r="I662" s="13"/>
      <c r="J662" s="14" t="s">
        <v>57</v>
      </c>
      <c r="K662" s="13"/>
      <c r="L662" s="14"/>
      <c r="M662" s="13"/>
      <c r="N662" s="14" t="s">
        <v>57</v>
      </c>
      <c r="O662" s="13"/>
      <c r="P662" s="14"/>
      <c r="Q662" s="13"/>
      <c r="R662" s="14" t="s">
        <v>57</v>
      </c>
      <c r="S662" s="15" t="str">
        <f>"－"</f>
        <v>－</v>
      </c>
      <c r="T662" s="16" t="str">
        <f>"－"</f>
        <v>－</v>
      </c>
      <c r="U662" s="16"/>
      <c r="V662" s="16" t="str">
        <f>"－"</f>
        <v>－</v>
      </c>
      <c r="W662" s="16"/>
      <c r="X662" s="16" t="str">
        <f>"－"</f>
        <v>－</v>
      </c>
      <c r="Y662" s="13"/>
      <c r="Z662" s="17" t="n">
        <f>400</f>
        <v>400.0</v>
      </c>
      <c r="AA662" s="18" t="str">
        <f>"－"</f>
        <v>－</v>
      </c>
      <c r="AB662" s="11" t="s">
        <v>624</v>
      </c>
    </row>
    <row r="663">
      <c r="A663" s="11" t="s">
        <v>46</v>
      </c>
      <c r="B663" s="11" t="s">
        <v>47</v>
      </c>
      <c r="C663" s="11" t="s">
        <v>48</v>
      </c>
      <c r="D663" s="11" t="s">
        <v>49</v>
      </c>
      <c r="E663" s="11" t="s">
        <v>623</v>
      </c>
      <c r="F663" s="12" t="n">
        <v>18000.0</v>
      </c>
      <c r="G663" s="13"/>
      <c r="H663" s="14" t="s">
        <v>57</v>
      </c>
      <c r="I663" s="13"/>
      <c r="J663" s="14" t="s">
        <v>57</v>
      </c>
      <c r="K663" s="13"/>
      <c r="L663" s="14"/>
      <c r="M663" s="13"/>
      <c r="N663" s="14" t="s">
        <v>57</v>
      </c>
      <c r="O663" s="13"/>
      <c r="P663" s="14"/>
      <c r="Q663" s="13"/>
      <c r="R663" s="14" t="s">
        <v>57</v>
      </c>
      <c r="S663" s="15" t="str">
        <f>"－"</f>
        <v>－</v>
      </c>
      <c r="T663" s="16" t="str">
        <f>"－"</f>
        <v>－</v>
      </c>
      <c r="U663" s="16"/>
      <c r="V663" s="16" t="str">
        <f>"－"</f>
        <v>－</v>
      </c>
      <c r="W663" s="16"/>
      <c r="X663" s="16" t="str">
        <f>"－"</f>
        <v>－</v>
      </c>
      <c r="Y663" s="13"/>
      <c r="Z663" s="17" t="n">
        <f>125</f>
        <v>125.0</v>
      </c>
      <c r="AA663" s="18" t="str">
        <f>"－"</f>
        <v>－</v>
      </c>
      <c r="AB663" s="11" t="s">
        <v>624</v>
      </c>
    </row>
    <row r="664">
      <c r="A664" s="11" t="s">
        <v>46</v>
      </c>
      <c r="B664" s="11" t="s">
        <v>47</v>
      </c>
      <c r="C664" s="11" t="s">
        <v>48</v>
      </c>
      <c r="D664" s="11" t="s">
        <v>49</v>
      </c>
      <c r="E664" s="11" t="s">
        <v>623</v>
      </c>
      <c r="F664" s="12" t="n">
        <v>18500.0</v>
      </c>
      <c r="G664" s="13"/>
      <c r="H664" s="14" t="s">
        <v>57</v>
      </c>
      <c r="I664" s="13"/>
      <c r="J664" s="14" t="s">
        <v>57</v>
      </c>
      <c r="K664" s="13"/>
      <c r="L664" s="14"/>
      <c r="M664" s="13"/>
      <c r="N664" s="14" t="s">
        <v>57</v>
      </c>
      <c r="O664" s="13"/>
      <c r="P664" s="14"/>
      <c r="Q664" s="13"/>
      <c r="R664" s="14" t="s">
        <v>57</v>
      </c>
      <c r="S664" s="15" t="str">
        <f>"－"</f>
        <v>－</v>
      </c>
      <c r="T664" s="16" t="str">
        <f>"－"</f>
        <v>－</v>
      </c>
      <c r="U664" s="16"/>
      <c r="V664" s="16" t="str">
        <f>"－"</f>
        <v>－</v>
      </c>
      <c r="W664" s="16"/>
      <c r="X664" s="16" t="str">
        <f>"－"</f>
        <v>－</v>
      </c>
      <c r="Y664" s="13"/>
      <c r="Z664" s="17" t="n">
        <f>100</f>
        <v>100.0</v>
      </c>
      <c r="AA664" s="18" t="str">
        <f>"－"</f>
        <v>－</v>
      </c>
      <c r="AB664" s="11" t="s">
        <v>624</v>
      </c>
    </row>
    <row r="665">
      <c r="A665" s="11" t="s">
        <v>46</v>
      </c>
      <c r="B665" s="11" t="s">
        <v>47</v>
      </c>
      <c r="C665" s="11" t="s">
        <v>48</v>
      </c>
      <c r="D665" s="11" t="s">
        <v>49</v>
      </c>
      <c r="E665" s="11" t="s">
        <v>623</v>
      </c>
      <c r="F665" s="12" t="n">
        <v>19000.0</v>
      </c>
      <c r="G665" s="13"/>
      <c r="H665" s="14" t="s">
        <v>57</v>
      </c>
      <c r="I665" s="13"/>
      <c r="J665" s="14" t="s">
        <v>57</v>
      </c>
      <c r="K665" s="13"/>
      <c r="L665" s="14"/>
      <c r="M665" s="13"/>
      <c r="N665" s="14" t="s">
        <v>57</v>
      </c>
      <c r="O665" s="13"/>
      <c r="P665" s="14"/>
      <c r="Q665" s="13"/>
      <c r="R665" s="14" t="s">
        <v>57</v>
      </c>
      <c r="S665" s="15" t="str">
        <f>"－"</f>
        <v>－</v>
      </c>
      <c r="T665" s="16" t="str">
        <f>"－"</f>
        <v>－</v>
      </c>
      <c r="U665" s="16"/>
      <c r="V665" s="16" t="str">
        <f>"－"</f>
        <v>－</v>
      </c>
      <c r="W665" s="16"/>
      <c r="X665" s="16" t="str">
        <f>"－"</f>
        <v>－</v>
      </c>
      <c r="Y665" s="13"/>
      <c r="Z665" s="17" t="n">
        <f>275</f>
        <v>275.0</v>
      </c>
      <c r="AA665" s="18" t="str">
        <f>"－"</f>
        <v>－</v>
      </c>
      <c r="AB665" s="11" t="s">
        <v>624</v>
      </c>
    </row>
    <row r="666">
      <c r="A666" s="11" t="s">
        <v>46</v>
      </c>
      <c r="B666" s="11" t="s">
        <v>47</v>
      </c>
      <c r="C666" s="11" t="s">
        <v>48</v>
      </c>
      <c r="D666" s="11" t="s">
        <v>49</v>
      </c>
      <c r="E666" s="11" t="s">
        <v>623</v>
      </c>
      <c r="F666" s="12" t="n">
        <v>20000.0</v>
      </c>
      <c r="G666" s="13"/>
      <c r="H666" s="14" t="s">
        <v>57</v>
      </c>
      <c r="I666" s="13"/>
      <c r="J666" s="14" t="s">
        <v>57</v>
      </c>
      <c r="K666" s="13"/>
      <c r="L666" s="14"/>
      <c r="M666" s="13"/>
      <c r="N666" s="14" t="s">
        <v>57</v>
      </c>
      <c r="O666" s="13"/>
      <c r="P666" s="14"/>
      <c r="Q666" s="13"/>
      <c r="R666" s="14" t="s">
        <v>57</v>
      </c>
      <c r="S666" s="15" t="str">
        <f>"－"</f>
        <v>－</v>
      </c>
      <c r="T666" s="16" t="str">
        <f>"－"</f>
        <v>－</v>
      </c>
      <c r="U666" s="16"/>
      <c r="V666" s="16" t="str">
        <f>"－"</f>
        <v>－</v>
      </c>
      <c r="W666" s="16"/>
      <c r="X666" s="16" t="str">
        <f>"－"</f>
        <v>－</v>
      </c>
      <c r="Y666" s="13"/>
      <c r="Z666" s="17" t="n">
        <f>50</f>
        <v>50.0</v>
      </c>
      <c r="AA666" s="18" t="str">
        <f>"－"</f>
        <v>－</v>
      </c>
      <c r="AB666" s="11" t="s">
        <v>624</v>
      </c>
    </row>
    <row r="667">
      <c r="A667" s="11" t="s">
        <v>46</v>
      </c>
      <c r="B667" s="11" t="s">
        <v>47</v>
      </c>
      <c r="C667" s="11" t="s">
        <v>48</v>
      </c>
      <c r="D667" s="11" t="s">
        <v>49</v>
      </c>
      <c r="E667" s="11" t="s">
        <v>623</v>
      </c>
      <c r="F667" s="12" t="n">
        <v>20500.0</v>
      </c>
      <c r="G667" s="13"/>
      <c r="H667" s="14" t="s">
        <v>57</v>
      </c>
      <c r="I667" s="13"/>
      <c r="J667" s="14" t="s">
        <v>57</v>
      </c>
      <c r="K667" s="13"/>
      <c r="L667" s="14"/>
      <c r="M667" s="13"/>
      <c r="N667" s="14" t="s">
        <v>57</v>
      </c>
      <c r="O667" s="13"/>
      <c r="P667" s="14"/>
      <c r="Q667" s="13"/>
      <c r="R667" s="14" t="s">
        <v>57</v>
      </c>
      <c r="S667" s="15" t="str">
        <f>"－"</f>
        <v>－</v>
      </c>
      <c r="T667" s="16" t="str">
        <f>"－"</f>
        <v>－</v>
      </c>
      <c r="U667" s="16"/>
      <c r="V667" s="16" t="str">
        <f>"－"</f>
        <v>－</v>
      </c>
      <c r="W667" s="16"/>
      <c r="X667" s="16" t="str">
        <f>"－"</f>
        <v>－</v>
      </c>
      <c r="Y667" s="13"/>
      <c r="Z667" s="17" t="n">
        <f>950</f>
        <v>950.0</v>
      </c>
      <c r="AA667" s="18" t="str">
        <f>"－"</f>
        <v>－</v>
      </c>
      <c r="AB667" s="11" t="s">
        <v>624</v>
      </c>
    </row>
    <row r="668">
      <c r="A668" s="11" t="s">
        <v>46</v>
      </c>
      <c r="B668" s="11" t="s">
        <v>47</v>
      </c>
      <c r="C668" s="11" t="s">
        <v>48</v>
      </c>
      <c r="D668" s="11" t="s">
        <v>49</v>
      </c>
      <c r="E668" s="11" t="s">
        <v>623</v>
      </c>
      <c r="F668" s="12" t="n">
        <v>21000.0</v>
      </c>
      <c r="G668" s="13"/>
      <c r="H668" s="14" t="s">
        <v>57</v>
      </c>
      <c r="I668" s="13"/>
      <c r="J668" s="14" t="s">
        <v>57</v>
      </c>
      <c r="K668" s="13"/>
      <c r="L668" s="14"/>
      <c r="M668" s="13"/>
      <c r="N668" s="14" t="s">
        <v>57</v>
      </c>
      <c r="O668" s="13"/>
      <c r="P668" s="14"/>
      <c r="Q668" s="13"/>
      <c r="R668" s="14" t="s">
        <v>57</v>
      </c>
      <c r="S668" s="15" t="str">
        <f>"－"</f>
        <v>－</v>
      </c>
      <c r="T668" s="16" t="str">
        <f>"－"</f>
        <v>－</v>
      </c>
      <c r="U668" s="16"/>
      <c r="V668" s="16" t="str">
        <f>"－"</f>
        <v>－</v>
      </c>
      <c r="W668" s="16"/>
      <c r="X668" s="16" t="str">
        <f>"－"</f>
        <v>－</v>
      </c>
      <c r="Y668" s="13"/>
      <c r="Z668" s="17" t="n">
        <f>150</f>
        <v>150.0</v>
      </c>
      <c r="AA668" s="18" t="str">
        <f>"－"</f>
        <v>－</v>
      </c>
      <c r="AB668" s="11" t="s">
        <v>624</v>
      </c>
    </row>
    <row r="669">
      <c r="A669" s="11" t="s">
        <v>46</v>
      </c>
      <c r="B669" s="11" t="s">
        <v>47</v>
      </c>
      <c r="C669" s="11" t="s">
        <v>48</v>
      </c>
      <c r="D669" s="11" t="s">
        <v>49</v>
      </c>
      <c r="E669" s="11" t="s">
        <v>623</v>
      </c>
      <c r="F669" s="12" t="n">
        <v>21500.0</v>
      </c>
      <c r="G669" s="13"/>
      <c r="H669" s="14" t="s">
        <v>57</v>
      </c>
      <c r="I669" s="13"/>
      <c r="J669" s="14" t="s">
        <v>57</v>
      </c>
      <c r="K669" s="13"/>
      <c r="L669" s="14"/>
      <c r="M669" s="13"/>
      <c r="N669" s="14" t="s">
        <v>57</v>
      </c>
      <c r="O669" s="13"/>
      <c r="P669" s="14"/>
      <c r="Q669" s="13"/>
      <c r="R669" s="14" t="s">
        <v>57</v>
      </c>
      <c r="S669" s="15" t="str">
        <f>"－"</f>
        <v>－</v>
      </c>
      <c r="T669" s="16" t="str">
        <f>"－"</f>
        <v>－</v>
      </c>
      <c r="U669" s="16"/>
      <c r="V669" s="16" t="str">
        <f>"－"</f>
        <v>－</v>
      </c>
      <c r="W669" s="16"/>
      <c r="X669" s="16" t="str">
        <f>"－"</f>
        <v>－</v>
      </c>
      <c r="Y669" s="13"/>
      <c r="Z669" s="17" t="n">
        <f>950</f>
        <v>950.0</v>
      </c>
      <c r="AA669" s="18" t="str">
        <f>"－"</f>
        <v>－</v>
      </c>
      <c r="AB669" s="11" t="s">
        <v>624</v>
      </c>
    </row>
    <row r="670">
      <c r="A670" s="11" t="s">
        <v>46</v>
      </c>
      <c r="B670" s="11" t="s">
        <v>47</v>
      </c>
      <c r="C670" s="11" t="s">
        <v>48</v>
      </c>
      <c r="D670" s="11" t="s">
        <v>49</v>
      </c>
      <c r="E670" s="11" t="s">
        <v>623</v>
      </c>
      <c r="F670" s="12" t="n">
        <v>21750.0</v>
      </c>
      <c r="G670" s="13"/>
      <c r="H670" s="14" t="s">
        <v>57</v>
      </c>
      <c r="I670" s="13"/>
      <c r="J670" s="14" t="s">
        <v>57</v>
      </c>
      <c r="K670" s="13"/>
      <c r="L670" s="14"/>
      <c r="M670" s="13"/>
      <c r="N670" s="14" t="s">
        <v>57</v>
      </c>
      <c r="O670" s="13"/>
      <c r="P670" s="14"/>
      <c r="Q670" s="13"/>
      <c r="R670" s="14" t="s">
        <v>57</v>
      </c>
      <c r="S670" s="15" t="str">
        <f>"－"</f>
        <v>－</v>
      </c>
      <c r="T670" s="16" t="str">
        <f>"－"</f>
        <v>－</v>
      </c>
      <c r="U670" s="16"/>
      <c r="V670" s="16" t="str">
        <f>"－"</f>
        <v>－</v>
      </c>
      <c r="W670" s="16"/>
      <c r="X670" s="16" t="str">
        <f>"－"</f>
        <v>－</v>
      </c>
      <c r="Y670" s="13"/>
      <c r="Z670" s="17" t="n">
        <f>250</f>
        <v>250.0</v>
      </c>
      <c r="AA670" s="18" t="str">
        <f>"－"</f>
        <v>－</v>
      </c>
      <c r="AB670" s="11" t="s">
        <v>624</v>
      </c>
    </row>
    <row r="671">
      <c r="A671" s="11" t="s">
        <v>46</v>
      </c>
      <c r="B671" s="11" t="s">
        <v>47</v>
      </c>
      <c r="C671" s="11" t="s">
        <v>48</v>
      </c>
      <c r="D671" s="11" t="s">
        <v>49</v>
      </c>
      <c r="E671" s="11" t="s">
        <v>623</v>
      </c>
      <c r="F671" s="12" t="n">
        <v>22000.0</v>
      </c>
      <c r="G671" s="13"/>
      <c r="H671" s="14" t="s">
        <v>57</v>
      </c>
      <c r="I671" s="13"/>
      <c r="J671" s="14" t="s">
        <v>57</v>
      </c>
      <c r="K671" s="13"/>
      <c r="L671" s="14"/>
      <c r="M671" s="13"/>
      <c r="N671" s="14" t="s">
        <v>57</v>
      </c>
      <c r="O671" s="13"/>
      <c r="P671" s="14"/>
      <c r="Q671" s="13"/>
      <c r="R671" s="14" t="s">
        <v>57</v>
      </c>
      <c r="S671" s="15" t="str">
        <f>"－"</f>
        <v>－</v>
      </c>
      <c r="T671" s="16" t="str">
        <f>"－"</f>
        <v>－</v>
      </c>
      <c r="U671" s="16"/>
      <c r="V671" s="16" t="str">
        <f>"－"</f>
        <v>－</v>
      </c>
      <c r="W671" s="16"/>
      <c r="X671" s="16" t="str">
        <f>"－"</f>
        <v>－</v>
      </c>
      <c r="Y671" s="13"/>
      <c r="Z671" s="17" t="n">
        <f>75</f>
        <v>75.0</v>
      </c>
      <c r="AA671" s="18" t="str">
        <f>"－"</f>
        <v>－</v>
      </c>
      <c r="AB671" s="11" t="s">
        <v>624</v>
      </c>
    </row>
    <row r="672">
      <c r="A672" s="11" t="s">
        <v>46</v>
      </c>
      <c r="B672" s="11" t="s">
        <v>47</v>
      </c>
      <c r="C672" s="11" t="s">
        <v>48</v>
      </c>
      <c r="D672" s="11" t="s">
        <v>49</v>
      </c>
      <c r="E672" s="11" t="s">
        <v>623</v>
      </c>
      <c r="F672" s="12" t="n">
        <v>22250.0</v>
      </c>
      <c r="G672" s="13"/>
      <c r="H672" s="14" t="s">
        <v>57</v>
      </c>
      <c r="I672" s="13"/>
      <c r="J672" s="14" t="s">
        <v>57</v>
      </c>
      <c r="K672" s="13"/>
      <c r="L672" s="14"/>
      <c r="M672" s="13"/>
      <c r="N672" s="14" t="s">
        <v>57</v>
      </c>
      <c r="O672" s="13"/>
      <c r="P672" s="14"/>
      <c r="Q672" s="13"/>
      <c r="R672" s="14" t="s">
        <v>57</v>
      </c>
      <c r="S672" s="15" t="str">
        <f>"－"</f>
        <v>－</v>
      </c>
      <c r="T672" s="16" t="str">
        <f>"－"</f>
        <v>－</v>
      </c>
      <c r="U672" s="16"/>
      <c r="V672" s="16" t="str">
        <f>"－"</f>
        <v>－</v>
      </c>
      <c r="W672" s="16"/>
      <c r="X672" s="16" t="str">
        <f>"－"</f>
        <v>－</v>
      </c>
      <c r="Y672" s="13"/>
      <c r="Z672" s="17" t="n">
        <f>200</f>
        <v>200.0</v>
      </c>
      <c r="AA672" s="18" t="str">
        <f>"－"</f>
        <v>－</v>
      </c>
      <c r="AB672" s="11" t="s">
        <v>624</v>
      </c>
    </row>
    <row r="673">
      <c r="A673" s="11" t="s">
        <v>46</v>
      </c>
      <c r="B673" s="11" t="s">
        <v>47</v>
      </c>
      <c r="C673" s="11" t="s">
        <v>48</v>
      </c>
      <c r="D673" s="11" t="s">
        <v>49</v>
      </c>
      <c r="E673" s="11" t="s">
        <v>623</v>
      </c>
      <c r="F673" s="12" t="n">
        <v>22500.0</v>
      </c>
      <c r="G673" s="13"/>
      <c r="H673" s="14" t="s">
        <v>57</v>
      </c>
      <c r="I673" s="13"/>
      <c r="J673" s="14" t="s">
        <v>57</v>
      </c>
      <c r="K673" s="13"/>
      <c r="L673" s="14"/>
      <c r="M673" s="13"/>
      <c r="N673" s="14" t="s">
        <v>57</v>
      </c>
      <c r="O673" s="13"/>
      <c r="P673" s="14"/>
      <c r="Q673" s="13"/>
      <c r="R673" s="14" t="s">
        <v>57</v>
      </c>
      <c r="S673" s="15" t="str">
        <f>"－"</f>
        <v>－</v>
      </c>
      <c r="T673" s="16" t="str">
        <f>"－"</f>
        <v>－</v>
      </c>
      <c r="U673" s="16"/>
      <c r="V673" s="16" t="str">
        <f>"－"</f>
        <v>－</v>
      </c>
      <c r="W673" s="16"/>
      <c r="X673" s="16" t="str">
        <f>"－"</f>
        <v>－</v>
      </c>
      <c r="Y673" s="13"/>
      <c r="Z673" s="17" t="n">
        <f>600</f>
        <v>600.0</v>
      </c>
      <c r="AA673" s="18" t="str">
        <f>"－"</f>
        <v>－</v>
      </c>
      <c r="AB673" s="11" t="s">
        <v>624</v>
      </c>
    </row>
    <row r="674">
      <c r="A674" s="11" t="s">
        <v>46</v>
      </c>
      <c r="B674" s="11" t="s">
        <v>47</v>
      </c>
      <c r="C674" s="11" t="s">
        <v>48</v>
      </c>
      <c r="D674" s="11" t="s">
        <v>49</v>
      </c>
      <c r="E674" s="11" t="s">
        <v>623</v>
      </c>
      <c r="F674" s="12" t="n">
        <v>24000.0</v>
      </c>
      <c r="G674" s="13"/>
      <c r="H674" s="14" t="s">
        <v>57</v>
      </c>
      <c r="I674" s="13"/>
      <c r="J674" s="14" t="s">
        <v>57</v>
      </c>
      <c r="K674" s="13"/>
      <c r="L674" s="14"/>
      <c r="M674" s="13"/>
      <c r="N674" s="14" t="s">
        <v>57</v>
      </c>
      <c r="O674" s="13"/>
      <c r="P674" s="14"/>
      <c r="Q674" s="13"/>
      <c r="R674" s="14" t="s">
        <v>57</v>
      </c>
      <c r="S674" s="15" t="str">
        <f>"－"</f>
        <v>－</v>
      </c>
      <c r="T674" s="16" t="str">
        <f>"－"</f>
        <v>－</v>
      </c>
      <c r="U674" s="16"/>
      <c r="V674" s="16" t="str">
        <f>"－"</f>
        <v>－</v>
      </c>
      <c r="W674" s="16"/>
      <c r="X674" s="16" t="str">
        <f>"－"</f>
        <v>－</v>
      </c>
      <c r="Y674" s="13"/>
      <c r="Z674" s="17" t="n">
        <f>400</f>
        <v>400.0</v>
      </c>
      <c r="AA674" s="18" t="str">
        <f>"－"</f>
        <v>－</v>
      </c>
      <c r="AB674" s="11" t="s">
        <v>624</v>
      </c>
    </row>
    <row r="675">
      <c r="A675" s="11" t="s">
        <v>46</v>
      </c>
      <c r="B675" s="11" t="s">
        <v>47</v>
      </c>
      <c r="C675" s="11" t="s">
        <v>48</v>
      </c>
      <c r="D675" s="11" t="s">
        <v>49</v>
      </c>
      <c r="E675" s="11" t="s">
        <v>623</v>
      </c>
      <c r="F675" s="12" t="n">
        <v>24500.0</v>
      </c>
      <c r="G675" s="13"/>
      <c r="H675" s="14" t="s">
        <v>57</v>
      </c>
      <c r="I675" s="13"/>
      <c r="J675" s="14" t="s">
        <v>57</v>
      </c>
      <c r="K675" s="13"/>
      <c r="L675" s="14"/>
      <c r="M675" s="13"/>
      <c r="N675" s="14" t="s">
        <v>57</v>
      </c>
      <c r="O675" s="13"/>
      <c r="P675" s="14"/>
      <c r="Q675" s="13"/>
      <c r="R675" s="14" t="s">
        <v>57</v>
      </c>
      <c r="S675" s="15" t="str">
        <f>"－"</f>
        <v>－</v>
      </c>
      <c r="T675" s="16" t="str">
        <f>"－"</f>
        <v>－</v>
      </c>
      <c r="U675" s="16"/>
      <c r="V675" s="16" t="str">
        <f>"－"</f>
        <v>－</v>
      </c>
      <c r="W675" s="16"/>
      <c r="X675" s="16" t="str">
        <f>"－"</f>
        <v>－</v>
      </c>
      <c r="Y675" s="13"/>
      <c r="Z675" s="17" t="n">
        <f>500</f>
        <v>500.0</v>
      </c>
      <c r="AA675" s="18" t="str">
        <f>"－"</f>
        <v>－</v>
      </c>
      <c r="AB675" s="11" t="s">
        <v>624</v>
      </c>
    </row>
    <row r="676">
      <c r="A676" s="11" t="s">
        <v>46</v>
      </c>
      <c r="B676" s="11" t="s">
        <v>47</v>
      </c>
      <c r="C676" s="11" t="s">
        <v>48</v>
      </c>
      <c r="D676" s="11" t="s">
        <v>49</v>
      </c>
      <c r="E676" s="11" t="s">
        <v>623</v>
      </c>
      <c r="F676" s="12" t="n">
        <v>28000.0</v>
      </c>
      <c r="G676" s="13"/>
      <c r="H676" s="14" t="s">
        <v>57</v>
      </c>
      <c r="I676" s="13"/>
      <c r="J676" s="14" t="s">
        <v>57</v>
      </c>
      <c r="K676" s="13"/>
      <c r="L676" s="14"/>
      <c r="M676" s="13"/>
      <c r="N676" s="14" t="s">
        <v>57</v>
      </c>
      <c r="O676" s="13"/>
      <c r="P676" s="14"/>
      <c r="Q676" s="13"/>
      <c r="R676" s="14" t="s">
        <v>57</v>
      </c>
      <c r="S676" s="15" t="str">
        <f>"－"</f>
        <v>－</v>
      </c>
      <c r="T676" s="16" t="str">
        <f>"－"</f>
        <v>－</v>
      </c>
      <c r="U676" s="16"/>
      <c r="V676" s="16" t="str">
        <f>"－"</f>
        <v>－</v>
      </c>
      <c r="W676" s="16"/>
      <c r="X676" s="16" t="str">
        <f>"－"</f>
        <v>－</v>
      </c>
      <c r="Y676" s="13"/>
      <c r="Z676" s="17" t="n">
        <f>11</f>
        <v>11.0</v>
      </c>
      <c r="AA676" s="18" t="str">
        <f>"－"</f>
        <v>－</v>
      </c>
      <c r="AB676" s="11" t="s">
        <v>624</v>
      </c>
    </row>
    <row r="677">
      <c r="A677" s="11" t="s">
        <v>46</v>
      </c>
      <c r="B677" s="11" t="s">
        <v>47</v>
      </c>
      <c r="C677" s="11" t="s">
        <v>48</v>
      </c>
      <c r="D677" s="11" t="s">
        <v>49</v>
      </c>
      <c r="E677" s="11" t="s">
        <v>623</v>
      </c>
      <c r="F677" s="12" t="n">
        <v>30000.0</v>
      </c>
      <c r="G677" s="13"/>
      <c r="H677" s="14" t="s">
        <v>57</v>
      </c>
      <c r="I677" s="13"/>
      <c r="J677" s="14" t="s">
        <v>57</v>
      </c>
      <c r="K677" s="13" t="s">
        <v>215</v>
      </c>
      <c r="L677" s="14" t="s">
        <v>625</v>
      </c>
      <c r="M677" s="13"/>
      <c r="N677" s="14" t="s">
        <v>57</v>
      </c>
      <c r="O677" s="13" t="s">
        <v>215</v>
      </c>
      <c r="P677" s="14" t="s">
        <v>625</v>
      </c>
      <c r="Q677" s="13"/>
      <c r="R677" s="14" t="s">
        <v>57</v>
      </c>
      <c r="S677" s="15" t="str">
        <f>"－"</f>
        <v>－</v>
      </c>
      <c r="T677" s="16" t="n">
        <f>10</f>
        <v>10.0</v>
      </c>
      <c r="U677" s="16" t="n">
        <v>10.0</v>
      </c>
      <c r="V677" s="16" t="n">
        <f>42900000</f>
        <v>4.29E7</v>
      </c>
      <c r="W677" s="16" t="n">
        <v>4.29E7</v>
      </c>
      <c r="X677" s="16" t="str">
        <f>"－"</f>
        <v>－</v>
      </c>
      <c r="Y677" s="13"/>
      <c r="Z677" s="17" t="n">
        <f>10</f>
        <v>10.0</v>
      </c>
      <c r="AA677" s="18" t="str">
        <f>"－"</f>
        <v>－</v>
      </c>
      <c r="AB677" s="11" t="s">
        <v>624</v>
      </c>
    </row>
    <row r="678">
      <c r="A678" s="11" t="s">
        <v>46</v>
      </c>
      <c r="B678" s="11" t="s">
        <v>47</v>
      </c>
      <c r="C678" s="11" t="s">
        <v>48</v>
      </c>
      <c r="D678" s="11" t="s">
        <v>49</v>
      </c>
      <c r="E678" s="11" t="s">
        <v>626</v>
      </c>
      <c r="F678" s="12" t="n">
        <v>8000.0</v>
      </c>
      <c r="G678" s="13" t="s">
        <v>211</v>
      </c>
      <c r="H678" s="14" t="s">
        <v>123</v>
      </c>
      <c r="I678" s="13" t="s">
        <v>211</v>
      </c>
      <c r="J678" s="14" t="s">
        <v>123</v>
      </c>
      <c r="K678" s="13"/>
      <c r="L678" s="14"/>
      <c r="M678" s="13" t="s">
        <v>211</v>
      </c>
      <c r="N678" s="14" t="s">
        <v>123</v>
      </c>
      <c r="O678" s="13"/>
      <c r="P678" s="14"/>
      <c r="Q678" s="13" t="s">
        <v>211</v>
      </c>
      <c r="R678" s="14" t="s">
        <v>123</v>
      </c>
      <c r="S678" s="15" t="n">
        <f>150</f>
        <v>150.0</v>
      </c>
      <c r="T678" s="16" t="n">
        <f>1</f>
        <v>1.0</v>
      </c>
      <c r="U678" s="16"/>
      <c r="V678" s="16" t="n">
        <f>150000</f>
        <v>150000.0</v>
      </c>
      <c r="W678" s="16"/>
      <c r="X678" s="16" t="str">
        <f>"－"</f>
        <v>－</v>
      </c>
      <c r="Y678" s="13"/>
      <c r="Z678" s="17" t="n">
        <f>501</f>
        <v>501.0</v>
      </c>
      <c r="AA678" s="18" t="n">
        <f>1</f>
        <v>1.0</v>
      </c>
      <c r="AB678" s="11" t="s">
        <v>627</v>
      </c>
    </row>
    <row r="679">
      <c r="A679" s="11" t="s">
        <v>46</v>
      </c>
      <c r="B679" s="11" t="s">
        <v>47</v>
      </c>
      <c r="C679" s="11" t="s">
        <v>48</v>
      </c>
      <c r="D679" s="11" t="s">
        <v>49</v>
      </c>
      <c r="E679" s="11" t="s">
        <v>626</v>
      </c>
      <c r="F679" s="12" t="n">
        <v>10000.0</v>
      </c>
      <c r="G679" s="13" t="s">
        <v>205</v>
      </c>
      <c r="H679" s="14" t="s">
        <v>133</v>
      </c>
      <c r="I679" s="13" t="s">
        <v>205</v>
      </c>
      <c r="J679" s="14" t="s">
        <v>133</v>
      </c>
      <c r="K679" s="13"/>
      <c r="L679" s="14"/>
      <c r="M679" s="13" t="s">
        <v>205</v>
      </c>
      <c r="N679" s="14" t="s">
        <v>133</v>
      </c>
      <c r="O679" s="13"/>
      <c r="P679" s="14"/>
      <c r="Q679" s="13" t="s">
        <v>205</v>
      </c>
      <c r="R679" s="14" t="s">
        <v>133</v>
      </c>
      <c r="S679" s="15" t="n">
        <f>240</f>
        <v>240.0</v>
      </c>
      <c r="T679" s="16" t="n">
        <f>1</f>
        <v>1.0</v>
      </c>
      <c r="U679" s="16"/>
      <c r="V679" s="16" t="n">
        <f>240000</f>
        <v>240000.0</v>
      </c>
      <c r="W679" s="16"/>
      <c r="X679" s="16" t="str">
        <f>"－"</f>
        <v>－</v>
      </c>
      <c r="Y679" s="13"/>
      <c r="Z679" s="17" t="n">
        <f>601</f>
        <v>601.0</v>
      </c>
      <c r="AA679" s="18" t="n">
        <f>1</f>
        <v>1.0</v>
      </c>
      <c r="AB679" s="11" t="s">
        <v>627</v>
      </c>
    </row>
    <row r="680">
      <c r="A680" s="11" t="s">
        <v>46</v>
      </c>
      <c r="B680" s="11" t="s">
        <v>47</v>
      </c>
      <c r="C680" s="11" t="s">
        <v>48</v>
      </c>
      <c r="D680" s="11" t="s">
        <v>49</v>
      </c>
      <c r="E680" s="11" t="s">
        <v>626</v>
      </c>
      <c r="F680" s="12" t="n">
        <v>10500.0</v>
      </c>
      <c r="G680" s="13"/>
      <c r="H680" s="14" t="s">
        <v>57</v>
      </c>
      <c r="I680" s="13"/>
      <c r="J680" s="14" t="s">
        <v>57</v>
      </c>
      <c r="K680" s="13"/>
      <c r="L680" s="14"/>
      <c r="M680" s="13"/>
      <c r="N680" s="14" t="s">
        <v>57</v>
      </c>
      <c r="O680" s="13"/>
      <c r="P680" s="14"/>
      <c r="Q680" s="13"/>
      <c r="R680" s="14" t="s">
        <v>57</v>
      </c>
      <c r="S680" s="15" t="str">
        <f>"－"</f>
        <v>－</v>
      </c>
      <c r="T680" s="16" t="str">
        <f>"－"</f>
        <v>－</v>
      </c>
      <c r="U680" s="16"/>
      <c r="V680" s="16" t="str">
        <f>"－"</f>
        <v>－</v>
      </c>
      <c r="W680" s="16"/>
      <c r="X680" s="16" t="str">
        <f>"－"</f>
        <v>－</v>
      </c>
      <c r="Y680" s="13"/>
      <c r="Z680" s="17" t="n">
        <f>200</f>
        <v>200.0</v>
      </c>
      <c r="AA680" s="18" t="str">
        <f>"－"</f>
        <v>－</v>
      </c>
      <c r="AB680" s="11" t="s">
        <v>627</v>
      </c>
    </row>
    <row r="681">
      <c r="A681" s="11" t="s">
        <v>46</v>
      </c>
      <c r="B681" s="11" t="s">
        <v>47</v>
      </c>
      <c r="C681" s="11" t="s">
        <v>48</v>
      </c>
      <c r="D681" s="11" t="s">
        <v>49</v>
      </c>
      <c r="E681" s="11" t="s">
        <v>626</v>
      </c>
      <c r="F681" s="12" t="n">
        <v>11000.0</v>
      </c>
      <c r="G681" s="13"/>
      <c r="H681" s="14" t="s">
        <v>57</v>
      </c>
      <c r="I681" s="13"/>
      <c r="J681" s="14" t="s">
        <v>57</v>
      </c>
      <c r="K681" s="13"/>
      <c r="L681" s="14"/>
      <c r="M681" s="13"/>
      <c r="N681" s="14" t="s">
        <v>57</v>
      </c>
      <c r="O681" s="13"/>
      <c r="P681" s="14"/>
      <c r="Q681" s="13"/>
      <c r="R681" s="14" t="s">
        <v>57</v>
      </c>
      <c r="S681" s="15" t="str">
        <f>"－"</f>
        <v>－</v>
      </c>
      <c r="T681" s="16" t="str">
        <f>"－"</f>
        <v>－</v>
      </c>
      <c r="U681" s="16"/>
      <c r="V681" s="16" t="str">
        <f>"－"</f>
        <v>－</v>
      </c>
      <c r="W681" s="16"/>
      <c r="X681" s="16" t="str">
        <f>"－"</f>
        <v>－</v>
      </c>
      <c r="Y681" s="13"/>
      <c r="Z681" s="17" t="n">
        <f>400</f>
        <v>400.0</v>
      </c>
      <c r="AA681" s="18" t="str">
        <f>"－"</f>
        <v>－</v>
      </c>
      <c r="AB681" s="11" t="s">
        <v>627</v>
      </c>
    </row>
    <row r="682">
      <c r="A682" s="11" t="s">
        <v>46</v>
      </c>
      <c r="B682" s="11" t="s">
        <v>47</v>
      </c>
      <c r="C682" s="11" t="s">
        <v>48</v>
      </c>
      <c r="D682" s="11" t="s">
        <v>49</v>
      </c>
      <c r="E682" s="11" t="s">
        <v>626</v>
      </c>
      <c r="F682" s="12" t="n">
        <v>12000.0</v>
      </c>
      <c r="G682" s="13"/>
      <c r="H682" s="14" t="s">
        <v>57</v>
      </c>
      <c r="I682" s="13"/>
      <c r="J682" s="14" t="s">
        <v>57</v>
      </c>
      <c r="K682" s="13"/>
      <c r="L682" s="14"/>
      <c r="M682" s="13"/>
      <c r="N682" s="14" t="s">
        <v>57</v>
      </c>
      <c r="O682" s="13"/>
      <c r="P682" s="14"/>
      <c r="Q682" s="13"/>
      <c r="R682" s="14" t="s">
        <v>57</v>
      </c>
      <c r="S682" s="15" t="str">
        <f>"－"</f>
        <v>－</v>
      </c>
      <c r="T682" s="16" t="str">
        <f>"－"</f>
        <v>－</v>
      </c>
      <c r="U682" s="16"/>
      <c r="V682" s="16" t="str">
        <f>"－"</f>
        <v>－</v>
      </c>
      <c r="W682" s="16"/>
      <c r="X682" s="16" t="str">
        <f>"－"</f>
        <v>－</v>
      </c>
      <c r="Y682" s="13"/>
      <c r="Z682" s="17" t="n">
        <f>550</f>
        <v>550.0</v>
      </c>
      <c r="AA682" s="18" t="str">
        <f>"－"</f>
        <v>－</v>
      </c>
      <c r="AB682" s="11" t="s">
        <v>627</v>
      </c>
    </row>
    <row r="683">
      <c r="A683" s="11" t="s">
        <v>46</v>
      </c>
      <c r="B683" s="11" t="s">
        <v>47</v>
      </c>
      <c r="C683" s="11" t="s">
        <v>48</v>
      </c>
      <c r="D683" s="11" t="s">
        <v>49</v>
      </c>
      <c r="E683" s="11" t="s">
        <v>626</v>
      </c>
      <c r="F683" s="12" t="n">
        <v>13000.0</v>
      </c>
      <c r="G683" s="13"/>
      <c r="H683" s="14" t="s">
        <v>57</v>
      </c>
      <c r="I683" s="13"/>
      <c r="J683" s="14" t="s">
        <v>57</v>
      </c>
      <c r="K683" s="13"/>
      <c r="L683" s="14"/>
      <c r="M683" s="13"/>
      <c r="N683" s="14" t="s">
        <v>57</v>
      </c>
      <c r="O683" s="13"/>
      <c r="P683" s="14"/>
      <c r="Q683" s="13"/>
      <c r="R683" s="14" t="s">
        <v>57</v>
      </c>
      <c r="S683" s="15" t="str">
        <f>"－"</f>
        <v>－</v>
      </c>
      <c r="T683" s="16" t="str">
        <f>"－"</f>
        <v>－</v>
      </c>
      <c r="U683" s="16"/>
      <c r="V683" s="16" t="str">
        <f>"－"</f>
        <v>－</v>
      </c>
      <c r="W683" s="16"/>
      <c r="X683" s="16" t="str">
        <f>"－"</f>
        <v>－</v>
      </c>
      <c r="Y683" s="13"/>
      <c r="Z683" s="17" t="n">
        <f>600</f>
        <v>600.0</v>
      </c>
      <c r="AA683" s="18" t="str">
        <f>"－"</f>
        <v>－</v>
      </c>
      <c r="AB683" s="11" t="s">
        <v>627</v>
      </c>
    </row>
    <row r="684">
      <c r="A684" s="11" t="s">
        <v>46</v>
      </c>
      <c r="B684" s="11" t="s">
        <v>47</v>
      </c>
      <c r="C684" s="11" t="s">
        <v>48</v>
      </c>
      <c r="D684" s="11" t="s">
        <v>49</v>
      </c>
      <c r="E684" s="11" t="s">
        <v>626</v>
      </c>
      <c r="F684" s="12" t="n">
        <v>14000.0</v>
      </c>
      <c r="G684" s="13"/>
      <c r="H684" s="14" t="s">
        <v>57</v>
      </c>
      <c r="I684" s="13"/>
      <c r="J684" s="14" t="s">
        <v>57</v>
      </c>
      <c r="K684" s="13" t="s">
        <v>63</v>
      </c>
      <c r="L684" s="14" t="s">
        <v>628</v>
      </c>
      <c r="M684" s="13"/>
      <c r="N684" s="14" t="s">
        <v>57</v>
      </c>
      <c r="O684" s="13" t="s">
        <v>63</v>
      </c>
      <c r="P684" s="14" t="s">
        <v>628</v>
      </c>
      <c r="Q684" s="13"/>
      <c r="R684" s="14" t="s">
        <v>57</v>
      </c>
      <c r="S684" s="15" t="str">
        <f>"－"</f>
        <v>－</v>
      </c>
      <c r="T684" s="16" t="n">
        <f>100</f>
        <v>100.0</v>
      </c>
      <c r="U684" s="16" t="n">
        <v>100.0</v>
      </c>
      <c r="V684" s="16" t="n">
        <f>53600000</f>
        <v>5.36E7</v>
      </c>
      <c r="W684" s="16" t="n">
        <v>5.36E7</v>
      </c>
      <c r="X684" s="16" t="str">
        <f>"－"</f>
        <v>－</v>
      </c>
      <c r="Y684" s="13"/>
      <c r="Z684" s="17" t="n">
        <f>1700</f>
        <v>1700.0</v>
      </c>
      <c r="AA684" s="18" t="str">
        <f>"－"</f>
        <v>－</v>
      </c>
      <c r="AB684" s="11" t="s">
        <v>627</v>
      </c>
    </row>
    <row r="685">
      <c r="A685" s="11" t="s">
        <v>46</v>
      </c>
      <c r="B685" s="11" t="s">
        <v>47</v>
      </c>
      <c r="C685" s="11" t="s">
        <v>48</v>
      </c>
      <c r="D685" s="11" t="s">
        <v>49</v>
      </c>
      <c r="E685" s="11" t="s">
        <v>626</v>
      </c>
      <c r="F685" s="12" t="n">
        <v>15000.0</v>
      </c>
      <c r="G685" s="13"/>
      <c r="H685" s="14" t="s">
        <v>57</v>
      </c>
      <c r="I685" s="13"/>
      <c r="J685" s="14" t="s">
        <v>57</v>
      </c>
      <c r="K685" s="13"/>
      <c r="L685" s="14"/>
      <c r="M685" s="13"/>
      <c r="N685" s="14" t="s">
        <v>57</v>
      </c>
      <c r="O685" s="13"/>
      <c r="P685" s="14"/>
      <c r="Q685" s="13"/>
      <c r="R685" s="14" t="s">
        <v>57</v>
      </c>
      <c r="S685" s="15" t="str">
        <f>"－"</f>
        <v>－</v>
      </c>
      <c r="T685" s="16" t="str">
        <f>"－"</f>
        <v>－</v>
      </c>
      <c r="U685" s="16"/>
      <c r="V685" s="16" t="str">
        <f>"－"</f>
        <v>－</v>
      </c>
      <c r="W685" s="16"/>
      <c r="X685" s="16" t="str">
        <f>"－"</f>
        <v>－</v>
      </c>
      <c r="Y685" s="13"/>
      <c r="Z685" s="17" t="n">
        <f>400</f>
        <v>400.0</v>
      </c>
      <c r="AA685" s="18" t="str">
        <f>"－"</f>
        <v>－</v>
      </c>
      <c r="AB685" s="11" t="s">
        <v>627</v>
      </c>
    </row>
    <row r="686">
      <c r="A686" s="11" t="s">
        <v>46</v>
      </c>
      <c r="B686" s="11" t="s">
        <v>47</v>
      </c>
      <c r="C686" s="11" t="s">
        <v>48</v>
      </c>
      <c r="D686" s="11" t="s">
        <v>49</v>
      </c>
      <c r="E686" s="11" t="s">
        <v>626</v>
      </c>
      <c r="F686" s="12" t="n">
        <v>15500.0</v>
      </c>
      <c r="G686" s="13"/>
      <c r="H686" s="14" t="s">
        <v>57</v>
      </c>
      <c r="I686" s="13"/>
      <c r="J686" s="14" t="s">
        <v>57</v>
      </c>
      <c r="K686" s="13"/>
      <c r="L686" s="14"/>
      <c r="M686" s="13"/>
      <c r="N686" s="14" t="s">
        <v>57</v>
      </c>
      <c r="O686" s="13"/>
      <c r="P686" s="14"/>
      <c r="Q686" s="13"/>
      <c r="R686" s="14" t="s">
        <v>57</v>
      </c>
      <c r="S686" s="15" t="str">
        <f>"－"</f>
        <v>－</v>
      </c>
      <c r="T686" s="16" t="str">
        <f>"－"</f>
        <v>－</v>
      </c>
      <c r="U686" s="16"/>
      <c r="V686" s="16" t="str">
        <f>"－"</f>
        <v>－</v>
      </c>
      <c r="W686" s="16"/>
      <c r="X686" s="16" t="str">
        <f>"－"</f>
        <v>－</v>
      </c>
      <c r="Y686" s="13"/>
      <c r="Z686" s="17" t="n">
        <f>300</f>
        <v>300.0</v>
      </c>
      <c r="AA686" s="18" t="str">
        <f>"－"</f>
        <v>－</v>
      </c>
      <c r="AB686" s="11" t="s">
        <v>627</v>
      </c>
    </row>
    <row r="687">
      <c r="A687" s="11" t="s">
        <v>46</v>
      </c>
      <c r="B687" s="11" t="s">
        <v>47</v>
      </c>
      <c r="C687" s="11" t="s">
        <v>48</v>
      </c>
      <c r="D687" s="11" t="s">
        <v>49</v>
      </c>
      <c r="E687" s="11" t="s">
        <v>626</v>
      </c>
      <c r="F687" s="12" t="n">
        <v>16000.0</v>
      </c>
      <c r="G687" s="13"/>
      <c r="H687" s="14" t="s">
        <v>57</v>
      </c>
      <c r="I687" s="13"/>
      <c r="J687" s="14" t="s">
        <v>57</v>
      </c>
      <c r="K687" s="13"/>
      <c r="L687" s="14"/>
      <c r="M687" s="13"/>
      <c r="N687" s="14" t="s">
        <v>57</v>
      </c>
      <c r="O687" s="13"/>
      <c r="P687" s="14"/>
      <c r="Q687" s="13"/>
      <c r="R687" s="14" t="s">
        <v>57</v>
      </c>
      <c r="S687" s="15" t="str">
        <f>"－"</f>
        <v>－</v>
      </c>
      <c r="T687" s="16" t="str">
        <f>"－"</f>
        <v>－</v>
      </c>
      <c r="U687" s="16"/>
      <c r="V687" s="16" t="str">
        <f>"－"</f>
        <v>－</v>
      </c>
      <c r="W687" s="16"/>
      <c r="X687" s="16" t="str">
        <f>"－"</f>
        <v>－</v>
      </c>
      <c r="Y687" s="13"/>
      <c r="Z687" s="17" t="n">
        <f>2525</f>
        <v>2525.0</v>
      </c>
      <c r="AA687" s="18" t="str">
        <f>"－"</f>
        <v>－</v>
      </c>
      <c r="AB687" s="11" t="s">
        <v>627</v>
      </c>
    </row>
    <row r="688">
      <c r="A688" s="11" t="s">
        <v>46</v>
      </c>
      <c r="B688" s="11" t="s">
        <v>47</v>
      </c>
      <c r="C688" s="11" t="s">
        <v>48</v>
      </c>
      <c r="D688" s="11" t="s">
        <v>49</v>
      </c>
      <c r="E688" s="11" t="s">
        <v>626</v>
      </c>
      <c r="F688" s="12" t="n">
        <v>16500.0</v>
      </c>
      <c r="G688" s="13"/>
      <c r="H688" s="14" t="s">
        <v>57</v>
      </c>
      <c r="I688" s="13"/>
      <c r="J688" s="14" t="s">
        <v>57</v>
      </c>
      <c r="K688" s="13"/>
      <c r="L688" s="14"/>
      <c r="M688" s="13"/>
      <c r="N688" s="14" t="s">
        <v>57</v>
      </c>
      <c r="O688" s="13"/>
      <c r="P688" s="14"/>
      <c r="Q688" s="13"/>
      <c r="R688" s="14" t="s">
        <v>57</v>
      </c>
      <c r="S688" s="15" t="str">
        <f>"－"</f>
        <v>－</v>
      </c>
      <c r="T688" s="16" t="str">
        <f>"－"</f>
        <v>－</v>
      </c>
      <c r="U688" s="16"/>
      <c r="V688" s="16" t="str">
        <f>"－"</f>
        <v>－</v>
      </c>
      <c r="W688" s="16"/>
      <c r="X688" s="16" t="str">
        <f>"－"</f>
        <v>－</v>
      </c>
      <c r="Y688" s="13"/>
      <c r="Z688" s="17" t="n">
        <f>100</f>
        <v>100.0</v>
      </c>
      <c r="AA688" s="18" t="str">
        <f>"－"</f>
        <v>－</v>
      </c>
      <c r="AB688" s="11" t="s">
        <v>627</v>
      </c>
    </row>
    <row r="689">
      <c r="A689" s="11" t="s">
        <v>46</v>
      </c>
      <c r="B689" s="11" t="s">
        <v>47</v>
      </c>
      <c r="C689" s="11" t="s">
        <v>48</v>
      </c>
      <c r="D689" s="11" t="s">
        <v>49</v>
      </c>
      <c r="E689" s="11" t="s">
        <v>626</v>
      </c>
      <c r="F689" s="12" t="n">
        <v>17000.0</v>
      </c>
      <c r="G689" s="13"/>
      <c r="H689" s="14" t="s">
        <v>57</v>
      </c>
      <c r="I689" s="13"/>
      <c r="J689" s="14" t="s">
        <v>57</v>
      </c>
      <c r="K689" s="13"/>
      <c r="L689" s="14"/>
      <c r="M689" s="13"/>
      <c r="N689" s="14" t="s">
        <v>57</v>
      </c>
      <c r="O689" s="13"/>
      <c r="P689" s="14"/>
      <c r="Q689" s="13"/>
      <c r="R689" s="14" t="s">
        <v>57</v>
      </c>
      <c r="S689" s="15" t="str">
        <f>"－"</f>
        <v>－</v>
      </c>
      <c r="T689" s="16" t="str">
        <f>"－"</f>
        <v>－</v>
      </c>
      <c r="U689" s="16"/>
      <c r="V689" s="16" t="str">
        <f>"－"</f>
        <v>－</v>
      </c>
      <c r="W689" s="16"/>
      <c r="X689" s="16" t="str">
        <f>"－"</f>
        <v>－</v>
      </c>
      <c r="Y689" s="13"/>
      <c r="Z689" s="17" t="n">
        <f>1045</f>
        <v>1045.0</v>
      </c>
      <c r="AA689" s="18" t="str">
        <f>"－"</f>
        <v>－</v>
      </c>
      <c r="AB689" s="11" t="s">
        <v>627</v>
      </c>
    </row>
    <row r="690">
      <c r="A690" s="11" t="s">
        <v>46</v>
      </c>
      <c r="B690" s="11" t="s">
        <v>47</v>
      </c>
      <c r="C690" s="11" t="s">
        <v>48</v>
      </c>
      <c r="D690" s="11" t="s">
        <v>49</v>
      </c>
      <c r="E690" s="11" t="s">
        <v>626</v>
      </c>
      <c r="F690" s="12" t="n">
        <v>17500.0</v>
      </c>
      <c r="G690" s="13"/>
      <c r="H690" s="14" t="s">
        <v>57</v>
      </c>
      <c r="I690" s="13"/>
      <c r="J690" s="14" t="s">
        <v>57</v>
      </c>
      <c r="K690" s="13" t="s">
        <v>63</v>
      </c>
      <c r="L690" s="14" t="s">
        <v>172</v>
      </c>
      <c r="M690" s="13"/>
      <c r="N690" s="14" t="s">
        <v>57</v>
      </c>
      <c r="O690" s="13" t="s">
        <v>63</v>
      </c>
      <c r="P690" s="14" t="s">
        <v>172</v>
      </c>
      <c r="Q690" s="13"/>
      <c r="R690" s="14" t="s">
        <v>57</v>
      </c>
      <c r="S690" s="15" t="str">
        <f>"－"</f>
        <v>－</v>
      </c>
      <c r="T690" s="16" t="n">
        <f>100</f>
        <v>100.0</v>
      </c>
      <c r="U690" s="16" t="n">
        <v>100.0</v>
      </c>
      <c r="V690" s="16" t="n">
        <f>98000000</f>
        <v>9.8E7</v>
      </c>
      <c r="W690" s="16" t="n">
        <v>9.8E7</v>
      </c>
      <c r="X690" s="16" t="str">
        <f>"－"</f>
        <v>－</v>
      </c>
      <c r="Y690" s="13"/>
      <c r="Z690" s="17" t="n">
        <f>1150</f>
        <v>1150.0</v>
      </c>
      <c r="AA690" s="18" t="str">
        <f>"－"</f>
        <v>－</v>
      </c>
      <c r="AB690" s="11" t="s">
        <v>627</v>
      </c>
    </row>
    <row r="691">
      <c r="A691" s="11" t="s">
        <v>46</v>
      </c>
      <c r="B691" s="11" t="s">
        <v>47</v>
      </c>
      <c r="C691" s="11" t="s">
        <v>48</v>
      </c>
      <c r="D691" s="11" t="s">
        <v>49</v>
      </c>
      <c r="E691" s="11" t="s">
        <v>626</v>
      </c>
      <c r="F691" s="12" t="n">
        <v>18000.0</v>
      </c>
      <c r="G691" s="13"/>
      <c r="H691" s="14" t="s">
        <v>57</v>
      </c>
      <c r="I691" s="13"/>
      <c r="J691" s="14" t="s">
        <v>57</v>
      </c>
      <c r="K691" s="13" t="s">
        <v>215</v>
      </c>
      <c r="L691" s="14" t="s">
        <v>629</v>
      </c>
      <c r="M691" s="13"/>
      <c r="N691" s="14" t="s">
        <v>57</v>
      </c>
      <c r="O691" s="13" t="s">
        <v>215</v>
      </c>
      <c r="P691" s="14" t="s">
        <v>629</v>
      </c>
      <c r="Q691" s="13"/>
      <c r="R691" s="14" t="s">
        <v>57</v>
      </c>
      <c r="S691" s="15" t="str">
        <f>"－"</f>
        <v>－</v>
      </c>
      <c r="T691" s="16" t="n">
        <f>100</f>
        <v>100.0</v>
      </c>
      <c r="U691" s="16" t="n">
        <v>100.0</v>
      </c>
      <c r="V691" s="16" t="n">
        <f>90900000</f>
        <v>9.09E7</v>
      </c>
      <c r="W691" s="16" t="n">
        <v>9.09E7</v>
      </c>
      <c r="X691" s="16" t="str">
        <f>"－"</f>
        <v>－</v>
      </c>
      <c r="Y691" s="13"/>
      <c r="Z691" s="17" t="n">
        <f>2550</f>
        <v>2550.0</v>
      </c>
      <c r="AA691" s="18" t="str">
        <f>"－"</f>
        <v>－</v>
      </c>
      <c r="AB691" s="11" t="s">
        <v>627</v>
      </c>
    </row>
    <row r="692">
      <c r="A692" s="11" t="s">
        <v>46</v>
      </c>
      <c r="B692" s="11" t="s">
        <v>47</v>
      </c>
      <c r="C692" s="11" t="s">
        <v>48</v>
      </c>
      <c r="D692" s="11" t="s">
        <v>49</v>
      </c>
      <c r="E692" s="11" t="s">
        <v>626</v>
      </c>
      <c r="F692" s="12" t="n">
        <v>18500.0</v>
      </c>
      <c r="G692" s="13"/>
      <c r="H692" s="14" t="s">
        <v>57</v>
      </c>
      <c r="I692" s="13"/>
      <c r="J692" s="14" t="s">
        <v>57</v>
      </c>
      <c r="K692" s="13"/>
      <c r="L692" s="14"/>
      <c r="M692" s="13"/>
      <c r="N692" s="14" t="s">
        <v>57</v>
      </c>
      <c r="O692" s="13"/>
      <c r="P692" s="14"/>
      <c r="Q692" s="13"/>
      <c r="R692" s="14" t="s">
        <v>57</v>
      </c>
      <c r="S692" s="15" t="str">
        <f>"－"</f>
        <v>－</v>
      </c>
      <c r="T692" s="16" t="str">
        <f>"－"</f>
        <v>－</v>
      </c>
      <c r="U692" s="16"/>
      <c r="V692" s="16" t="str">
        <f>"－"</f>
        <v>－</v>
      </c>
      <c r="W692" s="16"/>
      <c r="X692" s="16" t="str">
        <f>"－"</f>
        <v>－</v>
      </c>
      <c r="Y692" s="13"/>
      <c r="Z692" s="17" t="n">
        <f>800</f>
        <v>800.0</v>
      </c>
      <c r="AA692" s="18" t="str">
        <f>"－"</f>
        <v>－</v>
      </c>
      <c r="AB692" s="11" t="s">
        <v>627</v>
      </c>
    </row>
    <row r="693">
      <c r="A693" s="11" t="s">
        <v>46</v>
      </c>
      <c r="B693" s="11" t="s">
        <v>47</v>
      </c>
      <c r="C693" s="11" t="s">
        <v>48</v>
      </c>
      <c r="D693" s="11" t="s">
        <v>49</v>
      </c>
      <c r="E693" s="11" t="s">
        <v>626</v>
      </c>
      <c r="F693" s="12" t="n">
        <v>19000.0</v>
      </c>
      <c r="G693" s="13"/>
      <c r="H693" s="14" t="s">
        <v>57</v>
      </c>
      <c r="I693" s="13"/>
      <c r="J693" s="14" t="s">
        <v>57</v>
      </c>
      <c r="K693" s="13"/>
      <c r="L693" s="14"/>
      <c r="M693" s="13"/>
      <c r="N693" s="14" t="s">
        <v>57</v>
      </c>
      <c r="O693" s="13"/>
      <c r="P693" s="14"/>
      <c r="Q693" s="13"/>
      <c r="R693" s="14" t="s">
        <v>57</v>
      </c>
      <c r="S693" s="15" t="str">
        <f>"－"</f>
        <v>－</v>
      </c>
      <c r="T693" s="16" t="str">
        <f>"－"</f>
        <v>－</v>
      </c>
      <c r="U693" s="16"/>
      <c r="V693" s="16" t="str">
        <f>"－"</f>
        <v>－</v>
      </c>
      <c r="W693" s="16"/>
      <c r="X693" s="16" t="str">
        <f>"－"</f>
        <v>－</v>
      </c>
      <c r="Y693" s="13"/>
      <c r="Z693" s="17" t="n">
        <f>600</f>
        <v>600.0</v>
      </c>
      <c r="AA693" s="18" t="str">
        <f>"－"</f>
        <v>－</v>
      </c>
      <c r="AB693" s="11" t="s">
        <v>627</v>
      </c>
    </row>
    <row r="694">
      <c r="A694" s="11" t="s">
        <v>46</v>
      </c>
      <c r="B694" s="11" t="s">
        <v>47</v>
      </c>
      <c r="C694" s="11" t="s">
        <v>48</v>
      </c>
      <c r="D694" s="11" t="s">
        <v>49</v>
      </c>
      <c r="E694" s="11" t="s">
        <v>626</v>
      </c>
      <c r="F694" s="12" t="n">
        <v>19500.0</v>
      </c>
      <c r="G694" s="13"/>
      <c r="H694" s="14" t="s">
        <v>57</v>
      </c>
      <c r="I694" s="13"/>
      <c r="J694" s="14" t="s">
        <v>57</v>
      </c>
      <c r="K694" s="13"/>
      <c r="L694" s="14"/>
      <c r="M694" s="13"/>
      <c r="N694" s="14" t="s">
        <v>57</v>
      </c>
      <c r="O694" s="13"/>
      <c r="P694" s="14"/>
      <c r="Q694" s="13"/>
      <c r="R694" s="14" t="s">
        <v>57</v>
      </c>
      <c r="S694" s="15" t="str">
        <f>"－"</f>
        <v>－</v>
      </c>
      <c r="T694" s="16" t="str">
        <f>"－"</f>
        <v>－</v>
      </c>
      <c r="U694" s="16"/>
      <c r="V694" s="16" t="str">
        <f>"－"</f>
        <v>－</v>
      </c>
      <c r="W694" s="16"/>
      <c r="X694" s="16" t="str">
        <f>"－"</f>
        <v>－</v>
      </c>
      <c r="Y694" s="13"/>
      <c r="Z694" s="17" t="n">
        <f>100</f>
        <v>100.0</v>
      </c>
      <c r="AA694" s="18" t="str">
        <f>"－"</f>
        <v>－</v>
      </c>
      <c r="AB694" s="11" t="s">
        <v>627</v>
      </c>
    </row>
    <row r="695">
      <c r="A695" s="11" t="s">
        <v>46</v>
      </c>
      <c r="B695" s="11" t="s">
        <v>47</v>
      </c>
      <c r="C695" s="11" t="s">
        <v>48</v>
      </c>
      <c r="D695" s="11" t="s">
        <v>49</v>
      </c>
      <c r="E695" s="11" t="s">
        <v>626</v>
      </c>
      <c r="F695" s="12" t="n">
        <v>20000.0</v>
      </c>
      <c r="G695" s="13"/>
      <c r="H695" s="14" t="s">
        <v>57</v>
      </c>
      <c r="I695" s="13"/>
      <c r="J695" s="14" t="s">
        <v>57</v>
      </c>
      <c r="K695" s="13" t="s">
        <v>63</v>
      </c>
      <c r="L695" s="14" t="s">
        <v>400</v>
      </c>
      <c r="M695" s="13"/>
      <c r="N695" s="14" t="s">
        <v>57</v>
      </c>
      <c r="O695" s="13" t="s">
        <v>63</v>
      </c>
      <c r="P695" s="14" t="s">
        <v>400</v>
      </c>
      <c r="Q695" s="13"/>
      <c r="R695" s="14" t="s">
        <v>57</v>
      </c>
      <c r="S695" s="15" t="str">
        <f>"－"</f>
        <v>－</v>
      </c>
      <c r="T695" s="16" t="n">
        <f>100</f>
        <v>100.0</v>
      </c>
      <c r="U695" s="16" t="n">
        <v>100.0</v>
      </c>
      <c r="V695" s="16" t="n">
        <f>140000000</f>
        <v>1.4E8</v>
      </c>
      <c r="W695" s="16" t="n">
        <v>1.4E8</v>
      </c>
      <c r="X695" s="16" t="str">
        <f>"－"</f>
        <v>－</v>
      </c>
      <c r="Y695" s="13"/>
      <c r="Z695" s="17" t="n">
        <f>2500</f>
        <v>2500.0</v>
      </c>
      <c r="AA695" s="18" t="str">
        <f>"－"</f>
        <v>－</v>
      </c>
      <c r="AB695" s="11" t="s">
        <v>627</v>
      </c>
    </row>
    <row r="696">
      <c r="A696" s="11" t="s">
        <v>46</v>
      </c>
      <c r="B696" s="11" t="s">
        <v>47</v>
      </c>
      <c r="C696" s="11" t="s">
        <v>48</v>
      </c>
      <c r="D696" s="11" t="s">
        <v>49</v>
      </c>
      <c r="E696" s="11" t="s">
        <v>626</v>
      </c>
      <c r="F696" s="12" t="n">
        <v>20500.0</v>
      </c>
      <c r="G696" s="13"/>
      <c r="H696" s="14" t="s">
        <v>57</v>
      </c>
      <c r="I696" s="13"/>
      <c r="J696" s="14" t="s">
        <v>57</v>
      </c>
      <c r="K696" s="13"/>
      <c r="L696" s="14"/>
      <c r="M696" s="13"/>
      <c r="N696" s="14" t="s">
        <v>57</v>
      </c>
      <c r="O696" s="13"/>
      <c r="P696" s="14"/>
      <c r="Q696" s="13"/>
      <c r="R696" s="14" t="s">
        <v>57</v>
      </c>
      <c r="S696" s="15" t="str">
        <f>"－"</f>
        <v>－</v>
      </c>
      <c r="T696" s="16" t="str">
        <f>"－"</f>
        <v>－</v>
      </c>
      <c r="U696" s="16"/>
      <c r="V696" s="16" t="str">
        <f>"－"</f>
        <v>－</v>
      </c>
      <c r="W696" s="16"/>
      <c r="X696" s="16" t="str">
        <f>"－"</f>
        <v>－</v>
      </c>
      <c r="Y696" s="13"/>
      <c r="Z696" s="17" t="n">
        <f>455</f>
        <v>455.0</v>
      </c>
      <c r="AA696" s="18" t="str">
        <f>"－"</f>
        <v>－</v>
      </c>
      <c r="AB696" s="11" t="s">
        <v>627</v>
      </c>
    </row>
    <row r="697">
      <c r="A697" s="11" t="s">
        <v>46</v>
      </c>
      <c r="B697" s="11" t="s">
        <v>47</v>
      </c>
      <c r="C697" s="11" t="s">
        <v>48</v>
      </c>
      <c r="D697" s="11" t="s">
        <v>49</v>
      </c>
      <c r="E697" s="11" t="s">
        <v>626</v>
      </c>
      <c r="F697" s="12" t="n">
        <v>21000.0</v>
      </c>
      <c r="G697" s="13"/>
      <c r="H697" s="14" t="s">
        <v>57</v>
      </c>
      <c r="I697" s="13"/>
      <c r="J697" s="14" t="s">
        <v>57</v>
      </c>
      <c r="K697" s="13"/>
      <c r="L697" s="14"/>
      <c r="M697" s="13"/>
      <c r="N697" s="14" t="s">
        <v>57</v>
      </c>
      <c r="O697" s="13"/>
      <c r="P697" s="14"/>
      <c r="Q697" s="13"/>
      <c r="R697" s="14" t="s">
        <v>57</v>
      </c>
      <c r="S697" s="15" t="str">
        <f>"－"</f>
        <v>－</v>
      </c>
      <c r="T697" s="16" t="str">
        <f>"－"</f>
        <v>－</v>
      </c>
      <c r="U697" s="16"/>
      <c r="V697" s="16" t="str">
        <f>"－"</f>
        <v>－</v>
      </c>
      <c r="W697" s="16"/>
      <c r="X697" s="16" t="str">
        <f>"－"</f>
        <v>－</v>
      </c>
      <c r="Y697" s="13"/>
      <c r="Z697" s="17" t="n">
        <f>1285</f>
        <v>1285.0</v>
      </c>
      <c r="AA697" s="18" t="str">
        <f>"－"</f>
        <v>－</v>
      </c>
      <c r="AB697" s="11" t="s">
        <v>627</v>
      </c>
    </row>
    <row r="698">
      <c r="A698" s="11" t="s">
        <v>46</v>
      </c>
      <c r="B698" s="11" t="s">
        <v>47</v>
      </c>
      <c r="C698" s="11" t="s">
        <v>48</v>
      </c>
      <c r="D698" s="11" t="s">
        <v>49</v>
      </c>
      <c r="E698" s="11" t="s">
        <v>626</v>
      </c>
      <c r="F698" s="12" t="n">
        <v>21250.0</v>
      </c>
      <c r="G698" s="13"/>
      <c r="H698" s="14" t="s">
        <v>57</v>
      </c>
      <c r="I698" s="13"/>
      <c r="J698" s="14" t="s">
        <v>57</v>
      </c>
      <c r="K698" s="13"/>
      <c r="L698" s="14"/>
      <c r="M698" s="13"/>
      <c r="N698" s="14" t="s">
        <v>57</v>
      </c>
      <c r="O698" s="13"/>
      <c r="P698" s="14"/>
      <c r="Q698" s="13"/>
      <c r="R698" s="14" t="s">
        <v>57</v>
      </c>
      <c r="S698" s="15" t="str">
        <f>"－"</f>
        <v>－</v>
      </c>
      <c r="T698" s="16" t="str">
        <f>"－"</f>
        <v>－</v>
      </c>
      <c r="U698" s="16"/>
      <c r="V698" s="16" t="str">
        <f>"－"</f>
        <v>－</v>
      </c>
      <c r="W698" s="16"/>
      <c r="X698" s="16" t="str">
        <f>"－"</f>
        <v>－</v>
      </c>
      <c r="Y698" s="13"/>
      <c r="Z698" s="17" t="n">
        <f>250</f>
        <v>250.0</v>
      </c>
      <c r="AA698" s="18" t="str">
        <f>"－"</f>
        <v>－</v>
      </c>
      <c r="AB698" s="11" t="s">
        <v>627</v>
      </c>
    </row>
    <row r="699">
      <c r="A699" s="11" t="s">
        <v>46</v>
      </c>
      <c r="B699" s="11" t="s">
        <v>47</v>
      </c>
      <c r="C699" s="11" t="s">
        <v>48</v>
      </c>
      <c r="D699" s="11" t="s">
        <v>49</v>
      </c>
      <c r="E699" s="11" t="s">
        <v>626</v>
      </c>
      <c r="F699" s="12" t="n">
        <v>21500.0</v>
      </c>
      <c r="G699" s="13"/>
      <c r="H699" s="14" t="s">
        <v>57</v>
      </c>
      <c r="I699" s="13"/>
      <c r="J699" s="14" t="s">
        <v>57</v>
      </c>
      <c r="K699" s="13"/>
      <c r="L699" s="14"/>
      <c r="M699" s="13"/>
      <c r="N699" s="14" t="s">
        <v>57</v>
      </c>
      <c r="O699" s="13"/>
      <c r="P699" s="14"/>
      <c r="Q699" s="13"/>
      <c r="R699" s="14" t="s">
        <v>57</v>
      </c>
      <c r="S699" s="15" t="str">
        <f>"－"</f>
        <v>－</v>
      </c>
      <c r="T699" s="16" t="str">
        <f>"－"</f>
        <v>－</v>
      </c>
      <c r="U699" s="16"/>
      <c r="V699" s="16" t="str">
        <f>"－"</f>
        <v>－</v>
      </c>
      <c r="W699" s="16"/>
      <c r="X699" s="16" t="str">
        <f>"－"</f>
        <v>－</v>
      </c>
      <c r="Y699" s="13"/>
      <c r="Z699" s="17" t="n">
        <f>375</f>
        <v>375.0</v>
      </c>
      <c r="AA699" s="18" t="str">
        <f>"－"</f>
        <v>－</v>
      </c>
      <c r="AB699" s="11" t="s">
        <v>627</v>
      </c>
    </row>
    <row r="700">
      <c r="A700" s="11" t="s">
        <v>46</v>
      </c>
      <c r="B700" s="11" t="s">
        <v>47</v>
      </c>
      <c r="C700" s="11" t="s">
        <v>48</v>
      </c>
      <c r="D700" s="11" t="s">
        <v>49</v>
      </c>
      <c r="E700" s="11" t="s">
        <v>626</v>
      </c>
      <c r="F700" s="12" t="n">
        <v>21750.0</v>
      </c>
      <c r="G700" s="13"/>
      <c r="H700" s="14" t="s">
        <v>57</v>
      </c>
      <c r="I700" s="13"/>
      <c r="J700" s="14" t="s">
        <v>57</v>
      </c>
      <c r="K700" s="13"/>
      <c r="L700" s="14"/>
      <c r="M700" s="13"/>
      <c r="N700" s="14" t="s">
        <v>57</v>
      </c>
      <c r="O700" s="13"/>
      <c r="P700" s="14"/>
      <c r="Q700" s="13"/>
      <c r="R700" s="14" t="s">
        <v>57</v>
      </c>
      <c r="S700" s="15" t="str">
        <f>"－"</f>
        <v>－</v>
      </c>
      <c r="T700" s="16" t="str">
        <f>"－"</f>
        <v>－</v>
      </c>
      <c r="U700" s="16"/>
      <c r="V700" s="16" t="str">
        <f>"－"</f>
        <v>－</v>
      </c>
      <c r="W700" s="16"/>
      <c r="X700" s="16" t="str">
        <f>"－"</f>
        <v>－</v>
      </c>
      <c r="Y700" s="13"/>
      <c r="Z700" s="17" t="n">
        <f>250</f>
        <v>250.0</v>
      </c>
      <c r="AA700" s="18" t="str">
        <f>"－"</f>
        <v>－</v>
      </c>
      <c r="AB700" s="11" t="s">
        <v>627</v>
      </c>
    </row>
    <row r="701">
      <c r="A701" s="11" t="s">
        <v>46</v>
      </c>
      <c r="B701" s="11" t="s">
        <v>47</v>
      </c>
      <c r="C701" s="11" t="s">
        <v>48</v>
      </c>
      <c r="D701" s="11" t="s">
        <v>49</v>
      </c>
      <c r="E701" s="11" t="s">
        <v>626</v>
      </c>
      <c r="F701" s="12" t="n">
        <v>22000.0</v>
      </c>
      <c r="G701" s="13"/>
      <c r="H701" s="14" t="s">
        <v>57</v>
      </c>
      <c r="I701" s="13"/>
      <c r="J701" s="14" t="s">
        <v>57</v>
      </c>
      <c r="K701" s="13" t="s">
        <v>288</v>
      </c>
      <c r="L701" s="14" t="s">
        <v>321</v>
      </c>
      <c r="M701" s="13"/>
      <c r="N701" s="14" t="s">
        <v>57</v>
      </c>
      <c r="O701" s="13" t="s">
        <v>288</v>
      </c>
      <c r="P701" s="14" t="s">
        <v>321</v>
      </c>
      <c r="Q701" s="13"/>
      <c r="R701" s="14" t="s">
        <v>57</v>
      </c>
      <c r="S701" s="15" t="str">
        <f>"－"</f>
        <v>－</v>
      </c>
      <c r="T701" s="16" t="n">
        <f>300</f>
        <v>300.0</v>
      </c>
      <c r="U701" s="16" t="n">
        <v>300.0</v>
      </c>
      <c r="V701" s="16" t="n">
        <f>480000000</f>
        <v>4.8E8</v>
      </c>
      <c r="W701" s="16" t="n">
        <v>4.8E8</v>
      </c>
      <c r="X701" s="16" t="str">
        <f>"－"</f>
        <v>－</v>
      </c>
      <c r="Y701" s="13"/>
      <c r="Z701" s="17" t="n">
        <f>915</f>
        <v>915.0</v>
      </c>
      <c r="AA701" s="18" t="str">
        <f>"－"</f>
        <v>－</v>
      </c>
      <c r="AB701" s="11" t="s">
        <v>627</v>
      </c>
    </row>
    <row r="702">
      <c r="A702" s="11" t="s">
        <v>46</v>
      </c>
      <c r="B702" s="11" t="s">
        <v>47</v>
      </c>
      <c r="C702" s="11" t="s">
        <v>48</v>
      </c>
      <c r="D702" s="11" t="s">
        <v>49</v>
      </c>
      <c r="E702" s="11" t="s">
        <v>626</v>
      </c>
      <c r="F702" s="12" t="n">
        <v>22250.0</v>
      </c>
      <c r="G702" s="13"/>
      <c r="H702" s="14" t="s">
        <v>57</v>
      </c>
      <c r="I702" s="13"/>
      <c r="J702" s="14" t="s">
        <v>57</v>
      </c>
      <c r="K702" s="13"/>
      <c r="L702" s="14"/>
      <c r="M702" s="13"/>
      <c r="N702" s="14" t="s">
        <v>57</v>
      </c>
      <c r="O702" s="13"/>
      <c r="P702" s="14"/>
      <c r="Q702" s="13"/>
      <c r="R702" s="14" t="s">
        <v>57</v>
      </c>
      <c r="S702" s="15" t="str">
        <f>"－"</f>
        <v>－</v>
      </c>
      <c r="T702" s="16" t="str">
        <f>"－"</f>
        <v>－</v>
      </c>
      <c r="U702" s="16"/>
      <c r="V702" s="16" t="str">
        <f>"－"</f>
        <v>－</v>
      </c>
      <c r="W702" s="16"/>
      <c r="X702" s="16" t="str">
        <f>"－"</f>
        <v>－</v>
      </c>
      <c r="Y702" s="13"/>
      <c r="Z702" s="17" t="n">
        <f>100</f>
        <v>100.0</v>
      </c>
      <c r="AA702" s="18" t="str">
        <f>"－"</f>
        <v>－</v>
      </c>
      <c r="AB702" s="11" t="s">
        <v>627</v>
      </c>
    </row>
    <row r="703">
      <c r="A703" s="11" t="s">
        <v>46</v>
      </c>
      <c r="B703" s="11" t="s">
        <v>47</v>
      </c>
      <c r="C703" s="11" t="s">
        <v>48</v>
      </c>
      <c r="D703" s="11" t="s">
        <v>49</v>
      </c>
      <c r="E703" s="11" t="s">
        <v>626</v>
      </c>
      <c r="F703" s="12" t="n">
        <v>22500.0</v>
      </c>
      <c r="G703" s="13"/>
      <c r="H703" s="14" t="s">
        <v>57</v>
      </c>
      <c r="I703" s="13"/>
      <c r="J703" s="14" t="s">
        <v>57</v>
      </c>
      <c r="K703" s="13"/>
      <c r="L703" s="14"/>
      <c r="M703" s="13"/>
      <c r="N703" s="14" t="s">
        <v>57</v>
      </c>
      <c r="O703" s="13"/>
      <c r="P703" s="14"/>
      <c r="Q703" s="13"/>
      <c r="R703" s="14" t="s">
        <v>57</v>
      </c>
      <c r="S703" s="15" t="str">
        <f>"－"</f>
        <v>－</v>
      </c>
      <c r="T703" s="16" t="str">
        <f>"－"</f>
        <v>－</v>
      </c>
      <c r="U703" s="16"/>
      <c r="V703" s="16" t="str">
        <f>"－"</f>
        <v>－</v>
      </c>
      <c r="W703" s="16"/>
      <c r="X703" s="16" t="str">
        <f>"－"</f>
        <v>－</v>
      </c>
      <c r="Y703" s="13"/>
      <c r="Z703" s="17" t="n">
        <f>920</f>
        <v>920.0</v>
      </c>
      <c r="AA703" s="18" t="str">
        <f>"－"</f>
        <v>－</v>
      </c>
      <c r="AB703" s="11" t="s">
        <v>627</v>
      </c>
    </row>
    <row r="704">
      <c r="A704" s="11" t="s">
        <v>46</v>
      </c>
      <c r="B704" s="11" t="s">
        <v>47</v>
      </c>
      <c r="C704" s="11" t="s">
        <v>48</v>
      </c>
      <c r="D704" s="11" t="s">
        <v>49</v>
      </c>
      <c r="E704" s="11" t="s">
        <v>626</v>
      </c>
      <c r="F704" s="12" t="n">
        <v>23000.0</v>
      </c>
      <c r="G704" s="13"/>
      <c r="H704" s="14" t="s">
        <v>57</v>
      </c>
      <c r="I704" s="13"/>
      <c r="J704" s="14" t="s">
        <v>57</v>
      </c>
      <c r="K704" s="13"/>
      <c r="L704" s="14"/>
      <c r="M704" s="13"/>
      <c r="N704" s="14" t="s">
        <v>57</v>
      </c>
      <c r="O704" s="13"/>
      <c r="P704" s="14"/>
      <c r="Q704" s="13"/>
      <c r="R704" s="14" t="s">
        <v>57</v>
      </c>
      <c r="S704" s="15" t="str">
        <f>"－"</f>
        <v>－</v>
      </c>
      <c r="T704" s="16" t="str">
        <f>"－"</f>
        <v>－</v>
      </c>
      <c r="U704" s="16"/>
      <c r="V704" s="16" t="str">
        <f>"－"</f>
        <v>－</v>
      </c>
      <c r="W704" s="16"/>
      <c r="X704" s="16" t="str">
        <f>"－"</f>
        <v>－</v>
      </c>
      <c r="Y704" s="13"/>
      <c r="Z704" s="17" t="n">
        <f>1925</f>
        <v>1925.0</v>
      </c>
      <c r="AA704" s="18" t="str">
        <f>"－"</f>
        <v>－</v>
      </c>
      <c r="AB704" s="11" t="s">
        <v>627</v>
      </c>
    </row>
    <row r="705">
      <c r="A705" s="11" t="s">
        <v>46</v>
      </c>
      <c r="B705" s="11" t="s">
        <v>47</v>
      </c>
      <c r="C705" s="11" t="s">
        <v>48</v>
      </c>
      <c r="D705" s="11" t="s">
        <v>49</v>
      </c>
      <c r="E705" s="11" t="s">
        <v>626</v>
      </c>
      <c r="F705" s="12" t="n">
        <v>23500.0</v>
      </c>
      <c r="G705" s="13"/>
      <c r="H705" s="14" t="s">
        <v>57</v>
      </c>
      <c r="I705" s="13"/>
      <c r="J705" s="14" t="s">
        <v>57</v>
      </c>
      <c r="K705" s="13"/>
      <c r="L705" s="14"/>
      <c r="M705" s="13"/>
      <c r="N705" s="14" t="s">
        <v>57</v>
      </c>
      <c r="O705" s="13"/>
      <c r="P705" s="14"/>
      <c r="Q705" s="13"/>
      <c r="R705" s="14" t="s">
        <v>57</v>
      </c>
      <c r="S705" s="15" t="str">
        <f>"－"</f>
        <v>－</v>
      </c>
      <c r="T705" s="16" t="str">
        <f>"－"</f>
        <v>－</v>
      </c>
      <c r="U705" s="16"/>
      <c r="V705" s="16" t="str">
        <f>"－"</f>
        <v>－</v>
      </c>
      <c r="W705" s="16"/>
      <c r="X705" s="16" t="str">
        <f>"－"</f>
        <v>－</v>
      </c>
      <c r="Y705" s="13"/>
      <c r="Z705" s="17" t="n">
        <f>325</f>
        <v>325.0</v>
      </c>
      <c r="AA705" s="18" t="str">
        <f>"－"</f>
        <v>－</v>
      </c>
      <c r="AB705" s="11" t="s">
        <v>627</v>
      </c>
    </row>
    <row r="706">
      <c r="A706" s="11" t="s">
        <v>46</v>
      </c>
      <c r="B706" s="11" t="s">
        <v>47</v>
      </c>
      <c r="C706" s="11" t="s">
        <v>48</v>
      </c>
      <c r="D706" s="11" t="s">
        <v>49</v>
      </c>
      <c r="E706" s="11" t="s">
        <v>626</v>
      </c>
      <c r="F706" s="12" t="n">
        <v>24000.0</v>
      </c>
      <c r="G706" s="13"/>
      <c r="H706" s="14" t="s">
        <v>57</v>
      </c>
      <c r="I706" s="13"/>
      <c r="J706" s="14" t="s">
        <v>57</v>
      </c>
      <c r="K706" s="13" t="s">
        <v>50</v>
      </c>
      <c r="L706" s="14" t="s">
        <v>630</v>
      </c>
      <c r="M706" s="13"/>
      <c r="N706" s="14" t="s">
        <v>57</v>
      </c>
      <c r="O706" s="13" t="s">
        <v>56</v>
      </c>
      <c r="P706" s="14" t="s">
        <v>631</v>
      </c>
      <c r="Q706" s="13"/>
      <c r="R706" s="14" t="s">
        <v>57</v>
      </c>
      <c r="S706" s="15" t="str">
        <f>"－"</f>
        <v>－</v>
      </c>
      <c r="T706" s="16" t="n">
        <f>300</f>
        <v>300.0</v>
      </c>
      <c r="U706" s="16" t="n">
        <v>300.0</v>
      </c>
      <c r="V706" s="16" t="n">
        <f>783000000</f>
        <v>7.83E8</v>
      </c>
      <c r="W706" s="16" t="n">
        <v>7.83E8</v>
      </c>
      <c r="X706" s="16" t="str">
        <f>"－"</f>
        <v>－</v>
      </c>
      <c r="Y706" s="13"/>
      <c r="Z706" s="17" t="n">
        <f>1035</f>
        <v>1035.0</v>
      </c>
      <c r="AA706" s="18" t="str">
        <f>"－"</f>
        <v>－</v>
      </c>
      <c r="AB706" s="11" t="s">
        <v>627</v>
      </c>
    </row>
    <row r="707">
      <c r="A707" s="11" t="s">
        <v>46</v>
      </c>
      <c r="B707" s="11" t="s">
        <v>47</v>
      </c>
      <c r="C707" s="11" t="s">
        <v>48</v>
      </c>
      <c r="D707" s="11" t="s">
        <v>49</v>
      </c>
      <c r="E707" s="11" t="s">
        <v>626</v>
      </c>
      <c r="F707" s="12" t="n">
        <v>25000.0</v>
      </c>
      <c r="G707" s="13"/>
      <c r="H707" s="14" t="s">
        <v>57</v>
      </c>
      <c r="I707" s="13"/>
      <c r="J707" s="14" t="s">
        <v>57</v>
      </c>
      <c r="K707" s="13"/>
      <c r="L707" s="14"/>
      <c r="M707" s="13"/>
      <c r="N707" s="14" t="s">
        <v>57</v>
      </c>
      <c r="O707" s="13"/>
      <c r="P707" s="14"/>
      <c r="Q707" s="13"/>
      <c r="R707" s="14" t="s">
        <v>57</v>
      </c>
      <c r="S707" s="15" t="str">
        <f>"－"</f>
        <v>－</v>
      </c>
      <c r="T707" s="16" t="str">
        <f>"－"</f>
        <v>－</v>
      </c>
      <c r="U707" s="16"/>
      <c r="V707" s="16" t="str">
        <f>"－"</f>
        <v>－</v>
      </c>
      <c r="W707" s="16"/>
      <c r="X707" s="16" t="str">
        <f>"－"</f>
        <v>－</v>
      </c>
      <c r="Y707" s="13"/>
      <c r="Z707" s="17" t="n">
        <f>740</f>
        <v>740.0</v>
      </c>
      <c r="AA707" s="18" t="str">
        <f>"－"</f>
        <v>－</v>
      </c>
      <c r="AB707" s="11" t="s">
        <v>627</v>
      </c>
    </row>
    <row r="708">
      <c r="A708" s="11" t="s">
        <v>46</v>
      </c>
      <c r="B708" s="11" t="s">
        <v>47</v>
      </c>
      <c r="C708" s="11" t="s">
        <v>48</v>
      </c>
      <c r="D708" s="11" t="s">
        <v>49</v>
      </c>
      <c r="E708" s="11" t="s">
        <v>626</v>
      </c>
      <c r="F708" s="12" t="n">
        <v>25500.0</v>
      </c>
      <c r="G708" s="13"/>
      <c r="H708" s="14" t="s">
        <v>57</v>
      </c>
      <c r="I708" s="13"/>
      <c r="J708" s="14" t="s">
        <v>57</v>
      </c>
      <c r="K708" s="13"/>
      <c r="L708" s="14"/>
      <c r="M708" s="13"/>
      <c r="N708" s="14" t="s">
        <v>57</v>
      </c>
      <c r="O708" s="13"/>
      <c r="P708" s="14"/>
      <c r="Q708" s="13"/>
      <c r="R708" s="14" t="s">
        <v>57</v>
      </c>
      <c r="S708" s="15" t="str">
        <f>"－"</f>
        <v>－</v>
      </c>
      <c r="T708" s="16" t="str">
        <f>"－"</f>
        <v>－</v>
      </c>
      <c r="U708" s="16"/>
      <c r="V708" s="16" t="str">
        <f>"－"</f>
        <v>－</v>
      </c>
      <c r="W708" s="16"/>
      <c r="X708" s="16" t="str">
        <f>"－"</f>
        <v>－</v>
      </c>
      <c r="Y708" s="13"/>
      <c r="Z708" s="17" t="n">
        <f>25</f>
        <v>25.0</v>
      </c>
      <c r="AA708" s="18" t="str">
        <f>"－"</f>
        <v>－</v>
      </c>
      <c r="AB708" s="11" t="s">
        <v>627</v>
      </c>
    </row>
    <row r="709">
      <c r="A709" s="11" t="s">
        <v>46</v>
      </c>
      <c r="B709" s="11" t="s">
        <v>47</v>
      </c>
      <c r="C709" s="11" t="s">
        <v>48</v>
      </c>
      <c r="D709" s="11" t="s">
        <v>49</v>
      </c>
      <c r="E709" s="11" t="s">
        <v>626</v>
      </c>
      <c r="F709" s="12" t="n">
        <v>26000.0</v>
      </c>
      <c r="G709" s="13"/>
      <c r="H709" s="14" t="s">
        <v>57</v>
      </c>
      <c r="I709" s="13"/>
      <c r="J709" s="14" t="s">
        <v>57</v>
      </c>
      <c r="K709" s="13" t="s">
        <v>205</v>
      </c>
      <c r="L709" s="14" t="s">
        <v>632</v>
      </c>
      <c r="M709" s="13"/>
      <c r="N709" s="14" t="s">
        <v>57</v>
      </c>
      <c r="O709" s="13" t="s">
        <v>205</v>
      </c>
      <c r="P709" s="14" t="s">
        <v>632</v>
      </c>
      <c r="Q709" s="13"/>
      <c r="R709" s="14" t="s">
        <v>57</v>
      </c>
      <c r="S709" s="15" t="str">
        <f>"－"</f>
        <v>－</v>
      </c>
      <c r="T709" s="16" t="n">
        <f>150</f>
        <v>150.0</v>
      </c>
      <c r="U709" s="16" t="n">
        <v>150.0</v>
      </c>
      <c r="V709" s="16" t="n">
        <f>446250000</f>
        <v>4.4625E8</v>
      </c>
      <c r="W709" s="16" t="n">
        <v>4.4625E8</v>
      </c>
      <c r="X709" s="16" t="str">
        <f>"－"</f>
        <v>－</v>
      </c>
      <c r="Y709" s="13"/>
      <c r="Z709" s="17" t="n">
        <f>500</f>
        <v>500.0</v>
      </c>
      <c r="AA709" s="18" t="str">
        <f>"－"</f>
        <v>－</v>
      </c>
      <c r="AB709" s="11" t="s">
        <v>627</v>
      </c>
    </row>
    <row r="710">
      <c r="A710" s="11" t="s">
        <v>46</v>
      </c>
      <c r="B710" s="11" t="s">
        <v>47</v>
      </c>
      <c r="C710" s="11" t="s">
        <v>48</v>
      </c>
      <c r="D710" s="11" t="s">
        <v>49</v>
      </c>
      <c r="E710" s="11" t="s">
        <v>626</v>
      </c>
      <c r="F710" s="12" t="n">
        <v>26500.0</v>
      </c>
      <c r="G710" s="13"/>
      <c r="H710" s="14" t="s">
        <v>57</v>
      </c>
      <c r="I710" s="13"/>
      <c r="J710" s="14" t="s">
        <v>57</v>
      </c>
      <c r="K710" s="13"/>
      <c r="L710" s="14"/>
      <c r="M710" s="13"/>
      <c r="N710" s="14" t="s">
        <v>57</v>
      </c>
      <c r="O710" s="13"/>
      <c r="P710" s="14"/>
      <c r="Q710" s="13"/>
      <c r="R710" s="14" t="s">
        <v>57</v>
      </c>
      <c r="S710" s="15" t="str">
        <f>"－"</f>
        <v>－</v>
      </c>
      <c r="T710" s="16" t="str">
        <f>"－"</f>
        <v>－</v>
      </c>
      <c r="U710" s="16"/>
      <c r="V710" s="16" t="str">
        <f>"－"</f>
        <v>－</v>
      </c>
      <c r="W710" s="16"/>
      <c r="X710" s="16" t="str">
        <f>"－"</f>
        <v>－</v>
      </c>
      <c r="Y710" s="13"/>
      <c r="Z710" s="17" t="n">
        <f>75</f>
        <v>75.0</v>
      </c>
      <c r="AA710" s="18" t="str">
        <f>"－"</f>
        <v>－</v>
      </c>
      <c r="AB710" s="11" t="s">
        <v>627</v>
      </c>
    </row>
    <row r="711">
      <c r="A711" s="11" t="s">
        <v>46</v>
      </c>
      <c r="B711" s="11" t="s">
        <v>47</v>
      </c>
      <c r="C711" s="11" t="s">
        <v>48</v>
      </c>
      <c r="D711" s="11" t="s">
        <v>49</v>
      </c>
      <c r="E711" s="11" t="s">
        <v>626</v>
      </c>
      <c r="F711" s="12" t="n">
        <v>27000.0</v>
      </c>
      <c r="G711" s="13"/>
      <c r="H711" s="14" t="s">
        <v>57</v>
      </c>
      <c r="I711" s="13"/>
      <c r="J711" s="14" t="s">
        <v>57</v>
      </c>
      <c r="K711" s="13" t="s">
        <v>63</v>
      </c>
      <c r="L711" s="14" t="s">
        <v>633</v>
      </c>
      <c r="M711" s="13"/>
      <c r="N711" s="14" t="s">
        <v>57</v>
      </c>
      <c r="O711" s="13" t="s">
        <v>288</v>
      </c>
      <c r="P711" s="14" t="s">
        <v>634</v>
      </c>
      <c r="Q711" s="13"/>
      <c r="R711" s="14" t="s">
        <v>57</v>
      </c>
      <c r="S711" s="15" t="str">
        <f>"－"</f>
        <v>－</v>
      </c>
      <c r="T711" s="16" t="n">
        <f>500</f>
        <v>500.0</v>
      </c>
      <c r="U711" s="16" t="n">
        <v>500.0</v>
      </c>
      <c r="V711" s="16" t="n">
        <f>1663600000</f>
        <v>1.6636E9</v>
      </c>
      <c r="W711" s="16" t="n">
        <v>1.6636E9</v>
      </c>
      <c r="X711" s="16" t="str">
        <f>"－"</f>
        <v>－</v>
      </c>
      <c r="Y711" s="13"/>
      <c r="Z711" s="17" t="n">
        <f>450</f>
        <v>450.0</v>
      </c>
      <c r="AA711" s="18" t="str">
        <f>"－"</f>
        <v>－</v>
      </c>
      <c r="AB711" s="11" t="s">
        <v>627</v>
      </c>
    </row>
    <row r="712">
      <c r="A712" s="11" t="s">
        <v>46</v>
      </c>
      <c r="B712" s="11" t="s">
        <v>47</v>
      </c>
      <c r="C712" s="11" t="s">
        <v>48</v>
      </c>
      <c r="D712" s="11" t="s">
        <v>49</v>
      </c>
      <c r="E712" s="11" t="s">
        <v>626</v>
      </c>
      <c r="F712" s="12" t="n">
        <v>28000.0</v>
      </c>
      <c r="G712" s="13"/>
      <c r="H712" s="14" t="s">
        <v>57</v>
      </c>
      <c r="I712" s="13"/>
      <c r="J712" s="14" t="s">
        <v>57</v>
      </c>
      <c r="K712" s="13" t="s">
        <v>50</v>
      </c>
      <c r="L712" s="14" t="s">
        <v>635</v>
      </c>
      <c r="M712" s="13"/>
      <c r="N712" s="14" t="s">
        <v>57</v>
      </c>
      <c r="O712" s="13" t="s">
        <v>207</v>
      </c>
      <c r="P712" s="14" t="s">
        <v>636</v>
      </c>
      <c r="Q712" s="13"/>
      <c r="R712" s="14" t="s">
        <v>57</v>
      </c>
      <c r="S712" s="15" t="str">
        <f>"－"</f>
        <v>－</v>
      </c>
      <c r="T712" s="16" t="n">
        <f>180</f>
        <v>180.0</v>
      </c>
      <c r="U712" s="16" t="n">
        <v>180.0</v>
      </c>
      <c r="V712" s="16" t="n">
        <f>815275000</f>
        <v>8.15275E8</v>
      </c>
      <c r="W712" s="16" t="n">
        <v>8.15275E8</v>
      </c>
      <c r="X712" s="16" t="str">
        <f>"－"</f>
        <v>－</v>
      </c>
      <c r="Y712" s="13"/>
      <c r="Z712" s="17" t="n">
        <f>495</f>
        <v>495.0</v>
      </c>
      <c r="AA712" s="18" t="str">
        <f>"－"</f>
        <v>－</v>
      </c>
      <c r="AB712" s="11" t="s">
        <v>627</v>
      </c>
    </row>
    <row r="713">
      <c r="A713" s="11" t="s">
        <v>46</v>
      </c>
      <c r="B713" s="11" t="s">
        <v>47</v>
      </c>
      <c r="C713" s="11" t="s">
        <v>48</v>
      </c>
      <c r="D713" s="11" t="s">
        <v>49</v>
      </c>
      <c r="E713" s="11" t="s">
        <v>626</v>
      </c>
      <c r="F713" s="12" t="n">
        <v>30000.0</v>
      </c>
      <c r="G713" s="13"/>
      <c r="H713" s="14" t="s">
        <v>57</v>
      </c>
      <c r="I713" s="13"/>
      <c r="J713" s="14" t="s">
        <v>57</v>
      </c>
      <c r="K713" s="13" t="s">
        <v>202</v>
      </c>
      <c r="L713" s="14" t="s">
        <v>637</v>
      </c>
      <c r="M713" s="13"/>
      <c r="N713" s="14" t="s">
        <v>57</v>
      </c>
      <c r="O713" s="13" t="s">
        <v>202</v>
      </c>
      <c r="P713" s="14" t="s">
        <v>637</v>
      </c>
      <c r="Q713" s="13"/>
      <c r="R713" s="14" t="s">
        <v>57</v>
      </c>
      <c r="S713" s="15" t="str">
        <f>"－"</f>
        <v>－</v>
      </c>
      <c r="T713" s="16" t="n">
        <f>50</f>
        <v>50.0</v>
      </c>
      <c r="U713" s="16" t="n">
        <v>50.0</v>
      </c>
      <c r="V713" s="16" t="n">
        <f>240900000</f>
        <v>2.409E8</v>
      </c>
      <c r="W713" s="16" t="n">
        <v>2.409E8</v>
      </c>
      <c r="X713" s="16" t="str">
        <f>"－"</f>
        <v>－</v>
      </c>
      <c r="Y713" s="13"/>
      <c r="Z713" s="17" t="n">
        <f>50</f>
        <v>50.0</v>
      </c>
      <c r="AA713" s="18" t="str">
        <f>"－"</f>
        <v>－</v>
      </c>
      <c r="AB713" s="11" t="s">
        <v>627</v>
      </c>
    </row>
    <row r="714">
      <c r="A714" s="11" t="s">
        <v>46</v>
      </c>
      <c r="B714" s="11" t="s">
        <v>47</v>
      </c>
      <c r="C714" s="11" t="s">
        <v>48</v>
      </c>
      <c r="D714" s="11" t="s">
        <v>49</v>
      </c>
      <c r="E714" s="11" t="s">
        <v>638</v>
      </c>
      <c r="F714" s="12" t="n">
        <v>15250.0</v>
      </c>
      <c r="G714" s="13"/>
      <c r="H714" s="14" t="s">
        <v>57</v>
      </c>
      <c r="I714" s="13"/>
      <c r="J714" s="14" t="s">
        <v>57</v>
      </c>
      <c r="K714" s="13"/>
      <c r="L714" s="14"/>
      <c r="M714" s="13"/>
      <c r="N714" s="14" t="s">
        <v>57</v>
      </c>
      <c r="O714" s="13"/>
      <c r="P714" s="14"/>
      <c r="Q714" s="13"/>
      <c r="R714" s="14" t="s">
        <v>57</v>
      </c>
      <c r="S714" s="15" t="str">
        <f>"－"</f>
        <v>－</v>
      </c>
      <c r="T714" s="16" t="str">
        <f>"－"</f>
        <v>－</v>
      </c>
      <c r="U714" s="16"/>
      <c r="V714" s="16" t="str">
        <f>"－"</f>
        <v>－</v>
      </c>
      <c r="W714" s="16"/>
      <c r="X714" s="16" t="str">
        <f>"－"</f>
        <v>－</v>
      </c>
      <c r="Y714" s="13"/>
      <c r="Z714" s="17" t="n">
        <f>300</f>
        <v>300.0</v>
      </c>
      <c r="AA714" s="18" t="str">
        <f>"－"</f>
        <v>－</v>
      </c>
      <c r="AB714" s="11" t="s">
        <v>639</v>
      </c>
    </row>
    <row r="715">
      <c r="A715" s="11" t="s">
        <v>46</v>
      </c>
      <c r="B715" s="11" t="s">
        <v>47</v>
      </c>
      <c r="C715" s="11" t="s">
        <v>48</v>
      </c>
      <c r="D715" s="11" t="s">
        <v>49</v>
      </c>
      <c r="E715" s="11" t="s">
        <v>638</v>
      </c>
      <c r="F715" s="12" t="n">
        <v>18000.0</v>
      </c>
      <c r="G715" s="13"/>
      <c r="H715" s="14" t="s">
        <v>57</v>
      </c>
      <c r="I715" s="13"/>
      <c r="J715" s="14" t="s">
        <v>57</v>
      </c>
      <c r="K715" s="13" t="s">
        <v>63</v>
      </c>
      <c r="L715" s="14" t="s">
        <v>178</v>
      </c>
      <c r="M715" s="13"/>
      <c r="N715" s="14" t="s">
        <v>57</v>
      </c>
      <c r="O715" s="13" t="s">
        <v>63</v>
      </c>
      <c r="P715" s="14" t="s">
        <v>178</v>
      </c>
      <c r="Q715" s="13"/>
      <c r="R715" s="14" t="s">
        <v>57</v>
      </c>
      <c r="S715" s="15" t="str">
        <f>"－"</f>
        <v>－</v>
      </c>
      <c r="T715" s="16" t="n">
        <f>300</f>
        <v>300.0</v>
      </c>
      <c r="U715" s="16" t="n">
        <v>300.0</v>
      </c>
      <c r="V715" s="16" t="n">
        <f>330000000</f>
        <v>3.3E8</v>
      </c>
      <c r="W715" s="16" t="n">
        <v>3.3E8</v>
      </c>
      <c r="X715" s="16" t="str">
        <f>"－"</f>
        <v>－</v>
      </c>
      <c r="Y715" s="13"/>
      <c r="Z715" s="17" t="n">
        <f>400</f>
        <v>400.0</v>
      </c>
      <c r="AA715" s="18" t="str">
        <f>"－"</f>
        <v>－</v>
      </c>
      <c r="AB715" s="11" t="s">
        <v>639</v>
      </c>
    </row>
    <row r="716">
      <c r="A716" s="11" t="s">
        <v>46</v>
      </c>
      <c r="B716" s="11" t="s">
        <v>47</v>
      </c>
      <c r="C716" s="11" t="s">
        <v>48</v>
      </c>
      <c r="D716" s="11" t="s">
        <v>49</v>
      </c>
      <c r="E716" s="11" t="s">
        <v>638</v>
      </c>
      <c r="F716" s="12" t="n">
        <v>20250.0</v>
      </c>
      <c r="G716" s="13"/>
      <c r="H716" s="14" t="s">
        <v>57</v>
      </c>
      <c r="I716" s="13"/>
      <c r="J716" s="14" t="s">
        <v>57</v>
      </c>
      <c r="K716" s="13"/>
      <c r="L716" s="14"/>
      <c r="M716" s="13"/>
      <c r="N716" s="14" t="s">
        <v>57</v>
      </c>
      <c r="O716" s="13"/>
      <c r="P716" s="14"/>
      <c r="Q716" s="13"/>
      <c r="R716" s="14" t="s">
        <v>57</v>
      </c>
      <c r="S716" s="15" t="str">
        <f>"－"</f>
        <v>－</v>
      </c>
      <c r="T716" s="16" t="str">
        <f>"－"</f>
        <v>－</v>
      </c>
      <c r="U716" s="16"/>
      <c r="V716" s="16" t="str">
        <f>"－"</f>
        <v>－</v>
      </c>
      <c r="W716" s="16"/>
      <c r="X716" s="16" t="str">
        <f>"－"</f>
        <v>－</v>
      </c>
      <c r="Y716" s="13"/>
      <c r="Z716" s="17" t="n">
        <f>50</f>
        <v>50.0</v>
      </c>
      <c r="AA716" s="18" t="str">
        <f>"－"</f>
        <v>－</v>
      </c>
      <c r="AB716" s="11" t="s">
        <v>639</v>
      </c>
    </row>
    <row r="717">
      <c r="A717" s="11" t="s">
        <v>46</v>
      </c>
      <c r="B717" s="11" t="s">
        <v>47</v>
      </c>
      <c r="C717" s="11" t="s">
        <v>48</v>
      </c>
      <c r="D717" s="11" t="s">
        <v>49</v>
      </c>
      <c r="E717" s="11" t="s">
        <v>638</v>
      </c>
      <c r="F717" s="12" t="n">
        <v>20500.0</v>
      </c>
      <c r="G717" s="13"/>
      <c r="H717" s="14" t="s">
        <v>57</v>
      </c>
      <c r="I717" s="13"/>
      <c r="J717" s="14" t="s">
        <v>57</v>
      </c>
      <c r="K717" s="13"/>
      <c r="L717" s="14"/>
      <c r="M717" s="13"/>
      <c r="N717" s="14" t="s">
        <v>57</v>
      </c>
      <c r="O717" s="13"/>
      <c r="P717" s="14"/>
      <c r="Q717" s="13"/>
      <c r="R717" s="14" t="s">
        <v>57</v>
      </c>
      <c r="S717" s="15" t="str">
        <f>"－"</f>
        <v>－</v>
      </c>
      <c r="T717" s="16" t="str">
        <f>"－"</f>
        <v>－</v>
      </c>
      <c r="U717" s="16"/>
      <c r="V717" s="16" t="str">
        <f>"－"</f>
        <v>－</v>
      </c>
      <c r="W717" s="16"/>
      <c r="X717" s="16" t="str">
        <f>"－"</f>
        <v>－</v>
      </c>
      <c r="Y717" s="13"/>
      <c r="Z717" s="17" t="n">
        <f>325</f>
        <v>325.0</v>
      </c>
      <c r="AA717" s="18" t="str">
        <f>"－"</f>
        <v>－</v>
      </c>
      <c r="AB717" s="11" t="s">
        <v>639</v>
      </c>
    </row>
    <row r="718">
      <c r="A718" s="11" t="s">
        <v>46</v>
      </c>
      <c r="B718" s="11" t="s">
        <v>47</v>
      </c>
      <c r="C718" s="11" t="s">
        <v>48</v>
      </c>
      <c r="D718" s="11" t="s">
        <v>49</v>
      </c>
      <c r="E718" s="11" t="s">
        <v>640</v>
      </c>
      <c r="F718" s="12" t="n">
        <v>7000.0</v>
      </c>
      <c r="G718" s="13" t="s">
        <v>208</v>
      </c>
      <c r="H718" s="14" t="s">
        <v>286</v>
      </c>
      <c r="I718" s="13" t="s">
        <v>208</v>
      </c>
      <c r="J718" s="14" t="s">
        <v>286</v>
      </c>
      <c r="K718" s="13"/>
      <c r="L718" s="14"/>
      <c r="M718" s="13" t="s">
        <v>211</v>
      </c>
      <c r="N718" s="14" t="s">
        <v>120</v>
      </c>
      <c r="O718" s="13"/>
      <c r="P718" s="14"/>
      <c r="Q718" s="13" t="s">
        <v>211</v>
      </c>
      <c r="R718" s="14" t="s">
        <v>120</v>
      </c>
      <c r="S718" s="15" t="n">
        <f>137.5</f>
        <v>137.5</v>
      </c>
      <c r="T718" s="16" t="n">
        <f>4</f>
        <v>4.0</v>
      </c>
      <c r="U718" s="16"/>
      <c r="V718" s="16" t="n">
        <f>555000</f>
        <v>555000.0</v>
      </c>
      <c r="W718" s="16"/>
      <c r="X718" s="16" t="str">
        <f>"－"</f>
        <v>－</v>
      </c>
      <c r="Y718" s="13"/>
      <c r="Z718" s="17" t="n">
        <f>9</f>
        <v>9.0</v>
      </c>
      <c r="AA718" s="18" t="n">
        <f>2</f>
        <v>2.0</v>
      </c>
      <c r="AB718" s="11" t="s">
        <v>641</v>
      </c>
    </row>
    <row r="719">
      <c r="A719" s="11" t="s">
        <v>46</v>
      </c>
      <c r="B719" s="11" t="s">
        <v>47</v>
      </c>
      <c r="C719" s="11" t="s">
        <v>48</v>
      </c>
      <c r="D719" s="11" t="s">
        <v>49</v>
      </c>
      <c r="E719" s="11" t="s">
        <v>640</v>
      </c>
      <c r="F719" s="12" t="n">
        <v>8000.0</v>
      </c>
      <c r="G719" s="13"/>
      <c r="H719" s="14" t="s">
        <v>57</v>
      </c>
      <c r="I719" s="13"/>
      <c r="J719" s="14" t="s">
        <v>57</v>
      </c>
      <c r="K719" s="13"/>
      <c r="L719" s="14"/>
      <c r="M719" s="13"/>
      <c r="N719" s="14" t="s">
        <v>57</v>
      </c>
      <c r="O719" s="13"/>
      <c r="P719" s="14"/>
      <c r="Q719" s="13"/>
      <c r="R719" s="14" t="s">
        <v>57</v>
      </c>
      <c r="S719" s="15" t="str">
        <f>"－"</f>
        <v>－</v>
      </c>
      <c r="T719" s="16" t="str">
        <f>"－"</f>
        <v>－</v>
      </c>
      <c r="U719" s="16"/>
      <c r="V719" s="16" t="str">
        <f>"－"</f>
        <v>－</v>
      </c>
      <c r="W719" s="16"/>
      <c r="X719" s="16" t="str">
        <f>"－"</f>
        <v>－</v>
      </c>
      <c r="Y719" s="13"/>
      <c r="Z719" s="17" t="n">
        <f>2002</f>
        <v>2002.0</v>
      </c>
      <c r="AA719" s="18" t="str">
        <f>"－"</f>
        <v>－</v>
      </c>
      <c r="AB719" s="11" t="s">
        <v>641</v>
      </c>
    </row>
    <row r="720">
      <c r="A720" s="11" t="s">
        <v>46</v>
      </c>
      <c r="B720" s="11" t="s">
        <v>47</v>
      </c>
      <c r="C720" s="11" t="s">
        <v>48</v>
      </c>
      <c r="D720" s="11" t="s">
        <v>49</v>
      </c>
      <c r="E720" s="11" t="s">
        <v>640</v>
      </c>
      <c r="F720" s="12" t="n">
        <v>11000.0</v>
      </c>
      <c r="G720" s="13" t="s">
        <v>61</v>
      </c>
      <c r="H720" s="14" t="s">
        <v>151</v>
      </c>
      <c r="I720" s="13" t="s">
        <v>205</v>
      </c>
      <c r="J720" s="14" t="s">
        <v>192</v>
      </c>
      <c r="K720" s="13"/>
      <c r="L720" s="14"/>
      <c r="M720" s="13" t="s">
        <v>61</v>
      </c>
      <c r="N720" s="14" t="s">
        <v>151</v>
      </c>
      <c r="O720" s="13"/>
      <c r="P720" s="14"/>
      <c r="Q720" s="13" t="s">
        <v>205</v>
      </c>
      <c r="R720" s="14" t="s">
        <v>192</v>
      </c>
      <c r="S720" s="15" t="n">
        <f>410</f>
        <v>410.0</v>
      </c>
      <c r="T720" s="16" t="n">
        <f>2</f>
        <v>2.0</v>
      </c>
      <c r="U720" s="16"/>
      <c r="V720" s="16" t="n">
        <f>820000</f>
        <v>820000.0</v>
      </c>
      <c r="W720" s="16"/>
      <c r="X720" s="16" t="str">
        <f>"－"</f>
        <v>－</v>
      </c>
      <c r="Y720" s="13"/>
      <c r="Z720" s="17" t="n">
        <f>2</f>
        <v>2.0</v>
      </c>
      <c r="AA720" s="18" t="n">
        <f>2</f>
        <v>2.0</v>
      </c>
      <c r="AB720" s="11" t="s">
        <v>641</v>
      </c>
    </row>
    <row r="721">
      <c r="A721" s="11" t="s">
        <v>46</v>
      </c>
      <c r="B721" s="11" t="s">
        <v>47</v>
      </c>
      <c r="C721" s="11" t="s">
        <v>48</v>
      </c>
      <c r="D721" s="11" t="s">
        <v>49</v>
      </c>
      <c r="E721" s="11" t="s">
        <v>640</v>
      </c>
      <c r="F721" s="12" t="n">
        <v>12500.0</v>
      </c>
      <c r="G721" s="13"/>
      <c r="H721" s="14" t="s">
        <v>57</v>
      </c>
      <c r="I721" s="13"/>
      <c r="J721" s="14" t="s">
        <v>57</v>
      </c>
      <c r="K721" s="13"/>
      <c r="L721" s="14"/>
      <c r="M721" s="13"/>
      <c r="N721" s="14" t="s">
        <v>57</v>
      </c>
      <c r="O721" s="13"/>
      <c r="P721" s="14"/>
      <c r="Q721" s="13"/>
      <c r="R721" s="14" t="s">
        <v>57</v>
      </c>
      <c r="S721" s="15" t="str">
        <f>"－"</f>
        <v>－</v>
      </c>
      <c r="T721" s="16" t="str">
        <f>"－"</f>
        <v>－</v>
      </c>
      <c r="U721" s="16"/>
      <c r="V721" s="16" t="str">
        <f>"－"</f>
        <v>－</v>
      </c>
      <c r="W721" s="16"/>
      <c r="X721" s="16" t="str">
        <f>"－"</f>
        <v>－</v>
      </c>
      <c r="Y721" s="13"/>
      <c r="Z721" s="17" t="n">
        <f>900</f>
        <v>900.0</v>
      </c>
      <c r="AA721" s="18" t="str">
        <f>"－"</f>
        <v>－</v>
      </c>
      <c r="AB721" s="11" t="s">
        <v>641</v>
      </c>
    </row>
    <row r="722">
      <c r="A722" s="11" t="s">
        <v>46</v>
      </c>
      <c r="B722" s="11" t="s">
        <v>47</v>
      </c>
      <c r="C722" s="11" t="s">
        <v>48</v>
      </c>
      <c r="D722" s="11" t="s">
        <v>49</v>
      </c>
      <c r="E722" s="11" t="s">
        <v>640</v>
      </c>
      <c r="F722" s="12" t="n">
        <v>12750.0</v>
      </c>
      <c r="G722" s="13"/>
      <c r="H722" s="14" t="s">
        <v>57</v>
      </c>
      <c r="I722" s="13"/>
      <c r="J722" s="14" t="s">
        <v>57</v>
      </c>
      <c r="K722" s="13"/>
      <c r="L722" s="14"/>
      <c r="M722" s="13"/>
      <c r="N722" s="14" t="s">
        <v>57</v>
      </c>
      <c r="O722" s="13"/>
      <c r="P722" s="14"/>
      <c r="Q722" s="13"/>
      <c r="R722" s="14" t="s">
        <v>57</v>
      </c>
      <c r="S722" s="15" t="str">
        <f>"－"</f>
        <v>－</v>
      </c>
      <c r="T722" s="16" t="str">
        <f>"－"</f>
        <v>－</v>
      </c>
      <c r="U722" s="16"/>
      <c r="V722" s="16" t="str">
        <f>"－"</f>
        <v>－</v>
      </c>
      <c r="W722" s="16"/>
      <c r="X722" s="16" t="str">
        <f>"－"</f>
        <v>－</v>
      </c>
      <c r="Y722" s="13"/>
      <c r="Z722" s="17" t="n">
        <f>100</f>
        <v>100.0</v>
      </c>
      <c r="AA722" s="18" t="str">
        <f>"－"</f>
        <v>－</v>
      </c>
      <c r="AB722" s="11" t="s">
        <v>641</v>
      </c>
    </row>
    <row r="723">
      <c r="A723" s="11" t="s">
        <v>46</v>
      </c>
      <c r="B723" s="11" t="s">
        <v>47</v>
      </c>
      <c r="C723" s="11" t="s">
        <v>48</v>
      </c>
      <c r="D723" s="11" t="s">
        <v>49</v>
      </c>
      <c r="E723" s="11" t="s">
        <v>640</v>
      </c>
      <c r="F723" s="12" t="n">
        <v>14000.0</v>
      </c>
      <c r="G723" s="13"/>
      <c r="H723" s="14" t="s">
        <v>57</v>
      </c>
      <c r="I723" s="13"/>
      <c r="J723" s="14" t="s">
        <v>57</v>
      </c>
      <c r="K723" s="13"/>
      <c r="L723" s="14"/>
      <c r="M723" s="13"/>
      <c r="N723" s="14" t="s">
        <v>57</v>
      </c>
      <c r="O723" s="13"/>
      <c r="P723" s="14"/>
      <c r="Q723" s="13"/>
      <c r="R723" s="14" t="s">
        <v>57</v>
      </c>
      <c r="S723" s="15" t="str">
        <f>"－"</f>
        <v>－</v>
      </c>
      <c r="T723" s="16" t="str">
        <f>"－"</f>
        <v>－</v>
      </c>
      <c r="U723" s="16"/>
      <c r="V723" s="16" t="str">
        <f>"－"</f>
        <v>－</v>
      </c>
      <c r="W723" s="16"/>
      <c r="X723" s="16" t="str">
        <f>"－"</f>
        <v>－</v>
      </c>
      <c r="Y723" s="13"/>
      <c r="Z723" s="17" t="n">
        <f>800</f>
        <v>800.0</v>
      </c>
      <c r="AA723" s="18" t="str">
        <f>"－"</f>
        <v>－</v>
      </c>
      <c r="AB723" s="11" t="s">
        <v>641</v>
      </c>
    </row>
    <row r="724">
      <c r="A724" s="11" t="s">
        <v>46</v>
      </c>
      <c r="B724" s="11" t="s">
        <v>47</v>
      </c>
      <c r="C724" s="11" t="s">
        <v>48</v>
      </c>
      <c r="D724" s="11" t="s">
        <v>49</v>
      </c>
      <c r="E724" s="11" t="s">
        <v>640</v>
      </c>
      <c r="F724" s="12" t="n">
        <v>15000.0</v>
      </c>
      <c r="G724" s="13"/>
      <c r="H724" s="14" t="s">
        <v>57</v>
      </c>
      <c r="I724" s="13"/>
      <c r="J724" s="14" t="s">
        <v>57</v>
      </c>
      <c r="K724" s="13"/>
      <c r="L724" s="14"/>
      <c r="M724" s="13"/>
      <c r="N724" s="14" t="s">
        <v>57</v>
      </c>
      <c r="O724" s="13"/>
      <c r="P724" s="14"/>
      <c r="Q724" s="13"/>
      <c r="R724" s="14" t="s">
        <v>57</v>
      </c>
      <c r="S724" s="15" t="str">
        <f>"－"</f>
        <v>－</v>
      </c>
      <c r="T724" s="16" t="str">
        <f>"－"</f>
        <v>－</v>
      </c>
      <c r="U724" s="16"/>
      <c r="V724" s="16" t="str">
        <f>"－"</f>
        <v>－</v>
      </c>
      <c r="W724" s="16"/>
      <c r="X724" s="16" t="str">
        <f>"－"</f>
        <v>－</v>
      </c>
      <c r="Y724" s="13"/>
      <c r="Z724" s="17" t="n">
        <f>1150</f>
        <v>1150.0</v>
      </c>
      <c r="AA724" s="18" t="str">
        <f>"－"</f>
        <v>－</v>
      </c>
      <c r="AB724" s="11" t="s">
        <v>641</v>
      </c>
    </row>
    <row r="725">
      <c r="A725" s="11" t="s">
        <v>46</v>
      </c>
      <c r="B725" s="11" t="s">
        <v>47</v>
      </c>
      <c r="C725" s="11" t="s">
        <v>48</v>
      </c>
      <c r="D725" s="11" t="s">
        <v>49</v>
      </c>
      <c r="E725" s="11" t="s">
        <v>640</v>
      </c>
      <c r="F725" s="12" t="n">
        <v>15500.0</v>
      </c>
      <c r="G725" s="13"/>
      <c r="H725" s="14" t="s">
        <v>57</v>
      </c>
      <c r="I725" s="13"/>
      <c r="J725" s="14" t="s">
        <v>57</v>
      </c>
      <c r="K725" s="13"/>
      <c r="L725" s="14"/>
      <c r="M725" s="13"/>
      <c r="N725" s="14" t="s">
        <v>57</v>
      </c>
      <c r="O725" s="13"/>
      <c r="P725" s="14"/>
      <c r="Q725" s="13"/>
      <c r="R725" s="14" t="s">
        <v>57</v>
      </c>
      <c r="S725" s="15" t="str">
        <f>"－"</f>
        <v>－</v>
      </c>
      <c r="T725" s="16" t="str">
        <f>"－"</f>
        <v>－</v>
      </c>
      <c r="U725" s="16"/>
      <c r="V725" s="16" t="str">
        <f>"－"</f>
        <v>－</v>
      </c>
      <c r="W725" s="16"/>
      <c r="X725" s="16" t="str">
        <f>"－"</f>
        <v>－</v>
      </c>
      <c r="Y725" s="13"/>
      <c r="Z725" s="17" t="n">
        <f>300</f>
        <v>300.0</v>
      </c>
      <c r="AA725" s="18" t="str">
        <f>"－"</f>
        <v>－</v>
      </c>
      <c r="AB725" s="11" t="s">
        <v>641</v>
      </c>
    </row>
    <row r="726">
      <c r="A726" s="11" t="s">
        <v>46</v>
      </c>
      <c r="B726" s="11" t="s">
        <v>47</v>
      </c>
      <c r="C726" s="11" t="s">
        <v>48</v>
      </c>
      <c r="D726" s="11" t="s">
        <v>49</v>
      </c>
      <c r="E726" s="11" t="s">
        <v>640</v>
      </c>
      <c r="F726" s="12" t="n">
        <v>16000.0</v>
      </c>
      <c r="G726" s="13"/>
      <c r="H726" s="14" t="s">
        <v>57</v>
      </c>
      <c r="I726" s="13"/>
      <c r="J726" s="14" t="s">
        <v>57</v>
      </c>
      <c r="K726" s="13"/>
      <c r="L726" s="14"/>
      <c r="M726" s="13"/>
      <c r="N726" s="14" t="s">
        <v>57</v>
      </c>
      <c r="O726" s="13"/>
      <c r="P726" s="14"/>
      <c r="Q726" s="13"/>
      <c r="R726" s="14" t="s">
        <v>57</v>
      </c>
      <c r="S726" s="15" t="str">
        <f>"－"</f>
        <v>－</v>
      </c>
      <c r="T726" s="16" t="str">
        <f>"－"</f>
        <v>－</v>
      </c>
      <c r="U726" s="16"/>
      <c r="V726" s="16" t="str">
        <f>"－"</f>
        <v>－</v>
      </c>
      <c r="W726" s="16"/>
      <c r="X726" s="16" t="str">
        <f>"－"</f>
        <v>－</v>
      </c>
      <c r="Y726" s="13"/>
      <c r="Z726" s="17" t="n">
        <f>310</f>
        <v>310.0</v>
      </c>
      <c r="AA726" s="18" t="str">
        <f>"－"</f>
        <v>－</v>
      </c>
      <c r="AB726" s="11" t="s">
        <v>641</v>
      </c>
    </row>
    <row r="727">
      <c r="A727" s="11" t="s">
        <v>46</v>
      </c>
      <c r="B727" s="11" t="s">
        <v>47</v>
      </c>
      <c r="C727" s="11" t="s">
        <v>48</v>
      </c>
      <c r="D727" s="11" t="s">
        <v>49</v>
      </c>
      <c r="E727" s="11" t="s">
        <v>640</v>
      </c>
      <c r="F727" s="12" t="n">
        <v>16500.0</v>
      </c>
      <c r="G727" s="13"/>
      <c r="H727" s="14" t="s">
        <v>57</v>
      </c>
      <c r="I727" s="13"/>
      <c r="J727" s="14" t="s">
        <v>57</v>
      </c>
      <c r="K727" s="13"/>
      <c r="L727" s="14"/>
      <c r="M727" s="13"/>
      <c r="N727" s="14" t="s">
        <v>57</v>
      </c>
      <c r="O727" s="13"/>
      <c r="P727" s="14"/>
      <c r="Q727" s="13"/>
      <c r="R727" s="14" t="s">
        <v>57</v>
      </c>
      <c r="S727" s="15" t="str">
        <f>"－"</f>
        <v>－</v>
      </c>
      <c r="T727" s="16" t="str">
        <f>"－"</f>
        <v>－</v>
      </c>
      <c r="U727" s="16"/>
      <c r="V727" s="16" t="str">
        <f>"－"</f>
        <v>－</v>
      </c>
      <c r="W727" s="16"/>
      <c r="X727" s="16" t="str">
        <f>"－"</f>
        <v>－</v>
      </c>
      <c r="Y727" s="13"/>
      <c r="Z727" s="17" t="n">
        <f>200</f>
        <v>200.0</v>
      </c>
      <c r="AA727" s="18" t="str">
        <f>"－"</f>
        <v>－</v>
      </c>
      <c r="AB727" s="11" t="s">
        <v>641</v>
      </c>
    </row>
    <row r="728">
      <c r="A728" s="11" t="s">
        <v>46</v>
      </c>
      <c r="B728" s="11" t="s">
        <v>47</v>
      </c>
      <c r="C728" s="11" t="s">
        <v>48</v>
      </c>
      <c r="D728" s="11" t="s">
        <v>49</v>
      </c>
      <c r="E728" s="11" t="s">
        <v>640</v>
      </c>
      <c r="F728" s="12" t="n">
        <v>17000.0</v>
      </c>
      <c r="G728" s="13"/>
      <c r="H728" s="14" t="s">
        <v>57</v>
      </c>
      <c r="I728" s="13"/>
      <c r="J728" s="14" t="s">
        <v>57</v>
      </c>
      <c r="K728" s="13" t="s">
        <v>60</v>
      </c>
      <c r="L728" s="14" t="s">
        <v>642</v>
      </c>
      <c r="M728" s="13"/>
      <c r="N728" s="14" t="s">
        <v>57</v>
      </c>
      <c r="O728" s="13" t="s">
        <v>60</v>
      </c>
      <c r="P728" s="14" t="s">
        <v>642</v>
      </c>
      <c r="Q728" s="13"/>
      <c r="R728" s="14" t="s">
        <v>57</v>
      </c>
      <c r="S728" s="15" t="str">
        <f>"－"</f>
        <v>－</v>
      </c>
      <c r="T728" s="16" t="n">
        <f>200</f>
        <v>200.0</v>
      </c>
      <c r="U728" s="16" t="n">
        <v>200.0</v>
      </c>
      <c r="V728" s="16" t="n">
        <f>235600000</f>
        <v>2.356E8</v>
      </c>
      <c r="W728" s="16" t="n">
        <v>2.356E8</v>
      </c>
      <c r="X728" s="16" t="str">
        <f>"－"</f>
        <v>－</v>
      </c>
      <c r="Y728" s="13"/>
      <c r="Z728" s="17" t="n">
        <f>375</f>
        <v>375.0</v>
      </c>
      <c r="AA728" s="18" t="str">
        <f>"－"</f>
        <v>－</v>
      </c>
      <c r="AB728" s="11" t="s">
        <v>641</v>
      </c>
    </row>
    <row r="729">
      <c r="A729" s="11" t="s">
        <v>46</v>
      </c>
      <c r="B729" s="11" t="s">
        <v>47</v>
      </c>
      <c r="C729" s="11" t="s">
        <v>48</v>
      </c>
      <c r="D729" s="11" t="s">
        <v>49</v>
      </c>
      <c r="E729" s="11" t="s">
        <v>640</v>
      </c>
      <c r="F729" s="12" t="n">
        <v>17500.0</v>
      </c>
      <c r="G729" s="13"/>
      <c r="H729" s="14" t="s">
        <v>57</v>
      </c>
      <c r="I729" s="13"/>
      <c r="J729" s="14" t="s">
        <v>57</v>
      </c>
      <c r="K729" s="13"/>
      <c r="L729" s="14"/>
      <c r="M729" s="13"/>
      <c r="N729" s="14" t="s">
        <v>57</v>
      </c>
      <c r="O729" s="13"/>
      <c r="P729" s="14"/>
      <c r="Q729" s="13"/>
      <c r="R729" s="14" t="s">
        <v>57</v>
      </c>
      <c r="S729" s="15" t="str">
        <f>"－"</f>
        <v>－</v>
      </c>
      <c r="T729" s="16" t="str">
        <f>"－"</f>
        <v>－</v>
      </c>
      <c r="U729" s="16"/>
      <c r="V729" s="16" t="str">
        <f>"－"</f>
        <v>－</v>
      </c>
      <c r="W729" s="16"/>
      <c r="X729" s="16" t="str">
        <f>"－"</f>
        <v>－</v>
      </c>
      <c r="Y729" s="13"/>
      <c r="Z729" s="17" t="n">
        <f>450</f>
        <v>450.0</v>
      </c>
      <c r="AA729" s="18" t="str">
        <f>"－"</f>
        <v>－</v>
      </c>
      <c r="AB729" s="11" t="s">
        <v>641</v>
      </c>
    </row>
    <row r="730">
      <c r="A730" s="11" t="s">
        <v>46</v>
      </c>
      <c r="B730" s="11" t="s">
        <v>47</v>
      </c>
      <c r="C730" s="11" t="s">
        <v>48</v>
      </c>
      <c r="D730" s="11" t="s">
        <v>49</v>
      </c>
      <c r="E730" s="11" t="s">
        <v>640</v>
      </c>
      <c r="F730" s="12" t="n">
        <v>18000.0</v>
      </c>
      <c r="G730" s="13"/>
      <c r="H730" s="14" t="s">
        <v>57</v>
      </c>
      <c r="I730" s="13"/>
      <c r="J730" s="14" t="s">
        <v>57</v>
      </c>
      <c r="K730" s="13" t="s">
        <v>63</v>
      </c>
      <c r="L730" s="14" t="s">
        <v>198</v>
      </c>
      <c r="M730" s="13"/>
      <c r="N730" s="14" t="s">
        <v>57</v>
      </c>
      <c r="O730" s="13" t="s">
        <v>63</v>
      </c>
      <c r="P730" s="14" t="s">
        <v>198</v>
      </c>
      <c r="Q730" s="13"/>
      <c r="R730" s="14" t="s">
        <v>57</v>
      </c>
      <c r="S730" s="15" t="str">
        <f>"－"</f>
        <v>－</v>
      </c>
      <c r="T730" s="16" t="n">
        <f>300</f>
        <v>300.0</v>
      </c>
      <c r="U730" s="16" t="n">
        <v>300.0</v>
      </c>
      <c r="V730" s="16" t="n">
        <f>381000000</f>
        <v>3.81E8</v>
      </c>
      <c r="W730" s="16" t="n">
        <v>3.81E8</v>
      </c>
      <c r="X730" s="16" t="str">
        <f>"－"</f>
        <v>－</v>
      </c>
      <c r="Y730" s="13"/>
      <c r="Z730" s="17" t="n">
        <f>915</f>
        <v>915.0</v>
      </c>
      <c r="AA730" s="18" t="str">
        <f>"－"</f>
        <v>－</v>
      </c>
      <c r="AB730" s="11" t="s">
        <v>641</v>
      </c>
    </row>
    <row r="731">
      <c r="A731" s="11" t="s">
        <v>46</v>
      </c>
      <c r="B731" s="11" t="s">
        <v>47</v>
      </c>
      <c r="C731" s="11" t="s">
        <v>48</v>
      </c>
      <c r="D731" s="11" t="s">
        <v>49</v>
      </c>
      <c r="E731" s="11" t="s">
        <v>640</v>
      </c>
      <c r="F731" s="12" t="n">
        <v>18500.0</v>
      </c>
      <c r="G731" s="13"/>
      <c r="H731" s="14" t="s">
        <v>57</v>
      </c>
      <c r="I731" s="13"/>
      <c r="J731" s="14" t="s">
        <v>57</v>
      </c>
      <c r="K731" s="13"/>
      <c r="L731" s="14"/>
      <c r="M731" s="13"/>
      <c r="N731" s="14" t="s">
        <v>57</v>
      </c>
      <c r="O731" s="13"/>
      <c r="P731" s="14"/>
      <c r="Q731" s="13"/>
      <c r="R731" s="14" t="s">
        <v>57</v>
      </c>
      <c r="S731" s="15" t="str">
        <f>"－"</f>
        <v>－</v>
      </c>
      <c r="T731" s="16" t="str">
        <f>"－"</f>
        <v>－</v>
      </c>
      <c r="U731" s="16"/>
      <c r="V731" s="16" t="str">
        <f>"－"</f>
        <v>－</v>
      </c>
      <c r="W731" s="16"/>
      <c r="X731" s="16" t="str">
        <f>"－"</f>
        <v>－</v>
      </c>
      <c r="Y731" s="13"/>
      <c r="Z731" s="17" t="n">
        <f>250</f>
        <v>250.0</v>
      </c>
      <c r="AA731" s="18" t="str">
        <f>"－"</f>
        <v>－</v>
      </c>
      <c r="AB731" s="11" t="s">
        <v>641</v>
      </c>
    </row>
    <row r="732">
      <c r="A732" s="11" t="s">
        <v>46</v>
      </c>
      <c r="B732" s="11" t="s">
        <v>47</v>
      </c>
      <c r="C732" s="11" t="s">
        <v>48</v>
      </c>
      <c r="D732" s="11" t="s">
        <v>49</v>
      </c>
      <c r="E732" s="11" t="s">
        <v>640</v>
      </c>
      <c r="F732" s="12" t="n">
        <v>19000.0</v>
      </c>
      <c r="G732" s="13"/>
      <c r="H732" s="14" t="s">
        <v>57</v>
      </c>
      <c r="I732" s="13"/>
      <c r="J732" s="14" t="s">
        <v>57</v>
      </c>
      <c r="K732" s="13"/>
      <c r="L732" s="14"/>
      <c r="M732" s="13"/>
      <c r="N732" s="14" t="s">
        <v>57</v>
      </c>
      <c r="O732" s="13"/>
      <c r="P732" s="14"/>
      <c r="Q732" s="13"/>
      <c r="R732" s="14" t="s">
        <v>57</v>
      </c>
      <c r="S732" s="15" t="str">
        <f>"－"</f>
        <v>－</v>
      </c>
      <c r="T732" s="16" t="str">
        <f>"－"</f>
        <v>－</v>
      </c>
      <c r="U732" s="16"/>
      <c r="V732" s="16" t="str">
        <f>"－"</f>
        <v>－</v>
      </c>
      <c r="W732" s="16"/>
      <c r="X732" s="16" t="str">
        <f>"－"</f>
        <v>－</v>
      </c>
      <c r="Y732" s="13"/>
      <c r="Z732" s="17" t="n">
        <f>2225</f>
        <v>2225.0</v>
      </c>
      <c r="AA732" s="18" t="str">
        <f>"－"</f>
        <v>－</v>
      </c>
      <c r="AB732" s="11" t="s">
        <v>641</v>
      </c>
    </row>
    <row r="733">
      <c r="A733" s="11" t="s">
        <v>46</v>
      </c>
      <c r="B733" s="11" t="s">
        <v>47</v>
      </c>
      <c r="C733" s="11" t="s">
        <v>48</v>
      </c>
      <c r="D733" s="11" t="s">
        <v>49</v>
      </c>
      <c r="E733" s="11" t="s">
        <v>640</v>
      </c>
      <c r="F733" s="12" t="n">
        <v>19500.0</v>
      </c>
      <c r="G733" s="13"/>
      <c r="H733" s="14" t="s">
        <v>57</v>
      </c>
      <c r="I733" s="13"/>
      <c r="J733" s="14" t="s">
        <v>57</v>
      </c>
      <c r="K733" s="13"/>
      <c r="L733" s="14"/>
      <c r="M733" s="13"/>
      <c r="N733" s="14" t="s">
        <v>57</v>
      </c>
      <c r="O733" s="13"/>
      <c r="P733" s="14"/>
      <c r="Q733" s="13"/>
      <c r="R733" s="14" t="s">
        <v>57</v>
      </c>
      <c r="S733" s="15" t="str">
        <f>"－"</f>
        <v>－</v>
      </c>
      <c r="T733" s="16" t="str">
        <f>"－"</f>
        <v>－</v>
      </c>
      <c r="U733" s="16"/>
      <c r="V733" s="16" t="str">
        <f>"－"</f>
        <v>－</v>
      </c>
      <c r="W733" s="16"/>
      <c r="X733" s="16" t="str">
        <f>"－"</f>
        <v>－</v>
      </c>
      <c r="Y733" s="13"/>
      <c r="Z733" s="17" t="n">
        <f>300</f>
        <v>300.0</v>
      </c>
      <c r="AA733" s="18" t="str">
        <f>"－"</f>
        <v>－</v>
      </c>
      <c r="AB733" s="11" t="s">
        <v>641</v>
      </c>
    </row>
    <row r="734">
      <c r="A734" s="11" t="s">
        <v>46</v>
      </c>
      <c r="B734" s="11" t="s">
        <v>47</v>
      </c>
      <c r="C734" s="11" t="s">
        <v>48</v>
      </c>
      <c r="D734" s="11" t="s">
        <v>49</v>
      </c>
      <c r="E734" s="11" t="s">
        <v>640</v>
      </c>
      <c r="F734" s="12" t="n">
        <v>20000.0</v>
      </c>
      <c r="G734" s="13"/>
      <c r="H734" s="14" t="s">
        <v>57</v>
      </c>
      <c r="I734" s="13"/>
      <c r="J734" s="14" t="s">
        <v>57</v>
      </c>
      <c r="K734" s="13"/>
      <c r="L734" s="14"/>
      <c r="M734" s="13"/>
      <c r="N734" s="14" t="s">
        <v>57</v>
      </c>
      <c r="O734" s="13"/>
      <c r="P734" s="14"/>
      <c r="Q734" s="13"/>
      <c r="R734" s="14" t="s">
        <v>57</v>
      </c>
      <c r="S734" s="15" t="str">
        <f>"－"</f>
        <v>－</v>
      </c>
      <c r="T734" s="16" t="str">
        <f>"－"</f>
        <v>－</v>
      </c>
      <c r="U734" s="16"/>
      <c r="V734" s="16" t="str">
        <f>"－"</f>
        <v>－</v>
      </c>
      <c r="W734" s="16"/>
      <c r="X734" s="16" t="str">
        <f>"－"</f>
        <v>－</v>
      </c>
      <c r="Y734" s="13"/>
      <c r="Z734" s="17" t="n">
        <f>1050</f>
        <v>1050.0</v>
      </c>
      <c r="AA734" s="18" t="str">
        <f>"－"</f>
        <v>－</v>
      </c>
      <c r="AB734" s="11" t="s">
        <v>641</v>
      </c>
    </row>
    <row r="735">
      <c r="A735" s="11" t="s">
        <v>46</v>
      </c>
      <c r="B735" s="11" t="s">
        <v>47</v>
      </c>
      <c r="C735" s="11" t="s">
        <v>48</v>
      </c>
      <c r="D735" s="11" t="s">
        <v>49</v>
      </c>
      <c r="E735" s="11" t="s">
        <v>640</v>
      </c>
      <c r="F735" s="12" t="n">
        <v>20500.0</v>
      </c>
      <c r="G735" s="13"/>
      <c r="H735" s="14" t="s">
        <v>57</v>
      </c>
      <c r="I735" s="13"/>
      <c r="J735" s="14" t="s">
        <v>57</v>
      </c>
      <c r="K735" s="13"/>
      <c r="L735" s="14"/>
      <c r="M735" s="13"/>
      <c r="N735" s="14" t="s">
        <v>57</v>
      </c>
      <c r="O735" s="13"/>
      <c r="P735" s="14"/>
      <c r="Q735" s="13"/>
      <c r="R735" s="14" t="s">
        <v>57</v>
      </c>
      <c r="S735" s="15" t="str">
        <f>"－"</f>
        <v>－</v>
      </c>
      <c r="T735" s="16" t="str">
        <f>"－"</f>
        <v>－</v>
      </c>
      <c r="U735" s="16"/>
      <c r="V735" s="16" t="str">
        <f>"－"</f>
        <v>－</v>
      </c>
      <c r="W735" s="16"/>
      <c r="X735" s="16" t="str">
        <f>"－"</f>
        <v>－</v>
      </c>
      <c r="Y735" s="13"/>
      <c r="Z735" s="17" t="n">
        <f>150</f>
        <v>150.0</v>
      </c>
      <c r="AA735" s="18" t="str">
        <f>"－"</f>
        <v>－</v>
      </c>
      <c r="AB735" s="11" t="s">
        <v>641</v>
      </c>
    </row>
    <row r="736">
      <c r="A736" s="11" t="s">
        <v>46</v>
      </c>
      <c r="B736" s="11" t="s">
        <v>47</v>
      </c>
      <c r="C736" s="11" t="s">
        <v>48</v>
      </c>
      <c r="D736" s="11" t="s">
        <v>49</v>
      </c>
      <c r="E736" s="11" t="s">
        <v>640</v>
      </c>
      <c r="F736" s="12" t="n">
        <v>21000.0</v>
      </c>
      <c r="G736" s="13"/>
      <c r="H736" s="14" t="s">
        <v>57</v>
      </c>
      <c r="I736" s="13"/>
      <c r="J736" s="14" t="s">
        <v>57</v>
      </c>
      <c r="K736" s="13"/>
      <c r="L736" s="14"/>
      <c r="M736" s="13"/>
      <c r="N736" s="14" t="s">
        <v>57</v>
      </c>
      <c r="O736" s="13"/>
      <c r="P736" s="14"/>
      <c r="Q736" s="13"/>
      <c r="R736" s="14" t="s">
        <v>57</v>
      </c>
      <c r="S736" s="15" t="str">
        <f>"－"</f>
        <v>－</v>
      </c>
      <c r="T736" s="16" t="str">
        <f>"－"</f>
        <v>－</v>
      </c>
      <c r="U736" s="16"/>
      <c r="V736" s="16" t="str">
        <f>"－"</f>
        <v>－</v>
      </c>
      <c r="W736" s="16"/>
      <c r="X736" s="16" t="str">
        <f>"－"</f>
        <v>－</v>
      </c>
      <c r="Y736" s="13"/>
      <c r="Z736" s="17" t="n">
        <f>630</f>
        <v>630.0</v>
      </c>
      <c r="AA736" s="18" t="str">
        <f>"－"</f>
        <v>－</v>
      </c>
      <c r="AB736" s="11" t="s">
        <v>641</v>
      </c>
    </row>
    <row r="737">
      <c r="A737" s="11" t="s">
        <v>46</v>
      </c>
      <c r="B737" s="11" t="s">
        <v>47</v>
      </c>
      <c r="C737" s="11" t="s">
        <v>48</v>
      </c>
      <c r="D737" s="11" t="s">
        <v>49</v>
      </c>
      <c r="E737" s="11" t="s">
        <v>640</v>
      </c>
      <c r="F737" s="12" t="n">
        <v>21500.0</v>
      </c>
      <c r="G737" s="13"/>
      <c r="H737" s="14" t="s">
        <v>57</v>
      </c>
      <c r="I737" s="13"/>
      <c r="J737" s="14" t="s">
        <v>57</v>
      </c>
      <c r="K737" s="13"/>
      <c r="L737" s="14"/>
      <c r="M737" s="13"/>
      <c r="N737" s="14" t="s">
        <v>57</v>
      </c>
      <c r="O737" s="13"/>
      <c r="P737" s="14"/>
      <c r="Q737" s="13"/>
      <c r="R737" s="14" t="s">
        <v>57</v>
      </c>
      <c r="S737" s="15" t="str">
        <f>"－"</f>
        <v>－</v>
      </c>
      <c r="T737" s="16" t="str">
        <f>"－"</f>
        <v>－</v>
      </c>
      <c r="U737" s="16"/>
      <c r="V737" s="16" t="str">
        <f>"－"</f>
        <v>－</v>
      </c>
      <c r="W737" s="16"/>
      <c r="X737" s="16" t="str">
        <f>"－"</f>
        <v>－</v>
      </c>
      <c r="Y737" s="13"/>
      <c r="Z737" s="17" t="n">
        <f>50</f>
        <v>50.0</v>
      </c>
      <c r="AA737" s="18" t="str">
        <f>"－"</f>
        <v>－</v>
      </c>
      <c r="AB737" s="11" t="s">
        <v>641</v>
      </c>
    </row>
    <row r="738">
      <c r="A738" s="11" t="s">
        <v>46</v>
      </c>
      <c r="B738" s="11" t="s">
        <v>47</v>
      </c>
      <c r="C738" s="11" t="s">
        <v>48</v>
      </c>
      <c r="D738" s="11" t="s">
        <v>49</v>
      </c>
      <c r="E738" s="11" t="s">
        <v>640</v>
      </c>
      <c r="F738" s="12" t="n">
        <v>22000.0</v>
      </c>
      <c r="G738" s="13"/>
      <c r="H738" s="14" t="s">
        <v>57</v>
      </c>
      <c r="I738" s="13"/>
      <c r="J738" s="14" t="s">
        <v>57</v>
      </c>
      <c r="K738" s="13"/>
      <c r="L738" s="14"/>
      <c r="M738" s="13"/>
      <c r="N738" s="14" t="s">
        <v>57</v>
      </c>
      <c r="O738" s="13"/>
      <c r="P738" s="14"/>
      <c r="Q738" s="13"/>
      <c r="R738" s="14" t="s">
        <v>57</v>
      </c>
      <c r="S738" s="15" t="str">
        <f>"－"</f>
        <v>－</v>
      </c>
      <c r="T738" s="16" t="str">
        <f>"－"</f>
        <v>－</v>
      </c>
      <c r="U738" s="16"/>
      <c r="V738" s="16" t="str">
        <f>"－"</f>
        <v>－</v>
      </c>
      <c r="W738" s="16"/>
      <c r="X738" s="16" t="str">
        <f>"－"</f>
        <v>－</v>
      </c>
      <c r="Y738" s="13"/>
      <c r="Z738" s="17" t="n">
        <f>750</f>
        <v>750.0</v>
      </c>
      <c r="AA738" s="18" t="str">
        <f>"－"</f>
        <v>－</v>
      </c>
      <c r="AB738" s="11" t="s">
        <v>641</v>
      </c>
    </row>
    <row r="739">
      <c r="A739" s="11" t="s">
        <v>46</v>
      </c>
      <c r="B739" s="11" t="s">
        <v>47</v>
      </c>
      <c r="C739" s="11" t="s">
        <v>48</v>
      </c>
      <c r="D739" s="11" t="s">
        <v>49</v>
      </c>
      <c r="E739" s="11" t="s">
        <v>640</v>
      </c>
      <c r="F739" s="12" t="n">
        <v>22250.0</v>
      </c>
      <c r="G739" s="13"/>
      <c r="H739" s="14" t="s">
        <v>57</v>
      </c>
      <c r="I739" s="13"/>
      <c r="J739" s="14" t="s">
        <v>57</v>
      </c>
      <c r="K739" s="13"/>
      <c r="L739" s="14"/>
      <c r="M739" s="13"/>
      <c r="N739" s="14" t="s">
        <v>57</v>
      </c>
      <c r="O739" s="13"/>
      <c r="P739" s="14"/>
      <c r="Q739" s="13"/>
      <c r="R739" s="14" t="s">
        <v>57</v>
      </c>
      <c r="S739" s="15" t="str">
        <f>"－"</f>
        <v>－</v>
      </c>
      <c r="T739" s="16" t="str">
        <f>"－"</f>
        <v>－</v>
      </c>
      <c r="U739" s="16"/>
      <c r="V739" s="16" t="str">
        <f>"－"</f>
        <v>－</v>
      </c>
      <c r="W739" s="16"/>
      <c r="X739" s="16" t="str">
        <f>"－"</f>
        <v>－</v>
      </c>
      <c r="Y739" s="13"/>
      <c r="Z739" s="17" t="n">
        <f>250</f>
        <v>250.0</v>
      </c>
      <c r="AA739" s="18" t="str">
        <f>"－"</f>
        <v>－</v>
      </c>
      <c r="AB739" s="11" t="s">
        <v>641</v>
      </c>
    </row>
    <row r="740">
      <c r="A740" s="11" t="s">
        <v>46</v>
      </c>
      <c r="B740" s="11" t="s">
        <v>47</v>
      </c>
      <c r="C740" s="11" t="s">
        <v>48</v>
      </c>
      <c r="D740" s="11" t="s">
        <v>49</v>
      </c>
      <c r="E740" s="11" t="s">
        <v>640</v>
      </c>
      <c r="F740" s="12" t="n">
        <v>22500.0</v>
      </c>
      <c r="G740" s="13"/>
      <c r="H740" s="14" t="s">
        <v>57</v>
      </c>
      <c r="I740" s="13"/>
      <c r="J740" s="14" t="s">
        <v>57</v>
      </c>
      <c r="K740" s="13"/>
      <c r="L740" s="14"/>
      <c r="M740" s="13"/>
      <c r="N740" s="14" t="s">
        <v>57</v>
      </c>
      <c r="O740" s="13"/>
      <c r="P740" s="14"/>
      <c r="Q740" s="13"/>
      <c r="R740" s="14" t="s">
        <v>57</v>
      </c>
      <c r="S740" s="15" t="str">
        <f>"－"</f>
        <v>－</v>
      </c>
      <c r="T740" s="16" t="str">
        <f>"－"</f>
        <v>－</v>
      </c>
      <c r="U740" s="16"/>
      <c r="V740" s="16" t="str">
        <f>"－"</f>
        <v>－</v>
      </c>
      <c r="W740" s="16"/>
      <c r="X740" s="16" t="str">
        <f>"－"</f>
        <v>－</v>
      </c>
      <c r="Y740" s="13"/>
      <c r="Z740" s="17" t="n">
        <f>700</f>
        <v>700.0</v>
      </c>
      <c r="AA740" s="18" t="str">
        <f>"－"</f>
        <v>－</v>
      </c>
      <c r="AB740" s="11" t="s">
        <v>641</v>
      </c>
    </row>
    <row r="741">
      <c r="A741" s="11" t="s">
        <v>46</v>
      </c>
      <c r="B741" s="11" t="s">
        <v>47</v>
      </c>
      <c r="C741" s="11" t="s">
        <v>48</v>
      </c>
      <c r="D741" s="11" t="s">
        <v>49</v>
      </c>
      <c r="E741" s="11" t="s">
        <v>640</v>
      </c>
      <c r="F741" s="12" t="n">
        <v>22750.0</v>
      </c>
      <c r="G741" s="13"/>
      <c r="H741" s="14" t="s">
        <v>57</v>
      </c>
      <c r="I741" s="13"/>
      <c r="J741" s="14" t="s">
        <v>57</v>
      </c>
      <c r="K741" s="13"/>
      <c r="L741" s="14"/>
      <c r="M741" s="13"/>
      <c r="N741" s="14" t="s">
        <v>57</v>
      </c>
      <c r="O741" s="13"/>
      <c r="P741" s="14"/>
      <c r="Q741" s="13"/>
      <c r="R741" s="14" t="s">
        <v>57</v>
      </c>
      <c r="S741" s="15" t="str">
        <f>"－"</f>
        <v>－</v>
      </c>
      <c r="T741" s="16" t="str">
        <f>"－"</f>
        <v>－</v>
      </c>
      <c r="U741" s="16"/>
      <c r="V741" s="16" t="str">
        <f>"－"</f>
        <v>－</v>
      </c>
      <c r="W741" s="16"/>
      <c r="X741" s="16" t="str">
        <f>"－"</f>
        <v>－</v>
      </c>
      <c r="Y741" s="13"/>
      <c r="Z741" s="17" t="n">
        <f>150</f>
        <v>150.0</v>
      </c>
      <c r="AA741" s="18" t="str">
        <f>"－"</f>
        <v>－</v>
      </c>
      <c r="AB741" s="11" t="s">
        <v>641</v>
      </c>
    </row>
    <row r="742">
      <c r="A742" s="11" t="s">
        <v>46</v>
      </c>
      <c r="B742" s="11" t="s">
        <v>47</v>
      </c>
      <c r="C742" s="11" t="s">
        <v>48</v>
      </c>
      <c r="D742" s="11" t="s">
        <v>49</v>
      </c>
      <c r="E742" s="11" t="s">
        <v>640</v>
      </c>
      <c r="F742" s="12" t="n">
        <v>23000.0</v>
      </c>
      <c r="G742" s="13"/>
      <c r="H742" s="14" t="s">
        <v>57</v>
      </c>
      <c r="I742" s="13"/>
      <c r="J742" s="14" t="s">
        <v>57</v>
      </c>
      <c r="K742" s="13" t="s">
        <v>58</v>
      </c>
      <c r="L742" s="14" t="s">
        <v>643</v>
      </c>
      <c r="M742" s="13"/>
      <c r="N742" s="14" t="s">
        <v>57</v>
      </c>
      <c r="O742" s="13" t="s">
        <v>58</v>
      </c>
      <c r="P742" s="14" t="s">
        <v>643</v>
      </c>
      <c r="Q742" s="13"/>
      <c r="R742" s="14" t="s">
        <v>57</v>
      </c>
      <c r="S742" s="15" t="str">
        <f>"－"</f>
        <v>－</v>
      </c>
      <c r="T742" s="16" t="n">
        <f>300</f>
        <v>300.0</v>
      </c>
      <c r="U742" s="16" t="n">
        <v>300.0</v>
      </c>
      <c r="V742" s="16" t="n">
        <f>810000000</f>
        <v>8.1E8</v>
      </c>
      <c r="W742" s="16" t="n">
        <v>8.1E8</v>
      </c>
      <c r="X742" s="16" t="str">
        <f>"－"</f>
        <v>－</v>
      </c>
      <c r="Y742" s="13"/>
      <c r="Z742" s="17" t="n">
        <f>2052</f>
        <v>2052.0</v>
      </c>
      <c r="AA742" s="18" t="str">
        <f>"－"</f>
        <v>－</v>
      </c>
      <c r="AB742" s="11" t="s">
        <v>641</v>
      </c>
    </row>
    <row r="743">
      <c r="A743" s="11" t="s">
        <v>46</v>
      </c>
      <c r="B743" s="11" t="s">
        <v>47</v>
      </c>
      <c r="C743" s="11" t="s">
        <v>48</v>
      </c>
      <c r="D743" s="11" t="s">
        <v>49</v>
      </c>
      <c r="E743" s="11" t="s">
        <v>640</v>
      </c>
      <c r="F743" s="12" t="n">
        <v>23250.0</v>
      </c>
      <c r="G743" s="13"/>
      <c r="H743" s="14" t="s">
        <v>57</v>
      </c>
      <c r="I743" s="13"/>
      <c r="J743" s="14" t="s">
        <v>57</v>
      </c>
      <c r="K743" s="13"/>
      <c r="L743" s="14"/>
      <c r="M743" s="13"/>
      <c r="N743" s="14" t="s">
        <v>57</v>
      </c>
      <c r="O743" s="13"/>
      <c r="P743" s="14"/>
      <c r="Q743" s="13"/>
      <c r="R743" s="14" t="s">
        <v>57</v>
      </c>
      <c r="S743" s="15" t="str">
        <f>"－"</f>
        <v>－</v>
      </c>
      <c r="T743" s="16" t="str">
        <f>"－"</f>
        <v>－</v>
      </c>
      <c r="U743" s="16"/>
      <c r="V743" s="16" t="str">
        <f>"－"</f>
        <v>－</v>
      </c>
      <c r="W743" s="16"/>
      <c r="X743" s="16" t="str">
        <f>"－"</f>
        <v>－</v>
      </c>
      <c r="Y743" s="13"/>
      <c r="Z743" s="17" t="n">
        <f>50</f>
        <v>50.0</v>
      </c>
      <c r="AA743" s="18" t="str">
        <f>"－"</f>
        <v>－</v>
      </c>
      <c r="AB743" s="11" t="s">
        <v>641</v>
      </c>
    </row>
    <row r="744">
      <c r="A744" s="11" t="s">
        <v>46</v>
      </c>
      <c r="B744" s="11" t="s">
        <v>47</v>
      </c>
      <c r="C744" s="11" t="s">
        <v>48</v>
      </c>
      <c r="D744" s="11" t="s">
        <v>49</v>
      </c>
      <c r="E744" s="11" t="s">
        <v>640</v>
      </c>
      <c r="F744" s="12" t="n">
        <v>23500.0</v>
      </c>
      <c r="G744" s="13"/>
      <c r="H744" s="14" t="s">
        <v>57</v>
      </c>
      <c r="I744" s="13"/>
      <c r="J744" s="14" t="s">
        <v>57</v>
      </c>
      <c r="K744" s="13"/>
      <c r="L744" s="14"/>
      <c r="M744" s="13"/>
      <c r="N744" s="14" t="s">
        <v>57</v>
      </c>
      <c r="O744" s="13"/>
      <c r="P744" s="14"/>
      <c r="Q744" s="13"/>
      <c r="R744" s="14" t="s">
        <v>57</v>
      </c>
      <c r="S744" s="15" t="str">
        <f>"－"</f>
        <v>－</v>
      </c>
      <c r="T744" s="16" t="str">
        <f>"－"</f>
        <v>－</v>
      </c>
      <c r="U744" s="16"/>
      <c r="V744" s="16" t="str">
        <f>"－"</f>
        <v>－</v>
      </c>
      <c r="W744" s="16"/>
      <c r="X744" s="16" t="str">
        <f>"－"</f>
        <v>－</v>
      </c>
      <c r="Y744" s="13"/>
      <c r="Z744" s="17" t="n">
        <f>550</f>
        <v>550.0</v>
      </c>
      <c r="AA744" s="18" t="str">
        <f>"－"</f>
        <v>－</v>
      </c>
      <c r="AB744" s="11" t="s">
        <v>641</v>
      </c>
    </row>
    <row r="745">
      <c r="A745" s="11" t="s">
        <v>46</v>
      </c>
      <c r="B745" s="11" t="s">
        <v>47</v>
      </c>
      <c r="C745" s="11" t="s">
        <v>48</v>
      </c>
      <c r="D745" s="11" t="s">
        <v>49</v>
      </c>
      <c r="E745" s="11" t="s">
        <v>640</v>
      </c>
      <c r="F745" s="12" t="n">
        <v>24000.0</v>
      </c>
      <c r="G745" s="13"/>
      <c r="H745" s="14" t="s">
        <v>57</v>
      </c>
      <c r="I745" s="13"/>
      <c r="J745" s="14" t="s">
        <v>57</v>
      </c>
      <c r="K745" s="13"/>
      <c r="L745" s="14"/>
      <c r="M745" s="13"/>
      <c r="N745" s="14" t="s">
        <v>57</v>
      </c>
      <c r="O745" s="13"/>
      <c r="P745" s="14"/>
      <c r="Q745" s="13"/>
      <c r="R745" s="14" t="s">
        <v>57</v>
      </c>
      <c r="S745" s="15" t="str">
        <f>"－"</f>
        <v>－</v>
      </c>
      <c r="T745" s="16" t="str">
        <f>"－"</f>
        <v>－</v>
      </c>
      <c r="U745" s="16"/>
      <c r="V745" s="16" t="str">
        <f>"－"</f>
        <v>－</v>
      </c>
      <c r="W745" s="16"/>
      <c r="X745" s="16" t="str">
        <f>"－"</f>
        <v>－</v>
      </c>
      <c r="Y745" s="13"/>
      <c r="Z745" s="17" t="n">
        <f>540</f>
        <v>540.0</v>
      </c>
      <c r="AA745" s="18" t="str">
        <f>"－"</f>
        <v>－</v>
      </c>
      <c r="AB745" s="11" t="s">
        <v>641</v>
      </c>
    </row>
    <row r="746">
      <c r="A746" s="11" t="s">
        <v>46</v>
      </c>
      <c r="B746" s="11" t="s">
        <v>47</v>
      </c>
      <c r="C746" s="11" t="s">
        <v>48</v>
      </c>
      <c r="D746" s="11" t="s">
        <v>49</v>
      </c>
      <c r="E746" s="11" t="s">
        <v>640</v>
      </c>
      <c r="F746" s="12" t="n">
        <v>25000.0</v>
      </c>
      <c r="G746" s="13"/>
      <c r="H746" s="14" t="s">
        <v>57</v>
      </c>
      <c r="I746" s="13"/>
      <c r="J746" s="14" t="s">
        <v>57</v>
      </c>
      <c r="K746" s="13"/>
      <c r="L746" s="14"/>
      <c r="M746" s="13"/>
      <c r="N746" s="14" t="s">
        <v>57</v>
      </c>
      <c r="O746" s="13"/>
      <c r="P746" s="14"/>
      <c r="Q746" s="13"/>
      <c r="R746" s="14" t="s">
        <v>57</v>
      </c>
      <c r="S746" s="15" t="str">
        <f>"－"</f>
        <v>－</v>
      </c>
      <c r="T746" s="16" t="str">
        <f>"－"</f>
        <v>－</v>
      </c>
      <c r="U746" s="16"/>
      <c r="V746" s="16" t="str">
        <f>"－"</f>
        <v>－</v>
      </c>
      <c r="W746" s="16"/>
      <c r="X746" s="16" t="str">
        <f>"－"</f>
        <v>－</v>
      </c>
      <c r="Y746" s="13"/>
      <c r="Z746" s="17" t="n">
        <f>450</f>
        <v>450.0</v>
      </c>
      <c r="AA746" s="18" t="str">
        <f>"－"</f>
        <v>－</v>
      </c>
      <c r="AB746" s="11" t="s">
        <v>641</v>
      </c>
    </row>
    <row r="747">
      <c r="A747" s="11" t="s">
        <v>46</v>
      </c>
      <c r="B747" s="11" t="s">
        <v>47</v>
      </c>
      <c r="C747" s="11" t="s">
        <v>48</v>
      </c>
      <c r="D747" s="11" t="s">
        <v>49</v>
      </c>
      <c r="E747" s="11" t="s">
        <v>640</v>
      </c>
      <c r="F747" s="12" t="n">
        <v>27000.0</v>
      </c>
      <c r="G747" s="13"/>
      <c r="H747" s="14" t="s">
        <v>57</v>
      </c>
      <c r="I747" s="13"/>
      <c r="J747" s="14" t="s">
        <v>57</v>
      </c>
      <c r="K747" s="13" t="s">
        <v>207</v>
      </c>
      <c r="L747" s="14" t="s">
        <v>644</v>
      </c>
      <c r="M747" s="13"/>
      <c r="N747" s="14" t="s">
        <v>57</v>
      </c>
      <c r="O747" s="13" t="s">
        <v>207</v>
      </c>
      <c r="P747" s="14" t="s">
        <v>644</v>
      </c>
      <c r="Q747" s="13"/>
      <c r="R747" s="14" t="s">
        <v>57</v>
      </c>
      <c r="S747" s="15" t="str">
        <f>"－"</f>
        <v>－</v>
      </c>
      <c r="T747" s="16" t="n">
        <f>100</f>
        <v>100.0</v>
      </c>
      <c r="U747" s="16" t="n">
        <v>100.0</v>
      </c>
      <c r="V747" s="16" t="n">
        <f>402800000</f>
        <v>4.028E8</v>
      </c>
      <c r="W747" s="16" t="n">
        <v>4.028E8</v>
      </c>
      <c r="X747" s="16" t="str">
        <f>"－"</f>
        <v>－</v>
      </c>
      <c r="Y747" s="13"/>
      <c r="Z747" s="17" t="n">
        <f>100</f>
        <v>100.0</v>
      </c>
      <c r="AA747" s="18" t="str">
        <f>"－"</f>
        <v>－</v>
      </c>
      <c r="AB747" s="11" t="s">
        <v>641</v>
      </c>
    </row>
    <row r="748">
      <c r="A748" s="11" t="s">
        <v>46</v>
      </c>
      <c r="B748" s="11" t="s">
        <v>47</v>
      </c>
      <c r="C748" s="11" t="s">
        <v>48</v>
      </c>
      <c r="D748" s="11" t="s">
        <v>49</v>
      </c>
      <c r="E748" s="11" t="s">
        <v>640</v>
      </c>
      <c r="F748" s="12" t="n">
        <v>28000.0</v>
      </c>
      <c r="G748" s="13"/>
      <c r="H748" s="14" t="s">
        <v>57</v>
      </c>
      <c r="I748" s="13"/>
      <c r="J748" s="14" t="s">
        <v>57</v>
      </c>
      <c r="K748" s="13" t="s">
        <v>211</v>
      </c>
      <c r="L748" s="14" t="s">
        <v>645</v>
      </c>
      <c r="M748" s="13"/>
      <c r="N748" s="14" t="s">
        <v>57</v>
      </c>
      <c r="O748" s="13" t="s">
        <v>211</v>
      </c>
      <c r="P748" s="14" t="s">
        <v>645</v>
      </c>
      <c r="Q748" s="13"/>
      <c r="R748" s="14" t="s">
        <v>57</v>
      </c>
      <c r="S748" s="15" t="str">
        <f>"－"</f>
        <v>－</v>
      </c>
      <c r="T748" s="16" t="n">
        <f>125</f>
        <v>125.0</v>
      </c>
      <c r="U748" s="16" t="n">
        <v>125.0</v>
      </c>
      <c r="V748" s="16" t="n">
        <f>569375000</f>
        <v>5.69375E8</v>
      </c>
      <c r="W748" s="16" t="n">
        <v>5.69375E8</v>
      </c>
      <c r="X748" s="16" t="str">
        <f>"－"</f>
        <v>－</v>
      </c>
      <c r="Y748" s="13"/>
      <c r="Z748" s="17" t="n">
        <f>225</f>
        <v>225.0</v>
      </c>
      <c r="AA748" s="18" t="str">
        <f>"－"</f>
        <v>－</v>
      </c>
      <c r="AB748" s="11" t="s">
        <v>641</v>
      </c>
    </row>
    <row r="749">
      <c r="A749" s="11" t="s">
        <v>46</v>
      </c>
      <c r="B749" s="11" t="s">
        <v>47</v>
      </c>
      <c r="C749" s="11" t="s">
        <v>48</v>
      </c>
      <c r="D749" s="11" t="s">
        <v>49</v>
      </c>
      <c r="E749" s="11" t="s">
        <v>640</v>
      </c>
      <c r="F749" s="12" t="n">
        <v>28500.0</v>
      </c>
      <c r="G749" s="13"/>
      <c r="H749" s="14" t="s">
        <v>57</v>
      </c>
      <c r="I749" s="13"/>
      <c r="J749" s="14" t="s">
        <v>57</v>
      </c>
      <c r="K749" s="13"/>
      <c r="L749" s="14"/>
      <c r="M749" s="13"/>
      <c r="N749" s="14" t="s">
        <v>57</v>
      </c>
      <c r="O749" s="13"/>
      <c r="P749" s="14"/>
      <c r="Q749" s="13"/>
      <c r="R749" s="14" t="s">
        <v>57</v>
      </c>
      <c r="S749" s="15" t="str">
        <f>"－"</f>
        <v>－</v>
      </c>
      <c r="T749" s="16" t="str">
        <f>"－"</f>
        <v>－</v>
      </c>
      <c r="U749" s="16"/>
      <c r="V749" s="16" t="str">
        <f>"－"</f>
        <v>－</v>
      </c>
      <c r="W749" s="16"/>
      <c r="X749" s="16" t="str">
        <f>"－"</f>
        <v>－</v>
      </c>
      <c r="Y749" s="13"/>
      <c r="Z749" s="17" t="n">
        <f>100</f>
        <v>100.0</v>
      </c>
      <c r="AA749" s="18" t="str">
        <f>"－"</f>
        <v>－</v>
      </c>
      <c r="AB749" s="11" t="s">
        <v>641</v>
      </c>
    </row>
    <row r="750">
      <c r="A750" s="11" t="s">
        <v>46</v>
      </c>
      <c r="B750" s="11" t="s">
        <v>47</v>
      </c>
      <c r="C750" s="11" t="s">
        <v>48</v>
      </c>
      <c r="D750" s="11" t="s">
        <v>49</v>
      </c>
      <c r="E750" s="11" t="s">
        <v>640</v>
      </c>
      <c r="F750" s="12" t="n">
        <v>29000.0</v>
      </c>
      <c r="G750" s="13"/>
      <c r="H750" s="14" t="s">
        <v>57</v>
      </c>
      <c r="I750" s="13"/>
      <c r="J750" s="14" t="s">
        <v>57</v>
      </c>
      <c r="K750" s="13" t="s">
        <v>52</v>
      </c>
      <c r="L750" s="14" t="s">
        <v>646</v>
      </c>
      <c r="M750" s="13"/>
      <c r="N750" s="14" t="s">
        <v>57</v>
      </c>
      <c r="O750" s="13" t="s">
        <v>52</v>
      </c>
      <c r="P750" s="14" t="s">
        <v>646</v>
      </c>
      <c r="Q750" s="13"/>
      <c r="R750" s="14" t="s">
        <v>57</v>
      </c>
      <c r="S750" s="15" t="str">
        <f>"－"</f>
        <v>－</v>
      </c>
      <c r="T750" s="16" t="n">
        <f>25</f>
        <v>25.0</v>
      </c>
      <c r="U750" s="16" t="n">
        <v>25.0</v>
      </c>
      <c r="V750" s="16" t="n">
        <f>133625000</f>
        <v>1.33625E8</v>
      </c>
      <c r="W750" s="16" t="n">
        <v>1.33625E8</v>
      </c>
      <c r="X750" s="16" t="str">
        <f>"－"</f>
        <v>－</v>
      </c>
      <c r="Y750" s="13"/>
      <c r="Z750" s="17" t="n">
        <f>25</f>
        <v>25.0</v>
      </c>
      <c r="AA750" s="18" t="str">
        <f>"－"</f>
        <v>－</v>
      </c>
      <c r="AB750" s="11" t="s">
        <v>641</v>
      </c>
    </row>
    <row r="751">
      <c r="A751" s="11" t="s">
        <v>46</v>
      </c>
      <c r="B751" s="11" t="s">
        <v>47</v>
      </c>
      <c r="C751" s="11" t="s">
        <v>48</v>
      </c>
      <c r="D751" s="11" t="s">
        <v>49</v>
      </c>
      <c r="E751" s="11" t="s">
        <v>647</v>
      </c>
      <c r="F751" s="12" t="n">
        <v>12500.0</v>
      </c>
      <c r="G751" s="13"/>
      <c r="H751" s="14" t="s">
        <v>57</v>
      </c>
      <c r="I751" s="13"/>
      <c r="J751" s="14" t="s">
        <v>57</v>
      </c>
      <c r="K751" s="13"/>
      <c r="L751" s="14"/>
      <c r="M751" s="13"/>
      <c r="N751" s="14" t="s">
        <v>57</v>
      </c>
      <c r="O751" s="13"/>
      <c r="P751" s="14"/>
      <c r="Q751" s="13"/>
      <c r="R751" s="14" t="s">
        <v>57</v>
      </c>
      <c r="S751" s="15" t="str">
        <f>"－"</f>
        <v>－</v>
      </c>
      <c r="T751" s="16" t="str">
        <f>"－"</f>
        <v>－</v>
      </c>
      <c r="U751" s="16"/>
      <c r="V751" s="16" t="str">
        <f>"－"</f>
        <v>－</v>
      </c>
      <c r="W751" s="16"/>
      <c r="X751" s="16" t="str">
        <f>"－"</f>
        <v>－</v>
      </c>
      <c r="Y751" s="13"/>
      <c r="Z751" s="17" t="n">
        <f>2</f>
        <v>2.0</v>
      </c>
      <c r="AA751" s="18" t="str">
        <f>"－"</f>
        <v>－</v>
      </c>
      <c r="AB751" s="11" t="s">
        <v>648</v>
      </c>
    </row>
    <row r="752">
      <c r="A752" s="11" t="s">
        <v>46</v>
      </c>
      <c r="B752" s="11" t="s">
        <v>47</v>
      </c>
      <c r="C752" s="11" t="s">
        <v>48</v>
      </c>
      <c r="D752" s="11" t="s">
        <v>49</v>
      </c>
      <c r="E752" s="11" t="s">
        <v>647</v>
      </c>
      <c r="F752" s="12" t="n">
        <v>17750.0</v>
      </c>
      <c r="G752" s="13"/>
      <c r="H752" s="14" t="s">
        <v>57</v>
      </c>
      <c r="I752" s="13"/>
      <c r="J752" s="14" t="s">
        <v>57</v>
      </c>
      <c r="K752" s="13"/>
      <c r="L752" s="14"/>
      <c r="M752" s="13"/>
      <c r="N752" s="14" t="s">
        <v>57</v>
      </c>
      <c r="O752" s="13"/>
      <c r="P752" s="14"/>
      <c r="Q752" s="13"/>
      <c r="R752" s="14" t="s">
        <v>57</v>
      </c>
      <c r="S752" s="15" t="str">
        <f>"－"</f>
        <v>－</v>
      </c>
      <c r="T752" s="16" t="str">
        <f>"－"</f>
        <v>－</v>
      </c>
      <c r="U752" s="16"/>
      <c r="V752" s="16" t="str">
        <f>"－"</f>
        <v>－</v>
      </c>
      <c r="W752" s="16"/>
      <c r="X752" s="16" t="str">
        <f>"－"</f>
        <v>－</v>
      </c>
      <c r="Y752" s="13"/>
      <c r="Z752" s="17" t="n">
        <f>100</f>
        <v>100.0</v>
      </c>
      <c r="AA752" s="18" t="str">
        <f>"－"</f>
        <v>－</v>
      </c>
      <c r="AB752" s="11" t="s">
        <v>648</v>
      </c>
    </row>
    <row r="753">
      <c r="A753" s="11" t="s">
        <v>46</v>
      </c>
      <c r="B753" s="11" t="s">
        <v>47</v>
      </c>
      <c r="C753" s="11" t="s">
        <v>48</v>
      </c>
      <c r="D753" s="11" t="s">
        <v>49</v>
      </c>
      <c r="E753" s="11" t="s">
        <v>647</v>
      </c>
      <c r="F753" s="12" t="n">
        <v>19000.0</v>
      </c>
      <c r="G753" s="13"/>
      <c r="H753" s="14" t="s">
        <v>57</v>
      </c>
      <c r="I753" s="13"/>
      <c r="J753" s="14" t="s">
        <v>57</v>
      </c>
      <c r="K753" s="13"/>
      <c r="L753" s="14"/>
      <c r="M753" s="13"/>
      <c r="N753" s="14" t="s">
        <v>57</v>
      </c>
      <c r="O753" s="13"/>
      <c r="P753" s="14"/>
      <c r="Q753" s="13"/>
      <c r="R753" s="14" t="s">
        <v>57</v>
      </c>
      <c r="S753" s="15" t="str">
        <f>"－"</f>
        <v>－</v>
      </c>
      <c r="T753" s="16" t="str">
        <f>"－"</f>
        <v>－</v>
      </c>
      <c r="U753" s="16"/>
      <c r="V753" s="16" t="str">
        <f>"－"</f>
        <v>－</v>
      </c>
      <c r="W753" s="16"/>
      <c r="X753" s="16" t="str">
        <f>"－"</f>
        <v>－</v>
      </c>
      <c r="Y753" s="13"/>
      <c r="Z753" s="17" t="n">
        <f>25</f>
        <v>25.0</v>
      </c>
      <c r="AA753" s="18" t="str">
        <f>"－"</f>
        <v>－</v>
      </c>
      <c r="AB753" s="11" t="s">
        <v>648</v>
      </c>
    </row>
    <row r="754">
      <c r="A754" s="11" t="s">
        <v>46</v>
      </c>
      <c r="B754" s="11" t="s">
        <v>47</v>
      </c>
      <c r="C754" s="11" t="s">
        <v>48</v>
      </c>
      <c r="D754" s="11" t="s">
        <v>49</v>
      </c>
      <c r="E754" s="11" t="s">
        <v>647</v>
      </c>
      <c r="F754" s="12" t="n">
        <v>21000.0</v>
      </c>
      <c r="G754" s="13"/>
      <c r="H754" s="14" t="s">
        <v>57</v>
      </c>
      <c r="I754" s="13"/>
      <c r="J754" s="14" t="s">
        <v>57</v>
      </c>
      <c r="K754" s="13"/>
      <c r="L754" s="14"/>
      <c r="M754" s="13"/>
      <c r="N754" s="14" t="s">
        <v>57</v>
      </c>
      <c r="O754" s="13"/>
      <c r="P754" s="14"/>
      <c r="Q754" s="13"/>
      <c r="R754" s="14" t="s">
        <v>57</v>
      </c>
      <c r="S754" s="15" t="str">
        <f>"－"</f>
        <v>－</v>
      </c>
      <c r="T754" s="16" t="str">
        <f>"－"</f>
        <v>－</v>
      </c>
      <c r="U754" s="16"/>
      <c r="V754" s="16" t="str">
        <f>"－"</f>
        <v>－</v>
      </c>
      <c r="W754" s="16"/>
      <c r="X754" s="16" t="str">
        <f>"－"</f>
        <v>－</v>
      </c>
      <c r="Y754" s="13"/>
      <c r="Z754" s="17" t="n">
        <f>25</f>
        <v>25.0</v>
      </c>
      <c r="AA754" s="18" t="str">
        <f>"－"</f>
        <v>－</v>
      </c>
      <c r="AB754" s="11" t="s">
        <v>648</v>
      </c>
    </row>
    <row r="755">
      <c r="A755" s="11" t="s">
        <v>46</v>
      </c>
      <c r="B755" s="11" t="s">
        <v>47</v>
      </c>
      <c r="C755" s="11" t="s">
        <v>48</v>
      </c>
      <c r="D755" s="11" t="s">
        <v>49</v>
      </c>
      <c r="E755" s="11" t="s">
        <v>647</v>
      </c>
      <c r="F755" s="12" t="n">
        <v>22000.0</v>
      </c>
      <c r="G755" s="13"/>
      <c r="H755" s="14" t="s">
        <v>57</v>
      </c>
      <c r="I755" s="13"/>
      <c r="J755" s="14" t="s">
        <v>57</v>
      </c>
      <c r="K755" s="13" t="s">
        <v>204</v>
      </c>
      <c r="L755" s="14" t="s">
        <v>550</v>
      </c>
      <c r="M755" s="13"/>
      <c r="N755" s="14" t="s">
        <v>57</v>
      </c>
      <c r="O755" s="13" t="s">
        <v>204</v>
      </c>
      <c r="P755" s="14" t="s">
        <v>550</v>
      </c>
      <c r="Q755" s="13"/>
      <c r="R755" s="14" t="s">
        <v>57</v>
      </c>
      <c r="S755" s="15" t="str">
        <f>"－"</f>
        <v>－</v>
      </c>
      <c r="T755" s="16" t="n">
        <f>250</f>
        <v>250.0</v>
      </c>
      <c r="U755" s="16" t="n">
        <v>250.0</v>
      </c>
      <c r="V755" s="16" t="n">
        <f>650000000</f>
        <v>6.5E8</v>
      </c>
      <c r="W755" s="16" t="n">
        <v>6.5E8</v>
      </c>
      <c r="X755" s="16" t="str">
        <f>"－"</f>
        <v>－</v>
      </c>
      <c r="Y755" s="13"/>
      <c r="Z755" s="17" t="n">
        <f>250</f>
        <v>250.0</v>
      </c>
      <c r="AA755" s="18" t="str">
        <f>"－"</f>
        <v>－</v>
      </c>
      <c r="AB755" s="11" t="s">
        <v>648</v>
      </c>
    </row>
    <row r="756">
      <c r="A756" s="11" t="s">
        <v>46</v>
      </c>
      <c r="B756" s="11" t="s">
        <v>47</v>
      </c>
      <c r="C756" s="11" t="s">
        <v>48</v>
      </c>
      <c r="D756" s="11" t="s">
        <v>49</v>
      </c>
      <c r="E756" s="11" t="s">
        <v>647</v>
      </c>
      <c r="F756" s="12" t="n">
        <v>23000.0</v>
      </c>
      <c r="G756" s="13"/>
      <c r="H756" s="14" t="s">
        <v>57</v>
      </c>
      <c r="I756" s="13"/>
      <c r="J756" s="14" t="s">
        <v>57</v>
      </c>
      <c r="K756" s="13" t="s">
        <v>58</v>
      </c>
      <c r="L756" s="14" t="s">
        <v>649</v>
      </c>
      <c r="M756" s="13"/>
      <c r="N756" s="14" t="s">
        <v>57</v>
      </c>
      <c r="O756" s="13" t="s">
        <v>58</v>
      </c>
      <c r="P756" s="14" t="s">
        <v>649</v>
      </c>
      <c r="Q756" s="13"/>
      <c r="R756" s="14" t="s">
        <v>57</v>
      </c>
      <c r="S756" s="15" t="str">
        <f>"－"</f>
        <v>－</v>
      </c>
      <c r="T756" s="16" t="n">
        <f>300</f>
        <v>300.0</v>
      </c>
      <c r="U756" s="16" t="n">
        <v>300.0</v>
      </c>
      <c r="V756" s="16" t="n">
        <f>990000000</f>
        <v>9.9E8</v>
      </c>
      <c r="W756" s="16" t="n">
        <v>9.9E8</v>
      </c>
      <c r="X756" s="16" t="str">
        <f>"－"</f>
        <v>－</v>
      </c>
      <c r="Y756" s="13"/>
      <c r="Z756" s="17" t="n">
        <f>300</f>
        <v>300.0</v>
      </c>
      <c r="AA756" s="18" t="str">
        <f>"－"</f>
        <v>－</v>
      </c>
      <c r="AB756" s="11" t="s">
        <v>648</v>
      </c>
    </row>
    <row r="757">
      <c r="A757" s="11" t="s">
        <v>46</v>
      </c>
      <c r="B757" s="11" t="s">
        <v>47</v>
      </c>
      <c r="C757" s="11" t="s">
        <v>48</v>
      </c>
      <c r="D757" s="11" t="s">
        <v>49</v>
      </c>
      <c r="E757" s="11" t="s">
        <v>647</v>
      </c>
      <c r="F757" s="12" t="n">
        <v>26500.0</v>
      </c>
      <c r="G757" s="13"/>
      <c r="H757" s="14" t="s">
        <v>57</v>
      </c>
      <c r="I757" s="13"/>
      <c r="J757" s="14" t="s">
        <v>57</v>
      </c>
      <c r="K757" s="13"/>
      <c r="L757" s="14"/>
      <c r="M757" s="13"/>
      <c r="N757" s="14" t="s">
        <v>57</v>
      </c>
      <c r="O757" s="13"/>
      <c r="P757" s="14"/>
      <c r="Q757" s="13"/>
      <c r="R757" s="14" t="s">
        <v>57</v>
      </c>
      <c r="S757" s="15" t="str">
        <f>"－"</f>
        <v>－</v>
      </c>
      <c r="T757" s="16" t="str">
        <f>"－"</f>
        <v>－</v>
      </c>
      <c r="U757" s="16"/>
      <c r="V757" s="16" t="str">
        <f>"－"</f>
        <v>－</v>
      </c>
      <c r="W757" s="16"/>
      <c r="X757" s="16" t="str">
        <f>"－"</f>
        <v>－</v>
      </c>
      <c r="Y757" s="13"/>
      <c r="Z757" s="17" t="n">
        <f>50</f>
        <v>50.0</v>
      </c>
      <c r="AA757" s="18" t="str">
        <f>"－"</f>
        <v>－</v>
      </c>
      <c r="AB757" s="11" t="s">
        <v>648</v>
      </c>
    </row>
    <row r="758">
      <c r="A758" s="11" t="s">
        <v>46</v>
      </c>
      <c r="B758" s="11" t="s">
        <v>47</v>
      </c>
      <c r="C758" s="11" t="s">
        <v>48</v>
      </c>
      <c r="D758" s="11" t="s">
        <v>49</v>
      </c>
      <c r="E758" s="11" t="s">
        <v>647</v>
      </c>
      <c r="F758" s="12" t="n">
        <v>29000.0</v>
      </c>
      <c r="G758" s="13"/>
      <c r="H758" s="14" t="s">
        <v>57</v>
      </c>
      <c r="I758" s="13"/>
      <c r="J758" s="14" t="s">
        <v>57</v>
      </c>
      <c r="K758" s="13" t="s">
        <v>204</v>
      </c>
      <c r="L758" s="14" t="s">
        <v>650</v>
      </c>
      <c r="M758" s="13"/>
      <c r="N758" s="14" t="s">
        <v>57</v>
      </c>
      <c r="O758" s="13" t="s">
        <v>204</v>
      </c>
      <c r="P758" s="14" t="s">
        <v>650</v>
      </c>
      <c r="Q758" s="13"/>
      <c r="R758" s="14" t="s">
        <v>57</v>
      </c>
      <c r="S758" s="15" t="str">
        <f>"－"</f>
        <v>－</v>
      </c>
      <c r="T758" s="16" t="n">
        <f>200</f>
        <v>200.0</v>
      </c>
      <c r="U758" s="16" t="n">
        <v>200.0</v>
      </c>
      <c r="V758" s="16" t="n">
        <f>1166000000</f>
        <v>1.166E9</v>
      </c>
      <c r="W758" s="16" t="n">
        <v>1.166E9</v>
      </c>
      <c r="X758" s="16" t="str">
        <f>"－"</f>
        <v>－</v>
      </c>
      <c r="Y758" s="13"/>
      <c r="Z758" s="17" t="n">
        <f>200</f>
        <v>200.0</v>
      </c>
      <c r="AA758" s="18" t="str">
        <f>"－"</f>
        <v>－</v>
      </c>
      <c r="AB758" s="11" t="s">
        <v>648</v>
      </c>
    </row>
    <row r="759">
      <c r="A759" s="11" t="s">
        <v>46</v>
      </c>
      <c r="B759" s="11" t="s">
        <v>47</v>
      </c>
      <c r="C759" s="11" t="s">
        <v>48</v>
      </c>
      <c r="D759" s="11" t="s">
        <v>651</v>
      </c>
      <c r="E759" s="11" t="s">
        <v>46</v>
      </c>
      <c r="F759" s="12" t="n">
        <v>16250.0</v>
      </c>
      <c r="G759" s="13"/>
      <c r="H759" s="14" t="s">
        <v>57</v>
      </c>
      <c r="I759" s="13"/>
      <c r="J759" s="14" t="s">
        <v>57</v>
      </c>
      <c r="K759" s="13"/>
      <c r="L759" s="14"/>
      <c r="M759" s="13"/>
      <c r="N759" s="14" t="s">
        <v>57</v>
      </c>
      <c r="O759" s="13"/>
      <c r="P759" s="14"/>
      <c r="Q759" s="13"/>
      <c r="R759" s="14" t="s">
        <v>57</v>
      </c>
      <c r="S759" s="15" t="str">
        <f>"－"</f>
        <v>－</v>
      </c>
      <c r="T759" s="16" t="str">
        <f>"－"</f>
        <v>－</v>
      </c>
      <c r="U759" s="16"/>
      <c r="V759" s="16" t="str">
        <f>"－"</f>
        <v>－</v>
      </c>
      <c r="W759" s="16"/>
      <c r="X759" s="16" t="n">
        <f>2</f>
        <v>2.0</v>
      </c>
      <c r="Y759" s="13" t="s">
        <v>53</v>
      </c>
      <c r="Z759" s="17" t="str">
        <f>"－"</f>
        <v>－</v>
      </c>
      <c r="AA759" s="18" t="str">
        <f>"－"</f>
        <v>－</v>
      </c>
      <c r="AB759" s="11" t="s">
        <v>54</v>
      </c>
    </row>
    <row r="760">
      <c r="A760" s="11" t="s">
        <v>46</v>
      </c>
      <c r="B760" s="11" t="s">
        <v>47</v>
      </c>
      <c r="C760" s="11" t="s">
        <v>48</v>
      </c>
      <c r="D760" s="11" t="s">
        <v>651</v>
      </c>
      <c r="E760" s="11" t="s">
        <v>46</v>
      </c>
      <c r="F760" s="12" t="n">
        <v>17000.0</v>
      </c>
      <c r="G760" s="13"/>
      <c r="H760" s="14" t="s">
        <v>57</v>
      </c>
      <c r="I760" s="13"/>
      <c r="J760" s="14" t="s">
        <v>57</v>
      </c>
      <c r="K760" s="13"/>
      <c r="L760" s="14"/>
      <c r="M760" s="13"/>
      <c r="N760" s="14" t="s">
        <v>57</v>
      </c>
      <c r="O760" s="13"/>
      <c r="P760" s="14"/>
      <c r="Q760" s="13"/>
      <c r="R760" s="14" t="s">
        <v>57</v>
      </c>
      <c r="S760" s="15" t="str">
        <f>"－"</f>
        <v>－</v>
      </c>
      <c r="T760" s="16" t="str">
        <f>"－"</f>
        <v>－</v>
      </c>
      <c r="U760" s="16"/>
      <c r="V760" s="16" t="str">
        <f>"－"</f>
        <v>－</v>
      </c>
      <c r="W760" s="16"/>
      <c r="X760" s="16" t="n">
        <f>2</f>
        <v>2.0</v>
      </c>
      <c r="Y760" s="13" t="s">
        <v>53</v>
      </c>
      <c r="Z760" s="17" t="str">
        <f>"－"</f>
        <v>－</v>
      </c>
      <c r="AA760" s="18" t="str">
        <f>"－"</f>
        <v>－</v>
      </c>
      <c r="AB760" s="11" t="s">
        <v>54</v>
      </c>
    </row>
    <row r="761">
      <c r="A761" s="11" t="s">
        <v>46</v>
      </c>
      <c r="B761" s="11" t="s">
        <v>47</v>
      </c>
      <c r="C761" s="11" t="s">
        <v>48</v>
      </c>
      <c r="D761" s="11" t="s">
        <v>651</v>
      </c>
      <c r="E761" s="11" t="s">
        <v>46</v>
      </c>
      <c r="F761" s="12" t="n">
        <v>17500.0</v>
      </c>
      <c r="G761" s="13"/>
      <c r="H761" s="14" t="s">
        <v>57</v>
      </c>
      <c r="I761" s="13"/>
      <c r="J761" s="14" t="s">
        <v>57</v>
      </c>
      <c r="K761" s="13"/>
      <c r="L761" s="14"/>
      <c r="M761" s="13"/>
      <c r="N761" s="14" t="s">
        <v>57</v>
      </c>
      <c r="O761" s="13"/>
      <c r="P761" s="14"/>
      <c r="Q761" s="13"/>
      <c r="R761" s="14" t="s">
        <v>57</v>
      </c>
      <c r="S761" s="15" t="str">
        <f>"－"</f>
        <v>－</v>
      </c>
      <c r="T761" s="16" t="str">
        <f>"－"</f>
        <v>－</v>
      </c>
      <c r="U761" s="16"/>
      <c r="V761" s="16" t="str">
        <f>"－"</f>
        <v>－</v>
      </c>
      <c r="W761" s="16"/>
      <c r="X761" s="16" t="n">
        <f>4</f>
        <v>4.0</v>
      </c>
      <c r="Y761" s="13" t="s">
        <v>53</v>
      </c>
      <c r="Z761" s="17" t="str">
        <f>"－"</f>
        <v>－</v>
      </c>
      <c r="AA761" s="18" t="str">
        <f>"－"</f>
        <v>－</v>
      </c>
      <c r="AB761" s="11" t="s">
        <v>54</v>
      </c>
    </row>
    <row r="762">
      <c r="A762" s="11" t="s">
        <v>46</v>
      </c>
      <c r="B762" s="11" t="s">
        <v>47</v>
      </c>
      <c r="C762" s="11" t="s">
        <v>48</v>
      </c>
      <c r="D762" s="11" t="s">
        <v>651</v>
      </c>
      <c r="E762" s="11" t="s">
        <v>46</v>
      </c>
      <c r="F762" s="12" t="n">
        <v>18500.0</v>
      </c>
      <c r="G762" s="13" t="s">
        <v>58</v>
      </c>
      <c r="H762" s="14" t="s">
        <v>652</v>
      </c>
      <c r="I762" s="13" t="s">
        <v>58</v>
      </c>
      <c r="J762" s="14" t="s">
        <v>652</v>
      </c>
      <c r="K762" s="13"/>
      <c r="L762" s="14"/>
      <c r="M762" s="13" t="s">
        <v>58</v>
      </c>
      <c r="N762" s="14" t="s">
        <v>652</v>
      </c>
      <c r="O762" s="13"/>
      <c r="P762" s="14"/>
      <c r="Q762" s="13" t="s">
        <v>58</v>
      </c>
      <c r="R762" s="14" t="s">
        <v>652</v>
      </c>
      <c r="S762" s="15" t="n">
        <f>10100</f>
        <v>10100.0</v>
      </c>
      <c r="T762" s="16" t="n">
        <f>1</f>
        <v>1.0</v>
      </c>
      <c r="U762" s="16"/>
      <c r="V762" s="16" t="n">
        <f>10100000</f>
        <v>1.01E7</v>
      </c>
      <c r="W762" s="16"/>
      <c r="X762" s="16" t="str">
        <f>"－"</f>
        <v>－</v>
      </c>
      <c r="Y762" s="13" t="s">
        <v>53</v>
      </c>
      <c r="Z762" s="17" t="str">
        <f>"－"</f>
        <v>－</v>
      </c>
      <c r="AA762" s="18" t="n">
        <f>1</f>
        <v>1.0</v>
      </c>
      <c r="AB762" s="11" t="s">
        <v>54</v>
      </c>
    </row>
    <row r="763">
      <c r="A763" s="11" t="s">
        <v>46</v>
      </c>
      <c r="B763" s="11" t="s">
        <v>47</v>
      </c>
      <c r="C763" s="11" t="s">
        <v>48</v>
      </c>
      <c r="D763" s="11" t="s">
        <v>651</v>
      </c>
      <c r="E763" s="11" t="s">
        <v>46</v>
      </c>
      <c r="F763" s="12" t="n">
        <v>19000.0</v>
      </c>
      <c r="G763" s="13" t="s">
        <v>61</v>
      </c>
      <c r="H763" s="14" t="s">
        <v>653</v>
      </c>
      <c r="I763" s="13" t="s">
        <v>61</v>
      </c>
      <c r="J763" s="14" t="s">
        <v>653</v>
      </c>
      <c r="K763" s="13"/>
      <c r="L763" s="14"/>
      <c r="M763" s="13" t="s">
        <v>61</v>
      </c>
      <c r="N763" s="14" t="s">
        <v>653</v>
      </c>
      <c r="O763" s="13"/>
      <c r="P763" s="14"/>
      <c r="Q763" s="13" t="s">
        <v>61</v>
      </c>
      <c r="R763" s="14" t="s">
        <v>653</v>
      </c>
      <c r="S763" s="15" t="n">
        <f>10240</f>
        <v>10240.0</v>
      </c>
      <c r="T763" s="16" t="n">
        <f>2</f>
        <v>2.0</v>
      </c>
      <c r="U763" s="16"/>
      <c r="V763" s="16" t="n">
        <f>20480000</f>
        <v>2.048E7</v>
      </c>
      <c r="W763" s="16"/>
      <c r="X763" s="16" t="n">
        <f>1</f>
        <v>1.0</v>
      </c>
      <c r="Y763" s="13" t="s">
        <v>53</v>
      </c>
      <c r="Z763" s="17" t="str">
        <f>"－"</f>
        <v>－</v>
      </c>
      <c r="AA763" s="18" t="n">
        <f>1</f>
        <v>1.0</v>
      </c>
      <c r="AB763" s="11" t="s">
        <v>54</v>
      </c>
    </row>
    <row r="764">
      <c r="A764" s="11" t="s">
        <v>46</v>
      </c>
      <c r="B764" s="11" t="s">
        <v>47</v>
      </c>
      <c r="C764" s="11" t="s">
        <v>48</v>
      </c>
      <c r="D764" s="11" t="s">
        <v>651</v>
      </c>
      <c r="E764" s="11" t="s">
        <v>46</v>
      </c>
      <c r="F764" s="12" t="n">
        <v>20000.0</v>
      </c>
      <c r="G764" s="13" t="s">
        <v>56</v>
      </c>
      <c r="H764" s="14" t="s">
        <v>654</v>
      </c>
      <c r="I764" s="13" t="s">
        <v>56</v>
      </c>
      <c r="J764" s="14" t="s">
        <v>654</v>
      </c>
      <c r="K764" s="13"/>
      <c r="L764" s="14"/>
      <c r="M764" s="13" t="s">
        <v>56</v>
      </c>
      <c r="N764" s="14" t="s">
        <v>654</v>
      </c>
      <c r="O764" s="13"/>
      <c r="P764" s="14"/>
      <c r="Q764" s="13" t="s">
        <v>56</v>
      </c>
      <c r="R764" s="14" t="s">
        <v>654</v>
      </c>
      <c r="S764" s="15" t="n">
        <f>9520</f>
        <v>9520.0</v>
      </c>
      <c r="T764" s="16" t="n">
        <f>1</f>
        <v>1.0</v>
      </c>
      <c r="U764" s="16"/>
      <c r="V764" s="16" t="n">
        <f>9520000</f>
        <v>9520000.0</v>
      </c>
      <c r="W764" s="16"/>
      <c r="X764" s="16" t="str">
        <f>"－"</f>
        <v>－</v>
      </c>
      <c r="Y764" s="13" t="s">
        <v>53</v>
      </c>
      <c r="Z764" s="17" t="str">
        <f>"－"</f>
        <v>－</v>
      </c>
      <c r="AA764" s="18" t="n">
        <f>1</f>
        <v>1.0</v>
      </c>
      <c r="AB764" s="11" t="s">
        <v>54</v>
      </c>
    </row>
    <row r="765">
      <c r="A765" s="11" t="s">
        <v>46</v>
      </c>
      <c r="B765" s="11" t="s">
        <v>47</v>
      </c>
      <c r="C765" s="11" t="s">
        <v>48</v>
      </c>
      <c r="D765" s="11" t="s">
        <v>651</v>
      </c>
      <c r="E765" s="11" t="s">
        <v>46</v>
      </c>
      <c r="F765" s="12" t="n">
        <v>20500.0</v>
      </c>
      <c r="G765" s="13"/>
      <c r="H765" s="14" t="s">
        <v>57</v>
      </c>
      <c r="I765" s="13"/>
      <c r="J765" s="14" t="s">
        <v>57</v>
      </c>
      <c r="K765" s="13"/>
      <c r="L765" s="14"/>
      <c r="M765" s="13"/>
      <c r="N765" s="14" t="s">
        <v>57</v>
      </c>
      <c r="O765" s="13"/>
      <c r="P765" s="14"/>
      <c r="Q765" s="13"/>
      <c r="R765" s="14" t="s">
        <v>57</v>
      </c>
      <c r="S765" s="15" t="str">
        <f>"－"</f>
        <v>－</v>
      </c>
      <c r="T765" s="16" t="str">
        <f>"－"</f>
        <v>－</v>
      </c>
      <c r="U765" s="16"/>
      <c r="V765" s="16" t="str">
        <f>"－"</f>
        <v>－</v>
      </c>
      <c r="W765" s="16"/>
      <c r="X765" s="16" t="n">
        <f>5</f>
        <v>5.0</v>
      </c>
      <c r="Y765" s="13" t="s">
        <v>53</v>
      </c>
      <c r="Z765" s="17" t="str">
        <f>"－"</f>
        <v>－</v>
      </c>
      <c r="AA765" s="18" t="str">
        <f>"－"</f>
        <v>－</v>
      </c>
      <c r="AB765" s="11" t="s">
        <v>54</v>
      </c>
    </row>
    <row r="766">
      <c r="A766" s="11" t="s">
        <v>46</v>
      </c>
      <c r="B766" s="11" t="s">
        <v>47</v>
      </c>
      <c r="C766" s="11" t="s">
        <v>48</v>
      </c>
      <c r="D766" s="11" t="s">
        <v>651</v>
      </c>
      <c r="E766" s="11" t="s">
        <v>46</v>
      </c>
      <c r="F766" s="12" t="n">
        <v>20750.0</v>
      </c>
      <c r="G766" s="13" t="s">
        <v>52</v>
      </c>
      <c r="H766" s="14" t="s">
        <v>655</v>
      </c>
      <c r="I766" s="13" t="s">
        <v>56</v>
      </c>
      <c r="J766" s="14" t="s">
        <v>656</v>
      </c>
      <c r="K766" s="13"/>
      <c r="L766" s="14"/>
      <c r="M766" s="13" t="s">
        <v>52</v>
      </c>
      <c r="N766" s="14" t="s">
        <v>655</v>
      </c>
      <c r="O766" s="13"/>
      <c r="P766" s="14"/>
      <c r="Q766" s="13" t="s">
        <v>56</v>
      </c>
      <c r="R766" s="14" t="s">
        <v>656</v>
      </c>
      <c r="S766" s="15" t="n">
        <f>8675</f>
        <v>8675.0</v>
      </c>
      <c r="T766" s="16" t="n">
        <f>2</f>
        <v>2.0</v>
      </c>
      <c r="U766" s="16"/>
      <c r="V766" s="16" t="n">
        <f>17350000</f>
        <v>1.735E7</v>
      </c>
      <c r="W766" s="16"/>
      <c r="X766" s="16" t="str">
        <f>"－"</f>
        <v>－</v>
      </c>
      <c r="Y766" s="13" t="s">
        <v>53</v>
      </c>
      <c r="Z766" s="17" t="str">
        <f>"－"</f>
        <v>－</v>
      </c>
      <c r="AA766" s="18" t="n">
        <f>2</f>
        <v>2.0</v>
      </c>
      <c r="AB766" s="11" t="s">
        <v>54</v>
      </c>
    </row>
    <row r="767">
      <c r="A767" s="11" t="s">
        <v>46</v>
      </c>
      <c r="B767" s="11" t="s">
        <v>47</v>
      </c>
      <c r="C767" s="11" t="s">
        <v>48</v>
      </c>
      <c r="D767" s="11" t="s">
        <v>651</v>
      </c>
      <c r="E767" s="11" t="s">
        <v>46</v>
      </c>
      <c r="F767" s="12" t="n">
        <v>21250.0</v>
      </c>
      <c r="G767" s="13" t="s">
        <v>61</v>
      </c>
      <c r="H767" s="14" t="s">
        <v>657</v>
      </c>
      <c r="I767" s="13" t="s">
        <v>61</v>
      </c>
      <c r="J767" s="14" t="s">
        <v>657</v>
      </c>
      <c r="K767" s="13"/>
      <c r="L767" s="14"/>
      <c r="M767" s="13" t="s">
        <v>61</v>
      </c>
      <c r="N767" s="14" t="s">
        <v>657</v>
      </c>
      <c r="O767" s="13"/>
      <c r="P767" s="14"/>
      <c r="Q767" s="13" t="s">
        <v>61</v>
      </c>
      <c r="R767" s="14" t="s">
        <v>657</v>
      </c>
      <c r="S767" s="15" t="n">
        <f>7630</f>
        <v>7630.0</v>
      </c>
      <c r="T767" s="16" t="n">
        <f>2</f>
        <v>2.0</v>
      </c>
      <c r="U767" s="16"/>
      <c r="V767" s="16" t="n">
        <f>15260000</f>
        <v>1.526E7</v>
      </c>
      <c r="W767" s="16"/>
      <c r="X767" s="16" t="str">
        <f>"－"</f>
        <v>－</v>
      </c>
      <c r="Y767" s="13" t="s">
        <v>53</v>
      </c>
      <c r="Z767" s="17" t="str">
        <f>"－"</f>
        <v>－</v>
      </c>
      <c r="AA767" s="18" t="n">
        <f>1</f>
        <v>1.0</v>
      </c>
      <c r="AB767" s="11" t="s">
        <v>54</v>
      </c>
    </row>
    <row r="768">
      <c r="A768" s="11" t="s">
        <v>46</v>
      </c>
      <c r="B768" s="11" t="s">
        <v>47</v>
      </c>
      <c r="C768" s="11" t="s">
        <v>48</v>
      </c>
      <c r="D768" s="11" t="s">
        <v>651</v>
      </c>
      <c r="E768" s="11" t="s">
        <v>46</v>
      </c>
      <c r="F768" s="12" t="n">
        <v>21500.0</v>
      </c>
      <c r="G768" s="13" t="s">
        <v>58</v>
      </c>
      <c r="H768" s="14" t="s">
        <v>658</v>
      </c>
      <c r="I768" s="13" t="s">
        <v>58</v>
      </c>
      <c r="J768" s="14" t="s">
        <v>658</v>
      </c>
      <c r="K768" s="13"/>
      <c r="L768" s="14"/>
      <c r="M768" s="13" t="s">
        <v>58</v>
      </c>
      <c r="N768" s="14" t="s">
        <v>658</v>
      </c>
      <c r="O768" s="13"/>
      <c r="P768" s="14"/>
      <c r="Q768" s="13" t="s">
        <v>58</v>
      </c>
      <c r="R768" s="14" t="s">
        <v>658</v>
      </c>
      <c r="S768" s="15" t="n">
        <f>7150</f>
        <v>7150.0</v>
      </c>
      <c r="T768" s="16" t="n">
        <f>1</f>
        <v>1.0</v>
      </c>
      <c r="U768" s="16"/>
      <c r="V768" s="16" t="n">
        <f>7150000</f>
        <v>7150000.0</v>
      </c>
      <c r="W768" s="16"/>
      <c r="X768" s="16" t="str">
        <f>"－"</f>
        <v>－</v>
      </c>
      <c r="Y768" s="13" t="s">
        <v>53</v>
      </c>
      <c r="Z768" s="17" t="str">
        <f>"－"</f>
        <v>－</v>
      </c>
      <c r="AA768" s="18" t="n">
        <f>1</f>
        <v>1.0</v>
      </c>
      <c r="AB768" s="11" t="s">
        <v>54</v>
      </c>
    </row>
    <row r="769">
      <c r="A769" s="11" t="s">
        <v>46</v>
      </c>
      <c r="B769" s="11" t="s">
        <v>47</v>
      </c>
      <c r="C769" s="11" t="s">
        <v>48</v>
      </c>
      <c r="D769" s="11" t="s">
        <v>651</v>
      </c>
      <c r="E769" s="11" t="s">
        <v>46</v>
      </c>
      <c r="F769" s="12" t="n">
        <v>23250.0</v>
      </c>
      <c r="G769" s="13"/>
      <c r="H769" s="14" t="s">
        <v>57</v>
      </c>
      <c r="I769" s="13"/>
      <c r="J769" s="14" t="s">
        <v>57</v>
      </c>
      <c r="K769" s="13"/>
      <c r="L769" s="14"/>
      <c r="M769" s="13"/>
      <c r="N769" s="14" t="s">
        <v>57</v>
      </c>
      <c r="O769" s="13"/>
      <c r="P769" s="14"/>
      <c r="Q769" s="13"/>
      <c r="R769" s="14" t="s">
        <v>57</v>
      </c>
      <c r="S769" s="15" t="str">
        <f>"－"</f>
        <v>－</v>
      </c>
      <c r="T769" s="16" t="str">
        <f>"－"</f>
        <v>－</v>
      </c>
      <c r="U769" s="16"/>
      <c r="V769" s="16" t="str">
        <f>"－"</f>
        <v>－</v>
      </c>
      <c r="W769" s="16"/>
      <c r="X769" s="16" t="n">
        <f>3</f>
        <v>3.0</v>
      </c>
      <c r="Y769" s="13" t="s">
        <v>53</v>
      </c>
      <c r="Z769" s="17" t="str">
        <f>"－"</f>
        <v>－</v>
      </c>
      <c r="AA769" s="18" t="str">
        <f>"－"</f>
        <v>－</v>
      </c>
      <c r="AB769" s="11" t="s">
        <v>54</v>
      </c>
    </row>
    <row r="770">
      <c r="A770" s="11" t="s">
        <v>46</v>
      </c>
      <c r="B770" s="11" t="s">
        <v>47</v>
      </c>
      <c r="C770" s="11" t="s">
        <v>48</v>
      </c>
      <c r="D770" s="11" t="s">
        <v>651</v>
      </c>
      <c r="E770" s="11" t="s">
        <v>46</v>
      </c>
      <c r="F770" s="12" t="n">
        <v>23500.0</v>
      </c>
      <c r="G770" s="13"/>
      <c r="H770" s="14" t="s">
        <v>57</v>
      </c>
      <c r="I770" s="13"/>
      <c r="J770" s="14" t="s">
        <v>57</v>
      </c>
      <c r="K770" s="13"/>
      <c r="L770" s="14"/>
      <c r="M770" s="13"/>
      <c r="N770" s="14" t="s">
        <v>57</v>
      </c>
      <c r="O770" s="13"/>
      <c r="P770" s="14"/>
      <c r="Q770" s="13"/>
      <c r="R770" s="14" t="s">
        <v>57</v>
      </c>
      <c r="S770" s="15" t="str">
        <f>"－"</f>
        <v>－</v>
      </c>
      <c r="T770" s="16" t="str">
        <f>"－"</f>
        <v>－</v>
      </c>
      <c r="U770" s="16"/>
      <c r="V770" s="16" t="str">
        <f>"－"</f>
        <v>－</v>
      </c>
      <c r="W770" s="16"/>
      <c r="X770" s="16" t="n">
        <f>2</f>
        <v>2.0</v>
      </c>
      <c r="Y770" s="13" t="s">
        <v>53</v>
      </c>
      <c r="Z770" s="17" t="str">
        <f>"－"</f>
        <v>－</v>
      </c>
      <c r="AA770" s="18" t="str">
        <f>"－"</f>
        <v>－</v>
      </c>
      <c r="AB770" s="11" t="s">
        <v>54</v>
      </c>
    </row>
    <row r="771">
      <c r="A771" s="11" t="s">
        <v>46</v>
      </c>
      <c r="B771" s="11" t="s">
        <v>47</v>
      </c>
      <c r="C771" s="11" t="s">
        <v>48</v>
      </c>
      <c r="D771" s="11" t="s">
        <v>651</v>
      </c>
      <c r="E771" s="11" t="s">
        <v>46</v>
      </c>
      <c r="F771" s="12" t="n">
        <v>23625.0</v>
      </c>
      <c r="G771" s="13" t="s">
        <v>61</v>
      </c>
      <c r="H771" s="14" t="s">
        <v>659</v>
      </c>
      <c r="I771" s="13" t="s">
        <v>61</v>
      </c>
      <c r="J771" s="14" t="s">
        <v>659</v>
      </c>
      <c r="K771" s="13"/>
      <c r="L771" s="14"/>
      <c r="M771" s="13" t="s">
        <v>61</v>
      </c>
      <c r="N771" s="14" t="s">
        <v>659</v>
      </c>
      <c r="O771" s="13"/>
      <c r="P771" s="14"/>
      <c r="Q771" s="13" t="s">
        <v>61</v>
      </c>
      <c r="R771" s="14" t="s">
        <v>659</v>
      </c>
      <c r="S771" s="15" t="n">
        <f>5250</f>
        <v>5250.0</v>
      </c>
      <c r="T771" s="16" t="n">
        <f>2</f>
        <v>2.0</v>
      </c>
      <c r="U771" s="16"/>
      <c r="V771" s="16" t="n">
        <f>10500000</f>
        <v>1.05E7</v>
      </c>
      <c r="W771" s="16"/>
      <c r="X771" s="16" t="str">
        <f>"－"</f>
        <v>－</v>
      </c>
      <c r="Y771" s="13" t="s">
        <v>53</v>
      </c>
      <c r="Z771" s="17" t="str">
        <f>"－"</f>
        <v>－</v>
      </c>
      <c r="AA771" s="18" t="n">
        <f>1</f>
        <v>1.0</v>
      </c>
      <c r="AB771" s="11" t="s">
        <v>54</v>
      </c>
    </row>
    <row r="772">
      <c r="A772" s="11" t="s">
        <v>46</v>
      </c>
      <c r="B772" s="11" t="s">
        <v>47</v>
      </c>
      <c r="C772" s="11" t="s">
        <v>48</v>
      </c>
      <c r="D772" s="11" t="s">
        <v>651</v>
      </c>
      <c r="E772" s="11" t="s">
        <v>46</v>
      </c>
      <c r="F772" s="12" t="n">
        <v>23750.0</v>
      </c>
      <c r="G772" s="13" t="s">
        <v>52</v>
      </c>
      <c r="H772" s="14" t="s">
        <v>660</v>
      </c>
      <c r="I772" s="13" t="s">
        <v>52</v>
      </c>
      <c r="J772" s="14" t="s">
        <v>660</v>
      </c>
      <c r="K772" s="13"/>
      <c r="L772" s="14"/>
      <c r="M772" s="13" t="s">
        <v>52</v>
      </c>
      <c r="N772" s="14" t="s">
        <v>660</v>
      </c>
      <c r="O772" s="13"/>
      <c r="P772" s="14"/>
      <c r="Q772" s="13" t="s">
        <v>52</v>
      </c>
      <c r="R772" s="14" t="s">
        <v>660</v>
      </c>
      <c r="S772" s="15" t="n">
        <f>5700</f>
        <v>5700.0</v>
      </c>
      <c r="T772" s="16" t="n">
        <f>6</f>
        <v>6.0</v>
      </c>
      <c r="U772" s="16"/>
      <c r="V772" s="16" t="n">
        <f>34200000</f>
        <v>3.42E7</v>
      </c>
      <c r="W772" s="16"/>
      <c r="X772" s="16" t="n">
        <f>7</f>
        <v>7.0</v>
      </c>
      <c r="Y772" s="13" t="s">
        <v>53</v>
      </c>
      <c r="Z772" s="17" t="str">
        <f>"－"</f>
        <v>－</v>
      </c>
      <c r="AA772" s="18" t="n">
        <f>1</f>
        <v>1.0</v>
      </c>
      <c r="AB772" s="11" t="s">
        <v>54</v>
      </c>
    </row>
    <row r="773">
      <c r="A773" s="11" t="s">
        <v>46</v>
      </c>
      <c r="B773" s="11" t="s">
        <v>47</v>
      </c>
      <c r="C773" s="11" t="s">
        <v>48</v>
      </c>
      <c r="D773" s="11" t="s">
        <v>651</v>
      </c>
      <c r="E773" s="11" t="s">
        <v>46</v>
      </c>
      <c r="F773" s="12" t="n">
        <v>23875.0</v>
      </c>
      <c r="G773" s="13" t="s">
        <v>61</v>
      </c>
      <c r="H773" s="14" t="s">
        <v>661</v>
      </c>
      <c r="I773" s="13" t="s">
        <v>61</v>
      </c>
      <c r="J773" s="14" t="s">
        <v>661</v>
      </c>
      <c r="K773" s="13"/>
      <c r="L773" s="14"/>
      <c r="M773" s="13" t="s">
        <v>61</v>
      </c>
      <c r="N773" s="14" t="s">
        <v>661</v>
      </c>
      <c r="O773" s="13"/>
      <c r="P773" s="14"/>
      <c r="Q773" s="13" t="s">
        <v>61</v>
      </c>
      <c r="R773" s="14" t="s">
        <v>661</v>
      </c>
      <c r="S773" s="15" t="n">
        <f>4910</f>
        <v>4910.0</v>
      </c>
      <c r="T773" s="16" t="n">
        <f>1</f>
        <v>1.0</v>
      </c>
      <c r="U773" s="16"/>
      <c r="V773" s="16" t="n">
        <f>4910000</f>
        <v>4910000.0</v>
      </c>
      <c r="W773" s="16"/>
      <c r="X773" s="16" t="str">
        <f>"－"</f>
        <v>－</v>
      </c>
      <c r="Y773" s="13" t="s">
        <v>53</v>
      </c>
      <c r="Z773" s="17" t="str">
        <f>"－"</f>
        <v>－</v>
      </c>
      <c r="AA773" s="18" t="n">
        <f>1</f>
        <v>1.0</v>
      </c>
      <c r="AB773" s="11" t="s">
        <v>54</v>
      </c>
    </row>
    <row r="774">
      <c r="A774" s="11" t="s">
        <v>46</v>
      </c>
      <c r="B774" s="11" t="s">
        <v>47</v>
      </c>
      <c r="C774" s="11" t="s">
        <v>48</v>
      </c>
      <c r="D774" s="11" t="s">
        <v>651</v>
      </c>
      <c r="E774" s="11" t="s">
        <v>46</v>
      </c>
      <c r="F774" s="12" t="n">
        <v>24000.0</v>
      </c>
      <c r="G774" s="13" t="s">
        <v>61</v>
      </c>
      <c r="H774" s="14" t="s">
        <v>662</v>
      </c>
      <c r="I774" s="13" t="s">
        <v>52</v>
      </c>
      <c r="J774" s="14" t="s">
        <v>663</v>
      </c>
      <c r="K774" s="13"/>
      <c r="L774" s="14"/>
      <c r="M774" s="13" t="s">
        <v>61</v>
      </c>
      <c r="N774" s="14" t="s">
        <v>662</v>
      </c>
      <c r="O774" s="13"/>
      <c r="P774" s="14"/>
      <c r="Q774" s="13" t="s">
        <v>56</v>
      </c>
      <c r="R774" s="14" t="s">
        <v>663</v>
      </c>
      <c r="S774" s="15" t="n">
        <f>5440</f>
        <v>5440.0</v>
      </c>
      <c r="T774" s="16" t="n">
        <f>16</f>
        <v>16.0</v>
      </c>
      <c r="U774" s="16"/>
      <c r="V774" s="16" t="n">
        <f>86650000</f>
        <v>8.665E7</v>
      </c>
      <c r="W774" s="16"/>
      <c r="X774" s="16" t="n">
        <f>96</f>
        <v>96.0</v>
      </c>
      <c r="Y774" s="13" t="s">
        <v>53</v>
      </c>
      <c r="Z774" s="17" t="str">
        <f>"－"</f>
        <v>－</v>
      </c>
      <c r="AA774" s="18" t="n">
        <f>3</f>
        <v>3.0</v>
      </c>
      <c r="AB774" s="11" t="s">
        <v>54</v>
      </c>
    </row>
    <row r="775">
      <c r="A775" s="11" t="s">
        <v>46</v>
      </c>
      <c r="B775" s="11" t="s">
        <v>47</v>
      </c>
      <c r="C775" s="11" t="s">
        <v>48</v>
      </c>
      <c r="D775" s="11" t="s">
        <v>651</v>
      </c>
      <c r="E775" s="11" t="s">
        <v>46</v>
      </c>
      <c r="F775" s="12" t="n">
        <v>24125.0</v>
      </c>
      <c r="G775" s="13"/>
      <c r="H775" s="14" t="s">
        <v>57</v>
      </c>
      <c r="I775" s="13"/>
      <c r="J775" s="14" t="s">
        <v>57</v>
      </c>
      <c r="K775" s="13"/>
      <c r="L775" s="14"/>
      <c r="M775" s="13"/>
      <c r="N775" s="14" t="s">
        <v>57</v>
      </c>
      <c r="O775" s="13"/>
      <c r="P775" s="14"/>
      <c r="Q775" s="13"/>
      <c r="R775" s="14" t="s">
        <v>57</v>
      </c>
      <c r="S775" s="15" t="str">
        <f>"－"</f>
        <v>－</v>
      </c>
      <c r="T775" s="16" t="str">
        <f>"－"</f>
        <v>－</v>
      </c>
      <c r="U775" s="16"/>
      <c r="V775" s="16" t="str">
        <f>"－"</f>
        <v>－</v>
      </c>
      <c r="W775" s="16"/>
      <c r="X775" s="16" t="n">
        <f>2</f>
        <v>2.0</v>
      </c>
      <c r="Y775" s="13" t="s">
        <v>53</v>
      </c>
      <c r="Z775" s="17" t="str">
        <f>"－"</f>
        <v>－</v>
      </c>
      <c r="AA775" s="18" t="str">
        <f>"－"</f>
        <v>－</v>
      </c>
      <c r="AB775" s="11" t="s">
        <v>54</v>
      </c>
    </row>
    <row r="776">
      <c r="A776" s="11" t="s">
        <v>46</v>
      </c>
      <c r="B776" s="11" t="s">
        <v>47</v>
      </c>
      <c r="C776" s="11" t="s">
        <v>48</v>
      </c>
      <c r="D776" s="11" t="s">
        <v>651</v>
      </c>
      <c r="E776" s="11" t="s">
        <v>46</v>
      </c>
      <c r="F776" s="12" t="n">
        <v>24250.0</v>
      </c>
      <c r="G776" s="13"/>
      <c r="H776" s="14" t="s">
        <v>57</v>
      </c>
      <c r="I776" s="13"/>
      <c r="J776" s="14" t="s">
        <v>57</v>
      </c>
      <c r="K776" s="13"/>
      <c r="L776" s="14"/>
      <c r="M776" s="13"/>
      <c r="N776" s="14" t="s">
        <v>57</v>
      </c>
      <c r="O776" s="13"/>
      <c r="P776" s="14"/>
      <c r="Q776" s="13"/>
      <c r="R776" s="14" t="s">
        <v>57</v>
      </c>
      <c r="S776" s="15" t="str">
        <f>"－"</f>
        <v>－</v>
      </c>
      <c r="T776" s="16" t="str">
        <f>"－"</f>
        <v>－</v>
      </c>
      <c r="U776" s="16"/>
      <c r="V776" s="16" t="str">
        <f>"－"</f>
        <v>－</v>
      </c>
      <c r="W776" s="16"/>
      <c r="X776" s="16" t="n">
        <f>10</f>
        <v>10.0</v>
      </c>
      <c r="Y776" s="13" t="s">
        <v>53</v>
      </c>
      <c r="Z776" s="17" t="str">
        <f>"－"</f>
        <v>－</v>
      </c>
      <c r="AA776" s="18" t="str">
        <f>"－"</f>
        <v>－</v>
      </c>
      <c r="AB776" s="11" t="s">
        <v>54</v>
      </c>
    </row>
    <row r="777">
      <c r="A777" s="11" t="s">
        <v>46</v>
      </c>
      <c r="B777" s="11" t="s">
        <v>47</v>
      </c>
      <c r="C777" s="11" t="s">
        <v>48</v>
      </c>
      <c r="D777" s="11" t="s">
        <v>651</v>
      </c>
      <c r="E777" s="11" t="s">
        <v>46</v>
      </c>
      <c r="F777" s="12" t="n">
        <v>24500.0</v>
      </c>
      <c r="G777" s="13" t="s">
        <v>52</v>
      </c>
      <c r="H777" s="14" t="s">
        <v>664</v>
      </c>
      <c r="I777" s="13" t="s">
        <v>52</v>
      </c>
      <c r="J777" s="14" t="s">
        <v>665</v>
      </c>
      <c r="K777" s="13"/>
      <c r="L777" s="14"/>
      <c r="M777" s="13" t="s">
        <v>52</v>
      </c>
      <c r="N777" s="14" t="s">
        <v>664</v>
      </c>
      <c r="O777" s="13"/>
      <c r="P777" s="14"/>
      <c r="Q777" s="13" t="s">
        <v>52</v>
      </c>
      <c r="R777" s="14" t="s">
        <v>665</v>
      </c>
      <c r="S777" s="15" t="n">
        <f>4920</f>
        <v>4920.0</v>
      </c>
      <c r="T777" s="16" t="n">
        <f>3</f>
        <v>3.0</v>
      </c>
      <c r="U777" s="16"/>
      <c r="V777" s="16" t="n">
        <f>14700000</f>
        <v>1.47E7</v>
      </c>
      <c r="W777" s="16"/>
      <c r="X777" s="16" t="n">
        <f>12</f>
        <v>12.0</v>
      </c>
      <c r="Y777" s="13" t="s">
        <v>53</v>
      </c>
      <c r="Z777" s="17" t="str">
        <f>"－"</f>
        <v>－</v>
      </c>
      <c r="AA777" s="18" t="n">
        <f>1</f>
        <v>1.0</v>
      </c>
      <c r="AB777" s="11" t="s">
        <v>54</v>
      </c>
    </row>
    <row r="778">
      <c r="A778" s="11" t="s">
        <v>46</v>
      </c>
      <c r="B778" s="11" t="s">
        <v>47</v>
      </c>
      <c r="C778" s="11" t="s">
        <v>48</v>
      </c>
      <c r="D778" s="11" t="s">
        <v>651</v>
      </c>
      <c r="E778" s="11" t="s">
        <v>46</v>
      </c>
      <c r="F778" s="12" t="n">
        <v>24625.0</v>
      </c>
      <c r="G778" s="13" t="s">
        <v>56</v>
      </c>
      <c r="H778" s="14" t="s">
        <v>666</v>
      </c>
      <c r="I778" s="13" t="s">
        <v>56</v>
      </c>
      <c r="J778" s="14" t="s">
        <v>666</v>
      </c>
      <c r="K778" s="13"/>
      <c r="L778" s="14"/>
      <c r="M778" s="13" t="s">
        <v>56</v>
      </c>
      <c r="N778" s="14" t="s">
        <v>666</v>
      </c>
      <c r="O778" s="13"/>
      <c r="P778" s="14"/>
      <c r="Q778" s="13" t="s">
        <v>56</v>
      </c>
      <c r="R778" s="14" t="s">
        <v>666</v>
      </c>
      <c r="S778" s="15" t="n">
        <f>4900</f>
        <v>4900.0</v>
      </c>
      <c r="T778" s="16" t="n">
        <f>1</f>
        <v>1.0</v>
      </c>
      <c r="U778" s="16"/>
      <c r="V778" s="16" t="n">
        <f>4900000</f>
        <v>4900000.0</v>
      </c>
      <c r="W778" s="16"/>
      <c r="X778" s="16" t="n">
        <f>8</f>
        <v>8.0</v>
      </c>
      <c r="Y778" s="13" t="s">
        <v>53</v>
      </c>
      <c r="Z778" s="17" t="str">
        <f>"－"</f>
        <v>－</v>
      </c>
      <c r="AA778" s="18" t="n">
        <f>1</f>
        <v>1.0</v>
      </c>
      <c r="AB778" s="11" t="s">
        <v>54</v>
      </c>
    </row>
    <row r="779">
      <c r="A779" s="11" t="s">
        <v>46</v>
      </c>
      <c r="B779" s="11" t="s">
        <v>47</v>
      </c>
      <c r="C779" s="11" t="s">
        <v>48</v>
      </c>
      <c r="D779" s="11" t="s">
        <v>651</v>
      </c>
      <c r="E779" s="11" t="s">
        <v>46</v>
      </c>
      <c r="F779" s="12" t="n">
        <v>24750.0</v>
      </c>
      <c r="G779" s="13" t="s">
        <v>52</v>
      </c>
      <c r="H779" s="14" t="s">
        <v>667</v>
      </c>
      <c r="I779" s="13" t="s">
        <v>52</v>
      </c>
      <c r="J779" s="14" t="s">
        <v>667</v>
      </c>
      <c r="K779" s="13"/>
      <c r="L779" s="14"/>
      <c r="M779" s="13" t="s">
        <v>56</v>
      </c>
      <c r="N779" s="14" t="s">
        <v>668</v>
      </c>
      <c r="O779" s="13"/>
      <c r="P779" s="14"/>
      <c r="Q779" s="13" t="s">
        <v>56</v>
      </c>
      <c r="R779" s="14" t="s">
        <v>668</v>
      </c>
      <c r="S779" s="15" t="n">
        <f>4705</f>
        <v>4705.0</v>
      </c>
      <c r="T779" s="16" t="n">
        <f>8</f>
        <v>8.0</v>
      </c>
      <c r="U779" s="16"/>
      <c r="V779" s="16" t="n">
        <f>37460000</f>
        <v>3.746E7</v>
      </c>
      <c r="W779" s="16"/>
      <c r="X779" s="16" t="n">
        <f>34</f>
        <v>34.0</v>
      </c>
      <c r="Y779" s="13" t="s">
        <v>53</v>
      </c>
      <c r="Z779" s="17" t="str">
        <f>"－"</f>
        <v>－</v>
      </c>
      <c r="AA779" s="18" t="n">
        <f>2</f>
        <v>2.0</v>
      </c>
      <c r="AB779" s="11" t="s">
        <v>54</v>
      </c>
    </row>
    <row r="780">
      <c r="A780" s="11" t="s">
        <v>46</v>
      </c>
      <c r="B780" s="11" t="s">
        <v>47</v>
      </c>
      <c r="C780" s="11" t="s">
        <v>48</v>
      </c>
      <c r="D780" s="11" t="s">
        <v>651</v>
      </c>
      <c r="E780" s="11" t="s">
        <v>46</v>
      </c>
      <c r="F780" s="12" t="n">
        <v>24875.0</v>
      </c>
      <c r="G780" s="13"/>
      <c r="H780" s="14" t="s">
        <v>57</v>
      </c>
      <c r="I780" s="13"/>
      <c r="J780" s="14" t="s">
        <v>57</v>
      </c>
      <c r="K780" s="13"/>
      <c r="L780" s="14"/>
      <c r="M780" s="13"/>
      <c r="N780" s="14" t="s">
        <v>57</v>
      </c>
      <c r="O780" s="13"/>
      <c r="P780" s="14"/>
      <c r="Q780" s="13"/>
      <c r="R780" s="14" t="s">
        <v>57</v>
      </c>
      <c r="S780" s="15" t="str">
        <f>"－"</f>
        <v>－</v>
      </c>
      <c r="T780" s="16" t="str">
        <f>"－"</f>
        <v>－</v>
      </c>
      <c r="U780" s="16"/>
      <c r="V780" s="16" t="str">
        <f>"－"</f>
        <v>－</v>
      </c>
      <c r="W780" s="16"/>
      <c r="X780" s="16" t="n">
        <f>6</f>
        <v>6.0</v>
      </c>
      <c r="Y780" s="13" t="s">
        <v>53</v>
      </c>
      <c r="Z780" s="17" t="str">
        <f>"－"</f>
        <v>－</v>
      </c>
      <c r="AA780" s="18" t="str">
        <f>"－"</f>
        <v>－</v>
      </c>
      <c r="AB780" s="11" t="s">
        <v>54</v>
      </c>
    </row>
    <row r="781">
      <c r="A781" s="11" t="s">
        <v>46</v>
      </c>
      <c r="B781" s="11" t="s">
        <v>47</v>
      </c>
      <c r="C781" s="11" t="s">
        <v>48</v>
      </c>
      <c r="D781" s="11" t="s">
        <v>651</v>
      </c>
      <c r="E781" s="11" t="s">
        <v>46</v>
      </c>
      <c r="F781" s="12" t="n">
        <v>25000.0</v>
      </c>
      <c r="G781" s="13" t="s">
        <v>61</v>
      </c>
      <c r="H781" s="14" t="s">
        <v>669</v>
      </c>
      <c r="I781" s="13" t="s">
        <v>61</v>
      </c>
      <c r="J781" s="14" t="s">
        <v>670</v>
      </c>
      <c r="K781" s="13"/>
      <c r="L781" s="14"/>
      <c r="M781" s="13" t="s">
        <v>61</v>
      </c>
      <c r="N781" s="14" t="s">
        <v>669</v>
      </c>
      <c r="O781" s="13"/>
      <c r="P781" s="14"/>
      <c r="Q781" s="13" t="s">
        <v>61</v>
      </c>
      <c r="R781" s="14" t="s">
        <v>670</v>
      </c>
      <c r="S781" s="15" t="n">
        <f>4390</f>
        <v>4390.0</v>
      </c>
      <c r="T781" s="16" t="n">
        <f>2</f>
        <v>2.0</v>
      </c>
      <c r="U781" s="16"/>
      <c r="V781" s="16" t="n">
        <f>8740000</f>
        <v>8740000.0</v>
      </c>
      <c r="W781" s="16"/>
      <c r="X781" s="16" t="n">
        <f>668</f>
        <v>668.0</v>
      </c>
      <c r="Y781" s="13" t="s">
        <v>53</v>
      </c>
      <c r="Z781" s="17" t="str">
        <f>"－"</f>
        <v>－</v>
      </c>
      <c r="AA781" s="18" t="n">
        <f>1</f>
        <v>1.0</v>
      </c>
      <c r="AB781" s="11" t="s">
        <v>54</v>
      </c>
    </row>
    <row r="782">
      <c r="A782" s="11" t="s">
        <v>46</v>
      </c>
      <c r="B782" s="11" t="s">
        <v>47</v>
      </c>
      <c r="C782" s="11" t="s">
        <v>48</v>
      </c>
      <c r="D782" s="11" t="s">
        <v>651</v>
      </c>
      <c r="E782" s="11" t="s">
        <v>46</v>
      </c>
      <c r="F782" s="12" t="n">
        <v>25125.0</v>
      </c>
      <c r="G782" s="13" t="s">
        <v>56</v>
      </c>
      <c r="H782" s="14" t="s">
        <v>671</v>
      </c>
      <c r="I782" s="13" t="s">
        <v>56</v>
      </c>
      <c r="J782" s="14" t="s">
        <v>671</v>
      </c>
      <c r="K782" s="13"/>
      <c r="L782" s="14"/>
      <c r="M782" s="13" t="s">
        <v>56</v>
      </c>
      <c r="N782" s="14" t="s">
        <v>671</v>
      </c>
      <c r="O782" s="13"/>
      <c r="P782" s="14"/>
      <c r="Q782" s="13" t="s">
        <v>56</v>
      </c>
      <c r="R782" s="14" t="s">
        <v>671</v>
      </c>
      <c r="S782" s="15" t="n">
        <f>4400</f>
        <v>4400.0</v>
      </c>
      <c r="T782" s="16" t="n">
        <f>1</f>
        <v>1.0</v>
      </c>
      <c r="U782" s="16"/>
      <c r="V782" s="16" t="n">
        <f>4400000</f>
        <v>4400000.0</v>
      </c>
      <c r="W782" s="16"/>
      <c r="X782" s="16" t="n">
        <f>1</f>
        <v>1.0</v>
      </c>
      <c r="Y782" s="13" t="s">
        <v>53</v>
      </c>
      <c r="Z782" s="17" t="str">
        <f>"－"</f>
        <v>－</v>
      </c>
      <c r="AA782" s="18" t="n">
        <f>1</f>
        <v>1.0</v>
      </c>
      <c r="AB782" s="11" t="s">
        <v>54</v>
      </c>
    </row>
    <row r="783">
      <c r="A783" s="11" t="s">
        <v>46</v>
      </c>
      <c r="B783" s="11" t="s">
        <v>47</v>
      </c>
      <c r="C783" s="11" t="s">
        <v>48</v>
      </c>
      <c r="D783" s="11" t="s">
        <v>651</v>
      </c>
      <c r="E783" s="11" t="s">
        <v>46</v>
      </c>
      <c r="F783" s="12" t="n">
        <v>25250.0</v>
      </c>
      <c r="G783" s="13" t="s">
        <v>60</v>
      </c>
      <c r="H783" s="14" t="s">
        <v>672</v>
      </c>
      <c r="I783" s="13" t="s">
        <v>60</v>
      </c>
      <c r="J783" s="14" t="s">
        <v>672</v>
      </c>
      <c r="K783" s="13"/>
      <c r="L783" s="14"/>
      <c r="M783" s="13" t="s">
        <v>60</v>
      </c>
      <c r="N783" s="14" t="s">
        <v>672</v>
      </c>
      <c r="O783" s="13"/>
      <c r="P783" s="14"/>
      <c r="Q783" s="13" t="s">
        <v>60</v>
      </c>
      <c r="R783" s="14" t="s">
        <v>672</v>
      </c>
      <c r="S783" s="15" t="n">
        <f>3450</f>
        <v>3450.0</v>
      </c>
      <c r="T783" s="16" t="n">
        <f>1</f>
        <v>1.0</v>
      </c>
      <c r="U783" s="16"/>
      <c r="V783" s="16" t="n">
        <f>3450000</f>
        <v>3450000.0</v>
      </c>
      <c r="W783" s="16"/>
      <c r="X783" s="16" t="n">
        <f>22</f>
        <v>22.0</v>
      </c>
      <c r="Y783" s="13" t="s">
        <v>53</v>
      </c>
      <c r="Z783" s="17" t="str">
        <f>"－"</f>
        <v>－</v>
      </c>
      <c r="AA783" s="18" t="n">
        <f>1</f>
        <v>1.0</v>
      </c>
      <c r="AB783" s="11" t="s">
        <v>54</v>
      </c>
    </row>
    <row r="784">
      <c r="A784" s="11" t="s">
        <v>46</v>
      </c>
      <c r="B784" s="11" t="s">
        <v>47</v>
      </c>
      <c r="C784" s="11" t="s">
        <v>48</v>
      </c>
      <c r="D784" s="11" t="s">
        <v>651</v>
      </c>
      <c r="E784" s="11" t="s">
        <v>46</v>
      </c>
      <c r="F784" s="12" t="n">
        <v>25375.0</v>
      </c>
      <c r="G784" s="13" t="s">
        <v>61</v>
      </c>
      <c r="H784" s="14" t="s">
        <v>673</v>
      </c>
      <c r="I784" s="13" t="s">
        <v>61</v>
      </c>
      <c r="J784" s="14" t="s">
        <v>673</v>
      </c>
      <c r="K784" s="13"/>
      <c r="L784" s="14"/>
      <c r="M784" s="13" t="s">
        <v>61</v>
      </c>
      <c r="N784" s="14" t="s">
        <v>673</v>
      </c>
      <c r="O784" s="13"/>
      <c r="P784" s="14"/>
      <c r="Q784" s="13" t="s">
        <v>61</v>
      </c>
      <c r="R784" s="14" t="s">
        <v>673</v>
      </c>
      <c r="S784" s="15" t="n">
        <f>3880</f>
        <v>3880.0</v>
      </c>
      <c r="T784" s="16" t="n">
        <f>4</f>
        <v>4.0</v>
      </c>
      <c r="U784" s="16"/>
      <c r="V784" s="16" t="n">
        <f>15520000</f>
        <v>1.552E7</v>
      </c>
      <c r="W784" s="16"/>
      <c r="X784" s="16" t="n">
        <f>6</f>
        <v>6.0</v>
      </c>
      <c r="Y784" s="13" t="s">
        <v>53</v>
      </c>
      <c r="Z784" s="17" t="str">
        <f>"－"</f>
        <v>－</v>
      </c>
      <c r="AA784" s="18" t="n">
        <f>1</f>
        <v>1.0</v>
      </c>
      <c r="AB784" s="11" t="s">
        <v>54</v>
      </c>
    </row>
    <row r="785">
      <c r="A785" s="11" t="s">
        <v>46</v>
      </c>
      <c r="B785" s="11" t="s">
        <v>47</v>
      </c>
      <c r="C785" s="11" t="s">
        <v>48</v>
      </c>
      <c r="D785" s="11" t="s">
        <v>651</v>
      </c>
      <c r="E785" s="11" t="s">
        <v>46</v>
      </c>
      <c r="F785" s="12" t="n">
        <v>25500.0</v>
      </c>
      <c r="G785" s="13" t="s">
        <v>56</v>
      </c>
      <c r="H785" s="14" t="s">
        <v>674</v>
      </c>
      <c r="I785" s="13" t="s">
        <v>56</v>
      </c>
      <c r="J785" s="14" t="s">
        <v>674</v>
      </c>
      <c r="K785" s="13" t="s">
        <v>52</v>
      </c>
      <c r="L785" s="14" t="s">
        <v>675</v>
      </c>
      <c r="M785" s="13" t="s">
        <v>56</v>
      </c>
      <c r="N785" s="14" t="s">
        <v>676</v>
      </c>
      <c r="O785" s="13" t="s">
        <v>52</v>
      </c>
      <c r="P785" s="14" t="s">
        <v>675</v>
      </c>
      <c r="Q785" s="13" t="s">
        <v>56</v>
      </c>
      <c r="R785" s="14" t="s">
        <v>676</v>
      </c>
      <c r="S785" s="15" t="n">
        <f>3970</f>
        <v>3970.0</v>
      </c>
      <c r="T785" s="16" t="n">
        <f>199</f>
        <v>199.0</v>
      </c>
      <c r="U785" s="16" t="n">
        <v>190.0</v>
      </c>
      <c r="V785" s="16" t="n">
        <f>786350000</f>
        <v>7.8635E8</v>
      </c>
      <c r="W785" s="16" t="n">
        <v>7.505E8</v>
      </c>
      <c r="X785" s="16" t="n">
        <f>190</f>
        <v>190.0</v>
      </c>
      <c r="Y785" s="13" t="s">
        <v>53</v>
      </c>
      <c r="Z785" s="17" t="str">
        <f>"－"</f>
        <v>－</v>
      </c>
      <c r="AA785" s="18" t="n">
        <f>1</f>
        <v>1.0</v>
      </c>
      <c r="AB785" s="11" t="s">
        <v>54</v>
      </c>
    </row>
    <row r="786">
      <c r="A786" s="11" t="s">
        <v>46</v>
      </c>
      <c r="B786" s="11" t="s">
        <v>47</v>
      </c>
      <c r="C786" s="11" t="s">
        <v>48</v>
      </c>
      <c r="D786" s="11" t="s">
        <v>651</v>
      </c>
      <c r="E786" s="11" t="s">
        <v>46</v>
      </c>
      <c r="F786" s="12" t="n">
        <v>25750.0</v>
      </c>
      <c r="G786" s="13"/>
      <c r="H786" s="14" t="s">
        <v>57</v>
      </c>
      <c r="I786" s="13"/>
      <c r="J786" s="14" t="s">
        <v>57</v>
      </c>
      <c r="K786" s="13"/>
      <c r="L786" s="14"/>
      <c r="M786" s="13"/>
      <c r="N786" s="14" t="s">
        <v>57</v>
      </c>
      <c r="O786" s="13"/>
      <c r="P786" s="14"/>
      <c r="Q786" s="13"/>
      <c r="R786" s="14" t="s">
        <v>57</v>
      </c>
      <c r="S786" s="15" t="str">
        <f>"－"</f>
        <v>－</v>
      </c>
      <c r="T786" s="16" t="str">
        <f>"－"</f>
        <v>－</v>
      </c>
      <c r="U786" s="16"/>
      <c r="V786" s="16" t="str">
        <f>"－"</f>
        <v>－</v>
      </c>
      <c r="W786" s="16"/>
      <c r="X786" s="16" t="n">
        <f>56</f>
        <v>56.0</v>
      </c>
      <c r="Y786" s="13" t="s">
        <v>53</v>
      </c>
      <c r="Z786" s="17" t="str">
        <f>"－"</f>
        <v>－</v>
      </c>
      <c r="AA786" s="18" t="str">
        <f>"－"</f>
        <v>－</v>
      </c>
      <c r="AB786" s="11" t="s">
        <v>54</v>
      </c>
    </row>
    <row r="787">
      <c r="A787" s="11" t="s">
        <v>46</v>
      </c>
      <c r="B787" s="11" t="s">
        <v>47</v>
      </c>
      <c r="C787" s="11" t="s">
        <v>48</v>
      </c>
      <c r="D787" s="11" t="s">
        <v>651</v>
      </c>
      <c r="E787" s="11" t="s">
        <v>46</v>
      </c>
      <c r="F787" s="12" t="n">
        <v>25875.0</v>
      </c>
      <c r="G787" s="13"/>
      <c r="H787" s="14" t="s">
        <v>57</v>
      </c>
      <c r="I787" s="13"/>
      <c r="J787" s="14" t="s">
        <v>57</v>
      </c>
      <c r="K787" s="13"/>
      <c r="L787" s="14"/>
      <c r="M787" s="13"/>
      <c r="N787" s="14" t="s">
        <v>57</v>
      </c>
      <c r="O787" s="13"/>
      <c r="P787" s="14"/>
      <c r="Q787" s="13"/>
      <c r="R787" s="14" t="s">
        <v>57</v>
      </c>
      <c r="S787" s="15" t="str">
        <f>"－"</f>
        <v>－</v>
      </c>
      <c r="T787" s="16" t="str">
        <f>"－"</f>
        <v>－</v>
      </c>
      <c r="U787" s="16"/>
      <c r="V787" s="16" t="str">
        <f>"－"</f>
        <v>－</v>
      </c>
      <c r="W787" s="16"/>
      <c r="X787" s="16" t="n">
        <f>21</f>
        <v>21.0</v>
      </c>
      <c r="Y787" s="13" t="s">
        <v>53</v>
      </c>
      <c r="Z787" s="17" t="str">
        <f>"－"</f>
        <v>－</v>
      </c>
      <c r="AA787" s="18" t="str">
        <f>"－"</f>
        <v>－</v>
      </c>
      <c r="AB787" s="11" t="s">
        <v>54</v>
      </c>
    </row>
    <row r="788">
      <c r="A788" s="11" t="s">
        <v>46</v>
      </c>
      <c r="B788" s="11" t="s">
        <v>47</v>
      </c>
      <c r="C788" s="11" t="s">
        <v>48</v>
      </c>
      <c r="D788" s="11" t="s">
        <v>651</v>
      </c>
      <c r="E788" s="11" t="s">
        <v>46</v>
      </c>
      <c r="F788" s="12" t="n">
        <v>26000.0</v>
      </c>
      <c r="G788" s="13" t="s">
        <v>61</v>
      </c>
      <c r="H788" s="14" t="s">
        <v>677</v>
      </c>
      <c r="I788" s="13" t="s">
        <v>52</v>
      </c>
      <c r="J788" s="14" t="s">
        <v>678</v>
      </c>
      <c r="K788" s="13"/>
      <c r="L788" s="14"/>
      <c r="M788" s="13" t="s">
        <v>61</v>
      </c>
      <c r="N788" s="14" t="s">
        <v>677</v>
      </c>
      <c r="O788" s="13"/>
      <c r="P788" s="14"/>
      <c r="Q788" s="13" t="s">
        <v>52</v>
      </c>
      <c r="R788" s="14" t="s">
        <v>678</v>
      </c>
      <c r="S788" s="15" t="n">
        <f>3460</f>
        <v>3460.0</v>
      </c>
      <c r="T788" s="16" t="n">
        <f>2</f>
        <v>2.0</v>
      </c>
      <c r="U788" s="16"/>
      <c r="V788" s="16" t="n">
        <f>6920000</f>
        <v>6920000.0</v>
      </c>
      <c r="W788" s="16"/>
      <c r="X788" s="16" t="n">
        <f>351</f>
        <v>351.0</v>
      </c>
      <c r="Y788" s="13" t="s">
        <v>53</v>
      </c>
      <c r="Z788" s="17" t="str">
        <f>"－"</f>
        <v>－</v>
      </c>
      <c r="AA788" s="18" t="n">
        <f>2</f>
        <v>2.0</v>
      </c>
      <c r="AB788" s="11" t="s">
        <v>54</v>
      </c>
    </row>
    <row r="789">
      <c r="A789" s="11" t="s">
        <v>46</v>
      </c>
      <c r="B789" s="11" t="s">
        <v>47</v>
      </c>
      <c r="C789" s="11" t="s">
        <v>48</v>
      </c>
      <c r="D789" s="11" t="s">
        <v>651</v>
      </c>
      <c r="E789" s="11" t="s">
        <v>46</v>
      </c>
      <c r="F789" s="12" t="n">
        <v>26125.0</v>
      </c>
      <c r="G789" s="13"/>
      <c r="H789" s="14" t="s">
        <v>57</v>
      </c>
      <c r="I789" s="13"/>
      <c r="J789" s="14" t="s">
        <v>57</v>
      </c>
      <c r="K789" s="13"/>
      <c r="L789" s="14"/>
      <c r="M789" s="13"/>
      <c r="N789" s="14" t="s">
        <v>57</v>
      </c>
      <c r="O789" s="13"/>
      <c r="P789" s="14"/>
      <c r="Q789" s="13"/>
      <c r="R789" s="14" t="s">
        <v>57</v>
      </c>
      <c r="S789" s="15" t="str">
        <f>"－"</f>
        <v>－</v>
      </c>
      <c r="T789" s="16" t="str">
        <f>"－"</f>
        <v>－</v>
      </c>
      <c r="U789" s="16"/>
      <c r="V789" s="16" t="str">
        <f>"－"</f>
        <v>－</v>
      </c>
      <c r="W789" s="16"/>
      <c r="X789" s="16" t="n">
        <f>1</f>
        <v>1.0</v>
      </c>
      <c r="Y789" s="13" t="s">
        <v>53</v>
      </c>
      <c r="Z789" s="17" t="str">
        <f>"－"</f>
        <v>－</v>
      </c>
      <c r="AA789" s="18" t="str">
        <f>"－"</f>
        <v>－</v>
      </c>
      <c r="AB789" s="11" t="s">
        <v>54</v>
      </c>
    </row>
    <row r="790">
      <c r="A790" s="11" t="s">
        <v>46</v>
      </c>
      <c r="B790" s="11" t="s">
        <v>47</v>
      </c>
      <c r="C790" s="11" t="s">
        <v>48</v>
      </c>
      <c r="D790" s="11" t="s">
        <v>651</v>
      </c>
      <c r="E790" s="11" t="s">
        <v>46</v>
      </c>
      <c r="F790" s="12" t="n">
        <v>26250.0</v>
      </c>
      <c r="G790" s="13"/>
      <c r="H790" s="14" t="s">
        <v>57</v>
      </c>
      <c r="I790" s="13"/>
      <c r="J790" s="14" t="s">
        <v>57</v>
      </c>
      <c r="K790" s="13"/>
      <c r="L790" s="14"/>
      <c r="M790" s="13"/>
      <c r="N790" s="14" t="s">
        <v>57</v>
      </c>
      <c r="O790" s="13"/>
      <c r="P790" s="14"/>
      <c r="Q790" s="13"/>
      <c r="R790" s="14" t="s">
        <v>57</v>
      </c>
      <c r="S790" s="15" t="str">
        <f>"－"</f>
        <v>－</v>
      </c>
      <c r="T790" s="16" t="str">
        <f>"－"</f>
        <v>－</v>
      </c>
      <c r="U790" s="16"/>
      <c r="V790" s="16" t="str">
        <f>"－"</f>
        <v>－</v>
      </c>
      <c r="W790" s="16"/>
      <c r="X790" s="16" t="n">
        <f>273</f>
        <v>273.0</v>
      </c>
      <c r="Y790" s="13" t="s">
        <v>53</v>
      </c>
      <c r="Z790" s="17" t="str">
        <f>"－"</f>
        <v>－</v>
      </c>
      <c r="AA790" s="18" t="str">
        <f>"－"</f>
        <v>－</v>
      </c>
      <c r="AB790" s="11" t="s">
        <v>54</v>
      </c>
    </row>
    <row r="791">
      <c r="A791" s="11" t="s">
        <v>46</v>
      </c>
      <c r="B791" s="11" t="s">
        <v>47</v>
      </c>
      <c r="C791" s="11" t="s">
        <v>48</v>
      </c>
      <c r="D791" s="11" t="s">
        <v>651</v>
      </c>
      <c r="E791" s="11" t="s">
        <v>46</v>
      </c>
      <c r="F791" s="12" t="n">
        <v>26375.0</v>
      </c>
      <c r="G791" s="13"/>
      <c r="H791" s="14" t="s">
        <v>57</v>
      </c>
      <c r="I791" s="13"/>
      <c r="J791" s="14" t="s">
        <v>57</v>
      </c>
      <c r="K791" s="13"/>
      <c r="L791" s="14"/>
      <c r="M791" s="13"/>
      <c r="N791" s="14" t="s">
        <v>57</v>
      </c>
      <c r="O791" s="13"/>
      <c r="P791" s="14"/>
      <c r="Q791" s="13"/>
      <c r="R791" s="14" t="s">
        <v>57</v>
      </c>
      <c r="S791" s="15" t="str">
        <f>"－"</f>
        <v>－</v>
      </c>
      <c r="T791" s="16" t="str">
        <f>"－"</f>
        <v>－</v>
      </c>
      <c r="U791" s="16"/>
      <c r="V791" s="16" t="str">
        <f>"－"</f>
        <v>－</v>
      </c>
      <c r="W791" s="16"/>
      <c r="X791" s="16" t="n">
        <f>5</f>
        <v>5.0</v>
      </c>
      <c r="Y791" s="13" t="s">
        <v>53</v>
      </c>
      <c r="Z791" s="17" t="str">
        <f>"－"</f>
        <v>－</v>
      </c>
      <c r="AA791" s="18" t="str">
        <f>"－"</f>
        <v>－</v>
      </c>
      <c r="AB791" s="11" t="s">
        <v>54</v>
      </c>
    </row>
    <row r="792">
      <c r="A792" s="11" t="s">
        <v>46</v>
      </c>
      <c r="B792" s="11" t="s">
        <v>47</v>
      </c>
      <c r="C792" s="11" t="s">
        <v>48</v>
      </c>
      <c r="D792" s="11" t="s">
        <v>651</v>
      </c>
      <c r="E792" s="11" t="s">
        <v>46</v>
      </c>
      <c r="F792" s="12" t="n">
        <v>26500.0</v>
      </c>
      <c r="G792" s="13" t="s">
        <v>58</v>
      </c>
      <c r="H792" s="14" t="s">
        <v>522</v>
      </c>
      <c r="I792" s="13" t="s">
        <v>56</v>
      </c>
      <c r="J792" s="14" t="s">
        <v>406</v>
      </c>
      <c r="K792" s="13" t="s">
        <v>56</v>
      </c>
      <c r="L792" s="14" t="s">
        <v>679</v>
      </c>
      <c r="M792" s="13" t="s">
        <v>58</v>
      </c>
      <c r="N792" s="14" t="s">
        <v>522</v>
      </c>
      <c r="O792" s="13" t="s">
        <v>56</v>
      </c>
      <c r="P792" s="14" t="s">
        <v>679</v>
      </c>
      <c r="Q792" s="13" t="s">
        <v>56</v>
      </c>
      <c r="R792" s="14" t="s">
        <v>406</v>
      </c>
      <c r="S792" s="15" t="n">
        <f>2713.33</f>
        <v>2713.33</v>
      </c>
      <c r="T792" s="16" t="n">
        <f>9</f>
        <v>9.0</v>
      </c>
      <c r="U792" s="16" t="n">
        <v>1.0</v>
      </c>
      <c r="V792" s="16" t="n">
        <f>22360000</f>
        <v>2.236E7</v>
      </c>
      <c r="W792" s="16" t="n">
        <v>2960000.0</v>
      </c>
      <c r="X792" s="16" t="n">
        <f>803</f>
        <v>803.0</v>
      </c>
      <c r="Y792" s="13" t="s">
        <v>53</v>
      </c>
      <c r="Z792" s="17" t="str">
        <f>"－"</f>
        <v>－</v>
      </c>
      <c r="AA792" s="18" t="n">
        <f>3</f>
        <v>3.0</v>
      </c>
      <c r="AB792" s="11" t="s">
        <v>54</v>
      </c>
    </row>
    <row r="793">
      <c r="A793" s="11" t="s">
        <v>46</v>
      </c>
      <c r="B793" s="11" t="s">
        <v>47</v>
      </c>
      <c r="C793" s="11" t="s">
        <v>48</v>
      </c>
      <c r="D793" s="11" t="s">
        <v>651</v>
      </c>
      <c r="E793" s="11" t="s">
        <v>46</v>
      </c>
      <c r="F793" s="12" t="n">
        <v>26625.0</v>
      </c>
      <c r="G793" s="13"/>
      <c r="H793" s="14" t="s">
        <v>57</v>
      </c>
      <c r="I793" s="13"/>
      <c r="J793" s="14" t="s">
        <v>57</v>
      </c>
      <c r="K793" s="13"/>
      <c r="L793" s="14"/>
      <c r="M793" s="13"/>
      <c r="N793" s="14" t="s">
        <v>57</v>
      </c>
      <c r="O793" s="13"/>
      <c r="P793" s="14"/>
      <c r="Q793" s="13"/>
      <c r="R793" s="14" t="s">
        <v>57</v>
      </c>
      <c r="S793" s="15" t="str">
        <f>"－"</f>
        <v>－</v>
      </c>
      <c r="T793" s="16" t="str">
        <f>"－"</f>
        <v>－</v>
      </c>
      <c r="U793" s="16"/>
      <c r="V793" s="16" t="str">
        <f>"－"</f>
        <v>－</v>
      </c>
      <c r="W793" s="16"/>
      <c r="X793" s="16" t="n">
        <f>37</f>
        <v>37.0</v>
      </c>
      <c r="Y793" s="13" t="s">
        <v>53</v>
      </c>
      <c r="Z793" s="17" t="str">
        <f>"－"</f>
        <v>－</v>
      </c>
      <c r="AA793" s="18" t="str">
        <f>"－"</f>
        <v>－</v>
      </c>
      <c r="AB793" s="11" t="s">
        <v>54</v>
      </c>
    </row>
    <row r="794">
      <c r="A794" s="11" t="s">
        <v>46</v>
      </c>
      <c r="B794" s="11" t="s">
        <v>47</v>
      </c>
      <c r="C794" s="11" t="s">
        <v>48</v>
      </c>
      <c r="D794" s="11" t="s">
        <v>651</v>
      </c>
      <c r="E794" s="11" t="s">
        <v>46</v>
      </c>
      <c r="F794" s="12" t="n">
        <v>26750.0</v>
      </c>
      <c r="G794" s="13" t="s">
        <v>50</v>
      </c>
      <c r="H794" s="14" t="s">
        <v>680</v>
      </c>
      <c r="I794" s="13" t="s">
        <v>50</v>
      </c>
      <c r="J794" s="14" t="s">
        <v>680</v>
      </c>
      <c r="K794" s="13"/>
      <c r="L794" s="14"/>
      <c r="M794" s="13" t="s">
        <v>50</v>
      </c>
      <c r="N794" s="14" t="s">
        <v>394</v>
      </c>
      <c r="O794" s="13"/>
      <c r="P794" s="14"/>
      <c r="Q794" s="13" t="s">
        <v>50</v>
      </c>
      <c r="R794" s="14" t="s">
        <v>394</v>
      </c>
      <c r="S794" s="15" t="n">
        <f>1310</f>
        <v>1310.0</v>
      </c>
      <c r="T794" s="16" t="n">
        <f>2</f>
        <v>2.0</v>
      </c>
      <c r="U794" s="16"/>
      <c r="V794" s="16" t="n">
        <f>2740000</f>
        <v>2740000.0</v>
      </c>
      <c r="W794" s="16"/>
      <c r="X794" s="16" t="n">
        <f>766</f>
        <v>766.0</v>
      </c>
      <c r="Y794" s="13" t="s">
        <v>53</v>
      </c>
      <c r="Z794" s="17" t="str">
        <f>"－"</f>
        <v>－</v>
      </c>
      <c r="AA794" s="18" t="n">
        <f>1</f>
        <v>1.0</v>
      </c>
      <c r="AB794" s="11" t="s">
        <v>54</v>
      </c>
    </row>
    <row r="795">
      <c r="A795" s="11" t="s">
        <v>46</v>
      </c>
      <c r="B795" s="11" t="s">
        <v>47</v>
      </c>
      <c r="C795" s="11" t="s">
        <v>48</v>
      </c>
      <c r="D795" s="11" t="s">
        <v>651</v>
      </c>
      <c r="E795" s="11" t="s">
        <v>46</v>
      </c>
      <c r="F795" s="12" t="n">
        <v>26875.0</v>
      </c>
      <c r="G795" s="13"/>
      <c r="H795" s="14" t="s">
        <v>57</v>
      </c>
      <c r="I795" s="13"/>
      <c r="J795" s="14" t="s">
        <v>57</v>
      </c>
      <c r="K795" s="13" t="s">
        <v>56</v>
      </c>
      <c r="L795" s="14" t="s">
        <v>681</v>
      </c>
      <c r="M795" s="13"/>
      <c r="N795" s="14" t="s">
        <v>57</v>
      </c>
      <c r="O795" s="13" t="s">
        <v>56</v>
      </c>
      <c r="P795" s="14" t="s">
        <v>682</v>
      </c>
      <c r="Q795" s="13"/>
      <c r="R795" s="14" t="s">
        <v>57</v>
      </c>
      <c r="S795" s="15" t="str">
        <f>"－"</f>
        <v>－</v>
      </c>
      <c r="T795" s="16" t="n">
        <f>6</f>
        <v>6.0</v>
      </c>
      <c r="U795" s="16" t="n">
        <v>6.0</v>
      </c>
      <c r="V795" s="16" t="n">
        <f>14940000</f>
        <v>1.494E7</v>
      </c>
      <c r="W795" s="16" t="n">
        <v>1.494E7</v>
      </c>
      <c r="X795" s="16" t="n">
        <f>14</f>
        <v>14.0</v>
      </c>
      <c r="Y795" s="13" t="s">
        <v>53</v>
      </c>
      <c r="Z795" s="17" t="str">
        <f>"－"</f>
        <v>－</v>
      </c>
      <c r="AA795" s="18" t="str">
        <f>"－"</f>
        <v>－</v>
      </c>
      <c r="AB795" s="11" t="s">
        <v>54</v>
      </c>
    </row>
    <row r="796">
      <c r="A796" s="11" t="s">
        <v>46</v>
      </c>
      <c r="B796" s="11" t="s">
        <v>47</v>
      </c>
      <c r="C796" s="11" t="s">
        <v>48</v>
      </c>
      <c r="D796" s="11" t="s">
        <v>651</v>
      </c>
      <c r="E796" s="11" t="s">
        <v>46</v>
      </c>
      <c r="F796" s="12" t="n">
        <v>27000.0</v>
      </c>
      <c r="G796" s="13" t="s">
        <v>50</v>
      </c>
      <c r="H796" s="14" t="s">
        <v>280</v>
      </c>
      <c r="I796" s="13" t="s">
        <v>56</v>
      </c>
      <c r="J796" s="14" t="s">
        <v>683</v>
      </c>
      <c r="K796" s="13" t="s">
        <v>61</v>
      </c>
      <c r="L796" s="14" t="s">
        <v>684</v>
      </c>
      <c r="M796" s="13" t="s">
        <v>50</v>
      </c>
      <c r="N796" s="14" t="s">
        <v>280</v>
      </c>
      <c r="O796" s="13" t="s">
        <v>52</v>
      </c>
      <c r="P796" s="14" t="s">
        <v>685</v>
      </c>
      <c r="Q796" s="13" t="s">
        <v>56</v>
      </c>
      <c r="R796" s="14" t="s">
        <v>683</v>
      </c>
      <c r="S796" s="15" t="n">
        <f>1781.25</f>
        <v>1781.25</v>
      </c>
      <c r="T796" s="16" t="n">
        <f>268</f>
        <v>268.0</v>
      </c>
      <c r="U796" s="16" t="n">
        <v>214.0</v>
      </c>
      <c r="V796" s="16" t="n">
        <f>442355260</f>
        <v>4.4235526E8</v>
      </c>
      <c r="W796" s="16" t="n">
        <v>3.6362526E8</v>
      </c>
      <c r="X796" s="16" t="n">
        <f>2911</f>
        <v>2911.0</v>
      </c>
      <c r="Y796" s="13" t="s">
        <v>53</v>
      </c>
      <c r="Z796" s="17" t="str">
        <f>"－"</f>
        <v>－</v>
      </c>
      <c r="AA796" s="18" t="n">
        <f>8</f>
        <v>8.0</v>
      </c>
      <c r="AB796" s="11" t="s">
        <v>54</v>
      </c>
    </row>
    <row r="797">
      <c r="A797" s="11" t="s">
        <v>46</v>
      </c>
      <c r="B797" s="11" t="s">
        <v>47</v>
      </c>
      <c r="C797" s="11" t="s">
        <v>48</v>
      </c>
      <c r="D797" s="11" t="s">
        <v>651</v>
      </c>
      <c r="E797" s="11" t="s">
        <v>46</v>
      </c>
      <c r="F797" s="12" t="n">
        <v>27125.0</v>
      </c>
      <c r="G797" s="13" t="s">
        <v>50</v>
      </c>
      <c r="H797" s="14" t="s">
        <v>686</v>
      </c>
      <c r="I797" s="13" t="s">
        <v>61</v>
      </c>
      <c r="J797" s="14" t="s">
        <v>687</v>
      </c>
      <c r="K797" s="13"/>
      <c r="L797" s="14"/>
      <c r="M797" s="13" t="s">
        <v>50</v>
      </c>
      <c r="N797" s="14" t="s">
        <v>686</v>
      </c>
      <c r="O797" s="13"/>
      <c r="P797" s="14"/>
      <c r="Q797" s="13" t="s">
        <v>61</v>
      </c>
      <c r="R797" s="14" t="s">
        <v>687</v>
      </c>
      <c r="S797" s="15" t="n">
        <f>1413.75</f>
        <v>1413.75</v>
      </c>
      <c r="T797" s="16" t="n">
        <f>6</f>
        <v>6.0</v>
      </c>
      <c r="U797" s="16"/>
      <c r="V797" s="16" t="n">
        <f>8430000</f>
        <v>8430000.0</v>
      </c>
      <c r="W797" s="16"/>
      <c r="X797" s="16" t="n">
        <f>307</f>
        <v>307.0</v>
      </c>
      <c r="Y797" s="13" t="s">
        <v>53</v>
      </c>
      <c r="Z797" s="17" t="str">
        <f>"－"</f>
        <v>－</v>
      </c>
      <c r="AA797" s="18" t="n">
        <f>4</f>
        <v>4.0</v>
      </c>
      <c r="AB797" s="11" t="s">
        <v>54</v>
      </c>
    </row>
    <row r="798">
      <c r="A798" s="11" t="s">
        <v>46</v>
      </c>
      <c r="B798" s="11" t="s">
        <v>47</v>
      </c>
      <c r="C798" s="11" t="s">
        <v>48</v>
      </c>
      <c r="D798" s="11" t="s">
        <v>651</v>
      </c>
      <c r="E798" s="11" t="s">
        <v>46</v>
      </c>
      <c r="F798" s="12" t="n">
        <v>27250.0</v>
      </c>
      <c r="G798" s="13" t="s">
        <v>50</v>
      </c>
      <c r="H798" s="14" t="s">
        <v>263</v>
      </c>
      <c r="I798" s="13" t="s">
        <v>56</v>
      </c>
      <c r="J798" s="14" t="s">
        <v>688</v>
      </c>
      <c r="K798" s="13" t="s">
        <v>56</v>
      </c>
      <c r="L798" s="14" t="s">
        <v>689</v>
      </c>
      <c r="M798" s="13" t="s">
        <v>50</v>
      </c>
      <c r="N798" s="14" t="s">
        <v>263</v>
      </c>
      <c r="O798" s="13" t="s">
        <v>61</v>
      </c>
      <c r="P798" s="14" t="s">
        <v>51</v>
      </c>
      <c r="Q798" s="13" t="s">
        <v>56</v>
      </c>
      <c r="R798" s="14" t="s">
        <v>688</v>
      </c>
      <c r="S798" s="15" t="n">
        <f>1714</f>
        <v>1714.0</v>
      </c>
      <c r="T798" s="16" t="n">
        <f>483</f>
        <v>483.0</v>
      </c>
      <c r="U798" s="16" t="n">
        <v>432.0</v>
      </c>
      <c r="V798" s="16" t="n">
        <f>572024496</f>
        <v>5.72024496E8</v>
      </c>
      <c r="W798" s="16" t="n">
        <v>5.06804496E8</v>
      </c>
      <c r="X798" s="16" t="n">
        <f>2455</f>
        <v>2455.0</v>
      </c>
      <c r="Y798" s="13" t="s">
        <v>53</v>
      </c>
      <c r="Z798" s="17" t="str">
        <f>"－"</f>
        <v>－</v>
      </c>
      <c r="AA798" s="18" t="n">
        <f>5</f>
        <v>5.0</v>
      </c>
      <c r="AB798" s="11" t="s">
        <v>54</v>
      </c>
    </row>
    <row r="799">
      <c r="A799" s="11" t="s">
        <v>46</v>
      </c>
      <c r="B799" s="11" t="s">
        <v>47</v>
      </c>
      <c r="C799" s="11" t="s">
        <v>48</v>
      </c>
      <c r="D799" s="11" t="s">
        <v>651</v>
      </c>
      <c r="E799" s="11" t="s">
        <v>46</v>
      </c>
      <c r="F799" s="12" t="n">
        <v>27375.0</v>
      </c>
      <c r="G799" s="13" t="s">
        <v>50</v>
      </c>
      <c r="H799" s="14" t="s">
        <v>291</v>
      </c>
      <c r="I799" s="13" t="s">
        <v>50</v>
      </c>
      <c r="J799" s="14" t="s">
        <v>302</v>
      </c>
      <c r="K799" s="13"/>
      <c r="L799" s="14"/>
      <c r="M799" s="13" t="s">
        <v>50</v>
      </c>
      <c r="N799" s="14" t="s">
        <v>291</v>
      </c>
      <c r="O799" s="13"/>
      <c r="P799" s="14"/>
      <c r="Q799" s="13" t="s">
        <v>50</v>
      </c>
      <c r="R799" s="14" t="s">
        <v>690</v>
      </c>
      <c r="S799" s="15" t="n">
        <f>730</f>
        <v>730.0</v>
      </c>
      <c r="T799" s="16" t="n">
        <f>64</f>
        <v>64.0</v>
      </c>
      <c r="U799" s="16"/>
      <c r="V799" s="16" t="n">
        <f>48170000</f>
        <v>4.817E7</v>
      </c>
      <c r="W799" s="16"/>
      <c r="X799" s="16" t="n">
        <f>128</f>
        <v>128.0</v>
      </c>
      <c r="Y799" s="13" t="s">
        <v>53</v>
      </c>
      <c r="Z799" s="17" t="str">
        <f>"－"</f>
        <v>－</v>
      </c>
      <c r="AA799" s="18" t="n">
        <f>1</f>
        <v>1.0</v>
      </c>
      <c r="AB799" s="11" t="s">
        <v>54</v>
      </c>
    </row>
    <row r="800">
      <c r="A800" s="11" t="s">
        <v>46</v>
      </c>
      <c r="B800" s="11" t="s">
        <v>47</v>
      </c>
      <c r="C800" s="11" t="s">
        <v>48</v>
      </c>
      <c r="D800" s="11" t="s">
        <v>651</v>
      </c>
      <c r="E800" s="11" t="s">
        <v>46</v>
      </c>
      <c r="F800" s="12" t="n">
        <v>27500.0</v>
      </c>
      <c r="G800" s="13" t="s">
        <v>50</v>
      </c>
      <c r="H800" s="14" t="s">
        <v>174</v>
      </c>
      <c r="I800" s="13" t="s">
        <v>56</v>
      </c>
      <c r="J800" s="14" t="s">
        <v>691</v>
      </c>
      <c r="K800" s="13" t="s">
        <v>50</v>
      </c>
      <c r="L800" s="14" t="s">
        <v>291</v>
      </c>
      <c r="M800" s="13" t="s">
        <v>50</v>
      </c>
      <c r="N800" s="14" t="s">
        <v>255</v>
      </c>
      <c r="O800" s="13" t="s">
        <v>52</v>
      </c>
      <c r="P800" s="14" t="s">
        <v>51</v>
      </c>
      <c r="Q800" s="13" t="s">
        <v>56</v>
      </c>
      <c r="R800" s="14" t="s">
        <v>692</v>
      </c>
      <c r="S800" s="15" t="n">
        <f>1354.38</f>
        <v>1354.38</v>
      </c>
      <c r="T800" s="16" t="n">
        <f>606</f>
        <v>606.0</v>
      </c>
      <c r="U800" s="16" t="n">
        <v>66.0</v>
      </c>
      <c r="V800" s="16" t="n">
        <f>532656000</f>
        <v>5.32656E8</v>
      </c>
      <c r="W800" s="16" t="n">
        <v>3346000.0</v>
      </c>
      <c r="X800" s="16" t="n">
        <f>992</f>
        <v>992.0</v>
      </c>
      <c r="Y800" s="13" t="s">
        <v>53</v>
      </c>
      <c r="Z800" s="17" t="str">
        <f>"－"</f>
        <v>－</v>
      </c>
      <c r="AA800" s="18" t="n">
        <f>8</f>
        <v>8.0</v>
      </c>
      <c r="AB800" s="11" t="s">
        <v>54</v>
      </c>
    </row>
    <row r="801">
      <c r="A801" s="11" t="s">
        <v>46</v>
      </c>
      <c r="B801" s="11" t="s">
        <v>47</v>
      </c>
      <c r="C801" s="11" t="s">
        <v>48</v>
      </c>
      <c r="D801" s="11" t="s">
        <v>651</v>
      </c>
      <c r="E801" s="11" t="s">
        <v>46</v>
      </c>
      <c r="F801" s="12" t="n">
        <v>27625.0</v>
      </c>
      <c r="G801" s="13" t="s">
        <v>50</v>
      </c>
      <c r="H801" s="14" t="s">
        <v>244</v>
      </c>
      <c r="I801" s="13" t="s">
        <v>61</v>
      </c>
      <c r="J801" s="14" t="s">
        <v>552</v>
      </c>
      <c r="K801" s="13" t="s">
        <v>55</v>
      </c>
      <c r="L801" s="14" t="s">
        <v>384</v>
      </c>
      <c r="M801" s="13" t="s">
        <v>50</v>
      </c>
      <c r="N801" s="14" t="s">
        <v>534</v>
      </c>
      <c r="O801" s="13" t="s">
        <v>50</v>
      </c>
      <c r="P801" s="14" t="s">
        <v>539</v>
      </c>
      <c r="Q801" s="13" t="s">
        <v>61</v>
      </c>
      <c r="R801" s="14" t="s">
        <v>552</v>
      </c>
      <c r="S801" s="15" t="n">
        <f>1053</f>
        <v>1053.0</v>
      </c>
      <c r="T801" s="16" t="n">
        <f>204</f>
        <v>204.0</v>
      </c>
      <c r="U801" s="16" t="n">
        <v>6.0</v>
      </c>
      <c r="V801" s="16" t="n">
        <f>134190000</f>
        <v>1.3419E8</v>
      </c>
      <c r="W801" s="16" t="n">
        <v>4585000.0</v>
      </c>
      <c r="X801" s="16" t="n">
        <f>658</f>
        <v>658.0</v>
      </c>
      <c r="Y801" s="13" t="s">
        <v>53</v>
      </c>
      <c r="Z801" s="17" t="str">
        <f>"－"</f>
        <v>－</v>
      </c>
      <c r="AA801" s="18" t="n">
        <f>5</f>
        <v>5.0</v>
      </c>
      <c r="AB801" s="11" t="s">
        <v>54</v>
      </c>
    </row>
    <row r="802">
      <c r="A802" s="11" t="s">
        <v>46</v>
      </c>
      <c r="B802" s="11" t="s">
        <v>47</v>
      </c>
      <c r="C802" s="11" t="s">
        <v>48</v>
      </c>
      <c r="D802" s="11" t="s">
        <v>651</v>
      </c>
      <c r="E802" s="11" t="s">
        <v>46</v>
      </c>
      <c r="F802" s="12" t="n">
        <v>27750.0</v>
      </c>
      <c r="G802" s="13" t="s">
        <v>50</v>
      </c>
      <c r="H802" s="14" t="s">
        <v>309</v>
      </c>
      <c r="I802" s="13" t="s">
        <v>52</v>
      </c>
      <c r="J802" s="14" t="s">
        <v>693</v>
      </c>
      <c r="K802" s="13" t="s">
        <v>56</v>
      </c>
      <c r="L802" s="14" t="s">
        <v>694</v>
      </c>
      <c r="M802" s="13" t="s">
        <v>50</v>
      </c>
      <c r="N802" s="14" t="s">
        <v>309</v>
      </c>
      <c r="O802" s="13" t="s">
        <v>50</v>
      </c>
      <c r="P802" s="14" t="s">
        <v>245</v>
      </c>
      <c r="Q802" s="13" t="s">
        <v>56</v>
      </c>
      <c r="R802" s="14" t="s">
        <v>553</v>
      </c>
      <c r="S802" s="15" t="n">
        <f>1090.63</f>
        <v>1090.63</v>
      </c>
      <c r="T802" s="16" t="n">
        <f>569</f>
        <v>569.0</v>
      </c>
      <c r="U802" s="16" t="n">
        <v>76.0</v>
      </c>
      <c r="V802" s="16" t="n">
        <f>442395000</f>
        <v>4.42395E8</v>
      </c>
      <c r="W802" s="16" t="n">
        <v>1.10945E8</v>
      </c>
      <c r="X802" s="16" t="n">
        <f>1264</f>
        <v>1264.0</v>
      </c>
      <c r="Y802" s="13" t="s">
        <v>53</v>
      </c>
      <c r="Z802" s="17" t="str">
        <f>"－"</f>
        <v>－</v>
      </c>
      <c r="AA802" s="18" t="n">
        <f>8</f>
        <v>8.0</v>
      </c>
      <c r="AB802" s="11" t="s">
        <v>54</v>
      </c>
    </row>
    <row r="803">
      <c r="A803" s="11" t="s">
        <v>46</v>
      </c>
      <c r="B803" s="11" t="s">
        <v>47</v>
      </c>
      <c r="C803" s="11" t="s">
        <v>48</v>
      </c>
      <c r="D803" s="11" t="s">
        <v>651</v>
      </c>
      <c r="E803" s="11" t="s">
        <v>46</v>
      </c>
      <c r="F803" s="12" t="n">
        <v>27875.0</v>
      </c>
      <c r="G803" s="13" t="s">
        <v>50</v>
      </c>
      <c r="H803" s="14" t="s">
        <v>257</v>
      </c>
      <c r="I803" s="13" t="s">
        <v>56</v>
      </c>
      <c r="J803" s="14" t="s">
        <v>695</v>
      </c>
      <c r="K803" s="13" t="s">
        <v>50</v>
      </c>
      <c r="L803" s="14" t="s">
        <v>534</v>
      </c>
      <c r="M803" s="13" t="s">
        <v>50</v>
      </c>
      <c r="N803" s="14" t="s">
        <v>257</v>
      </c>
      <c r="O803" s="13" t="s">
        <v>50</v>
      </c>
      <c r="P803" s="14" t="s">
        <v>145</v>
      </c>
      <c r="Q803" s="13" t="s">
        <v>56</v>
      </c>
      <c r="R803" s="14" t="s">
        <v>695</v>
      </c>
      <c r="S803" s="15" t="n">
        <f>1014.38</f>
        <v>1014.38</v>
      </c>
      <c r="T803" s="16" t="n">
        <f>992</f>
        <v>992.0</v>
      </c>
      <c r="U803" s="16" t="n">
        <v>204.0</v>
      </c>
      <c r="V803" s="16" t="n">
        <f>488130000</f>
        <v>4.8813E8</v>
      </c>
      <c r="W803" s="16" t="n">
        <v>8.24E7</v>
      </c>
      <c r="X803" s="16" t="n">
        <f>851</f>
        <v>851.0</v>
      </c>
      <c r="Y803" s="13" t="s">
        <v>53</v>
      </c>
      <c r="Z803" s="17" t="str">
        <f>"－"</f>
        <v>－</v>
      </c>
      <c r="AA803" s="18" t="n">
        <f>8</f>
        <v>8.0</v>
      </c>
      <c r="AB803" s="11" t="s">
        <v>54</v>
      </c>
    </row>
    <row r="804">
      <c r="A804" s="11" t="s">
        <v>46</v>
      </c>
      <c r="B804" s="11" t="s">
        <v>47</v>
      </c>
      <c r="C804" s="11" t="s">
        <v>48</v>
      </c>
      <c r="D804" s="11" t="s">
        <v>651</v>
      </c>
      <c r="E804" s="11" t="s">
        <v>46</v>
      </c>
      <c r="F804" s="12" t="n">
        <v>28000.0</v>
      </c>
      <c r="G804" s="13" t="s">
        <v>50</v>
      </c>
      <c r="H804" s="14" t="s">
        <v>187</v>
      </c>
      <c r="I804" s="13" t="s">
        <v>56</v>
      </c>
      <c r="J804" s="14" t="s">
        <v>696</v>
      </c>
      <c r="K804" s="13" t="s">
        <v>56</v>
      </c>
      <c r="L804" s="14" t="s">
        <v>320</v>
      </c>
      <c r="M804" s="13" t="s">
        <v>50</v>
      </c>
      <c r="N804" s="14" t="s">
        <v>144</v>
      </c>
      <c r="O804" s="13" t="s">
        <v>52</v>
      </c>
      <c r="P804" s="14" t="s">
        <v>51</v>
      </c>
      <c r="Q804" s="13" t="s">
        <v>56</v>
      </c>
      <c r="R804" s="14" t="s">
        <v>696</v>
      </c>
      <c r="S804" s="15" t="n">
        <f>941.25</f>
        <v>941.25</v>
      </c>
      <c r="T804" s="16" t="n">
        <f>4875</f>
        <v>4875.0</v>
      </c>
      <c r="U804" s="16" t="n">
        <v>1189.0</v>
      </c>
      <c r="V804" s="16" t="n">
        <f>2591110000</f>
        <v>2.59111E9</v>
      </c>
      <c r="W804" s="16" t="n">
        <v>6.5565E8</v>
      </c>
      <c r="X804" s="16" t="n">
        <f>4461</f>
        <v>4461.0</v>
      </c>
      <c r="Y804" s="13" t="s">
        <v>53</v>
      </c>
      <c r="Z804" s="17" t="str">
        <f>"－"</f>
        <v>－</v>
      </c>
      <c r="AA804" s="18" t="n">
        <f>8</f>
        <v>8.0</v>
      </c>
      <c r="AB804" s="11" t="s">
        <v>54</v>
      </c>
    </row>
    <row r="805">
      <c r="A805" s="11" t="s">
        <v>46</v>
      </c>
      <c r="B805" s="11" t="s">
        <v>47</v>
      </c>
      <c r="C805" s="11" t="s">
        <v>48</v>
      </c>
      <c r="D805" s="11" t="s">
        <v>651</v>
      </c>
      <c r="E805" s="11" t="s">
        <v>46</v>
      </c>
      <c r="F805" s="12" t="n">
        <v>28125.0</v>
      </c>
      <c r="G805" s="13" t="s">
        <v>50</v>
      </c>
      <c r="H805" s="14" t="s">
        <v>342</v>
      </c>
      <c r="I805" s="13" t="s">
        <v>52</v>
      </c>
      <c r="J805" s="14" t="s">
        <v>285</v>
      </c>
      <c r="K805" s="13" t="s">
        <v>52</v>
      </c>
      <c r="L805" s="14" t="s">
        <v>314</v>
      </c>
      <c r="M805" s="13" t="s">
        <v>50</v>
      </c>
      <c r="N805" s="14" t="s">
        <v>342</v>
      </c>
      <c r="O805" s="13" t="s">
        <v>52</v>
      </c>
      <c r="P805" s="14" t="s">
        <v>51</v>
      </c>
      <c r="Q805" s="13" t="s">
        <v>56</v>
      </c>
      <c r="R805" s="14" t="s">
        <v>394</v>
      </c>
      <c r="S805" s="15" t="n">
        <f>802.5</f>
        <v>802.5</v>
      </c>
      <c r="T805" s="16" t="n">
        <f>892</f>
        <v>892.0</v>
      </c>
      <c r="U805" s="16" t="n">
        <v>75.0</v>
      </c>
      <c r="V805" s="16" t="n">
        <f>514750000</f>
        <v>5.1475E8</v>
      </c>
      <c r="W805" s="16" t="n">
        <v>1.5425E7</v>
      </c>
      <c r="X805" s="16" t="n">
        <f>1438</f>
        <v>1438.0</v>
      </c>
      <c r="Y805" s="13" t="s">
        <v>53</v>
      </c>
      <c r="Z805" s="17" t="str">
        <f>"－"</f>
        <v>－</v>
      </c>
      <c r="AA805" s="18" t="n">
        <f>8</f>
        <v>8.0</v>
      </c>
      <c r="AB805" s="11" t="s">
        <v>54</v>
      </c>
    </row>
    <row r="806">
      <c r="A806" s="11" t="s">
        <v>46</v>
      </c>
      <c r="B806" s="11" t="s">
        <v>47</v>
      </c>
      <c r="C806" s="11" t="s">
        <v>48</v>
      </c>
      <c r="D806" s="11" t="s">
        <v>651</v>
      </c>
      <c r="E806" s="11" t="s">
        <v>46</v>
      </c>
      <c r="F806" s="12" t="n">
        <v>28250.0</v>
      </c>
      <c r="G806" s="13" t="s">
        <v>50</v>
      </c>
      <c r="H806" s="14" t="s">
        <v>135</v>
      </c>
      <c r="I806" s="13" t="s">
        <v>52</v>
      </c>
      <c r="J806" s="14" t="s">
        <v>307</v>
      </c>
      <c r="K806" s="13" t="s">
        <v>56</v>
      </c>
      <c r="L806" s="14" t="s">
        <v>308</v>
      </c>
      <c r="M806" s="13" t="s">
        <v>50</v>
      </c>
      <c r="N806" s="14" t="s">
        <v>230</v>
      </c>
      <c r="O806" s="13" t="s">
        <v>61</v>
      </c>
      <c r="P806" s="14" t="s">
        <v>51</v>
      </c>
      <c r="Q806" s="13" t="s">
        <v>56</v>
      </c>
      <c r="R806" s="14" t="s">
        <v>308</v>
      </c>
      <c r="S806" s="15" t="n">
        <f>737.5</f>
        <v>737.5</v>
      </c>
      <c r="T806" s="16" t="n">
        <f>2417</f>
        <v>2417.0</v>
      </c>
      <c r="U806" s="16" t="n">
        <v>252.0</v>
      </c>
      <c r="V806" s="16" t="n">
        <f>1045225000</f>
        <v>1.045225E9</v>
      </c>
      <c r="W806" s="16" t="n">
        <v>4.1195E7</v>
      </c>
      <c r="X806" s="16" t="n">
        <f>1326</f>
        <v>1326.0</v>
      </c>
      <c r="Y806" s="13" t="s">
        <v>53</v>
      </c>
      <c r="Z806" s="17" t="str">
        <f>"－"</f>
        <v>－</v>
      </c>
      <c r="AA806" s="18" t="n">
        <f>8</f>
        <v>8.0</v>
      </c>
      <c r="AB806" s="11" t="s">
        <v>54</v>
      </c>
    </row>
    <row r="807">
      <c r="A807" s="11" t="s">
        <v>46</v>
      </c>
      <c r="B807" s="11" t="s">
        <v>47</v>
      </c>
      <c r="C807" s="11" t="s">
        <v>48</v>
      </c>
      <c r="D807" s="11" t="s">
        <v>651</v>
      </c>
      <c r="E807" s="11" t="s">
        <v>46</v>
      </c>
      <c r="F807" s="12" t="n">
        <v>28375.0</v>
      </c>
      <c r="G807" s="13" t="s">
        <v>50</v>
      </c>
      <c r="H807" s="14" t="s">
        <v>128</v>
      </c>
      <c r="I807" s="13" t="s">
        <v>56</v>
      </c>
      <c r="J807" s="14" t="s">
        <v>304</v>
      </c>
      <c r="K807" s="13" t="s">
        <v>61</v>
      </c>
      <c r="L807" s="14" t="s">
        <v>428</v>
      </c>
      <c r="M807" s="13" t="s">
        <v>50</v>
      </c>
      <c r="N807" s="14" t="s">
        <v>124</v>
      </c>
      <c r="O807" s="13" t="s">
        <v>52</v>
      </c>
      <c r="P807" s="14" t="s">
        <v>51</v>
      </c>
      <c r="Q807" s="13" t="s">
        <v>56</v>
      </c>
      <c r="R807" s="14" t="s">
        <v>304</v>
      </c>
      <c r="S807" s="15" t="n">
        <f>628.75</f>
        <v>628.75</v>
      </c>
      <c r="T807" s="16" t="n">
        <f>1969</f>
        <v>1969.0</v>
      </c>
      <c r="U807" s="16" t="n">
        <v>172.0</v>
      </c>
      <c r="V807" s="16" t="n">
        <f>761424000</f>
        <v>7.61424E8</v>
      </c>
      <c r="W807" s="16" t="n">
        <v>1.8489E7</v>
      </c>
      <c r="X807" s="16" t="n">
        <f>1466</f>
        <v>1466.0</v>
      </c>
      <c r="Y807" s="13" t="s">
        <v>53</v>
      </c>
      <c r="Z807" s="17" t="str">
        <f>"－"</f>
        <v>－</v>
      </c>
      <c r="AA807" s="18" t="n">
        <f>8</f>
        <v>8.0</v>
      </c>
      <c r="AB807" s="11" t="s">
        <v>54</v>
      </c>
    </row>
    <row r="808">
      <c r="A808" s="11" t="s">
        <v>46</v>
      </c>
      <c r="B808" s="11" t="s">
        <v>47</v>
      </c>
      <c r="C808" s="11" t="s">
        <v>48</v>
      </c>
      <c r="D808" s="11" t="s">
        <v>651</v>
      </c>
      <c r="E808" s="11" t="s">
        <v>46</v>
      </c>
      <c r="F808" s="12" t="n">
        <v>28500.0</v>
      </c>
      <c r="G808" s="13" t="s">
        <v>50</v>
      </c>
      <c r="H808" s="14" t="s">
        <v>261</v>
      </c>
      <c r="I808" s="13" t="s">
        <v>56</v>
      </c>
      <c r="J808" s="14" t="s">
        <v>423</v>
      </c>
      <c r="K808" s="13" t="s">
        <v>52</v>
      </c>
      <c r="L808" s="14" t="s">
        <v>305</v>
      </c>
      <c r="M808" s="13" t="s">
        <v>50</v>
      </c>
      <c r="N808" s="14" t="s">
        <v>119</v>
      </c>
      <c r="O808" s="13" t="s">
        <v>52</v>
      </c>
      <c r="P808" s="14" t="s">
        <v>51</v>
      </c>
      <c r="Q808" s="13" t="s">
        <v>56</v>
      </c>
      <c r="R808" s="14" t="s">
        <v>423</v>
      </c>
      <c r="S808" s="15" t="n">
        <f>566.88</f>
        <v>566.88</v>
      </c>
      <c r="T808" s="16" t="n">
        <f>13601</f>
        <v>13601.0</v>
      </c>
      <c r="U808" s="16" t="n">
        <v>3818.0</v>
      </c>
      <c r="V808" s="16" t="n">
        <f>4333595000</f>
        <v>4.333595E9</v>
      </c>
      <c r="W808" s="16" t="n">
        <v>1.089295E9</v>
      </c>
      <c r="X808" s="16" t="n">
        <f>3576</f>
        <v>3576.0</v>
      </c>
      <c r="Y808" s="13" t="s">
        <v>53</v>
      </c>
      <c r="Z808" s="17" t="str">
        <f>"－"</f>
        <v>－</v>
      </c>
      <c r="AA808" s="18" t="n">
        <f>8</f>
        <v>8.0</v>
      </c>
      <c r="AB808" s="11" t="s">
        <v>54</v>
      </c>
    </row>
    <row r="809">
      <c r="A809" s="11" t="s">
        <v>46</v>
      </c>
      <c r="B809" s="11" t="s">
        <v>47</v>
      </c>
      <c r="C809" s="11" t="s">
        <v>48</v>
      </c>
      <c r="D809" s="11" t="s">
        <v>651</v>
      </c>
      <c r="E809" s="11" t="s">
        <v>46</v>
      </c>
      <c r="F809" s="12" t="n">
        <v>28625.0</v>
      </c>
      <c r="G809" s="13" t="s">
        <v>50</v>
      </c>
      <c r="H809" s="14" t="s">
        <v>118</v>
      </c>
      <c r="I809" s="13" t="s">
        <v>56</v>
      </c>
      <c r="J809" s="14" t="s">
        <v>275</v>
      </c>
      <c r="K809" s="13" t="s">
        <v>61</v>
      </c>
      <c r="L809" s="14" t="s">
        <v>196</v>
      </c>
      <c r="M809" s="13" t="s">
        <v>50</v>
      </c>
      <c r="N809" s="14" t="s">
        <v>115</v>
      </c>
      <c r="O809" s="13" t="s">
        <v>50</v>
      </c>
      <c r="P809" s="14" t="s">
        <v>117</v>
      </c>
      <c r="Q809" s="13" t="s">
        <v>56</v>
      </c>
      <c r="R809" s="14" t="s">
        <v>275</v>
      </c>
      <c r="S809" s="15" t="n">
        <f>468.13</f>
        <v>468.13</v>
      </c>
      <c r="T809" s="16" t="n">
        <f>3254</f>
        <v>3254.0</v>
      </c>
      <c r="U809" s="16" t="n">
        <v>114.0</v>
      </c>
      <c r="V809" s="16" t="n">
        <f>792374500</f>
        <v>7.923745E8</v>
      </c>
      <c r="W809" s="16" t="n">
        <v>2.34595E7</v>
      </c>
      <c r="X809" s="16" t="n">
        <f>1325</f>
        <v>1325.0</v>
      </c>
      <c r="Y809" s="13" t="s">
        <v>53</v>
      </c>
      <c r="Z809" s="17" t="str">
        <f>"－"</f>
        <v>－</v>
      </c>
      <c r="AA809" s="18" t="n">
        <f>8</f>
        <v>8.0</v>
      </c>
      <c r="AB809" s="11" t="s">
        <v>54</v>
      </c>
    </row>
    <row r="810">
      <c r="A810" s="11" t="s">
        <v>46</v>
      </c>
      <c r="B810" s="11" t="s">
        <v>47</v>
      </c>
      <c r="C810" s="11" t="s">
        <v>48</v>
      </c>
      <c r="D810" s="11" t="s">
        <v>651</v>
      </c>
      <c r="E810" s="11" t="s">
        <v>46</v>
      </c>
      <c r="F810" s="12" t="n">
        <v>28750.0</v>
      </c>
      <c r="G810" s="13" t="s">
        <v>50</v>
      </c>
      <c r="H810" s="14" t="s">
        <v>116</v>
      </c>
      <c r="I810" s="13" t="s">
        <v>52</v>
      </c>
      <c r="J810" s="14" t="s">
        <v>697</v>
      </c>
      <c r="K810" s="13" t="s">
        <v>56</v>
      </c>
      <c r="L810" s="14" t="s">
        <v>284</v>
      </c>
      <c r="M810" s="13" t="s">
        <v>50</v>
      </c>
      <c r="N810" s="14" t="s">
        <v>106</v>
      </c>
      <c r="O810" s="13" t="s">
        <v>60</v>
      </c>
      <c r="P810" s="14" t="s">
        <v>92</v>
      </c>
      <c r="Q810" s="13" t="s">
        <v>56</v>
      </c>
      <c r="R810" s="14" t="s">
        <v>295</v>
      </c>
      <c r="S810" s="15" t="n">
        <f>401.88</f>
        <v>401.88</v>
      </c>
      <c r="T810" s="16" t="n">
        <f>9665</f>
        <v>9665.0</v>
      </c>
      <c r="U810" s="16" t="n">
        <v>1216.0</v>
      </c>
      <c r="V810" s="16" t="n">
        <f>2277949000</f>
        <v>2.277949E9</v>
      </c>
      <c r="W810" s="16" t="n">
        <v>3.88998E8</v>
      </c>
      <c r="X810" s="16" t="n">
        <f>1746</f>
        <v>1746.0</v>
      </c>
      <c r="Y810" s="13" t="s">
        <v>53</v>
      </c>
      <c r="Z810" s="17" t="str">
        <f>"－"</f>
        <v>－</v>
      </c>
      <c r="AA810" s="18" t="n">
        <f>8</f>
        <v>8.0</v>
      </c>
      <c r="AB810" s="11" t="s">
        <v>54</v>
      </c>
    </row>
    <row r="811">
      <c r="A811" s="11" t="s">
        <v>46</v>
      </c>
      <c r="B811" s="11" t="s">
        <v>47</v>
      </c>
      <c r="C811" s="11" t="s">
        <v>48</v>
      </c>
      <c r="D811" s="11" t="s">
        <v>651</v>
      </c>
      <c r="E811" s="11" t="s">
        <v>46</v>
      </c>
      <c r="F811" s="12" t="n">
        <v>28875.0</v>
      </c>
      <c r="G811" s="13" t="s">
        <v>50</v>
      </c>
      <c r="H811" s="14" t="s">
        <v>106</v>
      </c>
      <c r="I811" s="13" t="s">
        <v>52</v>
      </c>
      <c r="J811" s="14" t="s">
        <v>420</v>
      </c>
      <c r="K811" s="13" t="s">
        <v>56</v>
      </c>
      <c r="L811" s="14" t="s">
        <v>698</v>
      </c>
      <c r="M811" s="13" t="s">
        <v>50</v>
      </c>
      <c r="N811" s="14" t="s">
        <v>104</v>
      </c>
      <c r="O811" s="13" t="s">
        <v>50</v>
      </c>
      <c r="P811" s="14" t="s">
        <v>222</v>
      </c>
      <c r="Q811" s="13" t="s">
        <v>56</v>
      </c>
      <c r="R811" s="14" t="s">
        <v>381</v>
      </c>
      <c r="S811" s="15" t="n">
        <f>324.75</f>
        <v>324.75</v>
      </c>
      <c r="T811" s="16" t="n">
        <f>7212</f>
        <v>7212.0</v>
      </c>
      <c r="U811" s="16" t="n">
        <v>485.0</v>
      </c>
      <c r="V811" s="16" t="n">
        <f>1333713400</f>
        <v>1.3337134E9</v>
      </c>
      <c r="W811" s="16" t="n">
        <v>1.228314E8</v>
      </c>
      <c r="X811" s="16" t="n">
        <f>917</f>
        <v>917.0</v>
      </c>
      <c r="Y811" s="13" t="s">
        <v>53</v>
      </c>
      <c r="Z811" s="17" t="str">
        <f>"－"</f>
        <v>－</v>
      </c>
      <c r="AA811" s="18" t="n">
        <f>8</f>
        <v>8.0</v>
      </c>
      <c r="AB811" s="11" t="s">
        <v>54</v>
      </c>
    </row>
    <row r="812">
      <c r="A812" s="11" t="s">
        <v>46</v>
      </c>
      <c r="B812" s="11" t="s">
        <v>47</v>
      </c>
      <c r="C812" s="11" t="s">
        <v>48</v>
      </c>
      <c r="D812" s="11" t="s">
        <v>651</v>
      </c>
      <c r="E812" s="11" t="s">
        <v>46</v>
      </c>
      <c r="F812" s="12" t="n">
        <v>29000.0</v>
      </c>
      <c r="G812" s="13" t="s">
        <v>50</v>
      </c>
      <c r="H812" s="14" t="s">
        <v>218</v>
      </c>
      <c r="I812" s="13" t="s">
        <v>52</v>
      </c>
      <c r="J812" s="14" t="s">
        <v>356</v>
      </c>
      <c r="K812" s="13" t="s">
        <v>52</v>
      </c>
      <c r="L812" s="14" t="s">
        <v>351</v>
      </c>
      <c r="M812" s="13" t="s">
        <v>50</v>
      </c>
      <c r="N812" s="14" t="s">
        <v>86</v>
      </c>
      <c r="O812" s="13" t="s">
        <v>50</v>
      </c>
      <c r="P812" s="14" t="s">
        <v>113</v>
      </c>
      <c r="Q812" s="13" t="s">
        <v>56</v>
      </c>
      <c r="R812" s="14" t="s">
        <v>153</v>
      </c>
      <c r="S812" s="15" t="n">
        <f>274.25</f>
        <v>274.25</v>
      </c>
      <c r="T812" s="16" t="n">
        <f>29430</f>
        <v>29430.0</v>
      </c>
      <c r="U812" s="16" t="n">
        <v>5322.0</v>
      </c>
      <c r="V812" s="16" t="n">
        <f>4284643000</f>
        <v>4.284643E9</v>
      </c>
      <c r="W812" s="16" t="n">
        <v>7.52773E8</v>
      </c>
      <c r="X812" s="16" t="n">
        <f>4820</f>
        <v>4820.0</v>
      </c>
      <c r="Y812" s="13" t="s">
        <v>53</v>
      </c>
      <c r="Z812" s="17" t="str">
        <f>"－"</f>
        <v>－</v>
      </c>
      <c r="AA812" s="18" t="n">
        <f>8</f>
        <v>8.0</v>
      </c>
      <c r="AB812" s="11" t="s">
        <v>54</v>
      </c>
    </row>
    <row r="813">
      <c r="A813" s="11" t="s">
        <v>46</v>
      </c>
      <c r="B813" s="11" t="s">
        <v>47</v>
      </c>
      <c r="C813" s="11" t="s">
        <v>48</v>
      </c>
      <c r="D813" s="11" t="s">
        <v>651</v>
      </c>
      <c r="E813" s="11" t="s">
        <v>46</v>
      </c>
      <c r="F813" s="12" t="n">
        <v>29125.0</v>
      </c>
      <c r="G813" s="13" t="s">
        <v>50</v>
      </c>
      <c r="H813" s="14" t="s">
        <v>99</v>
      </c>
      <c r="I813" s="13" t="s">
        <v>52</v>
      </c>
      <c r="J813" s="14" t="s">
        <v>354</v>
      </c>
      <c r="K813" s="13" t="s">
        <v>52</v>
      </c>
      <c r="L813" s="14" t="s">
        <v>154</v>
      </c>
      <c r="M813" s="13" t="s">
        <v>50</v>
      </c>
      <c r="N813" s="14" t="s">
        <v>90</v>
      </c>
      <c r="O813" s="13" t="s">
        <v>58</v>
      </c>
      <c r="P813" s="14" t="s">
        <v>95</v>
      </c>
      <c r="Q813" s="13" t="s">
        <v>56</v>
      </c>
      <c r="R813" s="14" t="s">
        <v>309</v>
      </c>
      <c r="S813" s="15" t="n">
        <f>212.63</f>
        <v>212.63</v>
      </c>
      <c r="T813" s="16" t="n">
        <f>10017</f>
        <v>10017.0</v>
      </c>
      <c r="U813" s="16" t="n">
        <v>637.0</v>
      </c>
      <c r="V813" s="16" t="n">
        <f>1325882000</f>
        <v>1.325882E9</v>
      </c>
      <c r="W813" s="16" t="n">
        <v>1.15727E8</v>
      </c>
      <c r="X813" s="16" t="n">
        <f>956</f>
        <v>956.0</v>
      </c>
      <c r="Y813" s="13" t="s">
        <v>53</v>
      </c>
      <c r="Z813" s="17" t="str">
        <f>"－"</f>
        <v>－</v>
      </c>
      <c r="AA813" s="18" t="n">
        <f>8</f>
        <v>8.0</v>
      </c>
      <c r="AB813" s="11" t="s">
        <v>54</v>
      </c>
    </row>
    <row r="814">
      <c r="A814" s="11" t="s">
        <v>46</v>
      </c>
      <c r="B814" s="11" t="s">
        <v>47</v>
      </c>
      <c r="C814" s="11" t="s">
        <v>48</v>
      </c>
      <c r="D814" s="11" t="s">
        <v>651</v>
      </c>
      <c r="E814" s="11" t="s">
        <v>46</v>
      </c>
      <c r="F814" s="12" t="n">
        <v>29250.0</v>
      </c>
      <c r="G814" s="13" t="s">
        <v>50</v>
      </c>
      <c r="H814" s="14" t="s">
        <v>90</v>
      </c>
      <c r="I814" s="13" t="s">
        <v>52</v>
      </c>
      <c r="J814" s="14" t="s">
        <v>183</v>
      </c>
      <c r="K814" s="13" t="s">
        <v>52</v>
      </c>
      <c r="L814" s="14" t="s">
        <v>147</v>
      </c>
      <c r="M814" s="13" t="s">
        <v>50</v>
      </c>
      <c r="N814" s="14" t="s">
        <v>81</v>
      </c>
      <c r="O814" s="13" t="s">
        <v>61</v>
      </c>
      <c r="P814" s="14" t="s">
        <v>51</v>
      </c>
      <c r="Q814" s="13" t="s">
        <v>56</v>
      </c>
      <c r="R814" s="14" t="s">
        <v>241</v>
      </c>
      <c r="S814" s="15" t="n">
        <f>161.75</f>
        <v>161.75</v>
      </c>
      <c r="T814" s="16" t="n">
        <f>18525</f>
        <v>18525.0</v>
      </c>
      <c r="U814" s="16" t="n">
        <v>3273.0</v>
      </c>
      <c r="V814" s="16" t="n">
        <f>2038871000</f>
        <v>2.038871E9</v>
      </c>
      <c r="W814" s="16" t="n">
        <v>3.6067E8</v>
      </c>
      <c r="X814" s="16" t="n">
        <f>2819</f>
        <v>2819.0</v>
      </c>
      <c r="Y814" s="13" t="s">
        <v>53</v>
      </c>
      <c r="Z814" s="17" t="str">
        <f>"－"</f>
        <v>－</v>
      </c>
      <c r="AA814" s="18" t="n">
        <f>8</f>
        <v>8.0</v>
      </c>
      <c r="AB814" s="11" t="s">
        <v>54</v>
      </c>
    </row>
    <row r="815">
      <c r="A815" s="11" t="s">
        <v>46</v>
      </c>
      <c r="B815" s="11" t="s">
        <v>47</v>
      </c>
      <c r="C815" s="11" t="s">
        <v>48</v>
      </c>
      <c r="D815" s="11" t="s">
        <v>651</v>
      </c>
      <c r="E815" s="11" t="s">
        <v>46</v>
      </c>
      <c r="F815" s="12" t="n">
        <v>29375.0</v>
      </c>
      <c r="G815" s="13" t="s">
        <v>50</v>
      </c>
      <c r="H815" s="14" t="s">
        <v>79</v>
      </c>
      <c r="I815" s="13" t="s">
        <v>52</v>
      </c>
      <c r="J815" s="14" t="s">
        <v>241</v>
      </c>
      <c r="K815" s="13" t="s">
        <v>52</v>
      </c>
      <c r="L815" s="14" t="s">
        <v>241</v>
      </c>
      <c r="M815" s="13" t="s">
        <v>60</v>
      </c>
      <c r="N815" s="14" t="s">
        <v>213</v>
      </c>
      <c r="O815" s="13" t="s">
        <v>55</v>
      </c>
      <c r="P815" s="14" t="s">
        <v>75</v>
      </c>
      <c r="Q815" s="13" t="s">
        <v>56</v>
      </c>
      <c r="R815" s="14" t="s">
        <v>265</v>
      </c>
      <c r="S815" s="15" t="n">
        <f>120.38</f>
        <v>120.38</v>
      </c>
      <c r="T815" s="16" t="n">
        <f>9500</f>
        <v>9500.0</v>
      </c>
      <c r="U815" s="16" t="n">
        <v>1315.0</v>
      </c>
      <c r="V815" s="16" t="n">
        <f>1068397000</f>
        <v>1.068397E9</v>
      </c>
      <c r="W815" s="16" t="n">
        <v>2.63956E8</v>
      </c>
      <c r="X815" s="16" t="n">
        <f>1652</f>
        <v>1652.0</v>
      </c>
      <c r="Y815" s="13" t="s">
        <v>53</v>
      </c>
      <c r="Z815" s="17" t="str">
        <f>"－"</f>
        <v>－</v>
      </c>
      <c r="AA815" s="18" t="n">
        <f>8</f>
        <v>8.0</v>
      </c>
      <c r="AB815" s="11" t="s">
        <v>54</v>
      </c>
    </row>
    <row r="816">
      <c r="A816" s="11" t="s">
        <v>46</v>
      </c>
      <c r="B816" s="11" t="s">
        <v>47</v>
      </c>
      <c r="C816" s="11" t="s">
        <v>48</v>
      </c>
      <c r="D816" s="11" t="s">
        <v>651</v>
      </c>
      <c r="E816" s="11" t="s">
        <v>46</v>
      </c>
      <c r="F816" s="12" t="n">
        <v>29500.0</v>
      </c>
      <c r="G816" s="13" t="s">
        <v>50</v>
      </c>
      <c r="H816" s="14" t="s">
        <v>213</v>
      </c>
      <c r="I816" s="13" t="s">
        <v>52</v>
      </c>
      <c r="J816" s="14" t="s">
        <v>137</v>
      </c>
      <c r="K816" s="13" t="s">
        <v>56</v>
      </c>
      <c r="L816" s="14" t="s">
        <v>699</v>
      </c>
      <c r="M816" s="13" t="s">
        <v>58</v>
      </c>
      <c r="N816" s="14" t="s">
        <v>181</v>
      </c>
      <c r="O816" s="13" t="s">
        <v>56</v>
      </c>
      <c r="P816" s="14" t="s">
        <v>51</v>
      </c>
      <c r="Q816" s="13" t="s">
        <v>56</v>
      </c>
      <c r="R816" s="14" t="s">
        <v>115</v>
      </c>
      <c r="S816" s="15" t="n">
        <f>78.38</f>
        <v>78.38</v>
      </c>
      <c r="T816" s="16" t="n">
        <f>29439</f>
        <v>29439.0</v>
      </c>
      <c r="U816" s="16" t="n">
        <v>5827.0</v>
      </c>
      <c r="V816" s="16" t="n">
        <f>2671970000</f>
        <v>2.67197E9</v>
      </c>
      <c r="W816" s="16" t="n">
        <v>6.14539E8</v>
      </c>
      <c r="X816" s="16" t="n">
        <f>3851</f>
        <v>3851.0</v>
      </c>
      <c r="Y816" s="13" t="s">
        <v>53</v>
      </c>
      <c r="Z816" s="17" t="str">
        <f>"－"</f>
        <v>－</v>
      </c>
      <c r="AA816" s="18" t="n">
        <f>8</f>
        <v>8.0</v>
      </c>
      <c r="AB816" s="11" t="s">
        <v>54</v>
      </c>
    </row>
    <row r="817">
      <c r="A817" s="11" t="s">
        <v>46</v>
      </c>
      <c r="B817" s="11" t="s">
        <v>47</v>
      </c>
      <c r="C817" s="11" t="s">
        <v>48</v>
      </c>
      <c r="D817" s="11" t="s">
        <v>651</v>
      </c>
      <c r="E817" s="11" t="s">
        <v>46</v>
      </c>
      <c r="F817" s="12" t="n">
        <v>29625.0</v>
      </c>
      <c r="G817" s="13" t="s">
        <v>50</v>
      </c>
      <c r="H817" s="14" t="s">
        <v>73</v>
      </c>
      <c r="I817" s="13" t="s">
        <v>52</v>
      </c>
      <c r="J817" s="14" t="s">
        <v>232</v>
      </c>
      <c r="K817" s="13" t="s">
        <v>52</v>
      </c>
      <c r="L817" s="14" t="s">
        <v>230</v>
      </c>
      <c r="M817" s="13" t="s">
        <v>58</v>
      </c>
      <c r="N817" s="14" t="s">
        <v>69</v>
      </c>
      <c r="O817" s="13" t="s">
        <v>60</v>
      </c>
      <c r="P817" s="14" t="s">
        <v>71</v>
      </c>
      <c r="Q817" s="13" t="s">
        <v>56</v>
      </c>
      <c r="R817" s="14" t="s">
        <v>341</v>
      </c>
      <c r="S817" s="15" t="n">
        <f>58.88</f>
        <v>58.88</v>
      </c>
      <c r="T817" s="16" t="n">
        <f>9358</f>
        <v>9358.0</v>
      </c>
      <c r="U817" s="16" t="n">
        <v>382.0</v>
      </c>
      <c r="V817" s="16" t="n">
        <f>752811000</f>
        <v>7.52811E8</v>
      </c>
      <c r="W817" s="16" t="n">
        <v>2.6745E7</v>
      </c>
      <c r="X817" s="16" t="n">
        <f>540</f>
        <v>540.0</v>
      </c>
      <c r="Y817" s="13" t="s">
        <v>53</v>
      </c>
      <c r="Z817" s="17" t="str">
        <f>"－"</f>
        <v>－</v>
      </c>
      <c r="AA817" s="18" t="n">
        <f>8</f>
        <v>8.0</v>
      </c>
      <c r="AB817" s="11" t="s">
        <v>54</v>
      </c>
    </row>
    <row r="818">
      <c r="A818" s="11" t="s">
        <v>46</v>
      </c>
      <c r="B818" s="11" t="s">
        <v>47</v>
      </c>
      <c r="C818" s="11" t="s">
        <v>48</v>
      </c>
      <c r="D818" s="11" t="s">
        <v>651</v>
      </c>
      <c r="E818" s="11" t="s">
        <v>46</v>
      </c>
      <c r="F818" s="12" t="n">
        <v>29750.0</v>
      </c>
      <c r="G818" s="13" t="s">
        <v>50</v>
      </c>
      <c r="H818" s="14" t="s">
        <v>72</v>
      </c>
      <c r="I818" s="13" t="s">
        <v>52</v>
      </c>
      <c r="J818" s="14" t="s">
        <v>261</v>
      </c>
      <c r="K818" s="13" t="s">
        <v>52</v>
      </c>
      <c r="L818" s="14" t="s">
        <v>124</v>
      </c>
      <c r="M818" s="13" t="s">
        <v>58</v>
      </c>
      <c r="N818" s="14" t="s">
        <v>66</v>
      </c>
      <c r="O818" s="13" t="s">
        <v>60</v>
      </c>
      <c r="P818" s="14" t="s">
        <v>67</v>
      </c>
      <c r="Q818" s="13" t="s">
        <v>56</v>
      </c>
      <c r="R818" s="14" t="s">
        <v>98</v>
      </c>
      <c r="S818" s="15" t="n">
        <f>40.13</f>
        <v>40.13</v>
      </c>
      <c r="T818" s="16" t="n">
        <f>16211</f>
        <v>16211.0</v>
      </c>
      <c r="U818" s="16" t="n">
        <v>1089.0</v>
      </c>
      <c r="V818" s="16" t="n">
        <f>969010000</f>
        <v>9.6901E8</v>
      </c>
      <c r="W818" s="16" t="n">
        <v>5.5446E7</v>
      </c>
      <c r="X818" s="16" t="str">
        <f>"－"</f>
        <v>－</v>
      </c>
      <c r="Y818" s="13" t="s">
        <v>53</v>
      </c>
      <c r="Z818" s="17" t="n">
        <f>1713</f>
        <v>1713.0</v>
      </c>
      <c r="AA818" s="18" t="n">
        <f>8</f>
        <v>8.0</v>
      </c>
      <c r="AB818" s="11" t="s">
        <v>54</v>
      </c>
    </row>
    <row r="819">
      <c r="A819" s="11" t="s">
        <v>46</v>
      </c>
      <c r="B819" s="11" t="s">
        <v>47</v>
      </c>
      <c r="C819" s="11" t="s">
        <v>48</v>
      </c>
      <c r="D819" s="11" t="s">
        <v>651</v>
      </c>
      <c r="E819" s="11" t="s">
        <v>46</v>
      </c>
      <c r="F819" s="12" t="n">
        <v>29875.0</v>
      </c>
      <c r="G819" s="13" t="s">
        <v>50</v>
      </c>
      <c r="H819" s="14" t="s">
        <v>71</v>
      </c>
      <c r="I819" s="13" t="s">
        <v>52</v>
      </c>
      <c r="J819" s="14" t="s">
        <v>122</v>
      </c>
      <c r="K819" s="13" t="s">
        <v>52</v>
      </c>
      <c r="L819" s="14" t="s">
        <v>119</v>
      </c>
      <c r="M819" s="13" t="s">
        <v>58</v>
      </c>
      <c r="N819" s="14" t="s">
        <v>64</v>
      </c>
      <c r="O819" s="13" t="s">
        <v>58</v>
      </c>
      <c r="P819" s="14" t="s">
        <v>65</v>
      </c>
      <c r="Q819" s="13" t="s">
        <v>56</v>
      </c>
      <c r="R819" s="14" t="s">
        <v>214</v>
      </c>
      <c r="S819" s="15" t="n">
        <f>26.25</f>
        <v>26.25</v>
      </c>
      <c r="T819" s="16" t="n">
        <f>8553</f>
        <v>8553.0</v>
      </c>
      <c r="U819" s="16" t="n">
        <v>398.0</v>
      </c>
      <c r="V819" s="16" t="n">
        <f>371071000</f>
        <v>3.71071E8</v>
      </c>
      <c r="W819" s="16" t="n">
        <v>1.3425E7</v>
      </c>
      <c r="X819" s="16" t="str">
        <f>"－"</f>
        <v>－</v>
      </c>
      <c r="Y819" s="13" t="s">
        <v>53</v>
      </c>
      <c r="Z819" s="17" t="n">
        <f>692</f>
        <v>692.0</v>
      </c>
      <c r="AA819" s="18" t="n">
        <f>8</f>
        <v>8.0</v>
      </c>
      <c r="AB819" s="11" t="s">
        <v>54</v>
      </c>
    </row>
    <row r="820">
      <c r="A820" s="11" t="s">
        <v>46</v>
      </c>
      <c r="B820" s="11" t="s">
        <v>47</v>
      </c>
      <c r="C820" s="11" t="s">
        <v>48</v>
      </c>
      <c r="D820" s="11" t="s">
        <v>651</v>
      </c>
      <c r="E820" s="11" t="s">
        <v>46</v>
      </c>
      <c r="F820" s="12" t="n">
        <v>30000.0</v>
      </c>
      <c r="G820" s="13" t="s">
        <v>50</v>
      </c>
      <c r="H820" s="14" t="s">
        <v>69</v>
      </c>
      <c r="I820" s="13" t="s">
        <v>52</v>
      </c>
      <c r="J820" s="14" t="s">
        <v>224</v>
      </c>
      <c r="K820" s="13" t="s">
        <v>52</v>
      </c>
      <c r="L820" s="14" t="s">
        <v>224</v>
      </c>
      <c r="M820" s="13" t="s">
        <v>60</v>
      </c>
      <c r="N820" s="14" t="s">
        <v>62</v>
      </c>
      <c r="O820" s="13" t="s">
        <v>56</v>
      </c>
      <c r="P820" s="14" t="s">
        <v>51</v>
      </c>
      <c r="Q820" s="13" t="s">
        <v>56</v>
      </c>
      <c r="R820" s="14" t="s">
        <v>71</v>
      </c>
      <c r="S820" s="15" t="n">
        <f>17.88</f>
        <v>17.88</v>
      </c>
      <c r="T820" s="16" t="n">
        <f>27600</f>
        <v>27600.0</v>
      </c>
      <c r="U820" s="16" t="n">
        <v>3761.0</v>
      </c>
      <c r="V820" s="16" t="n">
        <f>755593000</f>
        <v>7.55593E8</v>
      </c>
      <c r="W820" s="16" t="n">
        <v>8.3504E7</v>
      </c>
      <c r="X820" s="16" t="str">
        <f>"－"</f>
        <v>－</v>
      </c>
      <c r="Y820" s="13" t="s">
        <v>53</v>
      </c>
      <c r="Z820" s="17" t="n">
        <f>3269</f>
        <v>3269.0</v>
      </c>
      <c r="AA820" s="18" t="n">
        <f>8</f>
        <v>8.0</v>
      </c>
      <c r="AB820" s="11" t="s">
        <v>54</v>
      </c>
    </row>
    <row r="821">
      <c r="A821" s="11" t="s">
        <v>46</v>
      </c>
      <c r="B821" s="11" t="s">
        <v>47</v>
      </c>
      <c r="C821" s="11" t="s">
        <v>48</v>
      </c>
      <c r="D821" s="11" t="s">
        <v>651</v>
      </c>
      <c r="E821" s="11" t="s">
        <v>46</v>
      </c>
      <c r="F821" s="12" t="n">
        <v>30125.0</v>
      </c>
      <c r="G821" s="13" t="s">
        <v>50</v>
      </c>
      <c r="H821" s="14" t="s">
        <v>65</v>
      </c>
      <c r="I821" s="13" t="s">
        <v>52</v>
      </c>
      <c r="J821" s="14" t="s">
        <v>106</v>
      </c>
      <c r="K821" s="13" t="s">
        <v>52</v>
      </c>
      <c r="L821" s="14" t="s">
        <v>269</v>
      </c>
      <c r="M821" s="13" t="s">
        <v>60</v>
      </c>
      <c r="N821" s="14" t="s">
        <v>62</v>
      </c>
      <c r="O821" s="13" t="s">
        <v>58</v>
      </c>
      <c r="P821" s="14" t="s">
        <v>59</v>
      </c>
      <c r="Q821" s="13" t="s">
        <v>56</v>
      </c>
      <c r="R821" s="14" t="s">
        <v>62</v>
      </c>
      <c r="S821" s="15" t="n">
        <f>12.25</f>
        <v>12.25</v>
      </c>
      <c r="T821" s="16" t="n">
        <f>5072</f>
        <v>5072.0</v>
      </c>
      <c r="U821" s="16" t="n">
        <v>398.0</v>
      </c>
      <c r="V821" s="16" t="n">
        <f>112697000</f>
        <v>1.12697E8</v>
      </c>
      <c r="W821" s="16" t="n">
        <v>7871000.0</v>
      </c>
      <c r="X821" s="16" t="str">
        <f>"－"</f>
        <v>－</v>
      </c>
      <c r="Y821" s="13" t="s">
        <v>53</v>
      </c>
      <c r="Z821" s="17" t="n">
        <f>600</f>
        <v>600.0</v>
      </c>
      <c r="AA821" s="18" t="n">
        <f>8</f>
        <v>8.0</v>
      </c>
      <c r="AB821" s="11" t="s">
        <v>54</v>
      </c>
    </row>
    <row r="822">
      <c r="A822" s="11" t="s">
        <v>46</v>
      </c>
      <c r="B822" s="11" t="s">
        <v>47</v>
      </c>
      <c r="C822" s="11" t="s">
        <v>48</v>
      </c>
      <c r="D822" s="11" t="s">
        <v>651</v>
      </c>
      <c r="E822" s="11" t="s">
        <v>46</v>
      </c>
      <c r="F822" s="12" t="n">
        <v>30250.0</v>
      </c>
      <c r="G822" s="13" t="s">
        <v>50</v>
      </c>
      <c r="H822" s="14" t="s">
        <v>65</v>
      </c>
      <c r="I822" s="13" t="s">
        <v>52</v>
      </c>
      <c r="J822" s="14" t="s">
        <v>344</v>
      </c>
      <c r="K822" s="13" t="s">
        <v>52</v>
      </c>
      <c r="L822" s="14" t="s">
        <v>113</v>
      </c>
      <c r="M822" s="13" t="s">
        <v>60</v>
      </c>
      <c r="N822" s="14" t="s">
        <v>59</v>
      </c>
      <c r="O822" s="13" t="s">
        <v>60</v>
      </c>
      <c r="P822" s="14" t="s">
        <v>62</v>
      </c>
      <c r="Q822" s="13" t="s">
        <v>56</v>
      </c>
      <c r="R822" s="14" t="s">
        <v>62</v>
      </c>
      <c r="S822" s="15" t="n">
        <f>8.25</f>
        <v>8.25</v>
      </c>
      <c r="T822" s="16" t="n">
        <f>6763</f>
        <v>6763.0</v>
      </c>
      <c r="U822" s="16" t="n">
        <v>841.0</v>
      </c>
      <c r="V822" s="16" t="n">
        <f>104323000</f>
        <v>1.04323E8</v>
      </c>
      <c r="W822" s="16" t="n">
        <v>1.2871E7</v>
      </c>
      <c r="X822" s="16" t="str">
        <f>"－"</f>
        <v>－</v>
      </c>
      <c r="Y822" s="13" t="s">
        <v>53</v>
      </c>
      <c r="Z822" s="17" t="n">
        <f>836</f>
        <v>836.0</v>
      </c>
      <c r="AA822" s="18" t="n">
        <f>8</f>
        <v>8.0</v>
      </c>
      <c r="AB822" s="11" t="s">
        <v>54</v>
      </c>
    </row>
    <row r="823">
      <c r="A823" s="11" t="s">
        <v>46</v>
      </c>
      <c r="B823" s="11" t="s">
        <v>47</v>
      </c>
      <c r="C823" s="11" t="s">
        <v>48</v>
      </c>
      <c r="D823" s="11" t="s">
        <v>651</v>
      </c>
      <c r="E823" s="11" t="s">
        <v>46</v>
      </c>
      <c r="F823" s="12" t="n">
        <v>30375.0</v>
      </c>
      <c r="G823" s="13" t="s">
        <v>50</v>
      </c>
      <c r="H823" s="14" t="s">
        <v>64</v>
      </c>
      <c r="I823" s="13" t="s">
        <v>52</v>
      </c>
      <c r="J823" s="14" t="s">
        <v>264</v>
      </c>
      <c r="K823" s="13" t="s">
        <v>52</v>
      </c>
      <c r="L823" s="14" t="s">
        <v>93</v>
      </c>
      <c r="M823" s="13" t="s">
        <v>56</v>
      </c>
      <c r="N823" s="14" t="s">
        <v>51</v>
      </c>
      <c r="O823" s="13" t="s">
        <v>56</v>
      </c>
      <c r="P823" s="14" t="s">
        <v>59</v>
      </c>
      <c r="Q823" s="13" t="s">
        <v>56</v>
      </c>
      <c r="R823" s="14" t="s">
        <v>51</v>
      </c>
      <c r="S823" s="15" t="n">
        <f>5.88</f>
        <v>5.88</v>
      </c>
      <c r="T823" s="16" t="n">
        <f>2879</f>
        <v>2879.0</v>
      </c>
      <c r="U823" s="16" t="n">
        <v>274.0</v>
      </c>
      <c r="V823" s="16" t="n">
        <f>33932000</f>
        <v>3.3932E7</v>
      </c>
      <c r="W823" s="16" t="n">
        <v>2556000.0</v>
      </c>
      <c r="X823" s="16" t="str">
        <f>"－"</f>
        <v>－</v>
      </c>
      <c r="Y823" s="13" t="s">
        <v>53</v>
      </c>
      <c r="Z823" s="17" t="n">
        <f>398</f>
        <v>398.0</v>
      </c>
      <c r="AA823" s="18" t="n">
        <f>8</f>
        <v>8.0</v>
      </c>
      <c r="AB823" s="11" t="s">
        <v>54</v>
      </c>
    </row>
    <row r="824">
      <c r="A824" s="11" t="s">
        <v>46</v>
      </c>
      <c r="B824" s="11" t="s">
        <v>47</v>
      </c>
      <c r="C824" s="11" t="s">
        <v>48</v>
      </c>
      <c r="D824" s="11" t="s">
        <v>651</v>
      </c>
      <c r="E824" s="11" t="s">
        <v>46</v>
      </c>
      <c r="F824" s="12" t="n">
        <v>30500.0</v>
      </c>
      <c r="G824" s="13" t="s">
        <v>50</v>
      </c>
      <c r="H824" s="14" t="s">
        <v>59</v>
      </c>
      <c r="I824" s="13" t="s">
        <v>52</v>
      </c>
      <c r="J824" s="14" t="s">
        <v>82</v>
      </c>
      <c r="K824" s="13" t="s">
        <v>52</v>
      </c>
      <c r="L824" s="14" t="s">
        <v>80</v>
      </c>
      <c r="M824" s="13" t="s">
        <v>60</v>
      </c>
      <c r="N824" s="14" t="s">
        <v>51</v>
      </c>
      <c r="O824" s="13" t="s">
        <v>60</v>
      </c>
      <c r="P824" s="14" t="s">
        <v>51</v>
      </c>
      <c r="Q824" s="13" t="s">
        <v>56</v>
      </c>
      <c r="R824" s="14" t="s">
        <v>51</v>
      </c>
      <c r="S824" s="15" t="n">
        <f>4.5</f>
        <v>4.5</v>
      </c>
      <c r="T824" s="16" t="n">
        <f>6458</f>
        <v>6458.0</v>
      </c>
      <c r="U824" s="16" t="n">
        <v>1104.0</v>
      </c>
      <c r="V824" s="16" t="n">
        <f>46546000</f>
        <v>4.6546E7</v>
      </c>
      <c r="W824" s="16" t="n">
        <v>4775000.0</v>
      </c>
      <c r="X824" s="16" t="str">
        <f>"－"</f>
        <v>－</v>
      </c>
      <c r="Y824" s="13" t="s">
        <v>53</v>
      </c>
      <c r="Z824" s="17" t="n">
        <f>1232</f>
        <v>1232.0</v>
      </c>
      <c r="AA824" s="18" t="n">
        <f>8</f>
        <v>8.0</v>
      </c>
      <c r="AB824" s="11" t="s">
        <v>54</v>
      </c>
    </row>
    <row r="825">
      <c r="A825" s="11" t="s">
        <v>46</v>
      </c>
      <c r="B825" s="11" t="s">
        <v>47</v>
      </c>
      <c r="C825" s="11" t="s">
        <v>48</v>
      </c>
      <c r="D825" s="11" t="s">
        <v>651</v>
      </c>
      <c r="E825" s="11" t="s">
        <v>46</v>
      </c>
      <c r="F825" s="12" t="n">
        <v>30625.0</v>
      </c>
      <c r="G825" s="13" t="s">
        <v>50</v>
      </c>
      <c r="H825" s="14" t="s">
        <v>62</v>
      </c>
      <c r="I825" s="13" t="s">
        <v>52</v>
      </c>
      <c r="J825" s="14" t="s">
        <v>74</v>
      </c>
      <c r="K825" s="13" t="s">
        <v>52</v>
      </c>
      <c r="L825" s="14" t="s">
        <v>75</v>
      </c>
      <c r="M825" s="13" t="s">
        <v>60</v>
      </c>
      <c r="N825" s="14" t="s">
        <v>51</v>
      </c>
      <c r="O825" s="13" t="s">
        <v>56</v>
      </c>
      <c r="P825" s="14" t="s">
        <v>51</v>
      </c>
      <c r="Q825" s="13" t="s">
        <v>56</v>
      </c>
      <c r="R825" s="14" t="s">
        <v>51</v>
      </c>
      <c r="S825" s="15" t="n">
        <f>3.25</f>
        <v>3.25</v>
      </c>
      <c r="T825" s="16" t="n">
        <f>1436</f>
        <v>1436.0</v>
      </c>
      <c r="U825" s="16" t="n">
        <v>121.0</v>
      </c>
      <c r="V825" s="16" t="n">
        <f>6857000</f>
        <v>6857000.0</v>
      </c>
      <c r="W825" s="16" t="n">
        <v>727000.0</v>
      </c>
      <c r="X825" s="16" t="str">
        <f>"－"</f>
        <v>－</v>
      </c>
      <c r="Y825" s="13" t="s">
        <v>53</v>
      </c>
      <c r="Z825" s="17" t="n">
        <f>390</f>
        <v>390.0</v>
      </c>
      <c r="AA825" s="18" t="n">
        <f>8</f>
        <v>8.0</v>
      </c>
      <c r="AB825" s="11" t="s">
        <v>54</v>
      </c>
    </row>
    <row r="826">
      <c r="A826" s="11" t="s">
        <v>46</v>
      </c>
      <c r="B826" s="11" t="s">
        <v>47</v>
      </c>
      <c r="C826" s="11" t="s">
        <v>48</v>
      </c>
      <c r="D826" s="11" t="s">
        <v>651</v>
      </c>
      <c r="E826" s="11" t="s">
        <v>46</v>
      </c>
      <c r="F826" s="12" t="n">
        <v>30750.0</v>
      </c>
      <c r="G826" s="13" t="s">
        <v>50</v>
      </c>
      <c r="H826" s="14" t="s">
        <v>59</v>
      </c>
      <c r="I826" s="13" t="s">
        <v>52</v>
      </c>
      <c r="J826" s="14" t="s">
        <v>77</v>
      </c>
      <c r="K826" s="13" t="s">
        <v>52</v>
      </c>
      <c r="L826" s="14" t="s">
        <v>72</v>
      </c>
      <c r="M826" s="13" t="s">
        <v>60</v>
      </c>
      <c r="N826" s="14" t="s">
        <v>51</v>
      </c>
      <c r="O826" s="13" t="s">
        <v>60</v>
      </c>
      <c r="P826" s="14" t="s">
        <v>51</v>
      </c>
      <c r="Q826" s="13" t="s">
        <v>56</v>
      </c>
      <c r="R826" s="14" t="s">
        <v>51</v>
      </c>
      <c r="S826" s="15" t="n">
        <f>2.88</f>
        <v>2.88</v>
      </c>
      <c r="T826" s="16" t="n">
        <f>3017</f>
        <v>3017.0</v>
      </c>
      <c r="U826" s="16" t="n">
        <v>482.0</v>
      </c>
      <c r="V826" s="16" t="n">
        <f>12897000</f>
        <v>1.2897E7</v>
      </c>
      <c r="W826" s="16" t="n">
        <v>1903000.0</v>
      </c>
      <c r="X826" s="16" t="str">
        <f>"－"</f>
        <v>－</v>
      </c>
      <c r="Y826" s="13" t="s">
        <v>53</v>
      </c>
      <c r="Z826" s="17" t="n">
        <f>581</f>
        <v>581.0</v>
      </c>
      <c r="AA826" s="18" t="n">
        <f>8</f>
        <v>8.0</v>
      </c>
      <c r="AB826" s="11" t="s">
        <v>54</v>
      </c>
    </row>
    <row r="827">
      <c r="A827" s="11" t="s">
        <v>46</v>
      </c>
      <c r="B827" s="11" t="s">
        <v>47</v>
      </c>
      <c r="C827" s="11" t="s">
        <v>48</v>
      </c>
      <c r="D827" s="11" t="s">
        <v>651</v>
      </c>
      <c r="E827" s="11" t="s">
        <v>46</v>
      </c>
      <c r="F827" s="12" t="n">
        <v>30875.0</v>
      </c>
      <c r="G827" s="13" t="s">
        <v>50</v>
      </c>
      <c r="H827" s="14" t="s">
        <v>59</v>
      </c>
      <c r="I827" s="13" t="s">
        <v>52</v>
      </c>
      <c r="J827" s="14" t="s">
        <v>70</v>
      </c>
      <c r="K827" s="13" t="s">
        <v>52</v>
      </c>
      <c r="L827" s="14" t="s">
        <v>70</v>
      </c>
      <c r="M827" s="13" t="s">
        <v>63</v>
      </c>
      <c r="N827" s="14" t="s">
        <v>51</v>
      </c>
      <c r="O827" s="13" t="s">
        <v>60</v>
      </c>
      <c r="P827" s="14" t="s">
        <v>51</v>
      </c>
      <c r="Q827" s="13" t="s">
        <v>56</v>
      </c>
      <c r="R827" s="14" t="s">
        <v>51</v>
      </c>
      <c r="S827" s="15" t="n">
        <f>2.13</f>
        <v>2.13</v>
      </c>
      <c r="T827" s="16" t="n">
        <f>1120</f>
        <v>1120.0</v>
      </c>
      <c r="U827" s="16" t="n">
        <v>75.0</v>
      </c>
      <c r="V827" s="16" t="n">
        <f>4031000</f>
        <v>4031000.0</v>
      </c>
      <c r="W827" s="16" t="n">
        <v>310000.0</v>
      </c>
      <c r="X827" s="16" t="str">
        <f>"－"</f>
        <v>－</v>
      </c>
      <c r="Y827" s="13" t="s">
        <v>53</v>
      </c>
      <c r="Z827" s="17" t="n">
        <f>213</f>
        <v>213.0</v>
      </c>
      <c r="AA827" s="18" t="n">
        <f>8</f>
        <v>8.0</v>
      </c>
      <c r="AB827" s="11" t="s">
        <v>54</v>
      </c>
    </row>
    <row r="828">
      <c r="A828" s="11" t="s">
        <v>46</v>
      </c>
      <c r="B828" s="11" t="s">
        <v>47</v>
      </c>
      <c r="C828" s="11" t="s">
        <v>48</v>
      </c>
      <c r="D828" s="11" t="s">
        <v>651</v>
      </c>
      <c r="E828" s="11" t="s">
        <v>46</v>
      </c>
      <c r="F828" s="12" t="n">
        <v>31000.0</v>
      </c>
      <c r="G828" s="13" t="s">
        <v>50</v>
      </c>
      <c r="H828" s="14" t="s">
        <v>59</v>
      </c>
      <c r="I828" s="13" t="s">
        <v>52</v>
      </c>
      <c r="J828" s="14" t="s">
        <v>68</v>
      </c>
      <c r="K828" s="13" t="s">
        <v>52</v>
      </c>
      <c r="L828" s="14" t="s">
        <v>67</v>
      </c>
      <c r="M828" s="13" t="s">
        <v>50</v>
      </c>
      <c r="N828" s="14" t="s">
        <v>51</v>
      </c>
      <c r="O828" s="13" t="s">
        <v>50</v>
      </c>
      <c r="P828" s="14" t="s">
        <v>51</v>
      </c>
      <c r="Q828" s="13" t="s">
        <v>56</v>
      </c>
      <c r="R828" s="14" t="s">
        <v>51</v>
      </c>
      <c r="S828" s="15" t="n">
        <f>1.88</f>
        <v>1.88</v>
      </c>
      <c r="T828" s="16" t="n">
        <f>3827</f>
        <v>3827.0</v>
      </c>
      <c r="U828" s="16" t="n">
        <v>450.0</v>
      </c>
      <c r="V828" s="16" t="n">
        <f>9443000</f>
        <v>9443000.0</v>
      </c>
      <c r="W828" s="16" t="n">
        <v>916000.0</v>
      </c>
      <c r="X828" s="16" t="str">
        <f>"－"</f>
        <v>－</v>
      </c>
      <c r="Y828" s="13" t="s">
        <v>53</v>
      </c>
      <c r="Z828" s="17" t="n">
        <f>1670</f>
        <v>1670.0</v>
      </c>
      <c r="AA828" s="18" t="n">
        <f>8</f>
        <v>8.0</v>
      </c>
      <c r="AB828" s="11" t="s">
        <v>54</v>
      </c>
    </row>
    <row r="829">
      <c r="A829" s="11" t="s">
        <v>46</v>
      </c>
      <c r="B829" s="11" t="s">
        <v>47</v>
      </c>
      <c r="C829" s="11" t="s">
        <v>48</v>
      </c>
      <c r="D829" s="11" t="s">
        <v>651</v>
      </c>
      <c r="E829" s="11" t="s">
        <v>46</v>
      </c>
      <c r="F829" s="12" t="n">
        <v>31125.0</v>
      </c>
      <c r="G829" s="13" t="s">
        <v>52</v>
      </c>
      <c r="H829" s="14" t="s">
        <v>59</v>
      </c>
      <c r="I829" s="13" t="s">
        <v>52</v>
      </c>
      <c r="J829" s="14" t="s">
        <v>59</v>
      </c>
      <c r="K829" s="13"/>
      <c r="L829" s="14"/>
      <c r="M829" s="13" t="s">
        <v>52</v>
      </c>
      <c r="N829" s="14" t="s">
        <v>51</v>
      </c>
      <c r="O829" s="13"/>
      <c r="P829" s="14"/>
      <c r="Q829" s="13" t="s">
        <v>52</v>
      </c>
      <c r="R829" s="14" t="s">
        <v>51</v>
      </c>
      <c r="S829" s="15" t="n">
        <f>1</f>
        <v>1.0</v>
      </c>
      <c r="T829" s="16" t="n">
        <f>22</f>
        <v>22.0</v>
      </c>
      <c r="U829" s="16"/>
      <c r="V829" s="16" t="n">
        <f>42000</f>
        <v>42000.0</v>
      </c>
      <c r="W829" s="16"/>
      <c r="X829" s="16" t="str">
        <f>"－"</f>
        <v>－</v>
      </c>
      <c r="Y829" s="13" t="s">
        <v>53</v>
      </c>
      <c r="Z829" s="17" t="n">
        <f>21</f>
        <v>21.0</v>
      </c>
      <c r="AA829" s="18" t="n">
        <f>1</f>
        <v>1.0</v>
      </c>
      <c r="AB829" s="11" t="s">
        <v>54</v>
      </c>
    </row>
    <row r="830">
      <c r="A830" s="11" t="s">
        <v>46</v>
      </c>
      <c r="B830" s="11" t="s">
        <v>47</v>
      </c>
      <c r="C830" s="11" t="s">
        <v>48</v>
      </c>
      <c r="D830" s="11" t="s">
        <v>651</v>
      </c>
      <c r="E830" s="11" t="s">
        <v>46</v>
      </c>
      <c r="F830" s="12" t="n">
        <v>31250.0</v>
      </c>
      <c r="G830" s="13" t="s">
        <v>50</v>
      </c>
      <c r="H830" s="14" t="s">
        <v>51</v>
      </c>
      <c r="I830" s="13" t="s">
        <v>52</v>
      </c>
      <c r="J830" s="14" t="s">
        <v>65</v>
      </c>
      <c r="K830" s="13" t="s">
        <v>61</v>
      </c>
      <c r="L830" s="14" t="s">
        <v>64</v>
      </c>
      <c r="M830" s="13" t="s">
        <v>50</v>
      </c>
      <c r="N830" s="14" t="s">
        <v>51</v>
      </c>
      <c r="O830" s="13" t="s">
        <v>50</v>
      </c>
      <c r="P830" s="14" t="s">
        <v>51</v>
      </c>
      <c r="Q830" s="13" t="s">
        <v>52</v>
      </c>
      <c r="R830" s="14" t="s">
        <v>51</v>
      </c>
      <c r="S830" s="15" t="n">
        <f>1.43</f>
        <v>1.43</v>
      </c>
      <c r="T830" s="16" t="n">
        <f>1378</f>
        <v>1378.0</v>
      </c>
      <c r="U830" s="16" t="n">
        <v>100.0</v>
      </c>
      <c r="V830" s="16" t="n">
        <f>2653000</f>
        <v>2653000.0</v>
      </c>
      <c r="W830" s="16" t="n">
        <v>220000.0</v>
      </c>
      <c r="X830" s="16" t="str">
        <f>"－"</f>
        <v>－</v>
      </c>
      <c r="Y830" s="13" t="s">
        <v>53</v>
      </c>
      <c r="Z830" s="17" t="n">
        <f>358</f>
        <v>358.0</v>
      </c>
      <c r="AA830" s="18" t="n">
        <f>7</f>
        <v>7.0</v>
      </c>
      <c r="AB830" s="11" t="s">
        <v>54</v>
      </c>
    </row>
    <row r="831">
      <c r="A831" s="11" t="s">
        <v>46</v>
      </c>
      <c r="B831" s="11" t="s">
        <v>47</v>
      </c>
      <c r="C831" s="11" t="s">
        <v>48</v>
      </c>
      <c r="D831" s="11" t="s">
        <v>651</v>
      </c>
      <c r="E831" s="11" t="s">
        <v>46</v>
      </c>
      <c r="F831" s="12" t="n">
        <v>31500.0</v>
      </c>
      <c r="G831" s="13" t="s">
        <v>50</v>
      </c>
      <c r="H831" s="14" t="s">
        <v>51</v>
      </c>
      <c r="I831" s="13" t="s">
        <v>61</v>
      </c>
      <c r="J831" s="14" t="s">
        <v>62</v>
      </c>
      <c r="K831" s="13" t="s">
        <v>52</v>
      </c>
      <c r="L831" s="14" t="s">
        <v>62</v>
      </c>
      <c r="M831" s="13" t="s">
        <v>50</v>
      </c>
      <c r="N831" s="14" t="s">
        <v>51</v>
      </c>
      <c r="O831" s="13" t="s">
        <v>50</v>
      </c>
      <c r="P831" s="14" t="s">
        <v>51</v>
      </c>
      <c r="Q831" s="13" t="s">
        <v>56</v>
      </c>
      <c r="R831" s="14" t="s">
        <v>51</v>
      </c>
      <c r="S831" s="15" t="n">
        <f>1.13</f>
        <v>1.13</v>
      </c>
      <c r="T831" s="16" t="n">
        <f>1418</f>
        <v>1418.0</v>
      </c>
      <c r="U831" s="16" t="n">
        <v>61.0</v>
      </c>
      <c r="V831" s="16" t="n">
        <f>2063000</f>
        <v>2063000.0</v>
      </c>
      <c r="W831" s="16" t="n">
        <v>85000.0</v>
      </c>
      <c r="X831" s="16" t="str">
        <f>"－"</f>
        <v>－</v>
      </c>
      <c r="Y831" s="13" t="s">
        <v>53</v>
      </c>
      <c r="Z831" s="17" t="n">
        <f>1018</f>
        <v>1018.0</v>
      </c>
      <c r="AA831" s="18" t="n">
        <f>8</f>
        <v>8.0</v>
      </c>
      <c r="AB831" s="11" t="s">
        <v>54</v>
      </c>
    </row>
    <row r="832">
      <c r="A832" s="11" t="s">
        <v>46</v>
      </c>
      <c r="B832" s="11" t="s">
        <v>47</v>
      </c>
      <c r="C832" s="11" t="s">
        <v>48</v>
      </c>
      <c r="D832" s="11" t="s">
        <v>651</v>
      </c>
      <c r="E832" s="11" t="s">
        <v>46</v>
      </c>
      <c r="F832" s="12" t="n">
        <v>31750.0</v>
      </c>
      <c r="G832" s="13" t="s">
        <v>50</v>
      </c>
      <c r="H832" s="14" t="s">
        <v>51</v>
      </c>
      <c r="I832" s="13" t="s">
        <v>61</v>
      </c>
      <c r="J832" s="14" t="s">
        <v>59</v>
      </c>
      <c r="K832" s="13" t="s">
        <v>61</v>
      </c>
      <c r="L832" s="14" t="s">
        <v>59</v>
      </c>
      <c r="M832" s="13" t="s">
        <v>50</v>
      </c>
      <c r="N832" s="14" t="s">
        <v>51</v>
      </c>
      <c r="O832" s="13" t="s">
        <v>50</v>
      </c>
      <c r="P832" s="14" t="s">
        <v>51</v>
      </c>
      <c r="Q832" s="13" t="s">
        <v>56</v>
      </c>
      <c r="R832" s="14" t="s">
        <v>51</v>
      </c>
      <c r="S832" s="15" t="n">
        <f>1.13</f>
        <v>1.13</v>
      </c>
      <c r="T832" s="16" t="n">
        <f>587</f>
        <v>587.0</v>
      </c>
      <c r="U832" s="16" t="n">
        <v>46.0</v>
      </c>
      <c r="V832" s="16" t="n">
        <f>641000</f>
        <v>641000.0</v>
      </c>
      <c r="W832" s="16" t="n">
        <v>59000.0</v>
      </c>
      <c r="X832" s="16" t="str">
        <f>"－"</f>
        <v>－</v>
      </c>
      <c r="Y832" s="13" t="s">
        <v>53</v>
      </c>
      <c r="Z832" s="17" t="n">
        <f>361</f>
        <v>361.0</v>
      </c>
      <c r="AA832" s="18" t="n">
        <f>8</f>
        <v>8.0</v>
      </c>
      <c r="AB832" s="11" t="s">
        <v>54</v>
      </c>
    </row>
    <row r="833">
      <c r="A833" s="11" t="s">
        <v>46</v>
      </c>
      <c r="B833" s="11" t="s">
        <v>47</v>
      </c>
      <c r="C833" s="11" t="s">
        <v>48</v>
      </c>
      <c r="D833" s="11" t="s">
        <v>651</v>
      </c>
      <c r="E833" s="11" t="s">
        <v>46</v>
      </c>
      <c r="F833" s="12" t="n">
        <v>32000.0</v>
      </c>
      <c r="G833" s="13" t="s">
        <v>50</v>
      </c>
      <c r="H833" s="14" t="s">
        <v>51</v>
      </c>
      <c r="I833" s="13" t="s">
        <v>61</v>
      </c>
      <c r="J833" s="14" t="s">
        <v>59</v>
      </c>
      <c r="K833" s="13" t="s">
        <v>61</v>
      </c>
      <c r="L833" s="14" t="s">
        <v>59</v>
      </c>
      <c r="M833" s="13" t="s">
        <v>50</v>
      </c>
      <c r="N833" s="14" t="s">
        <v>51</v>
      </c>
      <c r="O833" s="13" t="s">
        <v>50</v>
      </c>
      <c r="P833" s="14" t="s">
        <v>51</v>
      </c>
      <c r="Q833" s="13" t="s">
        <v>52</v>
      </c>
      <c r="R833" s="14" t="s">
        <v>51</v>
      </c>
      <c r="S833" s="15" t="n">
        <f>1.17</f>
        <v>1.17</v>
      </c>
      <c r="T833" s="16" t="n">
        <f>806</f>
        <v>806.0</v>
      </c>
      <c r="U833" s="16" t="n">
        <v>152.0</v>
      </c>
      <c r="V833" s="16" t="n">
        <f>813000</f>
        <v>813000.0</v>
      </c>
      <c r="W833" s="16" t="n">
        <v>155000.0</v>
      </c>
      <c r="X833" s="16" t="str">
        <f>"－"</f>
        <v>－</v>
      </c>
      <c r="Y833" s="13" t="s">
        <v>53</v>
      </c>
      <c r="Z833" s="17" t="n">
        <f>1225</f>
        <v>1225.0</v>
      </c>
      <c r="AA833" s="18" t="n">
        <f>6</f>
        <v>6.0</v>
      </c>
      <c r="AB833" s="11" t="s">
        <v>54</v>
      </c>
    </row>
    <row r="834">
      <c r="A834" s="11" t="s">
        <v>46</v>
      </c>
      <c r="B834" s="11" t="s">
        <v>47</v>
      </c>
      <c r="C834" s="11" t="s">
        <v>48</v>
      </c>
      <c r="D834" s="11" t="s">
        <v>651</v>
      </c>
      <c r="E834" s="11" t="s">
        <v>46</v>
      </c>
      <c r="F834" s="12" t="n">
        <v>32250.0</v>
      </c>
      <c r="G834" s="13" t="s">
        <v>60</v>
      </c>
      <c r="H834" s="14" t="s">
        <v>51</v>
      </c>
      <c r="I834" s="13" t="s">
        <v>60</v>
      </c>
      <c r="J834" s="14" t="s">
        <v>51</v>
      </c>
      <c r="K834" s="13" t="s">
        <v>61</v>
      </c>
      <c r="L834" s="14" t="s">
        <v>51</v>
      </c>
      <c r="M834" s="13" t="s">
        <v>60</v>
      </c>
      <c r="N834" s="14" t="s">
        <v>51</v>
      </c>
      <c r="O834" s="13" t="s">
        <v>61</v>
      </c>
      <c r="P834" s="14" t="s">
        <v>51</v>
      </c>
      <c r="Q834" s="13" t="s">
        <v>52</v>
      </c>
      <c r="R834" s="14" t="s">
        <v>51</v>
      </c>
      <c r="S834" s="15" t="n">
        <f>1</f>
        <v>1.0</v>
      </c>
      <c r="T834" s="16" t="n">
        <f>169</f>
        <v>169.0</v>
      </c>
      <c r="U834" s="16" t="n">
        <v>13.0</v>
      </c>
      <c r="V834" s="16" t="n">
        <f>169000</f>
        <v>169000.0</v>
      </c>
      <c r="W834" s="16" t="n">
        <v>13000.0</v>
      </c>
      <c r="X834" s="16" t="str">
        <f>"－"</f>
        <v>－</v>
      </c>
      <c r="Y834" s="13" t="s">
        <v>53</v>
      </c>
      <c r="Z834" s="17" t="n">
        <f>356</f>
        <v>356.0</v>
      </c>
      <c r="AA834" s="18" t="n">
        <f>4</f>
        <v>4.0</v>
      </c>
      <c r="AB834" s="11" t="s">
        <v>54</v>
      </c>
    </row>
    <row r="835">
      <c r="A835" s="11" t="s">
        <v>46</v>
      </c>
      <c r="B835" s="11" t="s">
        <v>47</v>
      </c>
      <c r="C835" s="11" t="s">
        <v>48</v>
      </c>
      <c r="D835" s="11" t="s">
        <v>651</v>
      </c>
      <c r="E835" s="11" t="s">
        <v>46</v>
      </c>
      <c r="F835" s="12" t="n">
        <v>32500.0</v>
      </c>
      <c r="G835" s="13" t="s">
        <v>50</v>
      </c>
      <c r="H835" s="14" t="s">
        <v>51</v>
      </c>
      <c r="I835" s="13" t="s">
        <v>50</v>
      </c>
      <c r="J835" s="14" t="s">
        <v>51</v>
      </c>
      <c r="K835" s="13" t="s">
        <v>61</v>
      </c>
      <c r="L835" s="14" t="s">
        <v>59</v>
      </c>
      <c r="M835" s="13" t="s">
        <v>50</v>
      </c>
      <c r="N835" s="14" t="s">
        <v>51</v>
      </c>
      <c r="O835" s="13" t="s">
        <v>50</v>
      </c>
      <c r="P835" s="14" t="s">
        <v>51</v>
      </c>
      <c r="Q835" s="13" t="s">
        <v>52</v>
      </c>
      <c r="R835" s="14" t="s">
        <v>51</v>
      </c>
      <c r="S835" s="15" t="n">
        <f>1</f>
        <v>1.0</v>
      </c>
      <c r="T835" s="16" t="n">
        <f>593</f>
        <v>593.0</v>
      </c>
      <c r="U835" s="16" t="n">
        <v>11.0</v>
      </c>
      <c r="V835" s="16" t="n">
        <f>595000</f>
        <v>595000.0</v>
      </c>
      <c r="W835" s="16" t="n">
        <v>13000.0</v>
      </c>
      <c r="X835" s="16" t="str">
        <f>"－"</f>
        <v>－</v>
      </c>
      <c r="Y835" s="13" t="s">
        <v>53</v>
      </c>
      <c r="Z835" s="17" t="n">
        <f>665</f>
        <v>665.0</v>
      </c>
      <c r="AA835" s="18" t="n">
        <f>6</f>
        <v>6.0</v>
      </c>
      <c r="AB835" s="11" t="s">
        <v>54</v>
      </c>
    </row>
    <row r="836">
      <c r="A836" s="11" t="s">
        <v>46</v>
      </c>
      <c r="B836" s="11" t="s">
        <v>47</v>
      </c>
      <c r="C836" s="11" t="s">
        <v>48</v>
      </c>
      <c r="D836" s="11" t="s">
        <v>651</v>
      </c>
      <c r="E836" s="11" t="s">
        <v>46</v>
      </c>
      <c r="F836" s="12" t="n">
        <v>33000.0</v>
      </c>
      <c r="G836" s="13" t="s">
        <v>50</v>
      </c>
      <c r="H836" s="14" t="s">
        <v>51</v>
      </c>
      <c r="I836" s="13" t="s">
        <v>50</v>
      </c>
      <c r="J836" s="14" t="s">
        <v>51</v>
      </c>
      <c r="K836" s="13" t="s">
        <v>50</v>
      </c>
      <c r="L836" s="14" t="s">
        <v>51</v>
      </c>
      <c r="M836" s="13" t="s">
        <v>50</v>
      </c>
      <c r="N836" s="14" t="s">
        <v>51</v>
      </c>
      <c r="O836" s="13" t="s">
        <v>50</v>
      </c>
      <c r="P836" s="14" t="s">
        <v>51</v>
      </c>
      <c r="Q836" s="13" t="s">
        <v>52</v>
      </c>
      <c r="R836" s="14" t="s">
        <v>51</v>
      </c>
      <c r="S836" s="15" t="n">
        <f>1</f>
        <v>1.0</v>
      </c>
      <c r="T836" s="16" t="n">
        <f>36</f>
        <v>36.0</v>
      </c>
      <c r="U836" s="16" t="n">
        <v>10.0</v>
      </c>
      <c r="V836" s="16" t="n">
        <f>36000</f>
        <v>36000.0</v>
      </c>
      <c r="W836" s="16" t="n">
        <v>10000.0</v>
      </c>
      <c r="X836" s="16" t="str">
        <f>"－"</f>
        <v>－</v>
      </c>
      <c r="Y836" s="13" t="s">
        <v>53</v>
      </c>
      <c r="Z836" s="17" t="n">
        <f>1493</f>
        <v>1493.0</v>
      </c>
      <c r="AA836" s="18" t="n">
        <f>5</f>
        <v>5.0</v>
      </c>
      <c r="AB836" s="11" t="s">
        <v>54</v>
      </c>
    </row>
    <row r="837">
      <c r="A837" s="11" t="s">
        <v>46</v>
      </c>
      <c r="B837" s="11" t="s">
        <v>47</v>
      </c>
      <c r="C837" s="11" t="s">
        <v>48</v>
      </c>
      <c r="D837" s="11" t="s">
        <v>651</v>
      </c>
      <c r="E837" s="11" t="s">
        <v>46</v>
      </c>
      <c r="F837" s="12" t="n">
        <v>33500.0</v>
      </c>
      <c r="G837" s="13" t="s">
        <v>55</v>
      </c>
      <c r="H837" s="14" t="s">
        <v>51</v>
      </c>
      <c r="I837" s="13" t="s">
        <v>55</v>
      </c>
      <c r="J837" s="14" t="s">
        <v>51</v>
      </c>
      <c r="K837" s="13" t="s">
        <v>61</v>
      </c>
      <c r="L837" s="14" t="s">
        <v>51</v>
      </c>
      <c r="M837" s="13" t="s">
        <v>55</v>
      </c>
      <c r="N837" s="14" t="s">
        <v>51</v>
      </c>
      <c r="O837" s="13" t="s">
        <v>61</v>
      </c>
      <c r="P837" s="14" t="s">
        <v>51</v>
      </c>
      <c r="Q837" s="13" t="s">
        <v>55</v>
      </c>
      <c r="R837" s="14" t="s">
        <v>51</v>
      </c>
      <c r="S837" s="15" t="n">
        <f>1</f>
        <v>1.0</v>
      </c>
      <c r="T837" s="16" t="n">
        <f>8</f>
        <v>8.0</v>
      </c>
      <c r="U837" s="16" t="n">
        <v>4.0</v>
      </c>
      <c r="V837" s="16" t="n">
        <f>8000</f>
        <v>8000.0</v>
      </c>
      <c r="W837" s="16" t="n">
        <v>4000.0</v>
      </c>
      <c r="X837" s="16" t="str">
        <f>"－"</f>
        <v>－</v>
      </c>
      <c r="Y837" s="13" t="s">
        <v>53</v>
      </c>
      <c r="Z837" s="17" t="n">
        <f>295</f>
        <v>295.0</v>
      </c>
      <c r="AA837" s="18" t="n">
        <f>1</f>
        <v>1.0</v>
      </c>
      <c r="AB837" s="11" t="s">
        <v>54</v>
      </c>
    </row>
    <row r="838">
      <c r="A838" s="11" t="s">
        <v>46</v>
      </c>
      <c r="B838" s="11" t="s">
        <v>47</v>
      </c>
      <c r="C838" s="11" t="s">
        <v>48</v>
      </c>
      <c r="D838" s="11" t="s">
        <v>651</v>
      </c>
      <c r="E838" s="11" t="s">
        <v>46</v>
      </c>
      <c r="F838" s="12" t="n">
        <v>34000.0</v>
      </c>
      <c r="G838" s="13"/>
      <c r="H838" s="14" t="s">
        <v>57</v>
      </c>
      <c r="I838" s="13"/>
      <c r="J838" s="14" t="s">
        <v>57</v>
      </c>
      <c r="K838" s="13"/>
      <c r="L838" s="14"/>
      <c r="M838" s="13"/>
      <c r="N838" s="14" t="s">
        <v>57</v>
      </c>
      <c r="O838" s="13"/>
      <c r="P838" s="14"/>
      <c r="Q838" s="13"/>
      <c r="R838" s="14" t="s">
        <v>57</v>
      </c>
      <c r="S838" s="15" t="str">
        <f>"－"</f>
        <v>－</v>
      </c>
      <c r="T838" s="16" t="str">
        <f>"－"</f>
        <v>－</v>
      </c>
      <c r="U838" s="16"/>
      <c r="V838" s="16" t="str">
        <f>"－"</f>
        <v>－</v>
      </c>
      <c r="W838" s="16"/>
      <c r="X838" s="16" t="str">
        <f>"－"</f>
        <v>－</v>
      </c>
      <c r="Y838" s="13" t="s">
        <v>53</v>
      </c>
      <c r="Z838" s="17" t="n">
        <f>315</f>
        <v>315.0</v>
      </c>
      <c r="AA838" s="18" t="str">
        <f>"－"</f>
        <v>－</v>
      </c>
      <c r="AB838" s="11" t="s">
        <v>54</v>
      </c>
    </row>
    <row r="839">
      <c r="A839" s="11" t="s">
        <v>46</v>
      </c>
      <c r="B839" s="11" t="s">
        <v>47</v>
      </c>
      <c r="C839" s="11" t="s">
        <v>48</v>
      </c>
      <c r="D839" s="11" t="s">
        <v>651</v>
      </c>
      <c r="E839" s="11" t="s">
        <v>46</v>
      </c>
      <c r="F839" s="12" t="n">
        <v>34500.0</v>
      </c>
      <c r="G839" s="13"/>
      <c r="H839" s="14" t="s">
        <v>57</v>
      </c>
      <c r="I839" s="13"/>
      <c r="J839" s="14" t="s">
        <v>57</v>
      </c>
      <c r="K839" s="13"/>
      <c r="L839" s="14"/>
      <c r="M839" s="13"/>
      <c r="N839" s="14" t="s">
        <v>57</v>
      </c>
      <c r="O839" s="13"/>
      <c r="P839" s="14"/>
      <c r="Q839" s="13"/>
      <c r="R839" s="14" t="s">
        <v>57</v>
      </c>
      <c r="S839" s="15" t="str">
        <f>"－"</f>
        <v>－</v>
      </c>
      <c r="T839" s="16" t="str">
        <f>"－"</f>
        <v>－</v>
      </c>
      <c r="U839" s="16"/>
      <c r="V839" s="16" t="str">
        <f>"－"</f>
        <v>－</v>
      </c>
      <c r="W839" s="16"/>
      <c r="X839" s="16" t="str">
        <f>"－"</f>
        <v>－</v>
      </c>
      <c r="Y839" s="13" t="s">
        <v>53</v>
      </c>
      <c r="Z839" s="17" t="n">
        <f>117</f>
        <v>117.0</v>
      </c>
      <c r="AA839" s="18" t="str">
        <f>"－"</f>
        <v>－</v>
      </c>
      <c r="AB839" s="11" t="s">
        <v>54</v>
      </c>
    </row>
    <row r="840">
      <c r="A840" s="11" t="s">
        <v>46</v>
      </c>
      <c r="B840" s="11" t="s">
        <v>47</v>
      </c>
      <c r="C840" s="11" t="s">
        <v>48</v>
      </c>
      <c r="D840" s="11" t="s">
        <v>651</v>
      </c>
      <c r="E840" s="11" t="s">
        <v>46</v>
      </c>
      <c r="F840" s="12" t="n">
        <v>35000.0</v>
      </c>
      <c r="G840" s="13"/>
      <c r="H840" s="14" t="s">
        <v>57</v>
      </c>
      <c r="I840" s="13"/>
      <c r="J840" s="14" t="s">
        <v>57</v>
      </c>
      <c r="K840" s="13"/>
      <c r="L840" s="14"/>
      <c r="M840" s="13"/>
      <c r="N840" s="14" t="s">
        <v>57</v>
      </c>
      <c r="O840" s="13"/>
      <c r="P840" s="14"/>
      <c r="Q840" s="13"/>
      <c r="R840" s="14" t="s">
        <v>57</v>
      </c>
      <c r="S840" s="15" t="str">
        <f>"－"</f>
        <v>－</v>
      </c>
      <c r="T840" s="16" t="str">
        <f>"－"</f>
        <v>－</v>
      </c>
      <c r="U840" s="16"/>
      <c r="V840" s="16" t="str">
        <f>"－"</f>
        <v>－</v>
      </c>
      <c r="W840" s="16"/>
      <c r="X840" s="16" t="str">
        <f>"－"</f>
        <v>－</v>
      </c>
      <c r="Y840" s="13" t="s">
        <v>53</v>
      </c>
      <c r="Z840" s="17" t="n">
        <f>494</f>
        <v>494.0</v>
      </c>
      <c r="AA840" s="18" t="str">
        <f>"－"</f>
        <v>－</v>
      </c>
      <c r="AB840" s="11" t="s">
        <v>54</v>
      </c>
    </row>
    <row r="841">
      <c r="A841" s="11" t="s">
        <v>46</v>
      </c>
      <c r="B841" s="11" t="s">
        <v>47</v>
      </c>
      <c r="C841" s="11" t="s">
        <v>48</v>
      </c>
      <c r="D841" s="11" t="s">
        <v>651</v>
      </c>
      <c r="E841" s="11" t="s">
        <v>201</v>
      </c>
      <c r="F841" s="12" t="n">
        <v>16000.0</v>
      </c>
      <c r="G841" s="13"/>
      <c r="H841" s="14" t="s">
        <v>57</v>
      </c>
      <c r="I841" s="13"/>
      <c r="J841" s="14" t="s">
        <v>57</v>
      </c>
      <c r="K841" s="13"/>
      <c r="L841" s="14"/>
      <c r="M841" s="13"/>
      <c r="N841" s="14" t="s">
        <v>57</v>
      </c>
      <c r="O841" s="13"/>
      <c r="P841" s="14"/>
      <c r="Q841" s="13"/>
      <c r="R841" s="14" t="s">
        <v>57</v>
      </c>
      <c r="S841" s="15" t="str">
        <f>"－"</f>
        <v>－</v>
      </c>
      <c r="T841" s="16" t="str">
        <f>"－"</f>
        <v>－</v>
      </c>
      <c r="U841" s="16"/>
      <c r="V841" s="16" t="str">
        <f>"－"</f>
        <v>－</v>
      </c>
      <c r="W841" s="16"/>
      <c r="X841" s="16" t="str">
        <f>"－"</f>
        <v>－</v>
      </c>
      <c r="Y841" s="13"/>
      <c r="Z841" s="17" t="n">
        <f>1</f>
        <v>1.0</v>
      </c>
      <c r="AA841" s="18" t="str">
        <f>"－"</f>
        <v>－</v>
      </c>
      <c r="AB841" s="11" t="s">
        <v>203</v>
      </c>
    </row>
    <row r="842">
      <c r="A842" s="11" t="s">
        <v>46</v>
      </c>
      <c r="B842" s="11" t="s">
        <v>47</v>
      </c>
      <c r="C842" s="11" t="s">
        <v>48</v>
      </c>
      <c r="D842" s="11" t="s">
        <v>651</v>
      </c>
      <c r="E842" s="11" t="s">
        <v>201</v>
      </c>
      <c r="F842" s="12" t="n">
        <v>17000.0</v>
      </c>
      <c r="G842" s="13"/>
      <c r="H842" s="14" t="s">
        <v>57</v>
      </c>
      <c r="I842" s="13"/>
      <c r="J842" s="14" t="s">
        <v>57</v>
      </c>
      <c r="K842" s="13"/>
      <c r="L842" s="14"/>
      <c r="M842" s="13"/>
      <c r="N842" s="14" t="s">
        <v>57</v>
      </c>
      <c r="O842" s="13"/>
      <c r="P842" s="14"/>
      <c r="Q842" s="13"/>
      <c r="R842" s="14" t="s">
        <v>57</v>
      </c>
      <c r="S842" s="15" t="str">
        <f>"－"</f>
        <v>－</v>
      </c>
      <c r="T842" s="16" t="str">
        <f>"－"</f>
        <v>－</v>
      </c>
      <c r="U842" s="16"/>
      <c r="V842" s="16" t="str">
        <f>"－"</f>
        <v>－</v>
      </c>
      <c r="W842" s="16"/>
      <c r="X842" s="16" t="str">
        <f>"－"</f>
        <v>－</v>
      </c>
      <c r="Y842" s="13"/>
      <c r="Z842" s="17" t="n">
        <f>175</f>
        <v>175.0</v>
      </c>
      <c r="AA842" s="18" t="str">
        <f>"－"</f>
        <v>－</v>
      </c>
      <c r="AB842" s="11" t="s">
        <v>203</v>
      </c>
    </row>
    <row r="843">
      <c r="A843" s="11" t="s">
        <v>46</v>
      </c>
      <c r="B843" s="11" t="s">
        <v>47</v>
      </c>
      <c r="C843" s="11" t="s">
        <v>48</v>
      </c>
      <c r="D843" s="11" t="s">
        <v>651</v>
      </c>
      <c r="E843" s="11" t="s">
        <v>201</v>
      </c>
      <c r="F843" s="12" t="n">
        <v>18000.0</v>
      </c>
      <c r="G843" s="13" t="s">
        <v>50</v>
      </c>
      <c r="H843" s="14" t="s">
        <v>700</v>
      </c>
      <c r="I843" s="13" t="s">
        <v>50</v>
      </c>
      <c r="J843" s="14" t="s">
        <v>700</v>
      </c>
      <c r="K843" s="13"/>
      <c r="L843" s="14"/>
      <c r="M843" s="13" t="s">
        <v>50</v>
      </c>
      <c r="N843" s="14" t="s">
        <v>700</v>
      </c>
      <c r="O843" s="13"/>
      <c r="P843" s="14"/>
      <c r="Q843" s="13" t="s">
        <v>50</v>
      </c>
      <c r="R843" s="14" t="s">
        <v>700</v>
      </c>
      <c r="S843" s="15" t="n">
        <f>9700</f>
        <v>9700.0</v>
      </c>
      <c r="T843" s="16" t="n">
        <f>1</f>
        <v>1.0</v>
      </c>
      <c r="U843" s="16"/>
      <c r="V843" s="16" t="n">
        <f>9700000</f>
        <v>9700000.0</v>
      </c>
      <c r="W843" s="16"/>
      <c r="X843" s="16" t="str">
        <f>"－"</f>
        <v>－</v>
      </c>
      <c r="Y843" s="13"/>
      <c r="Z843" s="17" t="n">
        <f>2</f>
        <v>2.0</v>
      </c>
      <c r="AA843" s="18" t="n">
        <f>1</f>
        <v>1.0</v>
      </c>
      <c r="AB843" s="11" t="s">
        <v>203</v>
      </c>
    </row>
    <row r="844">
      <c r="A844" s="11" t="s">
        <v>46</v>
      </c>
      <c r="B844" s="11" t="s">
        <v>47</v>
      </c>
      <c r="C844" s="11" t="s">
        <v>48</v>
      </c>
      <c r="D844" s="11" t="s">
        <v>651</v>
      </c>
      <c r="E844" s="11" t="s">
        <v>201</v>
      </c>
      <c r="F844" s="12" t="n">
        <v>18500.0</v>
      </c>
      <c r="G844" s="13" t="s">
        <v>58</v>
      </c>
      <c r="H844" s="14" t="s">
        <v>701</v>
      </c>
      <c r="I844" s="13" t="s">
        <v>58</v>
      </c>
      <c r="J844" s="14" t="s">
        <v>701</v>
      </c>
      <c r="K844" s="13"/>
      <c r="L844" s="14"/>
      <c r="M844" s="13" t="s">
        <v>58</v>
      </c>
      <c r="N844" s="14" t="s">
        <v>701</v>
      </c>
      <c r="O844" s="13"/>
      <c r="P844" s="14"/>
      <c r="Q844" s="13" t="s">
        <v>58</v>
      </c>
      <c r="R844" s="14" t="s">
        <v>701</v>
      </c>
      <c r="S844" s="15" t="n">
        <f>10070</f>
        <v>10070.0</v>
      </c>
      <c r="T844" s="16" t="n">
        <f>1</f>
        <v>1.0</v>
      </c>
      <c r="U844" s="16"/>
      <c r="V844" s="16" t="n">
        <f>10070000</f>
        <v>1.007E7</v>
      </c>
      <c r="W844" s="16"/>
      <c r="X844" s="16" t="str">
        <f>"－"</f>
        <v>－</v>
      </c>
      <c r="Y844" s="13"/>
      <c r="Z844" s="17" t="n">
        <f>1</f>
        <v>1.0</v>
      </c>
      <c r="AA844" s="18" t="n">
        <f>1</f>
        <v>1.0</v>
      </c>
      <c r="AB844" s="11" t="s">
        <v>203</v>
      </c>
    </row>
    <row r="845">
      <c r="A845" s="11" t="s">
        <v>46</v>
      </c>
      <c r="B845" s="11" t="s">
        <v>47</v>
      </c>
      <c r="C845" s="11" t="s">
        <v>48</v>
      </c>
      <c r="D845" s="11" t="s">
        <v>651</v>
      </c>
      <c r="E845" s="11" t="s">
        <v>201</v>
      </c>
      <c r="F845" s="12" t="n">
        <v>19000.0</v>
      </c>
      <c r="G845" s="13" t="s">
        <v>61</v>
      </c>
      <c r="H845" s="14" t="s">
        <v>702</v>
      </c>
      <c r="I845" s="13" t="s">
        <v>61</v>
      </c>
      <c r="J845" s="14" t="s">
        <v>702</v>
      </c>
      <c r="K845" s="13"/>
      <c r="L845" s="14"/>
      <c r="M845" s="13" t="s">
        <v>61</v>
      </c>
      <c r="N845" s="14" t="s">
        <v>702</v>
      </c>
      <c r="O845" s="13"/>
      <c r="P845" s="14"/>
      <c r="Q845" s="13" t="s">
        <v>61</v>
      </c>
      <c r="R845" s="14" t="s">
        <v>702</v>
      </c>
      <c r="S845" s="15" t="n">
        <f>10200</f>
        <v>10200.0</v>
      </c>
      <c r="T845" s="16" t="n">
        <f>2</f>
        <v>2.0</v>
      </c>
      <c r="U845" s="16"/>
      <c r="V845" s="16" t="n">
        <f>20400000</f>
        <v>2.04E7</v>
      </c>
      <c r="W845" s="16"/>
      <c r="X845" s="16" t="str">
        <f>"－"</f>
        <v>－</v>
      </c>
      <c r="Y845" s="13"/>
      <c r="Z845" s="17" t="n">
        <f>2</f>
        <v>2.0</v>
      </c>
      <c r="AA845" s="18" t="n">
        <f>1</f>
        <v>1.0</v>
      </c>
      <c r="AB845" s="11" t="s">
        <v>203</v>
      </c>
    </row>
    <row r="846">
      <c r="A846" s="11" t="s">
        <v>46</v>
      </c>
      <c r="B846" s="11" t="s">
        <v>47</v>
      </c>
      <c r="C846" s="11" t="s">
        <v>48</v>
      </c>
      <c r="D846" s="11" t="s">
        <v>651</v>
      </c>
      <c r="E846" s="11" t="s">
        <v>201</v>
      </c>
      <c r="F846" s="12" t="n">
        <v>19500.0</v>
      </c>
      <c r="G846" s="13"/>
      <c r="H846" s="14" t="s">
        <v>57</v>
      </c>
      <c r="I846" s="13"/>
      <c r="J846" s="14" t="s">
        <v>57</v>
      </c>
      <c r="K846" s="13"/>
      <c r="L846" s="14"/>
      <c r="M846" s="13"/>
      <c r="N846" s="14" t="s">
        <v>57</v>
      </c>
      <c r="O846" s="13"/>
      <c r="P846" s="14"/>
      <c r="Q846" s="13"/>
      <c r="R846" s="14" t="s">
        <v>57</v>
      </c>
      <c r="S846" s="15" t="str">
        <f>"－"</f>
        <v>－</v>
      </c>
      <c r="T846" s="16" t="str">
        <f>"－"</f>
        <v>－</v>
      </c>
      <c r="U846" s="16"/>
      <c r="V846" s="16" t="str">
        <f>"－"</f>
        <v>－</v>
      </c>
      <c r="W846" s="16"/>
      <c r="X846" s="16" t="str">
        <f>"－"</f>
        <v>－</v>
      </c>
      <c r="Y846" s="13"/>
      <c r="Z846" s="17" t="n">
        <f>200</f>
        <v>200.0</v>
      </c>
      <c r="AA846" s="18" t="str">
        <f>"－"</f>
        <v>－</v>
      </c>
      <c r="AB846" s="11" t="s">
        <v>203</v>
      </c>
    </row>
    <row r="847">
      <c r="A847" s="11" t="s">
        <v>46</v>
      </c>
      <c r="B847" s="11" t="s">
        <v>47</v>
      </c>
      <c r="C847" s="11" t="s">
        <v>48</v>
      </c>
      <c r="D847" s="11" t="s">
        <v>651</v>
      </c>
      <c r="E847" s="11" t="s">
        <v>201</v>
      </c>
      <c r="F847" s="12" t="n">
        <v>20000.0</v>
      </c>
      <c r="G847" s="13" t="s">
        <v>56</v>
      </c>
      <c r="H847" s="14" t="s">
        <v>703</v>
      </c>
      <c r="I847" s="13" t="s">
        <v>56</v>
      </c>
      <c r="J847" s="14" t="s">
        <v>703</v>
      </c>
      <c r="K847" s="13"/>
      <c r="L847" s="14"/>
      <c r="M847" s="13" t="s">
        <v>206</v>
      </c>
      <c r="N847" s="14" t="s">
        <v>704</v>
      </c>
      <c r="O847" s="13"/>
      <c r="P847" s="14"/>
      <c r="Q847" s="13" t="s">
        <v>206</v>
      </c>
      <c r="R847" s="14" t="s">
        <v>704</v>
      </c>
      <c r="S847" s="15" t="n">
        <f>9465</f>
        <v>9465.0</v>
      </c>
      <c r="T847" s="16" t="n">
        <f>5</f>
        <v>5.0</v>
      </c>
      <c r="U847" s="16"/>
      <c r="V847" s="16" t="n">
        <f>47280000</f>
        <v>4.728E7</v>
      </c>
      <c r="W847" s="16"/>
      <c r="X847" s="16" t="str">
        <f>"－"</f>
        <v>－</v>
      </c>
      <c r="Y847" s="13"/>
      <c r="Z847" s="17" t="n">
        <f>680</f>
        <v>680.0</v>
      </c>
      <c r="AA847" s="18" t="n">
        <f>2</f>
        <v>2.0</v>
      </c>
      <c r="AB847" s="11" t="s">
        <v>203</v>
      </c>
    </row>
    <row r="848">
      <c r="A848" s="11" t="s">
        <v>46</v>
      </c>
      <c r="B848" s="11" t="s">
        <v>47</v>
      </c>
      <c r="C848" s="11" t="s">
        <v>48</v>
      </c>
      <c r="D848" s="11" t="s">
        <v>651</v>
      </c>
      <c r="E848" s="11" t="s">
        <v>201</v>
      </c>
      <c r="F848" s="12" t="n">
        <v>20500.0</v>
      </c>
      <c r="G848" s="13"/>
      <c r="H848" s="14" t="s">
        <v>57</v>
      </c>
      <c r="I848" s="13"/>
      <c r="J848" s="14" t="s">
        <v>57</v>
      </c>
      <c r="K848" s="13"/>
      <c r="L848" s="14"/>
      <c r="M848" s="13"/>
      <c r="N848" s="14" t="s">
        <v>57</v>
      </c>
      <c r="O848" s="13"/>
      <c r="P848" s="14"/>
      <c r="Q848" s="13"/>
      <c r="R848" s="14" t="s">
        <v>57</v>
      </c>
      <c r="S848" s="15" t="str">
        <f>"－"</f>
        <v>－</v>
      </c>
      <c r="T848" s="16" t="str">
        <f>"－"</f>
        <v>－</v>
      </c>
      <c r="U848" s="16"/>
      <c r="V848" s="16" t="str">
        <f>"－"</f>
        <v>－</v>
      </c>
      <c r="W848" s="16"/>
      <c r="X848" s="16" t="str">
        <f>"－"</f>
        <v>－</v>
      </c>
      <c r="Y848" s="13"/>
      <c r="Z848" s="17" t="n">
        <f>55</f>
        <v>55.0</v>
      </c>
      <c r="AA848" s="18" t="str">
        <f>"－"</f>
        <v>－</v>
      </c>
      <c r="AB848" s="11" t="s">
        <v>203</v>
      </c>
    </row>
    <row r="849">
      <c r="A849" s="11" t="s">
        <v>46</v>
      </c>
      <c r="B849" s="11" t="s">
        <v>47</v>
      </c>
      <c r="C849" s="11" t="s">
        <v>48</v>
      </c>
      <c r="D849" s="11" t="s">
        <v>651</v>
      </c>
      <c r="E849" s="11" t="s">
        <v>201</v>
      </c>
      <c r="F849" s="12" t="n">
        <v>21000.0</v>
      </c>
      <c r="G849" s="13"/>
      <c r="H849" s="14" t="s">
        <v>57</v>
      </c>
      <c r="I849" s="13"/>
      <c r="J849" s="14" t="s">
        <v>57</v>
      </c>
      <c r="K849" s="13"/>
      <c r="L849" s="14"/>
      <c r="M849" s="13"/>
      <c r="N849" s="14" t="s">
        <v>57</v>
      </c>
      <c r="O849" s="13"/>
      <c r="P849" s="14"/>
      <c r="Q849" s="13"/>
      <c r="R849" s="14" t="s">
        <v>57</v>
      </c>
      <c r="S849" s="15" t="str">
        <f>"－"</f>
        <v>－</v>
      </c>
      <c r="T849" s="16" t="str">
        <f>"－"</f>
        <v>－</v>
      </c>
      <c r="U849" s="16"/>
      <c r="V849" s="16" t="str">
        <f>"－"</f>
        <v>－</v>
      </c>
      <c r="W849" s="16"/>
      <c r="X849" s="16" t="str">
        <f>"－"</f>
        <v>－</v>
      </c>
      <c r="Y849" s="13"/>
      <c r="Z849" s="17" t="n">
        <f>506</f>
        <v>506.0</v>
      </c>
      <c r="AA849" s="18" t="str">
        <f>"－"</f>
        <v>－</v>
      </c>
      <c r="AB849" s="11" t="s">
        <v>203</v>
      </c>
    </row>
    <row r="850">
      <c r="A850" s="11" t="s">
        <v>46</v>
      </c>
      <c r="B850" s="11" t="s">
        <v>47</v>
      </c>
      <c r="C850" s="11" t="s">
        <v>48</v>
      </c>
      <c r="D850" s="11" t="s">
        <v>651</v>
      </c>
      <c r="E850" s="11" t="s">
        <v>201</v>
      </c>
      <c r="F850" s="12" t="n">
        <v>21500.0</v>
      </c>
      <c r="G850" s="13" t="s">
        <v>58</v>
      </c>
      <c r="H850" s="14" t="s">
        <v>705</v>
      </c>
      <c r="I850" s="13" t="s">
        <v>58</v>
      </c>
      <c r="J850" s="14" t="s">
        <v>705</v>
      </c>
      <c r="K850" s="13"/>
      <c r="L850" s="14"/>
      <c r="M850" s="13" t="s">
        <v>58</v>
      </c>
      <c r="N850" s="14" t="s">
        <v>705</v>
      </c>
      <c r="O850" s="13"/>
      <c r="P850" s="14"/>
      <c r="Q850" s="13" t="s">
        <v>58</v>
      </c>
      <c r="R850" s="14" t="s">
        <v>705</v>
      </c>
      <c r="S850" s="15" t="n">
        <f>7160</f>
        <v>7160.0</v>
      </c>
      <c r="T850" s="16" t="n">
        <f>1</f>
        <v>1.0</v>
      </c>
      <c r="U850" s="16"/>
      <c r="V850" s="16" t="n">
        <f>7160000</f>
        <v>7160000.0</v>
      </c>
      <c r="W850" s="16"/>
      <c r="X850" s="16" t="str">
        <f>"－"</f>
        <v>－</v>
      </c>
      <c r="Y850" s="13"/>
      <c r="Z850" s="17" t="n">
        <f>126</f>
        <v>126.0</v>
      </c>
      <c r="AA850" s="18" t="n">
        <f>1</f>
        <v>1.0</v>
      </c>
      <c r="AB850" s="11" t="s">
        <v>203</v>
      </c>
    </row>
    <row r="851">
      <c r="A851" s="11" t="s">
        <v>46</v>
      </c>
      <c r="B851" s="11" t="s">
        <v>47</v>
      </c>
      <c r="C851" s="11" t="s">
        <v>48</v>
      </c>
      <c r="D851" s="11" t="s">
        <v>651</v>
      </c>
      <c r="E851" s="11" t="s">
        <v>201</v>
      </c>
      <c r="F851" s="12" t="n">
        <v>22000.0</v>
      </c>
      <c r="G851" s="13"/>
      <c r="H851" s="14" t="s">
        <v>57</v>
      </c>
      <c r="I851" s="13"/>
      <c r="J851" s="14" t="s">
        <v>57</v>
      </c>
      <c r="K851" s="13"/>
      <c r="L851" s="14"/>
      <c r="M851" s="13"/>
      <c r="N851" s="14" t="s">
        <v>57</v>
      </c>
      <c r="O851" s="13"/>
      <c r="P851" s="14"/>
      <c r="Q851" s="13"/>
      <c r="R851" s="14" t="s">
        <v>57</v>
      </c>
      <c r="S851" s="15" t="str">
        <f>"－"</f>
        <v>－</v>
      </c>
      <c r="T851" s="16" t="str">
        <f>"－"</f>
        <v>－</v>
      </c>
      <c r="U851" s="16"/>
      <c r="V851" s="16" t="str">
        <f>"－"</f>
        <v>－</v>
      </c>
      <c r="W851" s="16"/>
      <c r="X851" s="16" t="str">
        <f>"－"</f>
        <v>－</v>
      </c>
      <c r="Y851" s="13"/>
      <c r="Z851" s="17" t="n">
        <f>1250</f>
        <v>1250.0</v>
      </c>
      <c r="AA851" s="18" t="str">
        <f>"－"</f>
        <v>－</v>
      </c>
      <c r="AB851" s="11" t="s">
        <v>203</v>
      </c>
    </row>
    <row r="852">
      <c r="A852" s="11" t="s">
        <v>46</v>
      </c>
      <c r="B852" s="11" t="s">
        <v>47</v>
      </c>
      <c r="C852" s="11" t="s">
        <v>48</v>
      </c>
      <c r="D852" s="11" t="s">
        <v>651</v>
      </c>
      <c r="E852" s="11" t="s">
        <v>201</v>
      </c>
      <c r="F852" s="12" t="n">
        <v>22250.0</v>
      </c>
      <c r="G852" s="13"/>
      <c r="H852" s="14" t="s">
        <v>57</v>
      </c>
      <c r="I852" s="13"/>
      <c r="J852" s="14" t="s">
        <v>57</v>
      </c>
      <c r="K852" s="13"/>
      <c r="L852" s="14"/>
      <c r="M852" s="13"/>
      <c r="N852" s="14" t="s">
        <v>57</v>
      </c>
      <c r="O852" s="13"/>
      <c r="P852" s="14"/>
      <c r="Q852" s="13"/>
      <c r="R852" s="14" t="s">
        <v>57</v>
      </c>
      <c r="S852" s="15" t="str">
        <f>"－"</f>
        <v>－</v>
      </c>
      <c r="T852" s="16" t="str">
        <f>"－"</f>
        <v>－</v>
      </c>
      <c r="U852" s="16"/>
      <c r="V852" s="16" t="str">
        <f>"－"</f>
        <v>－</v>
      </c>
      <c r="W852" s="16"/>
      <c r="X852" s="16" t="str">
        <f>"－"</f>
        <v>－</v>
      </c>
      <c r="Y852" s="13"/>
      <c r="Z852" s="17" t="n">
        <f>135</f>
        <v>135.0</v>
      </c>
      <c r="AA852" s="18" t="str">
        <f>"－"</f>
        <v>－</v>
      </c>
      <c r="AB852" s="11" t="s">
        <v>203</v>
      </c>
    </row>
    <row r="853">
      <c r="A853" s="11" t="s">
        <v>46</v>
      </c>
      <c r="B853" s="11" t="s">
        <v>47</v>
      </c>
      <c r="C853" s="11" t="s">
        <v>48</v>
      </c>
      <c r="D853" s="11" t="s">
        <v>651</v>
      </c>
      <c r="E853" s="11" t="s">
        <v>201</v>
      </c>
      <c r="F853" s="12" t="n">
        <v>22500.0</v>
      </c>
      <c r="G853" s="13"/>
      <c r="H853" s="14" t="s">
        <v>57</v>
      </c>
      <c r="I853" s="13"/>
      <c r="J853" s="14" t="s">
        <v>57</v>
      </c>
      <c r="K853" s="13"/>
      <c r="L853" s="14"/>
      <c r="M853" s="13"/>
      <c r="N853" s="14" t="s">
        <v>57</v>
      </c>
      <c r="O853" s="13"/>
      <c r="P853" s="14"/>
      <c r="Q853" s="13"/>
      <c r="R853" s="14" t="s">
        <v>57</v>
      </c>
      <c r="S853" s="15" t="str">
        <f>"－"</f>
        <v>－</v>
      </c>
      <c r="T853" s="16" t="str">
        <f>"－"</f>
        <v>－</v>
      </c>
      <c r="U853" s="16"/>
      <c r="V853" s="16" t="str">
        <f>"－"</f>
        <v>－</v>
      </c>
      <c r="W853" s="16"/>
      <c r="X853" s="16" t="str">
        <f>"－"</f>
        <v>－</v>
      </c>
      <c r="Y853" s="13"/>
      <c r="Z853" s="17" t="n">
        <f>609</f>
        <v>609.0</v>
      </c>
      <c r="AA853" s="18" t="str">
        <f>"－"</f>
        <v>－</v>
      </c>
      <c r="AB853" s="11" t="s">
        <v>203</v>
      </c>
    </row>
    <row r="854">
      <c r="A854" s="11" t="s">
        <v>46</v>
      </c>
      <c r="B854" s="11" t="s">
        <v>47</v>
      </c>
      <c r="C854" s="11" t="s">
        <v>48</v>
      </c>
      <c r="D854" s="11" t="s">
        <v>651</v>
      </c>
      <c r="E854" s="11" t="s">
        <v>201</v>
      </c>
      <c r="F854" s="12" t="n">
        <v>22750.0</v>
      </c>
      <c r="G854" s="13" t="s">
        <v>205</v>
      </c>
      <c r="H854" s="14" t="s">
        <v>706</v>
      </c>
      <c r="I854" s="13" t="s">
        <v>205</v>
      </c>
      <c r="J854" s="14" t="s">
        <v>706</v>
      </c>
      <c r="K854" s="13"/>
      <c r="L854" s="14"/>
      <c r="M854" s="13" t="s">
        <v>205</v>
      </c>
      <c r="N854" s="14" t="s">
        <v>706</v>
      </c>
      <c r="O854" s="13"/>
      <c r="P854" s="14"/>
      <c r="Q854" s="13" t="s">
        <v>205</v>
      </c>
      <c r="R854" s="14" t="s">
        <v>706</v>
      </c>
      <c r="S854" s="15" t="n">
        <f>6730</f>
        <v>6730.0</v>
      </c>
      <c r="T854" s="16" t="n">
        <f>2</f>
        <v>2.0</v>
      </c>
      <c r="U854" s="16"/>
      <c r="V854" s="16" t="n">
        <f>13460000</f>
        <v>1.346E7</v>
      </c>
      <c r="W854" s="16"/>
      <c r="X854" s="16" t="str">
        <f>"－"</f>
        <v>－</v>
      </c>
      <c r="Y854" s="13"/>
      <c r="Z854" s="17" t="n">
        <f>350</f>
        <v>350.0</v>
      </c>
      <c r="AA854" s="18" t="n">
        <f>1</f>
        <v>1.0</v>
      </c>
      <c r="AB854" s="11" t="s">
        <v>203</v>
      </c>
    </row>
    <row r="855">
      <c r="A855" s="11" t="s">
        <v>46</v>
      </c>
      <c r="B855" s="11" t="s">
        <v>47</v>
      </c>
      <c r="C855" s="11" t="s">
        <v>48</v>
      </c>
      <c r="D855" s="11" t="s">
        <v>651</v>
      </c>
      <c r="E855" s="11" t="s">
        <v>201</v>
      </c>
      <c r="F855" s="12" t="n">
        <v>23000.0</v>
      </c>
      <c r="G855" s="13" t="s">
        <v>205</v>
      </c>
      <c r="H855" s="14" t="s">
        <v>707</v>
      </c>
      <c r="I855" s="13" t="s">
        <v>205</v>
      </c>
      <c r="J855" s="14" t="s">
        <v>707</v>
      </c>
      <c r="K855" s="13"/>
      <c r="L855" s="14"/>
      <c r="M855" s="13" t="s">
        <v>205</v>
      </c>
      <c r="N855" s="14" t="s">
        <v>707</v>
      </c>
      <c r="O855" s="13"/>
      <c r="P855" s="14"/>
      <c r="Q855" s="13" t="s">
        <v>205</v>
      </c>
      <c r="R855" s="14" t="s">
        <v>707</v>
      </c>
      <c r="S855" s="15" t="n">
        <f>6570</f>
        <v>6570.0</v>
      </c>
      <c r="T855" s="16" t="n">
        <f>1</f>
        <v>1.0</v>
      </c>
      <c r="U855" s="16"/>
      <c r="V855" s="16" t="n">
        <f>6570000</f>
        <v>6570000.0</v>
      </c>
      <c r="W855" s="16"/>
      <c r="X855" s="16" t="str">
        <f>"－"</f>
        <v>－</v>
      </c>
      <c r="Y855" s="13"/>
      <c r="Z855" s="17" t="n">
        <f>2570</f>
        <v>2570.0</v>
      </c>
      <c r="AA855" s="18" t="n">
        <f>1</f>
        <v>1.0</v>
      </c>
      <c r="AB855" s="11" t="s">
        <v>203</v>
      </c>
    </row>
    <row r="856">
      <c r="A856" s="11" t="s">
        <v>46</v>
      </c>
      <c r="B856" s="11" t="s">
        <v>47</v>
      </c>
      <c r="C856" s="11" t="s">
        <v>48</v>
      </c>
      <c r="D856" s="11" t="s">
        <v>651</v>
      </c>
      <c r="E856" s="11" t="s">
        <v>201</v>
      </c>
      <c r="F856" s="12" t="n">
        <v>23250.0</v>
      </c>
      <c r="G856" s="13"/>
      <c r="H856" s="14" t="s">
        <v>57</v>
      </c>
      <c r="I856" s="13"/>
      <c r="J856" s="14" t="s">
        <v>57</v>
      </c>
      <c r="K856" s="13"/>
      <c r="L856" s="14"/>
      <c r="M856" s="13"/>
      <c r="N856" s="14" t="s">
        <v>57</v>
      </c>
      <c r="O856" s="13"/>
      <c r="P856" s="14"/>
      <c r="Q856" s="13"/>
      <c r="R856" s="14" t="s">
        <v>57</v>
      </c>
      <c r="S856" s="15" t="str">
        <f>"－"</f>
        <v>－</v>
      </c>
      <c r="T856" s="16" t="str">
        <f>"－"</f>
        <v>－</v>
      </c>
      <c r="U856" s="16"/>
      <c r="V856" s="16" t="str">
        <f>"－"</f>
        <v>－</v>
      </c>
      <c r="W856" s="16"/>
      <c r="X856" s="16" t="str">
        <f>"－"</f>
        <v>－</v>
      </c>
      <c r="Y856" s="13"/>
      <c r="Z856" s="17" t="n">
        <f>103</f>
        <v>103.0</v>
      </c>
      <c r="AA856" s="18" t="str">
        <f>"－"</f>
        <v>－</v>
      </c>
      <c r="AB856" s="11" t="s">
        <v>203</v>
      </c>
    </row>
    <row r="857">
      <c r="A857" s="11" t="s">
        <v>46</v>
      </c>
      <c r="B857" s="11" t="s">
        <v>47</v>
      </c>
      <c r="C857" s="11" t="s">
        <v>48</v>
      </c>
      <c r="D857" s="11" t="s">
        <v>651</v>
      </c>
      <c r="E857" s="11" t="s">
        <v>201</v>
      </c>
      <c r="F857" s="12" t="n">
        <v>23500.0</v>
      </c>
      <c r="G857" s="13" t="s">
        <v>61</v>
      </c>
      <c r="H857" s="14" t="s">
        <v>708</v>
      </c>
      <c r="I857" s="13" t="s">
        <v>202</v>
      </c>
      <c r="J857" s="14" t="s">
        <v>709</v>
      </c>
      <c r="K857" s="13"/>
      <c r="L857" s="14"/>
      <c r="M857" s="13" t="s">
        <v>61</v>
      </c>
      <c r="N857" s="14" t="s">
        <v>708</v>
      </c>
      <c r="O857" s="13"/>
      <c r="P857" s="14"/>
      <c r="Q857" s="13" t="s">
        <v>202</v>
      </c>
      <c r="R857" s="14" t="s">
        <v>709</v>
      </c>
      <c r="S857" s="15" t="n">
        <f>6030</f>
        <v>6030.0</v>
      </c>
      <c r="T857" s="16" t="n">
        <f>6</f>
        <v>6.0</v>
      </c>
      <c r="U857" s="16"/>
      <c r="V857" s="16" t="n">
        <f>34850000</f>
        <v>3.485E7</v>
      </c>
      <c r="W857" s="16"/>
      <c r="X857" s="16" t="str">
        <f>"－"</f>
        <v>－</v>
      </c>
      <c r="Y857" s="13"/>
      <c r="Z857" s="17" t="n">
        <f>1910</f>
        <v>1910.0</v>
      </c>
      <c r="AA857" s="18" t="n">
        <f>2</f>
        <v>2.0</v>
      </c>
      <c r="AB857" s="11" t="s">
        <v>203</v>
      </c>
    </row>
    <row r="858">
      <c r="A858" s="11" t="s">
        <v>46</v>
      </c>
      <c r="B858" s="11" t="s">
        <v>47</v>
      </c>
      <c r="C858" s="11" t="s">
        <v>48</v>
      </c>
      <c r="D858" s="11" t="s">
        <v>651</v>
      </c>
      <c r="E858" s="11" t="s">
        <v>201</v>
      </c>
      <c r="F858" s="12" t="n">
        <v>23750.0</v>
      </c>
      <c r="G858" s="13" t="s">
        <v>52</v>
      </c>
      <c r="H858" s="14" t="s">
        <v>710</v>
      </c>
      <c r="I858" s="13" t="s">
        <v>52</v>
      </c>
      <c r="J858" s="14" t="s">
        <v>710</v>
      </c>
      <c r="K858" s="13"/>
      <c r="L858" s="14"/>
      <c r="M858" s="13" t="s">
        <v>52</v>
      </c>
      <c r="N858" s="14" t="s">
        <v>710</v>
      </c>
      <c r="O858" s="13"/>
      <c r="P858" s="14"/>
      <c r="Q858" s="13" t="s">
        <v>52</v>
      </c>
      <c r="R858" s="14" t="s">
        <v>710</v>
      </c>
      <c r="S858" s="15" t="n">
        <f>5710</f>
        <v>5710.0</v>
      </c>
      <c r="T858" s="16" t="n">
        <f>3</f>
        <v>3.0</v>
      </c>
      <c r="U858" s="16"/>
      <c r="V858" s="16" t="n">
        <f>17130000</f>
        <v>1.713E7</v>
      </c>
      <c r="W858" s="16"/>
      <c r="X858" s="16" t="str">
        <f>"－"</f>
        <v>－</v>
      </c>
      <c r="Y858" s="13"/>
      <c r="Z858" s="17" t="n">
        <f>550</f>
        <v>550.0</v>
      </c>
      <c r="AA858" s="18" t="n">
        <f>1</f>
        <v>1.0</v>
      </c>
      <c r="AB858" s="11" t="s">
        <v>203</v>
      </c>
    </row>
    <row r="859">
      <c r="A859" s="11" t="s">
        <v>46</v>
      </c>
      <c r="B859" s="11" t="s">
        <v>47</v>
      </c>
      <c r="C859" s="11" t="s">
        <v>48</v>
      </c>
      <c r="D859" s="11" t="s">
        <v>651</v>
      </c>
      <c r="E859" s="11" t="s">
        <v>201</v>
      </c>
      <c r="F859" s="12" t="n">
        <v>24000.0</v>
      </c>
      <c r="G859" s="13" t="s">
        <v>61</v>
      </c>
      <c r="H859" s="14" t="s">
        <v>664</v>
      </c>
      <c r="I859" s="13" t="s">
        <v>56</v>
      </c>
      <c r="J859" s="14" t="s">
        <v>663</v>
      </c>
      <c r="K859" s="13"/>
      <c r="L859" s="14"/>
      <c r="M859" s="13" t="s">
        <v>61</v>
      </c>
      <c r="N859" s="14" t="s">
        <v>664</v>
      </c>
      <c r="O859" s="13"/>
      <c r="P859" s="14"/>
      <c r="Q859" s="13" t="s">
        <v>56</v>
      </c>
      <c r="R859" s="14" t="s">
        <v>663</v>
      </c>
      <c r="S859" s="15" t="n">
        <f>5195</f>
        <v>5195.0</v>
      </c>
      <c r="T859" s="16" t="n">
        <f>2</f>
        <v>2.0</v>
      </c>
      <c r="U859" s="16"/>
      <c r="V859" s="16" t="n">
        <f>10390000</f>
        <v>1.039E7</v>
      </c>
      <c r="W859" s="16"/>
      <c r="X859" s="16" t="str">
        <f>"－"</f>
        <v>－</v>
      </c>
      <c r="Y859" s="13"/>
      <c r="Z859" s="17" t="n">
        <f>1548</f>
        <v>1548.0</v>
      </c>
      <c r="AA859" s="18" t="n">
        <f>2</f>
        <v>2.0</v>
      </c>
      <c r="AB859" s="11" t="s">
        <v>203</v>
      </c>
    </row>
    <row r="860">
      <c r="A860" s="11" t="s">
        <v>46</v>
      </c>
      <c r="B860" s="11" t="s">
        <v>47</v>
      </c>
      <c r="C860" s="11" t="s">
        <v>48</v>
      </c>
      <c r="D860" s="11" t="s">
        <v>651</v>
      </c>
      <c r="E860" s="11" t="s">
        <v>201</v>
      </c>
      <c r="F860" s="12" t="n">
        <v>24250.0</v>
      </c>
      <c r="G860" s="13" t="s">
        <v>61</v>
      </c>
      <c r="H860" s="14" t="s">
        <v>711</v>
      </c>
      <c r="I860" s="13" t="s">
        <v>206</v>
      </c>
      <c r="J860" s="14" t="s">
        <v>712</v>
      </c>
      <c r="K860" s="13"/>
      <c r="L860" s="14"/>
      <c r="M860" s="13" t="s">
        <v>61</v>
      </c>
      <c r="N860" s="14" t="s">
        <v>713</v>
      </c>
      <c r="O860" s="13"/>
      <c r="P860" s="14"/>
      <c r="Q860" s="13" t="s">
        <v>206</v>
      </c>
      <c r="R860" s="14" t="s">
        <v>712</v>
      </c>
      <c r="S860" s="15" t="n">
        <f>5232.5</f>
        <v>5232.5</v>
      </c>
      <c r="T860" s="16" t="n">
        <f>26</f>
        <v>26.0</v>
      </c>
      <c r="U860" s="16"/>
      <c r="V860" s="16" t="n">
        <f>138030000</f>
        <v>1.3803E8</v>
      </c>
      <c r="W860" s="16"/>
      <c r="X860" s="16" t="str">
        <f>"－"</f>
        <v>－</v>
      </c>
      <c r="Y860" s="13"/>
      <c r="Z860" s="17" t="n">
        <f>300</f>
        <v>300.0</v>
      </c>
      <c r="AA860" s="18" t="n">
        <f>4</f>
        <v>4.0</v>
      </c>
      <c r="AB860" s="11" t="s">
        <v>203</v>
      </c>
    </row>
    <row r="861">
      <c r="A861" s="11" t="s">
        <v>46</v>
      </c>
      <c r="B861" s="11" t="s">
        <v>47</v>
      </c>
      <c r="C861" s="11" t="s">
        <v>48</v>
      </c>
      <c r="D861" s="11" t="s">
        <v>651</v>
      </c>
      <c r="E861" s="11" t="s">
        <v>201</v>
      </c>
      <c r="F861" s="12" t="n">
        <v>24500.0</v>
      </c>
      <c r="G861" s="13" t="s">
        <v>52</v>
      </c>
      <c r="H861" s="14" t="s">
        <v>666</v>
      </c>
      <c r="I861" s="13" t="s">
        <v>206</v>
      </c>
      <c r="J861" s="14" t="s">
        <v>714</v>
      </c>
      <c r="K861" s="13"/>
      <c r="L861" s="14"/>
      <c r="M861" s="13" t="s">
        <v>52</v>
      </c>
      <c r="N861" s="14" t="s">
        <v>666</v>
      </c>
      <c r="O861" s="13"/>
      <c r="P861" s="14"/>
      <c r="Q861" s="13" t="s">
        <v>206</v>
      </c>
      <c r="R861" s="14" t="s">
        <v>714</v>
      </c>
      <c r="S861" s="15" t="n">
        <f>5045</f>
        <v>5045.0</v>
      </c>
      <c r="T861" s="16" t="n">
        <f>18</f>
        <v>18.0</v>
      </c>
      <c r="U861" s="16"/>
      <c r="V861" s="16" t="n">
        <f>91860000</f>
        <v>9.186E7</v>
      </c>
      <c r="W861" s="16"/>
      <c r="X861" s="16" t="str">
        <f>"－"</f>
        <v>－</v>
      </c>
      <c r="Y861" s="13"/>
      <c r="Z861" s="17" t="n">
        <f>4314</f>
        <v>4314.0</v>
      </c>
      <c r="AA861" s="18" t="n">
        <f>2</f>
        <v>2.0</v>
      </c>
      <c r="AB861" s="11" t="s">
        <v>203</v>
      </c>
    </row>
    <row r="862">
      <c r="A862" s="11" t="s">
        <v>46</v>
      </c>
      <c r="B862" s="11" t="s">
        <v>47</v>
      </c>
      <c r="C862" s="11" t="s">
        <v>48</v>
      </c>
      <c r="D862" s="11" t="s">
        <v>651</v>
      </c>
      <c r="E862" s="11" t="s">
        <v>201</v>
      </c>
      <c r="F862" s="12" t="n">
        <v>24750.0</v>
      </c>
      <c r="G862" s="13" t="s">
        <v>52</v>
      </c>
      <c r="H862" s="14" t="s">
        <v>715</v>
      </c>
      <c r="I862" s="13" t="s">
        <v>206</v>
      </c>
      <c r="J862" s="14" t="s">
        <v>664</v>
      </c>
      <c r="K862" s="13"/>
      <c r="L862" s="14"/>
      <c r="M862" s="13" t="s">
        <v>52</v>
      </c>
      <c r="N862" s="14" t="s">
        <v>715</v>
      </c>
      <c r="O862" s="13"/>
      <c r="P862" s="14"/>
      <c r="Q862" s="13" t="s">
        <v>206</v>
      </c>
      <c r="R862" s="14" t="s">
        <v>716</v>
      </c>
      <c r="S862" s="15" t="n">
        <f>4830</f>
        <v>4830.0</v>
      </c>
      <c r="T862" s="16" t="n">
        <f>31</f>
        <v>31.0</v>
      </c>
      <c r="U862" s="16"/>
      <c r="V862" s="16" t="n">
        <f>151230000</f>
        <v>1.5123E8</v>
      </c>
      <c r="W862" s="16"/>
      <c r="X862" s="16" t="str">
        <f>"－"</f>
        <v>－</v>
      </c>
      <c r="Y862" s="13"/>
      <c r="Z862" s="17" t="n">
        <f>176</f>
        <v>176.0</v>
      </c>
      <c r="AA862" s="18" t="n">
        <f>2</f>
        <v>2.0</v>
      </c>
      <c r="AB862" s="11" t="s">
        <v>203</v>
      </c>
    </row>
    <row r="863">
      <c r="A863" s="11" t="s">
        <v>46</v>
      </c>
      <c r="B863" s="11" t="s">
        <v>47</v>
      </c>
      <c r="C863" s="11" t="s">
        <v>48</v>
      </c>
      <c r="D863" s="11" t="s">
        <v>651</v>
      </c>
      <c r="E863" s="11" t="s">
        <v>201</v>
      </c>
      <c r="F863" s="12" t="n">
        <v>25000.0</v>
      </c>
      <c r="G863" s="13" t="s">
        <v>206</v>
      </c>
      <c r="H863" s="14" t="s">
        <v>717</v>
      </c>
      <c r="I863" s="13" t="s">
        <v>206</v>
      </c>
      <c r="J863" s="14" t="s">
        <v>717</v>
      </c>
      <c r="K863" s="13"/>
      <c r="L863" s="14"/>
      <c r="M863" s="13" t="s">
        <v>206</v>
      </c>
      <c r="N863" s="14" t="s">
        <v>717</v>
      </c>
      <c r="O863" s="13"/>
      <c r="P863" s="14"/>
      <c r="Q863" s="13" t="s">
        <v>206</v>
      </c>
      <c r="R863" s="14" t="s">
        <v>717</v>
      </c>
      <c r="S863" s="15" t="n">
        <f>4630</f>
        <v>4630.0</v>
      </c>
      <c r="T863" s="16" t="n">
        <f>15</f>
        <v>15.0</v>
      </c>
      <c r="U863" s="16"/>
      <c r="V863" s="16" t="n">
        <f>69450000</f>
        <v>6.945E7</v>
      </c>
      <c r="W863" s="16"/>
      <c r="X863" s="16" t="str">
        <f>"－"</f>
        <v>－</v>
      </c>
      <c r="Y863" s="13"/>
      <c r="Z863" s="17" t="n">
        <f>3013</f>
        <v>3013.0</v>
      </c>
      <c r="AA863" s="18" t="n">
        <f>1</f>
        <v>1.0</v>
      </c>
      <c r="AB863" s="11" t="s">
        <v>203</v>
      </c>
    </row>
    <row r="864">
      <c r="A864" s="11" t="s">
        <v>46</v>
      </c>
      <c r="B864" s="11" t="s">
        <v>47</v>
      </c>
      <c r="C864" s="11" t="s">
        <v>48</v>
      </c>
      <c r="D864" s="11" t="s">
        <v>651</v>
      </c>
      <c r="E864" s="11" t="s">
        <v>201</v>
      </c>
      <c r="F864" s="12" t="n">
        <v>25250.0</v>
      </c>
      <c r="G864" s="13" t="s">
        <v>206</v>
      </c>
      <c r="H864" s="14" t="s">
        <v>670</v>
      </c>
      <c r="I864" s="13" t="s">
        <v>202</v>
      </c>
      <c r="J864" s="14" t="s">
        <v>718</v>
      </c>
      <c r="K864" s="13" t="s">
        <v>207</v>
      </c>
      <c r="L864" s="14" t="s">
        <v>719</v>
      </c>
      <c r="M864" s="13" t="s">
        <v>206</v>
      </c>
      <c r="N864" s="14" t="s">
        <v>670</v>
      </c>
      <c r="O864" s="13" t="s">
        <v>207</v>
      </c>
      <c r="P864" s="14" t="s">
        <v>719</v>
      </c>
      <c r="Q864" s="13" t="s">
        <v>202</v>
      </c>
      <c r="R864" s="14" t="s">
        <v>718</v>
      </c>
      <c r="S864" s="15" t="n">
        <f>4815</f>
        <v>4815.0</v>
      </c>
      <c r="T864" s="16" t="n">
        <f>238</f>
        <v>238.0</v>
      </c>
      <c r="U864" s="16" t="n">
        <v>220.0</v>
      </c>
      <c r="V864" s="16" t="n">
        <f>1186170000</f>
        <v>1.18617E9</v>
      </c>
      <c r="W864" s="16" t="n">
        <v>1.10462E9</v>
      </c>
      <c r="X864" s="16" t="str">
        <f>"－"</f>
        <v>－</v>
      </c>
      <c r="Y864" s="13"/>
      <c r="Z864" s="17" t="n">
        <f>537</f>
        <v>537.0</v>
      </c>
      <c r="AA864" s="18" t="n">
        <f>2</f>
        <v>2.0</v>
      </c>
      <c r="AB864" s="11" t="s">
        <v>203</v>
      </c>
    </row>
    <row r="865">
      <c r="A865" s="11" t="s">
        <v>46</v>
      </c>
      <c r="B865" s="11" t="s">
        <v>47</v>
      </c>
      <c r="C865" s="11" t="s">
        <v>48</v>
      </c>
      <c r="D865" s="11" t="s">
        <v>651</v>
      </c>
      <c r="E865" s="11" t="s">
        <v>201</v>
      </c>
      <c r="F865" s="12" t="n">
        <v>25500.0</v>
      </c>
      <c r="G865" s="13" t="s">
        <v>58</v>
      </c>
      <c r="H865" s="14" t="s">
        <v>649</v>
      </c>
      <c r="I865" s="13" t="s">
        <v>206</v>
      </c>
      <c r="J865" s="14" t="s">
        <v>720</v>
      </c>
      <c r="K865" s="13" t="s">
        <v>288</v>
      </c>
      <c r="L865" s="14" t="s">
        <v>721</v>
      </c>
      <c r="M865" s="13" t="s">
        <v>58</v>
      </c>
      <c r="N865" s="14" t="s">
        <v>649</v>
      </c>
      <c r="O865" s="13" t="s">
        <v>288</v>
      </c>
      <c r="P865" s="14" t="s">
        <v>721</v>
      </c>
      <c r="Q865" s="13" t="s">
        <v>206</v>
      </c>
      <c r="R865" s="14" t="s">
        <v>720</v>
      </c>
      <c r="S865" s="15" t="n">
        <f>3743.33</f>
        <v>3743.33</v>
      </c>
      <c r="T865" s="16" t="n">
        <f>15</f>
        <v>15.0</v>
      </c>
      <c r="U865" s="16" t="n">
        <v>1.0</v>
      </c>
      <c r="V865" s="16" t="n">
        <f>59390000</f>
        <v>5.939E7</v>
      </c>
      <c r="W865" s="16" t="n">
        <v>5100000.0</v>
      </c>
      <c r="X865" s="16" t="str">
        <f>"－"</f>
        <v>－</v>
      </c>
      <c r="Y865" s="13"/>
      <c r="Z865" s="17" t="n">
        <f>2271</f>
        <v>2271.0</v>
      </c>
      <c r="AA865" s="18" t="n">
        <f>3</f>
        <v>3.0</v>
      </c>
      <c r="AB865" s="11" t="s">
        <v>203</v>
      </c>
    </row>
    <row r="866">
      <c r="A866" s="11" t="s">
        <v>46</v>
      </c>
      <c r="B866" s="11" t="s">
        <v>47</v>
      </c>
      <c r="C866" s="11" t="s">
        <v>48</v>
      </c>
      <c r="D866" s="11" t="s">
        <v>651</v>
      </c>
      <c r="E866" s="11" t="s">
        <v>201</v>
      </c>
      <c r="F866" s="12" t="n">
        <v>25750.0</v>
      </c>
      <c r="G866" s="13" t="s">
        <v>205</v>
      </c>
      <c r="H866" s="14" t="s">
        <v>722</v>
      </c>
      <c r="I866" s="13" t="s">
        <v>205</v>
      </c>
      <c r="J866" s="14" t="s">
        <v>722</v>
      </c>
      <c r="K866" s="13" t="s">
        <v>288</v>
      </c>
      <c r="L866" s="14" t="s">
        <v>723</v>
      </c>
      <c r="M866" s="13" t="s">
        <v>205</v>
      </c>
      <c r="N866" s="14" t="s">
        <v>722</v>
      </c>
      <c r="O866" s="13" t="s">
        <v>288</v>
      </c>
      <c r="P866" s="14" t="s">
        <v>723</v>
      </c>
      <c r="Q866" s="13" t="s">
        <v>205</v>
      </c>
      <c r="R866" s="14" t="s">
        <v>722</v>
      </c>
      <c r="S866" s="15" t="n">
        <f>3770</f>
        <v>3770.0</v>
      </c>
      <c r="T866" s="16" t="n">
        <f>501</f>
        <v>501.0</v>
      </c>
      <c r="U866" s="16" t="n">
        <v>500.0</v>
      </c>
      <c r="V866" s="16" t="n">
        <f>2228770000</f>
        <v>2.22877E9</v>
      </c>
      <c r="W866" s="16" t="n">
        <v>2.225E9</v>
      </c>
      <c r="X866" s="16" t="str">
        <f>"－"</f>
        <v>－</v>
      </c>
      <c r="Y866" s="13"/>
      <c r="Z866" s="17" t="n">
        <f>354</f>
        <v>354.0</v>
      </c>
      <c r="AA866" s="18" t="n">
        <f>1</f>
        <v>1.0</v>
      </c>
      <c r="AB866" s="11" t="s">
        <v>203</v>
      </c>
    </row>
    <row r="867">
      <c r="A867" s="11" t="s">
        <v>46</v>
      </c>
      <c r="B867" s="11" t="s">
        <v>47</v>
      </c>
      <c r="C867" s="11" t="s">
        <v>48</v>
      </c>
      <c r="D867" s="11" t="s">
        <v>651</v>
      </c>
      <c r="E867" s="11" t="s">
        <v>201</v>
      </c>
      <c r="F867" s="12" t="n">
        <v>26000.0</v>
      </c>
      <c r="G867" s="13" t="s">
        <v>61</v>
      </c>
      <c r="H867" s="14" t="s">
        <v>724</v>
      </c>
      <c r="I867" s="13" t="s">
        <v>206</v>
      </c>
      <c r="J867" s="14" t="s">
        <v>725</v>
      </c>
      <c r="K867" s="13" t="s">
        <v>288</v>
      </c>
      <c r="L867" s="14" t="s">
        <v>726</v>
      </c>
      <c r="M867" s="13" t="s">
        <v>61</v>
      </c>
      <c r="N867" s="14" t="s">
        <v>724</v>
      </c>
      <c r="O867" s="13" t="s">
        <v>204</v>
      </c>
      <c r="P867" s="14" t="s">
        <v>727</v>
      </c>
      <c r="Q867" s="13" t="s">
        <v>206</v>
      </c>
      <c r="R867" s="14" t="s">
        <v>725</v>
      </c>
      <c r="S867" s="15" t="n">
        <f>3490</f>
        <v>3490.0</v>
      </c>
      <c r="T867" s="16" t="n">
        <f>122</f>
        <v>122.0</v>
      </c>
      <c r="U867" s="16" t="n">
        <v>100.0</v>
      </c>
      <c r="V867" s="16" t="n">
        <f>472324000</f>
        <v>4.72324E8</v>
      </c>
      <c r="W867" s="16" t="n">
        <v>3.94104E8</v>
      </c>
      <c r="X867" s="16" t="str">
        <f>"－"</f>
        <v>－</v>
      </c>
      <c r="Y867" s="13"/>
      <c r="Z867" s="17" t="n">
        <f>3079</f>
        <v>3079.0</v>
      </c>
      <c r="AA867" s="18" t="n">
        <f>2</f>
        <v>2.0</v>
      </c>
      <c r="AB867" s="11" t="s">
        <v>203</v>
      </c>
    </row>
    <row r="868">
      <c r="A868" s="11" t="s">
        <v>46</v>
      </c>
      <c r="B868" s="11" t="s">
        <v>47</v>
      </c>
      <c r="C868" s="11" t="s">
        <v>48</v>
      </c>
      <c r="D868" s="11" t="s">
        <v>651</v>
      </c>
      <c r="E868" s="11" t="s">
        <v>201</v>
      </c>
      <c r="F868" s="12" t="n">
        <v>26125.0</v>
      </c>
      <c r="G868" s="13" t="s">
        <v>205</v>
      </c>
      <c r="H868" s="14" t="s">
        <v>616</v>
      </c>
      <c r="I868" s="13" t="s">
        <v>205</v>
      </c>
      <c r="J868" s="14" t="s">
        <v>616</v>
      </c>
      <c r="K868" s="13"/>
      <c r="L868" s="14"/>
      <c r="M868" s="13" t="s">
        <v>205</v>
      </c>
      <c r="N868" s="14" t="s">
        <v>616</v>
      </c>
      <c r="O868" s="13"/>
      <c r="P868" s="14"/>
      <c r="Q868" s="13" t="s">
        <v>205</v>
      </c>
      <c r="R868" s="14" t="s">
        <v>616</v>
      </c>
      <c r="S868" s="15" t="n">
        <f>3400</f>
        <v>3400.0</v>
      </c>
      <c r="T868" s="16" t="n">
        <f>1</f>
        <v>1.0</v>
      </c>
      <c r="U868" s="16"/>
      <c r="V868" s="16" t="n">
        <f>3400000</f>
        <v>3400000.0</v>
      </c>
      <c r="W868" s="16"/>
      <c r="X868" s="16" t="str">
        <f>"－"</f>
        <v>－</v>
      </c>
      <c r="Y868" s="13"/>
      <c r="Z868" s="17" t="n">
        <f>1</f>
        <v>1.0</v>
      </c>
      <c r="AA868" s="18" t="n">
        <f>1</f>
        <v>1.0</v>
      </c>
      <c r="AB868" s="11" t="s">
        <v>203</v>
      </c>
    </row>
    <row r="869">
      <c r="A869" s="11" t="s">
        <v>46</v>
      </c>
      <c r="B869" s="11" t="s">
        <v>47</v>
      </c>
      <c r="C869" s="11" t="s">
        <v>48</v>
      </c>
      <c r="D869" s="11" t="s">
        <v>651</v>
      </c>
      <c r="E869" s="11" t="s">
        <v>201</v>
      </c>
      <c r="F869" s="12" t="n">
        <v>26250.0</v>
      </c>
      <c r="G869" s="13"/>
      <c r="H869" s="14" t="s">
        <v>57</v>
      </c>
      <c r="I869" s="13"/>
      <c r="J869" s="14" t="s">
        <v>57</v>
      </c>
      <c r="K869" s="13" t="s">
        <v>288</v>
      </c>
      <c r="L869" s="14" t="s">
        <v>728</v>
      </c>
      <c r="M869" s="13"/>
      <c r="N869" s="14" t="s">
        <v>57</v>
      </c>
      <c r="O869" s="13" t="s">
        <v>288</v>
      </c>
      <c r="P869" s="14" t="s">
        <v>728</v>
      </c>
      <c r="Q869" s="13"/>
      <c r="R869" s="14" t="s">
        <v>57</v>
      </c>
      <c r="S869" s="15" t="str">
        <f>"－"</f>
        <v>－</v>
      </c>
      <c r="T869" s="16" t="n">
        <f>1</f>
        <v>1.0</v>
      </c>
      <c r="U869" s="16" t="n">
        <v>1.0</v>
      </c>
      <c r="V869" s="16" t="n">
        <f>4380000</f>
        <v>4380000.0</v>
      </c>
      <c r="W869" s="16" t="n">
        <v>4380000.0</v>
      </c>
      <c r="X869" s="16" t="str">
        <f>"－"</f>
        <v>－</v>
      </c>
      <c r="Y869" s="13"/>
      <c r="Z869" s="17" t="n">
        <f>3436</f>
        <v>3436.0</v>
      </c>
      <c r="AA869" s="18" t="str">
        <f>"－"</f>
        <v>－</v>
      </c>
      <c r="AB869" s="11" t="s">
        <v>203</v>
      </c>
    </row>
    <row r="870">
      <c r="A870" s="11" t="s">
        <v>46</v>
      </c>
      <c r="B870" s="11" t="s">
        <v>47</v>
      </c>
      <c r="C870" s="11" t="s">
        <v>48</v>
      </c>
      <c r="D870" s="11" t="s">
        <v>651</v>
      </c>
      <c r="E870" s="11" t="s">
        <v>201</v>
      </c>
      <c r="F870" s="12" t="n">
        <v>26500.0</v>
      </c>
      <c r="G870" s="13" t="s">
        <v>52</v>
      </c>
      <c r="H870" s="14" t="s">
        <v>729</v>
      </c>
      <c r="I870" s="13" t="s">
        <v>206</v>
      </c>
      <c r="J870" s="14" t="s">
        <v>730</v>
      </c>
      <c r="K870" s="13"/>
      <c r="L870" s="14"/>
      <c r="M870" s="13" t="s">
        <v>52</v>
      </c>
      <c r="N870" s="14" t="s">
        <v>729</v>
      </c>
      <c r="O870" s="13"/>
      <c r="P870" s="14"/>
      <c r="Q870" s="13" t="s">
        <v>206</v>
      </c>
      <c r="R870" s="14" t="s">
        <v>730</v>
      </c>
      <c r="S870" s="15" t="n">
        <f>3080</f>
        <v>3080.0</v>
      </c>
      <c r="T870" s="16" t="n">
        <f>6</f>
        <v>6.0</v>
      </c>
      <c r="U870" s="16"/>
      <c r="V870" s="16" t="n">
        <f>18880000</f>
        <v>1.888E7</v>
      </c>
      <c r="W870" s="16"/>
      <c r="X870" s="16" t="str">
        <f>"－"</f>
        <v>－</v>
      </c>
      <c r="Y870" s="13"/>
      <c r="Z870" s="17" t="n">
        <f>3932</f>
        <v>3932.0</v>
      </c>
      <c r="AA870" s="18" t="n">
        <f>2</f>
        <v>2.0</v>
      </c>
      <c r="AB870" s="11" t="s">
        <v>203</v>
      </c>
    </row>
    <row r="871">
      <c r="A871" s="11" t="s">
        <v>46</v>
      </c>
      <c r="B871" s="11" t="s">
        <v>47</v>
      </c>
      <c r="C871" s="11" t="s">
        <v>48</v>
      </c>
      <c r="D871" s="11" t="s">
        <v>651</v>
      </c>
      <c r="E871" s="11" t="s">
        <v>201</v>
      </c>
      <c r="F871" s="12" t="n">
        <v>26625.0</v>
      </c>
      <c r="G871" s="13" t="s">
        <v>52</v>
      </c>
      <c r="H871" s="14" t="s">
        <v>731</v>
      </c>
      <c r="I871" s="13" t="s">
        <v>52</v>
      </c>
      <c r="J871" s="14" t="s">
        <v>731</v>
      </c>
      <c r="K871" s="13"/>
      <c r="L871" s="14"/>
      <c r="M871" s="13" t="s">
        <v>52</v>
      </c>
      <c r="N871" s="14" t="s">
        <v>731</v>
      </c>
      <c r="O871" s="13"/>
      <c r="P871" s="14"/>
      <c r="Q871" s="13" t="s">
        <v>52</v>
      </c>
      <c r="R871" s="14" t="s">
        <v>731</v>
      </c>
      <c r="S871" s="15" t="n">
        <f>2970</f>
        <v>2970.0</v>
      </c>
      <c r="T871" s="16" t="n">
        <f>1</f>
        <v>1.0</v>
      </c>
      <c r="U871" s="16"/>
      <c r="V871" s="16" t="n">
        <f>2970000</f>
        <v>2970000.0</v>
      </c>
      <c r="W871" s="16"/>
      <c r="X871" s="16" t="str">
        <f>"－"</f>
        <v>－</v>
      </c>
      <c r="Y871" s="13"/>
      <c r="Z871" s="17" t="n">
        <f>25</f>
        <v>25.0</v>
      </c>
      <c r="AA871" s="18" t="n">
        <f>1</f>
        <v>1.0</v>
      </c>
      <c r="AB871" s="11" t="s">
        <v>203</v>
      </c>
    </row>
    <row r="872">
      <c r="A872" s="11" t="s">
        <v>46</v>
      </c>
      <c r="B872" s="11" t="s">
        <v>47</v>
      </c>
      <c r="C872" s="11" t="s">
        <v>48</v>
      </c>
      <c r="D872" s="11" t="s">
        <v>651</v>
      </c>
      <c r="E872" s="11" t="s">
        <v>201</v>
      </c>
      <c r="F872" s="12" t="n">
        <v>26750.0</v>
      </c>
      <c r="G872" s="13" t="s">
        <v>52</v>
      </c>
      <c r="H872" s="14" t="s">
        <v>732</v>
      </c>
      <c r="I872" s="13" t="s">
        <v>288</v>
      </c>
      <c r="J872" s="14" t="s">
        <v>733</v>
      </c>
      <c r="K872" s="13" t="s">
        <v>55</v>
      </c>
      <c r="L872" s="14" t="s">
        <v>734</v>
      </c>
      <c r="M872" s="13" t="s">
        <v>52</v>
      </c>
      <c r="N872" s="14" t="s">
        <v>732</v>
      </c>
      <c r="O872" s="13" t="s">
        <v>50</v>
      </c>
      <c r="P872" s="14" t="s">
        <v>485</v>
      </c>
      <c r="Q872" s="13" t="s">
        <v>211</v>
      </c>
      <c r="R872" s="14" t="s">
        <v>735</v>
      </c>
      <c r="S872" s="15" t="n">
        <f>3324</f>
        <v>3324.0</v>
      </c>
      <c r="T872" s="16" t="n">
        <f>122</f>
        <v>122.0</v>
      </c>
      <c r="U872" s="16" t="n">
        <v>116.0</v>
      </c>
      <c r="V872" s="16" t="n">
        <f>222035000</f>
        <v>2.22035E8</v>
      </c>
      <c r="W872" s="16" t="n">
        <v>2.02265E8</v>
      </c>
      <c r="X872" s="16" t="str">
        <f>"－"</f>
        <v>－</v>
      </c>
      <c r="Y872" s="13"/>
      <c r="Z872" s="17" t="n">
        <f>4203</f>
        <v>4203.0</v>
      </c>
      <c r="AA872" s="18" t="n">
        <f>5</f>
        <v>5.0</v>
      </c>
      <c r="AB872" s="11" t="s">
        <v>203</v>
      </c>
    </row>
    <row r="873">
      <c r="A873" s="11" t="s">
        <v>46</v>
      </c>
      <c r="B873" s="11" t="s">
        <v>47</v>
      </c>
      <c r="C873" s="11" t="s">
        <v>48</v>
      </c>
      <c r="D873" s="11" t="s">
        <v>651</v>
      </c>
      <c r="E873" s="11" t="s">
        <v>201</v>
      </c>
      <c r="F873" s="12" t="n">
        <v>26875.0</v>
      </c>
      <c r="G873" s="13"/>
      <c r="H873" s="14" t="s">
        <v>57</v>
      </c>
      <c r="I873" s="13"/>
      <c r="J873" s="14" t="s">
        <v>57</v>
      </c>
      <c r="K873" s="13"/>
      <c r="L873" s="14"/>
      <c r="M873" s="13"/>
      <c r="N873" s="14" t="s">
        <v>57</v>
      </c>
      <c r="O873" s="13"/>
      <c r="P873" s="14"/>
      <c r="Q873" s="13"/>
      <c r="R873" s="14" t="s">
        <v>57</v>
      </c>
      <c r="S873" s="15" t="str">
        <f>"－"</f>
        <v>－</v>
      </c>
      <c r="T873" s="16" t="str">
        <f>"－"</f>
        <v>－</v>
      </c>
      <c r="U873" s="16"/>
      <c r="V873" s="16" t="str">
        <f>"－"</f>
        <v>－</v>
      </c>
      <c r="W873" s="16"/>
      <c r="X873" s="16" t="str">
        <f>"－"</f>
        <v>－</v>
      </c>
      <c r="Y873" s="13"/>
      <c r="Z873" s="17" t="n">
        <f>1</f>
        <v>1.0</v>
      </c>
      <c r="AA873" s="18" t="str">
        <f>"－"</f>
        <v>－</v>
      </c>
      <c r="AB873" s="11" t="s">
        <v>203</v>
      </c>
    </row>
    <row r="874">
      <c r="A874" s="11" t="s">
        <v>46</v>
      </c>
      <c r="B874" s="11" t="s">
        <v>47</v>
      </c>
      <c r="C874" s="11" t="s">
        <v>48</v>
      </c>
      <c r="D874" s="11" t="s">
        <v>651</v>
      </c>
      <c r="E874" s="11" t="s">
        <v>201</v>
      </c>
      <c r="F874" s="12" t="n">
        <v>27000.0</v>
      </c>
      <c r="G874" s="13" t="s">
        <v>61</v>
      </c>
      <c r="H874" s="14" t="s">
        <v>736</v>
      </c>
      <c r="I874" s="13" t="s">
        <v>211</v>
      </c>
      <c r="J874" s="14" t="s">
        <v>616</v>
      </c>
      <c r="K874" s="13" t="s">
        <v>288</v>
      </c>
      <c r="L874" s="14" t="s">
        <v>733</v>
      </c>
      <c r="M874" s="13" t="s">
        <v>61</v>
      </c>
      <c r="N874" s="14" t="s">
        <v>736</v>
      </c>
      <c r="O874" s="13" t="s">
        <v>50</v>
      </c>
      <c r="P874" s="14" t="s">
        <v>400</v>
      </c>
      <c r="Q874" s="13" t="s">
        <v>215</v>
      </c>
      <c r="R874" s="14" t="s">
        <v>737</v>
      </c>
      <c r="S874" s="15" t="n">
        <f>2984.29</f>
        <v>2984.29</v>
      </c>
      <c r="T874" s="16" t="n">
        <f>1528</f>
        <v>1528.0</v>
      </c>
      <c r="U874" s="16" t="n">
        <v>1509.0</v>
      </c>
      <c r="V874" s="16" t="n">
        <f>4588940000</f>
        <v>4.58894E9</v>
      </c>
      <c r="W874" s="16" t="n">
        <v>4.53045E9</v>
      </c>
      <c r="X874" s="16" t="str">
        <f>"－"</f>
        <v>－</v>
      </c>
      <c r="Y874" s="13"/>
      <c r="Z874" s="17" t="n">
        <f>3375</f>
        <v>3375.0</v>
      </c>
      <c r="AA874" s="18" t="n">
        <f>7</f>
        <v>7.0</v>
      </c>
      <c r="AB874" s="11" t="s">
        <v>203</v>
      </c>
    </row>
    <row r="875">
      <c r="A875" s="11" t="s">
        <v>46</v>
      </c>
      <c r="B875" s="11" t="s">
        <v>47</v>
      </c>
      <c r="C875" s="11" t="s">
        <v>48</v>
      </c>
      <c r="D875" s="11" t="s">
        <v>651</v>
      </c>
      <c r="E875" s="11" t="s">
        <v>201</v>
      </c>
      <c r="F875" s="12" t="n">
        <v>27125.0</v>
      </c>
      <c r="G875" s="13" t="s">
        <v>50</v>
      </c>
      <c r="H875" s="14" t="s">
        <v>308</v>
      </c>
      <c r="I875" s="13" t="s">
        <v>52</v>
      </c>
      <c r="J875" s="14" t="s">
        <v>568</v>
      </c>
      <c r="K875" s="13"/>
      <c r="L875" s="14"/>
      <c r="M875" s="13" t="s">
        <v>50</v>
      </c>
      <c r="N875" s="14" t="s">
        <v>308</v>
      </c>
      <c r="O875" s="13"/>
      <c r="P875" s="14"/>
      <c r="Q875" s="13" t="s">
        <v>52</v>
      </c>
      <c r="R875" s="14" t="s">
        <v>568</v>
      </c>
      <c r="S875" s="15" t="n">
        <f>1736.67</f>
        <v>1736.67</v>
      </c>
      <c r="T875" s="16" t="n">
        <f>5</f>
        <v>5.0</v>
      </c>
      <c r="U875" s="16"/>
      <c r="V875" s="16" t="n">
        <f>8850000</f>
        <v>8850000.0</v>
      </c>
      <c r="W875" s="16"/>
      <c r="X875" s="16" t="str">
        <f>"－"</f>
        <v>－</v>
      </c>
      <c r="Y875" s="13"/>
      <c r="Z875" s="17" t="n">
        <f>102</f>
        <v>102.0</v>
      </c>
      <c r="AA875" s="18" t="n">
        <f>3</f>
        <v>3.0</v>
      </c>
      <c r="AB875" s="11" t="s">
        <v>203</v>
      </c>
    </row>
    <row r="876">
      <c r="A876" s="11" t="s">
        <v>46</v>
      </c>
      <c r="B876" s="11" t="s">
        <v>47</v>
      </c>
      <c r="C876" s="11" t="s">
        <v>48</v>
      </c>
      <c r="D876" s="11" t="s">
        <v>651</v>
      </c>
      <c r="E876" s="11" t="s">
        <v>201</v>
      </c>
      <c r="F876" s="12" t="n">
        <v>27250.0</v>
      </c>
      <c r="G876" s="13" t="s">
        <v>50</v>
      </c>
      <c r="H876" s="14" t="s">
        <v>435</v>
      </c>
      <c r="I876" s="13" t="s">
        <v>288</v>
      </c>
      <c r="J876" s="14" t="s">
        <v>738</v>
      </c>
      <c r="K876" s="13"/>
      <c r="L876" s="14"/>
      <c r="M876" s="13" t="s">
        <v>50</v>
      </c>
      <c r="N876" s="14" t="s">
        <v>435</v>
      </c>
      <c r="O876" s="13"/>
      <c r="P876" s="14"/>
      <c r="Q876" s="13" t="s">
        <v>288</v>
      </c>
      <c r="R876" s="14" t="s">
        <v>738</v>
      </c>
      <c r="S876" s="15" t="n">
        <f>2390</f>
        <v>2390.0</v>
      </c>
      <c r="T876" s="16" t="n">
        <f>8</f>
        <v>8.0</v>
      </c>
      <c r="U876" s="16"/>
      <c r="V876" s="16" t="n">
        <f>13020000</f>
        <v>1.302E7</v>
      </c>
      <c r="W876" s="16"/>
      <c r="X876" s="16" t="str">
        <f>"－"</f>
        <v>－</v>
      </c>
      <c r="Y876" s="13"/>
      <c r="Z876" s="17" t="n">
        <f>417</f>
        <v>417.0</v>
      </c>
      <c r="AA876" s="18" t="n">
        <f>3</f>
        <v>3.0</v>
      </c>
      <c r="AB876" s="11" t="s">
        <v>203</v>
      </c>
    </row>
    <row r="877">
      <c r="A877" s="11" t="s">
        <v>46</v>
      </c>
      <c r="B877" s="11" t="s">
        <v>47</v>
      </c>
      <c r="C877" s="11" t="s">
        <v>48</v>
      </c>
      <c r="D877" s="11" t="s">
        <v>651</v>
      </c>
      <c r="E877" s="11" t="s">
        <v>201</v>
      </c>
      <c r="F877" s="12" t="n">
        <v>27375.0</v>
      </c>
      <c r="G877" s="13" t="s">
        <v>50</v>
      </c>
      <c r="H877" s="14" t="s">
        <v>386</v>
      </c>
      <c r="I877" s="13" t="s">
        <v>50</v>
      </c>
      <c r="J877" s="14" t="s">
        <v>386</v>
      </c>
      <c r="K877" s="13"/>
      <c r="L877" s="14"/>
      <c r="M877" s="13" t="s">
        <v>50</v>
      </c>
      <c r="N877" s="14" t="s">
        <v>386</v>
      </c>
      <c r="O877" s="13"/>
      <c r="P877" s="14"/>
      <c r="Q877" s="13" t="s">
        <v>50</v>
      </c>
      <c r="R877" s="14" t="s">
        <v>386</v>
      </c>
      <c r="S877" s="15" t="n">
        <f>1030</f>
        <v>1030.0</v>
      </c>
      <c r="T877" s="16" t="n">
        <f>3</f>
        <v>3.0</v>
      </c>
      <c r="U877" s="16"/>
      <c r="V877" s="16" t="n">
        <f>3090000</f>
        <v>3090000.0</v>
      </c>
      <c r="W877" s="16"/>
      <c r="X877" s="16" t="str">
        <f>"－"</f>
        <v>－</v>
      </c>
      <c r="Y877" s="13"/>
      <c r="Z877" s="17" t="n">
        <f>14</f>
        <v>14.0</v>
      </c>
      <c r="AA877" s="18" t="n">
        <f>1</f>
        <v>1.0</v>
      </c>
      <c r="AB877" s="11" t="s">
        <v>203</v>
      </c>
    </row>
    <row r="878">
      <c r="A878" s="11" t="s">
        <v>46</v>
      </c>
      <c r="B878" s="11" t="s">
        <v>47</v>
      </c>
      <c r="C878" s="11" t="s">
        <v>48</v>
      </c>
      <c r="D878" s="11" t="s">
        <v>651</v>
      </c>
      <c r="E878" s="11" t="s">
        <v>201</v>
      </c>
      <c r="F878" s="12" t="n">
        <v>27500.0</v>
      </c>
      <c r="G878" s="13" t="s">
        <v>50</v>
      </c>
      <c r="H878" s="14" t="s">
        <v>386</v>
      </c>
      <c r="I878" s="13" t="s">
        <v>202</v>
      </c>
      <c r="J878" s="14" t="s">
        <v>737</v>
      </c>
      <c r="K878" s="13" t="s">
        <v>288</v>
      </c>
      <c r="L878" s="14" t="s">
        <v>739</v>
      </c>
      <c r="M878" s="13" t="s">
        <v>50</v>
      </c>
      <c r="N878" s="14" t="s">
        <v>386</v>
      </c>
      <c r="O878" s="13" t="s">
        <v>61</v>
      </c>
      <c r="P878" s="14" t="s">
        <v>740</v>
      </c>
      <c r="Q878" s="13" t="s">
        <v>208</v>
      </c>
      <c r="R878" s="14" t="s">
        <v>741</v>
      </c>
      <c r="S878" s="15" t="n">
        <f>1936.67</f>
        <v>1936.67</v>
      </c>
      <c r="T878" s="16" t="n">
        <f>540</f>
        <v>540.0</v>
      </c>
      <c r="U878" s="16" t="n">
        <v>526.0</v>
      </c>
      <c r="V878" s="16" t="n">
        <f>1242755000</f>
        <v>1.242755E9</v>
      </c>
      <c r="W878" s="16" t="n">
        <v>1.222615E9</v>
      </c>
      <c r="X878" s="16" t="str">
        <f>"－"</f>
        <v>－</v>
      </c>
      <c r="Y878" s="13"/>
      <c r="Z878" s="17" t="n">
        <f>1853</f>
        <v>1853.0</v>
      </c>
      <c r="AA878" s="18" t="n">
        <f>6</f>
        <v>6.0</v>
      </c>
      <c r="AB878" s="11" t="s">
        <v>203</v>
      </c>
    </row>
    <row r="879">
      <c r="A879" s="11" t="s">
        <v>46</v>
      </c>
      <c r="B879" s="11" t="s">
        <v>47</v>
      </c>
      <c r="C879" s="11" t="s">
        <v>48</v>
      </c>
      <c r="D879" s="11" t="s">
        <v>651</v>
      </c>
      <c r="E879" s="11" t="s">
        <v>201</v>
      </c>
      <c r="F879" s="12" t="n">
        <v>27625.0</v>
      </c>
      <c r="G879" s="13" t="s">
        <v>50</v>
      </c>
      <c r="H879" s="14" t="s">
        <v>172</v>
      </c>
      <c r="I879" s="13" t="s">
        <v>55</v>
      </c>
      <c r="J879" s="14" t="s">
        <v>304</v>
      </c>
      <c r="K879" s="13"/>
      <c r="L879" s="14"/>
      <c r="M879" s="13" t="s">
        <v>50</v>
      </c>
      <c r="N879" s="14" t="s">
        <v>172</v>
      </c>
      <c r="O879" s="13"/>
      <c r="P879" s="14"/>
      <c r="Q879" s="13" t="s">
        <v>55</v>
      </c>
      <c r="R879" s="14" t="s">
        <v>322</v>
      </c>
      <c r="S879" s="15" t="n">
        <f>1017.5</f>
        <v>1017.5</v>
      </c>
      <c r="T879" s="16" t="n">
        <f>19</f>
        <v>19.0</v>
      </c>
      <c r="U879" s="16"/>
      <c r="V879" s="16" t="n">
        <f>19290000</f>
        <v>1.929E7</v>
      </c>
      <c r="W879" s="16"/>
      <c r="X879" s="16" t="str">
        <f>"－"</f>
        <v>－</v>
      </c>
      <c r="Y879" s="13"/>
      <c r="Z879" s="17" t="n">
        <f>16</f>
        <v>16.0</v>
      </c>
      <c r="AA879" s="18" t="n">
        <f>2</f>
        <v>2.0</v>
      </c>
      <c r="AB879" s="11" t="s">
        <v>203</v>
      </c>
    </row>
    <row r="880">
      <c r="A880" s="11" t="s">
        <v>46</v>
      </c>
      <c r="B880" s="11" t="s">
        <v>47</v>
      </c>
      <c r="C880" s="11" t="s">
        <v>48</v>
      </c>
      <c r="D880" s="11" t="s">
        <v>651</v>
      </c>
      <c r="E880" s="11" t="s">
        <v>201</v>
      </c>
      <c r="F880" s="12" t="n">
        <v>27750.0</v>
      </c>
      <c r="G880" s="13" t="s">
        <v>50</v>
      </c>
      <c r="H880" s="14" t="s">
        <v>360</v>
      </c>
      <c r="I880" s="13" t="s">
        <v>56</v>
      </c>
      <c r="J880" s="14" t="s">
        <v>687</v>
      </c>
      <c r="K880" s="13" t="s">
        <v>288</v>
      </c>
      <c r="L880" s="14" t="s">
        <v>742</v>
      </c>
      <c r="M880" s="13" t="s">
        <v>50</v>
      </c>
      <c r="N880" s="14" t="s">
        <v>360</v>
      </c>
      <c r="O880" s="13" t="s">
        <v>50</v>
      </c>
      <c r="P880" s="14" t="s">
        <v>382</v>
      </c>
      <c r="Q880" s="13" t="s">
        <v>56</v>
      </c>
      <c r="R880" s="14" t="s">
        <v>687</v>
      </c>
      <c r="S880" s="15" t="n">
        <f>1412.5</f>
        <v>1412.5</v>
      </c>
      <c r="T880" s="16" t="n">
        <f>101</f>
        <v>101.0</v>
      </c>
      <c r="U880" s="16" t="n">
        <v>7.0</v>
      </c>
      <c r="V880" s="16" t="n">
        <f>105525000</f>
        <v>1.05525E8</v>
      </c>
      <c r="W880" s="16" t="n">
        <v>1.0465E7</v>
      </c>
      <c r="X880" s="16" t="str">
        <f>"－"</f>
        <v>－</v>
      </c>
      <c r="Y880" s="13"/>
      <c r="Z880" s="17" t="n">
        <f>165</f>
        <v>165.0</v>
      </c>
      <c r="AA880" s="18" t="n">
        <f>2</f>
        <v>2.0</v>
      </c>
      <c r="AB880" s="11" t="s">
        <v>203</v>
      </c>
    </row>
    <row r="881">
      <c r="A881" s="11" t="s">
        <v>46</v>
      </c>
      <c r="B881" s="11" t="s">
        <v>47</v>
      </c>
      <c r="C881" s="11" t="s">
        <v>48</v>
      </c>
      <c r="D881" s="11" t="s">
        <v>651</v>
      </c>
      <c r="E881" s="11" t="s">
        <v>201</v>
      </c>
      <c r="F881" s="12" t="n">
        <v>27875.0</v>
      </c>
      <c r="G881" s="13" t="s">
        <v>50</v>
      </c>
      <c r="H881" s="14" t="s">
        <v>296</v>
      </c>
      <c r="I881" s="13" t="s">
        <v>56</v>
      </c>
      <c r="J881" s="14" t="s">
        <v>555</v>
      </c>
      <c r="K881" s="13"/>
      <c r="L881" s="14"/>
      <c r="M881" s="13" t="s">
        <v>50</v>
      </c>
      <c r="N881" s="14" t="s">
        <v>296</v>
      </c>
      <c r="O881" s="13"/>
      <c r="P881" s="14"/>
      <c r="Q881" s="13" t="s">
        <v>206</v>
      </c>
      <c r="R881" s="14" t="s">
        <v>743</v>
      </c>
      <c r="S881" s="15" t="n">
        <f>1347.5</f>
        <v>1347.5</v>
      </c>
      <c r="T881" s="16" t="n">
        <f>226</f>
        <v>226.0</v>
      </c>
      <c r="U881" s="16"/>
      <c r="V881" s="16" t="n">
        <f>184505000</f>
        <v>1.84505E8</v>
      </c>
      <c r="W881" s="16"/>
      <c r="X881" s="16" t="str">
        <f>"－"</f>
        <v>－</v>
      </c>
      <c r="Y881" s="13"/>
      <c r="Z881" s="17" t="n">
        <f>236</f>
        <v>236.0</v>
      </c>
      <c r="AA881" s="18" t="n">
        <f>4</f>
        <v>4.0</v>
      </c>
      <c r="AB881" s="11" t="s">
        <v>203</v>
      </c>
    </row>
    <row r="882">
      <c r="A882" s="11" t="s">
        <v>46</v>
      </c>
      <c r="B882" s="11" t="s">
        <v>47</v>
      </c>
      <c r="C882" s="11" t="s">
        <v>48</v>
      </c>
      <c r="D882" s="11" t="s">
        <v>651</v>
      </c>
      <c r="E882" s="11" t="s">
        <v>201</v>
      </c>
      <c r="F882" s="12" t="n">
        <v>28000.0</v>
      </c>
      <c r="G882" s="13" t="s">
        <v>50</v>
      </c>
      <c r="H882" s="14" t="s">
        <v>252</v>
      </c>
      <c r="I882" s="13" t="s">
        <v>202</v>
      </c>
      <c r="J882" s="14" t="s">
        <v>744</v>
      </c>
      <c r="K882" s="13" t="s">
        <v>288</v>
      </c>
      <c r="L882" s="14" t="s">
        <v>745</v>
      </c>
      <c r="M882" s="13" t="s">
        <v>50</v>
      </c>
      <c r="N882" s="14" t="s">
        <v>252</v>
      </c>
      <c r="O882" s="13" t="s">
        <v>50</v>
      </c>
      <c r="P882" s="14" t="s">
        <v>51</v>
      </c>
      <c r="Q882" s="13" t="s">
        <v>204</v>
      </c>
      <c r="R882" s="14" t="s">
        <v>320</v>
      </c>
      <c r="S882" s="15" t="n">
        <f>1707</f>
        <v>1707.0</v>
      </c>
      <c r="T882" s="16" t="n">
        <f>1353</f>
        <v>1353.0</v>
      </c>
      <c r="U882" s="16" t="n">
        <v>874.0</v>
      </c>
      <c r="V882" s="16" t="n">
        <f>1547465000</f>
        <v>1.547465E9</v>
      </c>
      <c r="W882" s="16" t="n">
        <v>1.15636E9</v>
      </c>
      <c r="X882" s="16" t="str">
        <f>"－"</f>
        <v>－</v>
      </c>
      <c r="Y882" s="13"/>
      <c r="Z882" s="17" t="n">
        <f>6598</f>
        <v>6598.0</v>
      </c>
      <c r="AA882" s="18" t="n">
        <f>15</f>
        <v>15.0</v>
      </c>
      <c r="AB882" s="11" t="s">
        <v>203</v>
      </c>
    </row>
    <row r="883">
      <c r="A883" s="11" t="s">
        <v>46</v>
      </c>
      <c r="B883" s="11" t="s">
        <v>47</v>
      </c>
      <c r="C883" s="11" t="s">
        <v>48</v>
      </c>
      <c r="D883" s="11" t="s">
        <v>651</v>
      </c>
      <c r="E883" s="11" t="s">
        <v>201</v>
      </c>
      <c r="F883" s="12" t="n">
        <v>28125.0</v>
      </c>
      <c r="G883" s="13" t="s">
        <v>50</v>
      </c>
      <c r="H883" s="14" t="s">
        <v>176</v>
      </c>
      <c r="I883" s="13" t="s">
        <v>208</v>
      </c>
      <c r="J883" s="14" t="s">
        <v>746</v>
      </c>
      <c r="K883" s="13" t="s">
        <v>63</v>
      </c>
      <c r="L883" s="14" t="s">
        <v>747</v>
      </c>
      <c r="M883" s="13" t="s">
        <v>50</v>
      </c>
      <c r="N883" s="14" t="s">
        <v>253</v>
      </c>
      <c r="O883" s="13" t="s">
        <v>63</v>
      </c>
      <c r="P883" s="14" t="s">
        <v>747</v>
      </c>
      <c r="Q883" s="13" t="s">
        <v>208</v>
      </c>
      <c r="R883" s="14" t="s">
        <v>746</v>
      </c>
      <c r="S883" s="15" t="n">
        <f>1271.11</f>
        <v>1271.11</v>
      </c>
      <c r="T883" s="16" t="n">
        <f>206</f>
        <v>206.0</v>
      </c>
      <c r="U883" s="16" t="n">
        <v>1.0</v>
      </c>
      <c r="V883" s="16" t="n">
        <f>161065000</f>
        <v>1.61065E8</v>
      </c>
      <c r="W883" s="16" t="n">
        <v>960000.0</v>
      </c>
      <c r="X883" s="16" t="str">
        <f>"－"</f>
        <v>－</v>
      </c>
      <c r="Y883" s="13"/>
      <c r="Z883" s="17" t="n">
        <f>191</f>
        <v>191.0</v>
      </c>
      <c r="AA883" s="18" t="n">
        <f>9</f>
        <v>9.0</v>
      </c>
      <c r="AB883" s="11" t="s">
        <v>203</v>
      </c>
    </row>
    <row r="884">
      <c r="A884" s="11" t="s">
        <v>46</v>
      </c>
      <c r="B884" s="11" t="s">
        <v>47</v>
      </c>
      <c r="C884" s="11" t="s">
        <v>48</v>
      </c>
      <c r="D884" s="11" t="s">
        <v>651</v>
      </c>
      <c r="E884" s="11" t="s">
        <v>201</v>
      </c>
      <c r="F884" s="12" t="n">
        <v>28250.0</v>
      </c>
      <c r="G884" s="13" t="s">
        <v>50</v>
      </c>
      <c r="H884" s="14" t="s">
        <v>153</v>
      </c>
      <c r="I884" s="13" t="s">
        <v>202</v>
      </c>
      <c r="J884" s="14" t="s">
        <v>748</v>
      </c>
      <c r="K884" s="13" t="s">
        <v>58</v>
      </c>
      <c r="L884" s="14" t="s">
        <v>749</v>
      </c>
      <c r="M884" s="13" t="s">
        <v>50</v>
      </c>
      <c r="N884" s="14" t="s">
        <v>290</v>
      </c>
      <c r="O884" s="13" t="s">
        <v>55</v>
      </c>
      <c r="P884" s="14" t="s">
        <v>252</v>
      </c>
      <c r="Q884" s="13" t="s">
        <v>204</v>
      </c>
      <c r="R884" s="14" t="s">
        <v>443</v>
      </c>
      <c r="S884" s="15" t="n">
        <f>1351.25</f>
        <v>1351.25</v>
      </c>
      <c r="T884" s="16" t="n">
        <f>502</f>
        <v>502.0</v>
      </c>
      <c r="U884" s="16" t="n">
        <v>315.0</v>
      </c>
      <c r="V884" s="16" t="n">
        <f>403630000</f>
        <v>4.0363E8</v>
      </c>
      <c r="W884" s="16" t="n">
        <v>2.33125E8</v>
      </c>
      <c r="X884" s="16" t="str">
        <f>"－"</f>
        <v>－</v>
      </c>
      <c r="Y884" s="13"/>
      <c r="Z884" s="17" t="n">
        <f>813</f>
        <v>813.0</v>
      </c>
      <c r="AA884" s="18" t="n">
        <f>8</f>
        <v>8.0</v>
      </c>
      <c r="AB884" s="11" t="s">
        <v>203</v>
      </c>
    </row>
    <row r="885">
      <c r="A885" s="11" t="s">
        <v>46</v>
      </c>
      <c r="B885" s="11" t="s">
        <v>47</v>
      </c>
      <c r="C885" s="11" t="s">
        <v>48</v>
      </c>
      <c r="D885" s="11" t="s">
        <v>651</v>
      </c>
      <c r="E885" s="11" t="s">
        <v>201</v>
      </c>
      <c r="F885" s="12" t="n">
        <v>28375.0</v>
      </c>
      <c r="G885" s="13" t="s">
        <v>50</v>
      </c>
      <c r="H885" s="14" t="s">
        <v>244</v>
      </c>
      <c r="I885" s="13" t="s">
        <v>202</v>
      </c>
      <c r="J885" s="14" t="s">
        <v>750</v>
      </c>
      <c r="K885" s="13" t="s">
        <v>288</v>
      </c>
      <c r="L885" s="14" t="s">
        <v>751</v>
      </c>
      <c r="M885" s="13" t="s">
        <v>50</v>
      </c>
      <c r="N885" s="14" t="s">
        <v>248</v>
      </c>
      <c r="O885" s="13" t="s">
        <v>55</v>
      </c>
      <c r="P885" s="14" t="s">
        <v>252</v>
      </c>
      <c r="Q885" s="13" t="s">
        <v>202</v>
      </c>
      <c r="R885" s="14" t="s">
        <v>750</v>
      </c>
      <c r="S885" s="15" t="n">
        <f>1125</f>
        <v>1125.0</v>
      </c>
      <c r="T885" s="16" t="n">
        <f>163</f>
        <v>163.0</v>
      </c>
      <c r="U885" s="16" t="n">
        <v>2.0</v>
      </c>
      <c r="V885" s="16" t="n">
        <f>107825000</f>
        <v>1.07825E8</v>
      </c>
      <c r="W885" s="16" t="n">
        <v>2695000.0</v>
      </c>
      <c r="X885" s="16" t="str">
        <f>"－"</f>
        <v>－</v>
      </c>
      <c r="Y885" s="13"/>
      <c r="Z885" s="17" t="n">
        <f>294</f>
        <v>294.0</v>
      </c>
      <c r="AA885" s="18" t="n">
        <f>8</f>
        <v>8.0</v>
      </c>
      <c r="AB885" s="11" t="s">
        <v>203</v>
      </c>
    </row>
    <row r="886">
      <c r="A886" s="11" t="s">
        <v>46</v>
      </c>
      <c r="B886" s="11" t="s">
        <v>47</v>
      </c>
      <c r="C886" s="11" t="s">
        <v>48</v>
      </c>
      <c r="D886" s="11" t="s">
        <v>651</v>
      </c>
      <c r="E886" s="11" t="s">
        <v>201</v>
      </c>
      <c r="F886" s="12" t="n">
        <v>28500.0</v>
      </c>
      <c r="G886" s="13" t="s">
        <v>50</v>
      </c>
      <c r="H886" s="14" t="s">
        <v>149</v>
      </c>
      <c r="I886" s="13" t="s">
        <v>202</v>
      </c>
      <c r="J886" s="14" t="s">
        <v>752</v>
      </c>
      <c r="K886" s="13" t="s">
        <v>202</v>
      </c>
      <c r="L886" s="14" t="s">
        <v>753</v>
      </c>
      <c r="M886" s="13" t="s">
        <v>50</v>
      </c>
      <c r="N886" s="14" t="s">
        <v>148</v>
      </c>
      <c r="O886" s="13" t="s">
        <v>55</v>
      </c>
      <c r="P886" s="14" t="s">
        <v>153</v>
      </c>
      <c r="Q886" s="13" t="s">
        <v>204</v>
      </c>
      <c r="R886" s="14" t="s">
        <v>169</v>
      </c>
      <c r="S886" s="15" t="n">
        <f>1299.69</f>
        <v>1299.69</v>
      </c>
      <c r="T886" s="16" t="n">
        <f>2267</f>
        <v>2267.0</v>
      </c>
      <c r="U886" s="16" t="n">
        <v>973.0</v>
      </c>
      <c r="V886" s="16" t="n">
        <f>2366625000</f>
        <v>2.366625E9</v>
      </c>
      <c r="W886" s="16" t="n">
        <v>1.15823E9</v>
      </c>
      <c r="X886" s="16" t="str">
        <f>"－"</f>
        <v>－</v>
      </c>
      <c r="Y886" s="13"/>
      <c r="Z886" s="17" t="n">
        <f>2832</f>
        <v>2832.0</v>
      </c>
      <c r="AA886" s="18" t="n">
        <f>16</f>
        <v>16.0</v>
      </c>
      <c r="AB886" s="11" t="s">
        <v>203</v>
      </c>
    </row>
    <row r="887">
      <c r="A887" s="11" t="s">
        <v>46</v>
      </c>
      <c r="B887" s="11" t="s">
        <v>47</v>
      </c>
      <c r="C887" s="11" t="s">
        <v>48</v>
      </c>
      <c r="D887" s="11" t="s">
        <v>651</v>
      </c>
      <c r="E887" s="11" t="s">
        <v>201</v>
      </c>
      <c r="F887" s="12" t="n">
        <v>28625.0</v>
      </c>
      <c r="G887" s="13" t="s">
        <v>50</v>
      </c>
      <c r="H887" s="14" t="s">
        <v>147</v>
      </c>
      <c r="I887" s="13" t="s">
        <v>208</v>
      </c>
      <c r="J887" s="14" t="s">
        <v>754</v>
      </c>
      <c r="K887" s="13" t="s">
        <v>52</v>
      </c>
      <c r="L887" s="14" t="s">
        <v>304</v>
      </c>
      <c r="M887" s="13" t="s">
        <v>50</v>
      </c>
      <c r="N887" s="14" t="s">
        <v>147</v>
      </c>
      <c r="O887" s="13" t="s">
        <v>55</v>
      </c>
      <c r="P887" s="14" t="s">
        <v>354</v>
      </c>
      <c r="Q887" s="13" t="s">
        <v>208</v>
      </c>
      <c r="R887" s="14" t="s">
        <v>754</v>
      </c>
      <c r="S887" s="15" t="n">
        <f>864.44</f>
        <v>864.44</v>
      </c>
      <c r="T887" s="16" t="n">
        <f>431</f>
        <v>431.0</v>
      </c>
      <c r="U887" s="16" t="n">
        <v>87.0</v>
      </c>
      <c r="V887" s="16" t="n">
        <f>282234000</f>
        <v>2.82234E8</v>
      </c>
      <c r="W887" s="16" t="n">
        <v>8.8679E7</v>
      </c>
      <c r="X887" s="16" t="str">
        <f>"－"</f>
        <v>－</v>
      </c>
      <c r="Y887" s="13"/>
      <c r="Z887" s="17" t="n">
        <f>475</f>
        <v>475.0</v>
      </c>
      <c r="AA887" s="18" t="n">
        <f>9</f>
        <v>9.0</v>
      </c>
      <c r="AB887" s="11" t="s">
        <v>203</v>
      </c>
    </row>
    <row r="888">
      <c r="A888" s="11" t="s">
        <v>46</v>
      </c>
      <c r="B888" s="11" t="s">
        <v>47</v>
      </c>
      <c r="C888" s="11" t="s">
        <v>48</v>
      </c>
      <c r="D888" s="11" t="s">
        <v>651</v>
      </c>
      <c r="E888" s="11" t="s">
        <v>201</v>
      </c>
      <c r="F888" s="12" t="n">
        <v>28750.0</v>
      </c>
      <c r="G888" s="13" t="s">
        <v>50</v>
      </c>
      <c r="H888" s="14" t="s">
        <v>145</v>
      </c>
      <c r="I888" s="13" t="s">
        <v>207</v>
      </c>
      <c r="J888" s="14" t="s">
        <v>755</v>
      </c>
      <c r="K888" s="13" t="s">
        <v>202</v>
      </c>
      <c r="L888" s="14" t="s">
        <v>756</v>
      </c>
      <c r="M888" s="13" t="s">
        <v>50</v>
      </c>
      <c r="N888" s="14" t="s">
        <v>282</v>
      </c>
      <c r="O888" s="13" t="s">
        <v>60</v>
      </c>
      <c r="P888" s="14" t="s">
        <v>757</v>
      </c>
      <c r="Q888" s="13" t="s">
        <v>204</v>
      </c>
      <c r="R888" s="14" t="s">
        <v>173</v>
      </c>
      <c r="S888" s="15" t="n">
        <f>948.46</f>
        <v>948.46</v>
      </c>
      <c r="T888" s="16" t="n">
        <f>1186</f>
        <v>1186.0</v>
      </c>
      <c r="U888" s="16" t="n">
        <v>485.0</v>
      </c>
      <c r="V888" s="16" t="n">
        <f>619812500</f>
        <v>6.198125E8</v>
      </c>
      <c r="W888" s="16" t="n">
        <v>2.738425E8</v>
      </c>
      <c r="X888" s="16" t="str">
        <f>"－"</f>
        <v>－</v>
      </c>
      <c r="Y888" s="13"/>
      <c r="Z888" s="17" t="n">
        <f>1382</f>
        <v>1382.0</v>
      </c>
      <c r="AA888" s="18" t="n">
        <f>13</f>
        <v>13.0</v>
      </c>
      <c r="AB888" s="11" t="s">
        <v>203</v>
      </c>
    </row>
    <row r="889">
      <c r="A889" s="11" t="s">
        <v>46</v>
      </c>
      <c r="B889" s="11" t="s">
        <v>47</v>
      </c>
      <c r="C889" s="11" t="s">
        <v>48</v>
      </c>
      <c r="D889" s="11" t="s">
        <v>651</v>
      </c>
      <c r="E889" s="11" t="s">
        <v>201</v>
      </c>
      <c r="F889" s="12" t="n">
        <v>28875.0</v>
      </c>
      <c r="G889" s="13" t="s">
        <v>50</v>
      </c>
      <c r="H889" s="14" t="s">
        <v>143</v>
      </c>
      <c r="I889" s="13" t="s">
        <v>202</v>
      </c>
      <c r="J889" s="14" t="s">
        <v>758</v>
      </c>
      <c r="K889" s="13" t="s">
        <v>61</v>
      </c>
      <c r="L889" s="14" t="s">
        <v>359</v>
      </c>
      <c r="M889" s="13" t="s">
        <v>50</v>
      </c>
      <c r="N889" s="14" t="s">
        <v>143</v>
      </c>
      <c r="O889" s="13" t="s">
        <v>50</v>
      </c>
      <c r="P889" s="14" t="s">
        <v>180</v>
      </c>
      <c r="Q889" s="13" t="s">
        <v>204</v>
      </c>
      <c r="R889" s="14" t="s">
        <v>310</v>
      </c>
      <c r="S889" s="15" t="n">
        <f>927.92</f>
        <v>927.92</v>
      </c>
      <c r="T889" s="16" t="n">
        <f>571</f>
        <v>571.0</v>
      </c>
      <c r="U889" s="16" t="n">
        <v>5.0</v>
      </c>
      <c r="V889" s="16" t="n">
        <f>286205000</f>
        <v>2.86205E8</v>
      </c>
      <c r="W889" s="16" t="n">
        <v>3140000.0</v>
      </c>
      <c r="X889" s="16" t="str">
        <f>"－"</f>
        <v>－</v>
      </c>
      <c r="Y889" s="13"/>
      <c r="Z889" s="17" t="n">
        <f>239</f>
        <v>239.0</v>
      </c>
      <c r="AA889" s="18" t="n">
        <f>12</f>
        <v>12.0</v>
      </c>
      <c r="AB889" s="11" t="s">
        <v>203</v>
      </c>
    </row>
    <row r="890">
      <c r="A890" s="11" t="s">
        <v>46</v>
      </c>
      <c r="B890" s="11" t="s">
        <v>47</v>
      </c>
      <c r="C890" s="11" t="s">
        <v>48</v>
      </c>
      <c r="D890" s="11" t="s">
        <v>651</v>
      </c>
      <c r="E890" s="11" t="s">
        <v>201</v>
      </c>
      <c r="F890" s="12" t="n">
        <v>29000.0</v>
      </c>
      <c r="G890" s="13" t="s">
        <v>50</v>
      </c>
      <c r="H890" s="14" t="s">
        <v>345</v>
      </c>
      <c r="I890" s="13" t="s">
        <v>202</v>
      </c>
      <c r="J890" s="14" t="s">
        <v>759</v>
      </c>
      <c r="K890" s="13" t="s">
        <v>202</v>
      </c>
      <c r="L890" s="14" t="s">
        <v>693</v>
      </c>
      <c r="M890" s="13" t="s">
        <v>50</v>
      </c>
      <c r="N890" s="14" t="s">
        <v>345</v>
      </c>
      <c r="O890" s="13" t="s">
        <v>50</v>
      </c>
      <c r="P890" s="14" t="s">
        <v>760</v>
      </c>
      <c r="Q890" s="13" t="s">
        <v>204</v>
      </c>
      <c r="R890" s="14" t="s">
        <v>420</v>
      </c>
      <c r="S890" s="15" t="n">
        <f>987.5</f>
        <v>987.5</v>
      </c>
      <c r="T890" s="16" t="n">
        <f>10620</f>
        <v>10620.0</v>
      </c>
      <c r="U890" s="16" t="n">
        <v>6557.0</v>
      </c>
      <c r="V890" s="16" t="n">
        <f>6596738580</f>
        <v>6.59673858E9</v>
      </c>
      <c r="W890" s="16" t="n">
        <v>4.51879358E9</v>
      </c>
      <c r="X890" s="16" t="str">
        <f>"－"</f>
        <v>－</v>
      </c>
      <c r="Y890" s="13"/>
      <c r="Z890" s="17" t="n">
        <f>7356</f>
        <v>7356.0</v>
      </c>
      <c r="AA890" s="18" t="n">
        <f>18</f>
        <v>18.0</v>
      </c>
      <c r="AB890" s="11" t="s">
        <v>203</v>
      </c>
    </row>
    <row r="891">
      <c r="A891" s="11" t="s">
        <v>46</v>
      </c>
      <c r="B891" s="11" t="s">
        <v>47</v>
      </c>
      <c r="C891" s="11" t="s">
        <v>48</v>
      </c>
      <c r="D891" s="11" t="s">
        <v>651</v>
      </c>
      <c r="E891" s="11" t="s">
        <v>201</v>
      </c>
      <c r="F891" s="12" t="n">
        <v>29125.0</v>
      </c>
      <c r="G891" s="13" t="s">
        <v>50</v>
      </c>
      <c r="H891" s="14" t="s">
        <v>234</v>
      </c>
      <c r="I891" s="13" t="s">
        <v>288</v>
      </c>
      <c r="J891" s="14" t="s">
        <v>696</v>
      </c>
      <c r="K891" s="13" t="s">
        <v>208</v>
      </c>
      <c r="L891" s="14" t="s">
        <v>423</v>
      </c>
      <c r="M891" s="13" t="s">
        <v>50</v>
      </c>
      <c r="N891" s="14" t="s">
        <v>137</v>
      </c>
      <c r="O891" s="13" t="s">
        <v>60</v>
      </c>
      <c r="P891" s="14" t="s">
        <v>182</v>
      </c>
      <c r="Q891" s="13" t="s">
        <v>204</v>
      </c>
      <c r="R891" s="14" t="s">
        <v>351</v>
      </c>
      <c r="S891" s="15" t="n">
        <f>757</f>
        <v>757.0</v>
      </c>
      <c r="T891" s="16" t="n">
        <f>518</f>
        <v>518.0</v>
      </c>
      <c r="U891" s="16" t="n">
        <v>2.0</v>
      </c>
      <c r="V891" s="16" t="n">
        <f>217330000</f>
        <v>2.1733E8</v>
      </c>
      <c r="W891" s="16" t="n">
        <v>1460000.0</v>
      </c>
      <c r="X891" s="16" t="str">
        <f>"－"</f>
        <v>－</v>
      </c>
      <c r="Y891" s="13"/>
      <c r="Z891" s="17" t="n">
        <f>202</f>
        <v>202.0</v>
      </c>
      <c r="AA891" s="18" t="n">
        <f>15</f>
        <v>15.0</v>
      </c>
      <c r="AB891" s="11" t="s">
        <v>203</v>
      </c>
    </row>
    <row r="892">
      <c r="A892" s="11" t="s">
        <v>46</v>
      </c>
      <c r="B892" s="11" t="s">
        <v>47</v>
      </c>
      <c r="C892" s="11" t="s">
        <v>48</v>
      </c>
      <c r="D892" s="11" t="s">
        <v>651</v>
      </c>
      <c r="E892" s="11" t="s">
        <v>201</v>
      </c>
      <c r="F892" s="12" t="n">
        <v>29250.0</v>
      </c>
      <c r="G892" s="13" t="s">
        <v>50</v>
      </c>
      <c r="H892" s="14" t="s">
        <v>274</v>
      </c>
      <c r="I892" s="13" t="s">
        <v>202</v>
      </c>
      <c r="J892" s="14" t="s">
        <v>761</v>
      </c>
      <c r="K892" s="13" t="s">
        <v>288</v>
      </c>
      <c r="L892" s="14" t="s">
        <v>393</v>
      </c>
      <c r="M892" s="13" t="s">
        <v>50</v>
      </c>
      <c r="N892" s="14" t="s">
        <v>274</v>
      </c>
      <c r="O892" s="13" t="s">
        <v>60</v>
      </c>
      <c r="P892" s="14" t="s">
        <v>138</v>
      </c>
      <c r="Q892" s="13" t="s">
        <v>204</v>
      </c>
      <c r="R892" s="14" t="s">
        <v>422</v>
      </c>
      <c r="S892" s="15" t="n">
        <f>775</f>
        <v>775.0</v>
      </c>
      <c r="T892" s="16" t="n">
        <f>2368</f>
        <v>2368.0</v>
      </c>
      <c r="U892" s="16" t="n">
        <v>343.0</v>
      </c>
      <c r="V892" s="16" t="n">
        <f>1263215000</f>
        <v>1.263215E9</v>
      </c>
      <c r="W892" s="16" t="n">
        <v>2.30185E8</v>
      </c>
      <c r="X892" s="16" t="str">
        <f>"－"</f>
        <v>－</v>
      </c>
      <c r="Y892" s="13"/>
      <c r="Z892" s="17" t="n">
        <f>623</f>
        <v>623.0</v>
      </c>
      <c r="AA892" s="18" t="n">
        <f>16</f>
        <v>16.0</v>
      </c>
      <c r="AB892" s="11" t="s">
        <v>203</v>
      </c>
    </row>
    <row r="893">
      <c r="A893" s="11" t="s">
        <v>46</v>
      </c>
      <c r="B893" s="11" t="s">
        <v>47</v>
      </c>
      <c r="C893" s="11" t="s">
        <v>48</v>
      </c>
      <c r="D893" s="11" t="s">
        <v>651</v>
      </c>
      <c r="E893" s="11" t="s">
        <v>201</v>
      </c>
      <c r="F893" s="12" t="n">
        <v>29375.0</v>
      </c>
      <c r="G893" s="13" t="s">
        <v>50</v>
      </c>
      <c r="H893" s="14" t="s">
        <v>135</v>
      </c>
      <c r="I893" s="13" t="s">
        <v>202</v>
      </c>
      <c r="J893" s="14" t="s">
        <v>516</v>
      </c>
      <c r="K893" s="13" t="s">
        <v>288</v>
      </c>
      <c r="L893" s="14" t="s">
        <v>307</v>
      </c>
      <c r="M893" s="13" t="s">
        <v>55</v>
      </c>
      <c r="N893" s="14" t="s">
        <v>132</v>
      </c>
      <c r="O893" s="13" t="s">
        <v>50</v>
      </c>
      <c r="P893" s="14" t="s">
        <v>195</v>
      </c>
      <c r="Q893" s="13" t="s">
        <v>204</v>
      </c>
      <c r="R893" s="14" t="s">
        <v>289</v>
      </c>
      <c r="S893" s="15" t="n">
        <f>736.39</f>
        <v>736.39</v>
      </c>
      <c r="T893" s="16" t="n">
        <f>1582</f>
        <v>1582.0</v>
      </c>
      <c r="U893" s="16" t="n">
        <v>119.0</v>
      </c>
      <c r="V893" s="16" t="n">
        <f>670700430</f>
        <v>6.7070043E8</v>
      </c>
      <c r="W893" s="16" t="n">
        <v>7.592543E7</v>
      </c>
      <c r="X893" s="16" t="str">
        <f>"－"</f>
        <v>－</v>
      </c>
      <c r="Y893" s="13"/>
      <c r="Z893" s="17" t="n">
        <f>289</f>
        <v>289.0</v>
      </c>
      <c r="AA893" s="18" t="n">
        <f>18</f>
        <v>18.0</v>
      </c>
      <c r="AB893" s="11" t="s">
        <v>203</v>
      </c>
    </row>
    <row r="894">
      <c r="A894" s="11" t="s">
        <v>46</v>
      </c>
      <c r="B894" s="11" t="s">
        <v>47</v>
      </c>
      <c r="C894" s="11" t="s">
        <v>48</v>
      </c>
      <c r="D894" s="11" t="s">
        <v>651</v>
      </c>
      <c r="E894" s="11" t="s">
        <v>201</v>
      </c>
      <c r="F894" s="12" t="n">
        <v>29500.0</v>
      </c>
      <c r="G894" s="13" t="s">
        <v>50</v>
      </c>
      <c r="H894" s="14" t="s">
        <v>128</v>
      </c>
      <c r="I894" s="13" t="s">
        <v>202</v>
      </c>
      <c r="J894" s="14" t="s">
        <v>397</v>
      </c>
      <c r="K894" s="13" t="s">
        <v>202</v>
      </c>
      <c r="L894" s="14" t="s">
        <v>397</v>
      </c>
      <c r="M894" s="13" t="s">
        <v>50</v>
      </c>
      <c r="N894" s="14" t="s">
        <v>125</v>
      </c>
      <c r="O894" s="13" t="s">
        <v>56</v>
      </c>
      <c r="P894" s="14" t="s">
        <v>51</v>
      </c>
      <c r="Q894" s="13" t="s">
        <v>204</v>
      </c>
      <c r="R894" s="14" t="s">
        <v>183</v>
      </c>
      <c r="S894" s="15" t="n">
        <f>654.17</f>
        <v>654.17</v>
      </c>
      <c r="T894" s="16" t="n">
        <f>15040</f>
        <v>15040.0</v>
      </c>
      <c r="U894" s="16" t="n">
        <v>5565.0</v>
      </c>
      <c r="V894" s="16" t="n">
        <f>7151905220</f>
        <v>7.15190522E9</v>
      </c>
      <c r="W894" s="16" t="n">
        <v>2.76158522E9</v>
      </c>
      <c r="X894" s="16" t="str">
        <f>"－"</f>
        <v>－</v>
      </c>
      <c r="Y894" s="13"/>
      <c r="Z894" s="17" t="n">
        <f>7308</f>
        <v>7308.0</v>
      </c>
      <c r="AA894" s="18" t="n">
        <f>18</f>
        <v>18.0</v>
      </c>
      <c r="AB894" s="11" t="s">
        <v>203</v>
      </c>
    </row>
    <row r="895">
      <c r="A895" s="11" t="s">
        <v>46</v>
      </c>
      <c r="B895" s="11" t="s">
        <v>47</v>
      </c>
      <c r="C895" s="11" t="s">
        <v>48</v>
      </c>
      <c r="D895" s="11" t="s">
        <v>651</v>
      </c>
      <c r="E895" s="11" t="s">
        <v>201</v>
      </c>
      <c r="F895" s="12" t="n">
        <v>29625.0</v>
      </c>
      <c r="G895" s="13" t="s">
        <v>50</v>
      </c>
      <c r="H895" s="14" t="s">
        <v>125</v>
      </c>
      <c r="I895" s="13" t="s">
        <v>202</v>
      </c>
      <c r="J895" s="14" t="s">
        <v>311</v>
      </c>
      <c r="K895" s="13" t="s">
        <v>288</v>
      </c>
      <c r="L895" s="14" t="s">
        <v>305</v>
      </c>
      <c r="M895" s="13" t="s">
        <v>50</v>
      </c>
      <c r="N895" s="14" t="s">
        <v>125</v>
      </c>
      <c r="O895" s="13" t="s">
        <v>58</v>
      </c>
      <c r="P895" s="14" t="s">
        <v>231</v>
      </c>
      <c r="Q895" s="13" t="s">
        <v>204</v>
      </c>
      <c r="R895" s="14" t="s">
        <v>257</v>
      </c>
      <c r="S895" s="15" t="n">
        <f>557.5</f>
        <v>557.5</v>
      </c>
      <c r="T895" s="16" t="n">
        <f>2185</f>
        <v>2185.0</v>
      </c>
      <c r="U895" s="16" t="n">
        <v>26.0</v>
      </c>
      <c r="V895" s="16" t="n">
        <f>966095000</f>
        <v>9.66095E8</v>
      </c>
      <c r="W895" s="16" t="n">
        <v>1.2295E7</v>
      </c>
      <c r="X895" s="16" t="str">
        <f>"－"</f>
        <v>－</v>
      </c>
      <c r="Y895" s="13"/>
      <c r="Z895" s="17" t="n">
        <f>1192</f>
        <v>1192.0</v>
      </c>
      <c r="AA895" s="18" t="n">
        <f>16</f>
        <v>16.0</v>
      </c>
      <c r="AB895" s="11" t="s">
        <v>203</v>
      </c>
    </row>
    <row r="896">
      <c r="A896" s="11" t="s">
        <v>46</v>
      </c>
      <c r="B896" s="11" t="s">
        <v>47</v>
      </c>
      <c r="C896" s="11" t="s">
        <v>48</v>
      </c>
      <c r="D896" s="11" t="s">
        <v>651</v>
      </c>
      <c r="E896" s="11" t="s">
        <v>201</v>
      </c>
      <c r="F896" s="12" t="n">
        <v>29750.0</v>
      </c>
      <c r="G896" s="13" t="s">
        <v>50</v>
      </c>
      <c r="H896" s="14" t="s">
        <v>126</v>
      </c>
      <c r="I896" s="13" t="s">
        <v>202</v>
      </c>
      <c r="J896" s="14" t="s">
        <v>308</v>
      </c>
      <c r="K896" s="13" t="s">
        <v>288</v>
      </c>
      <c r="L896" s="14" t="s">
        <v>435</v>
      </c>
      <c r="M896" s="13" t="s">
        <v>50</v>
      </c>
      <c r="N896" s="14" t="s">
        <v>120</v>
      </c>
      <c r="O896" s="13" t="s">
        <v>55</v>
      </c>
      <c r="P896" s="14" t="s">
        <v>126</v>
      </c>
      <c r="Q896" s="13" t="s">
        <v>204</v>
      </c>
      <c r="R896" s="14" t="s">
        <v>139</v>
      </c>
      <c r="S896" s="15" t="n">
        <f>523.89</f>
        <v>523.89</v>
      </c>
      <c r="T896" s="16" t="n">
        <f>10838</f>
        <v>10838.0</v>
      </c>
      <c r="U896" s="16" t="n">
        <v>3395.0</v>
      </c>
      <c r="V896" s="16" t="n">
        <f>4673256790</f>
        <v>4.67325679E9</v>
      </c>
      <c r="W896" s="16" t="n">
        <v>1.66749179E9</v>
      </c>
      <c r="X896" s="16" t="str">
        <f>"－"</f>
        <v>－</v>
      </c>
      <c r="Y896" s="13"/>
      <c r="Z896" s="17" t="n">
        <f>2560</f>
        <v>2560.0</v>
      </c>
      <c r="AA896" s="18" t="n">
        <f>18</f>
        <v>18.0</v>
      </c>
      <c r="AB896" s="11" t="s">
        <v>203</v>
      </c>
    </row>
    <row r="897">
      <c r="A897" s="11" t="s">
        <v>46</v>
      </c>
      <c r="B897" s="11" t="s">
        <v>47</v>
      </c>
      <c r="C897" s="11" t="s">
        <v>48</v>
      </c>
      <c r="D897" s="11" t="s">
        <v>651</v>
      </c>
      <c r="E897" s="11" t="s">
        <v>201</v>
      </c>
      <c r="F897" s="12" t="n">
        <v>29875.0</v>
      </c>
      <c r="G897" s="13" t="s">
        <v>50</v>
      </c>
      <c r="H897" s="14" t="s">
        <v>120</v>
      </c>
      <c r="I897" s="13" t="s">
        <v>202</v>
      </c>
      <c r="J897" s="14" t="s">
        <v>305</v>
      </c>
      <c r="K897" s="13" t="s">
        <v>202</v>
      </c>
      <c r="L897" s="14" t="s">
        <v>428</v>
      </c>
      <c r="M897" s="13" t="s">
        <v>50</v>
      </c>
      <c r="N897" s="14" t="s">
        <v>119</v>
      </c>
      <c r="O897" s="13" t="s">
        <v>50</v>
      </c>
      <c r="P897" s="14" t="s">
        <v>121</v>
      </c>
      <c r="Q897" s="13" t="s">
        <v>204</v>
      </c>
      <c r="R897" s="14" t="s">
        <v>136</v>
      </c>
      <c r="S897" s="15" t="n">
        <f>478.33</f>
        <v>478.33</v>
      </c>
      <c r="T897" s="16" t="n">
        <f>4551</f>
        <v>4551.0</v>
      </c>
      <c r="U897" s="16" t="n">
        <v>493.0</v>
      </c>
      <c r="V897" s="16" t="n">
        <f>1955785000</f>
        <v>1.955785E9</v>
      </c>
      <c r="W897" s="16" t="n">
        <v>2.49775E8</v>
      </c>
      <c r="X897" s="16" t="str">
        <f>"－"</f>
        <v>－</v>
      </c>
      <c r="Y897" s="13"/>
      <c r="Z897" s="17" t="n">
        <f>1482</f>
        <v>1482.0</v>
      </c>
      <c r="AA897" s="18" t="n">
        <f>18</f>
        <v>18.0</v>
      </c>
      <c r="AB897" s="11" t="s">
        <v>203</v>
      </c>
    </row>
    <row r="898">
      <c r="A898" s="11" t="s">
        <v>46</v>
      </c>
      <c r="B898" s="11" t="s">
        <v>47</v>
      </c>
      <c r="C898" s="11" t="s">
        <v>48</v>
      </c>
      <c r="D898" s="11" t="s">
        <v>651</v>
      </c>
      <c r="E898" s="11" t="s">
        <v>201</v>
      </c>
      <c r="F898" s="12" t="n">
        <v>30000.0</v>
      </c>
      <c r="G898" s="13" t="s">
        <v>50</v>
      </c>
      <c r="H898" s="14" t="s">
        <v>116</v>
      </c>
      <c r="I898" s="13" t="s">
        <v>202</v>
      </c>
      <c r="J898" s="14" t="s">
        <v>301</v>
      </c>
      <c r="K898" s="13" t="s">
        <v>202</v>
      </c>
      <c r="L898" s="14" t="s">
        <v>322</v>
      </c>
      <c r="M898" s="13" t="s">
        <v>50</v>
      </c>
      <c r="N898" s="14" t="s">
        <v>224</v>
      </c>
      <c r="O898" s="13" t="s">
        <v>50</v>
      </c>
      <c r="P898" s="14" t="s">
        <v>762</v>
      </c>
      <c r="Q898" s="13" t="s">
        <v>204</v>
      </c>
      <c r="R898" s="14" t="s">
        <v>274</v>
      </c>
      <c r="S898" s="15" t="n">
        <f>425</f>
        <v>425.0</v>
      </c>
      <c r="T898" s="16" t="n">
        <f>36119</f>
        <v>36119.0</v>
      </c>
      <c r="U898" s="16" t="n">
        <v>13884.0</v>
      </c>
      <c r="V898" s="16" t="n">
        <f>15339117060</f>
        <v>1.533911706E10</v>
      </c>
      <c r="W898" s="16" t="n">
        <v>6.42712406E9</v>
      </c>
      <c r="X898" s="16" t="str">
        <f>"－"</f>
        <v>－</v>
      </c>
      <c r="Y898" s="13"/>
      <c r="Z898" s="17" t="n">
        <f>12110</f>
        <v>12110.0</v>
      </c>
      <c r="AA898" s="18" t="n">
        <f>18</f>
        <v>18.0</v>
      </c>
      <c r="AB898" s="11" t="s">
        <v>203</v>
      </c>
    </row>
    <row r="899">
      <c r="A899" s="11" t="s">
        <v>46</v>
      </c>
      <c r="B899" s="11" t="s">
        <v>47</v>
      </c>
      <c r="C899" s="11" t="s">
        <v>48</v>
      </c>
      <c r="D899" s="11" t="s">
        <v>651</v>
      </c>
      <c r="E899" s="11" t="s">
        <v>201</v>
      </c>
      <c r="F899" s="12" t="n">
        <v>30125.0</v>
      </c>
      <c r="G899" s="13" t="s">
        <v>50</v>
      </c>
      <c r="H899" s="14" t="s">
        <v>114</v>
      </c>
      <c r="I899" s="13" t="s">
        <v>202</v>
      </c>
      <c r="J899" s="14" t="s">
        <v>169</v>
      </c>
      <c r="K899" s="13" t="s">
        <v>202</v>
      </c>
      <c r="L899" s="14" t="s">
        <v>360</v>
      </c>
      <c r="M899" s="13" t="s">
        <v>50</v>
      </c>
      <c r="N899" s="14" t="s">
        <v>114</v>
      </c>
      <c r="O899" s="13" t="s">
        <v>50</v>
      </c>
      <c r="P899" s="14" t="s">
        <v>115</v>
      </c>
      <c r="Q899" s="13" t="s">
        <v>204</v>
      </c>
      <c r="R899" s="14" t="s">
        <v>230</v>
      </c>
      <c r="S899" s="15" t="n">
        <f>380.61</f>
        <v>380.61</v>
      </c>
      <c r="T899" s="16" t="n">
        <f>4895</f>
        <v>4895.0</v>
      </c>
      <c r="U899" s="16" t="n">
        <v>146.0</v>
      </c>
      <c r="V899" s="16" t="n">
        <f>1890466000</f>
        <v>1.890466E9</v>
      </c>
      <c r="W899" s="16" t="n">
        <v>5.9309E7</v>
      </c>
      <c r="X899" s="16" t="str">
        <f>"－"</f>
        <v>－</v>
      </c>
      <c r="Y899" s="13"/>
      <c r="Z899" s="17" t="n">
        <f>1161</f>
        <v>1161.0</v>
      </c>
      <c r="AA899" s="18" t="n">
        <f>18</f>
        <v>18.0</v>
      </c>
      <c r="AB899" s="11" t="s">
        <v>203</v>
      </c>
    </row>
    <row r="900">
      <c r="A900" s="11" t="s">
        <v>46</v>
      </c>
      <c r="B900" s="11" t="s">
        <v>47</v>
      </c>
      <c r="C900" s="11" t="s">
        <v>48</v>
      </c>
      <c r="D900" s="11" t="s">
        <v>651</v>
      </c>
      <c r="E900" s="11" t="s">
        <v>201</v>
      </c>
      <c r="F900" s="12" t="n">
        <v>30250.0</v>
      </c>
      <c r="G900" s="13" t="s">
        <v>50</v>
      </c>
      <c r="H900" s="14" t="s">
        <v>763</v>
      </c>
      <c r="I900" s="13" t="s">
        <v>202</v>
      </c>
      <c r="J900" s="14" t="s">
        <v>382</v>
      </c>
      <c r="K900" s="13" t="s">
        <v>202</v>
      </c>
      <c r="L900" s="14" t="s">
        <v>764</v>
      </c>
      <c r="M900" s="13" t="s">
        <v>50</v>
      </c>
      <c r="N900" s="14" t="s">
        <v>108</v>
      </c>
      <c r="O900" s="13" t="s">
        <v>58</v>
      </c>
      <c r="P900" s="14" t="s">
        <v>112</v>
      </c>
      <c r="Q900" s="13" t="s">
        <v>204</v>
      </c>
      <c r="R900" s="14" t="s">
        <v>124</v>
      </c>
      <c r="S900" s="15" t="n">
        <f>336.61</f>
        <v>336.61</v>
      </c>
      <c r="T900" s="16" t="n">
        <f>18524</f>
        <v>18524.0</v>
      </c>
      <c r="U900" s="16" t="n">
        <v>7127.0</v>
      </c>
      <c r="V900" s="16" t="n">
        <f>7316490760</f>
        <v>7.31649076E9</v>
      </c>
      <c r="W900" s="16" t="n">
        <v>3.12018876E9</v>
      </c>
      <c r="X900" s="16" t="str">
        <f>"－"</f>
        <v>－</v>
      </c>
      <c r="Y900" s="13"/>
      <c r="Z900" s="17" t="n">
        <f>4768</f>
        <v>4768.0</v>
      </c>
      <c r="AA900" s="18" t="n">
        <f>18</f>
        <v>18.0</v>
      </c>
      <c r="AB900" s="11" t="s">
        <v>203</v>
      </c>
    </row>
    <row r="901">
      <c r="A901" s="11" t="s">
        <v>46</v>
      </c>
      <c r="B901" s="11" t="s">
        <v>47</v>
      </c>
      <c r="C901" s="11" t="s">
        <v>48</v>
      </c>
      <c r="D901" s="11" t="s">
        <v>651</v>
      </c>
      <c r="E901" s="11" t="s">
        <v>201</v>
      </c>
      <c r="F901" s="12" t="n">
        <v>30375.0</v>
      </c>
      <c r="G901" s="13" t="s">
        <v>50</v>
      </c>
      <c r="H901" s="14" t="s">
        <v>108</v>
      </c>
      <c r="I901" s="13" t="s">
        <v>202</v>
      </c>
      <c r="J901" s="14" t="s">
        <v>697</v>
      </c>
      <c r="K901" s="13" t="s">
        <v>202</v>
      </c>
      <c r="L901" s="14" t="s">
        <v>281</v>
      </c>
      <c r="M901" s="13" t="s">
        <v>55</v>
      </c>
      <c r="N901" s="14" t="s">
        <v>103</v>
      </c>
      <c r="O901" s="13" t="s">
        <v>60</v>
      </c>
      <c r="P901" s="14" t="s">
        <v>110</v>
      </c>
      <c r="Q901" s="13" t="s">
        <v>204</v>
      </c>
      <c r="R901" s="14" t="s">
        <v>286</v>
      </c>
      <c r="S901" s="15" t="n">
        <f>298</f>
        <v>298.0</v>
      </c>
      <c r="T901" s="16" t="n">
        <f>7383</f>
        <v>7383.0</v>
      </c>
      <c r="U901" s="16" t="n">
        <v>425.0</v>
      </c>
      <c r="V901" s="16" t="n">
        <f>2420100920</f>
        <v>2.42010092E9</v>
      </c>
      <c r="W901" s="16" t="n">
        <v>1.0637992E8</v>
      </c>
      <c r="X901" s="16" t="str">
        <f>"－"</f>
        <v>－</v>
      </c>
      <c r="Y901" s="13"/>
      <c r="Z901" s="17" t="n">
        <f>1184</f>
        <v>1184.0</v>
      </c>
      <c r="AA901" s="18" t="n">
        <f>18</f>
        <v>18.0</v>
      </c>
      <c r="AB901" s="11" t="s">
        <v>203</v>
      </c>
    </row>
    <row r="902">
      <c r="A902" s="11" t="s">
        <v>46</v>
      </c>
      <c r="B902" s="11" t="s">
        <v>47</v>
      </c>
      <c r="C902" s="11" t="s">
        <v>48</v>
      </c>
      <c r="D902" s="11" t="s">
        <v>651</v>
      </c>
      <c r="E902" s="11" t="s">
        <v>201</v>
      </c>
      <c r="F902" s="12" t="n">
        <v>30500.0</v>
      </c>
      <c r="G902" s="13" t="s">
        <v>50</v>
      </c>
      <c r="H902" s="14" t="s">
        <v>269</v>
      </c>
      <c r="I902" s="13" t="s">
        <v>202</v>
      </c>
      <c r="J902" s="14" t="s">
        <v>266</v>
      </c>
      <c r="K902" s="13" t="s">
        <v>202</v>
      </c>
      <c r="L902" s="14" t="s">
        <v>266</v>
      </c>
      <c r="M902" s="13" t="s">
        <v>55</v>
      </c>
      <c r="N902" s="14" t="s">
        <v>267</v>
      </c>
      <c r="O902" s="13" t="s">
        <v>55</v>
      </c>
      <c r="P902" s="14" t="s">
        <v>95</v>
      </c>
      <c r="Q902" s="13" t="s">
        <v>204</v>
      </c>
      <c r="R902" s="14" t="s">
        <v>118</v>
      </c>
      <c r="S902" s="15" t="n">
        <f>263.22</f>
        <v>263.22</v>
      </c>
      <c r="T902" s="16" t="n">
        <f>36833</f>
        <v>36833.0</v>
      </c>
      <c r="U902" s="16" t="n">
        <v>15174.0</v>
      </c>
      <c r="V902" s="16" t="n">
        <f>11818081500</f>
        <v>1.18180815E10</v>
      </c>
      <c r="W902" s="16" t="n">
        <v>4.9967925E9</v>
      </c>
      <c r="X902" s="16" t="str">
        <f>"－"</f>
        <v>－</v>
      </c>
      <c r="Y902" s="13"/>
      <c r="Z902" s="17" t="n">
        <f>5984</f>
        <v>5984.0</v>
      </c>
      <c r="AA902" s="18" t="n">
        <f>18</f>
        <v>18.0</v>
      </c>
      <c r="AB902" s="11" t="s">
        <v>203</v>
      </c>
    </row>
    <row r="903">
      <c r="A903" s="11" t="s">
        <v>46</v>
      </c>
      <c r="B903" s="11" t="s">
        <v>47</v>
      </c>
      <c r="C903" s="11" t="s">
        <v>48</v>
      </c>
      <c r="D903" s="11" t="s">
        <v>651</v>
      </c>
      <c r="E903" s="11" t="s">
        <v>201</v>
      </c>
      <c r="F903" s="12" t="n">
        <v>30625.0</v>
      </c>
      <c r="G903" s="13" t="s">
        <v>50</v>
      </c>
      <c r="H903" s="14" t="s">
        <v>101</v>
      </c>
      <c r="I903" s="13" t="s">
        <v>202</v>
      </c>
      <c r="J903" s="14" t="s">
        <v>167</v>
      </c>
      <c r="K903" s="13" t="s">
        <v>202</v>
      </c>
      <c r="L903" s="14" t="s">
        <v>318</v>
      </c>
      <c r="M903" s="13" t="s">
        <v>50</v>
      </c>
      <c r="N903" s="14" t="s">
        <v>107</v>
      </c>
      <c r="O903" s="13" t="s">
        <v>55</v>
      </c>
      <c r="P903" s="14" t="s">
        <v>344</v>
      </c>
      <c r="Q903" s="13" t="s">
        <v>204</v>
      </c>
      <c r="R903" s="14" t="s">
        <v>227</v>
      </c>
      <c r="S903" s="15" t="n">
        <f>233.39</f>
        <v>233.39</v>
      </c>
      <c r="T903" s="16" t="n">
        <f>7386</f>
        <v>7386.0</v>
      </c>
      <c r="U903" s="16" t="n">
        <v>413.0</v>
      </c>
      <c r="V903" s="16" t="n">
        <f>2003958000</f>
        <v>2.003958E9</v>
      </c>
      <c r="W903" s="16" t="n">
        <v>1.15758E8</v>
      </c>
      <c r="X903" s="16" t="str">
        <f>"－"</f>
        <v>－</v>
      </c>
      <c r="Y903" s="13"/>
      <c r="Z903" s="17" t="n">
        <f>534</f>
        <v>534.0</v>
      </c>
      <c r="AA903" s="18" t="n">
        <f>18</f>
        <v>18.0</v>
      </c>
      <c r="AB903" s="11" t="s">
        <v>203</v>
      </c>
    </row>
    <row r="904">
      <c r="A904" s="11" t="s">
        <v>46</v>
      </c>
      <c r="B904" s="11" t="s">
        <v>47</v>
      </c>
      <c r="C904" s="11" t="s">
        <v>48</v>
      </c>
      <c r="D904" s="11" t="s">
        <v>651</v>
      </c>
      <c r="E904" s="11" t="s">
        <v>201</v>
      </c>
      <c r="F904" s="12" t="n">
        <v>30750.0</v>
      </c>
      <c r="G904" s="13" t="s">
        <v>50</v>
      </c>
      <c r="H904" s="14" t="s">
        <v>102</v>
      </c>
      <c r="I904" s="13" t="s">
        <v>202</v>
      </c>
      <c r="J904" s="14" t="s">
        <v>250</v>
      </c>
      <c r="K904" s="13" t="s">
        <v>202</v>
      </c>
      <c r="L904" s="14" t="s">
        <v>351</v>
      </c>
      <c r="M904" s="13" t="s">
        <v>50</v>
      </c>
      <c r="N904" s="14" t="s">
        <v>99</v>
      </c>
      <c r="O904" s="13" t="s">
        <v>58</v>
      </c>
      <c r="P904" s="14" t="s">
        <v>94</v>
      </c>
      <c r="Q904" s="13" t="s">
        <v>204</v>
      </c>
      <c r="R904" s="14" t="s">
        <v>108</v>
      </c>
      <c r="S904" s="15" t="n">
        <f>199.67</f>
        <v>199.67</v>
      </c>
      <c r="T904" s="16" t="n">
        <f>18815</f>
        <v>18815.0</v>
      </c>
      <c r="U904" s="16" t="n">
        <v>5209.0</v>
      </c>
      <c r="V904" s="16" t="n">
        <f>4384317000</f>
        <v>4.384317E9</v>
      </c>
      <c r="W904" s="16" t="n">
        <v>1.40529E9</v>
      </c>
      <c r="X904" s="16" t="str">
        <f>"－"</f>
        <v>－</v>
      </c>
      <c r="Y904" s="13"/>
      <c r="Z904" s="17" t="n">
        <f>3337</f>
        <v>3337.0</v>
      </c>
      <c r="AA904" s="18" t="n">
        <f>18</f>
        <v>18.0</v>
      </c>
      <c r="AB904" s="11" t="s">
        <v>203</v>
      </c>
    </row>
    <row r="905">
      <c r="A905" s="11" t="s">
        <v>46</v>
      </c>
      <c r="B905" s="11" t="s">
        <v>47</v>
      </c>
      <c r="C905" s="11" t="s">
        <v>48</v>
      </c>
      <c r="D905" s="11" t="s">
        <v>651</v>
      </c>
      <c r="E905" s="11" t="s">
        <v>201</v>
      </c>
      <c r="F905" s="12" t="n">
        <v>30875.0</v>
      </c>
      <c r="G905" s="13" t="s">
        <v>50</v>
      </c>
      <c r="H905" s="14" t="s">
        <v>96</v>
      </c>
      <c r="I905" s="13" t="s">
        <v>202</v>
      </c>
      <c r="J905" s="14" t="s">
        <v>351</v>
      </c>
      <c r="K905" s="13" t="s">
        <v>202</v>
      </c>
      <c r="L905" s="14" t="s">
        <v>244</v>
      </c>
      <c r="M905" s="13" t="s">
        <v>60</v>
      </c>
      <c r="N905" s="14" t="s">
        <v>92</v>
      </c>
      <c r="O905" s="13" t="s">
        <v>50</v>
      </c>
      <c r="P905" s="14" t="s">
        <v>88</v>
      </c>
      <c r="Q905" s="13" t="s">
        <v>204</v>
      </c>
      <c r="R905" s="14" t="s">
        <v>221</v>
      </c>
      <c r="S905" s="15" t="n">
        <f>174.17</f>
        <v>174.17</v>
      </c>
      <c r="T905" s="16" t="n">
        <f>8484</f>
        <v>8484.0</v>
      </c>
      <c r="U905" s="16" t="n">
        <v>648.0</v>
      </c>
      <c r="V905" s="16" t="n">
        <f>1712711000</f>
        <v>1.712711E9</v>
      </c>
      <c r="W905" s="16" t="n">
        <v>2.15404E8</v>
      </c>
      <c r="X905" s="16" t="str">
        <f>"－"</f>
        <v>－</v>
      </c>
      <c r="Y905" s="13"/>
      <c r="Z905" s="17" t="n">
        <f>1037</f>
        <v>1037.0</v>
      </c>
      <c r="AA905" s="18" t="n">
        <f>18</f>
        <v>18.0</v>
      </c>
      <c r="AB905" s="11" t="s">
        <v>203</v>
      </c>
    </row>
    <row r="906">
      <c r="A906" s="11" t="s">
        <v>46</v>
      </c>
      <c r="B906" s="11" t="s">
        <v>47</v>
      </c>
      <c r="C906" s="11" t="s">
        <v>48</v>
      </c>
      <c r="D906" s="11" t="s">
        <v>651</v>
      </c>
      <c r="E906" s="11" t="s">
        <v>201</v>
      </c>
      <c r="F906" s="12" t="n">
        <v>31000.0</v>
      </c>
      <c r="G906" s="13" t="s">
        <v>50</v>
      </c>
      <c r="H906" s="14" t="s">
        <v>91</v>
      </c>
      <c r="I906" s="13" t="s">
        <v>202</v>
      </c>
      <c r="J906" s="14" t="s">
        <v>354</v>
      </c>
      <c r="K906" s="13" t="s">
        <v>202</v>
      </c>
      <c r="L906" s="14" t="s">
        <v>244</v>
      </c>
      <c r="M906" s="13" t="s">
        <v>50</v>
      </c>
      <c r="N906" s="14" t="s">
        <v>85</v>
      </c>
      <c r="O906" s="13" t="s">
        <v>60</v>
      </c>
      <c r="P906" s="14" t="s">
        <v>93</v>
      </c>
      <c r="Q906" s="13" t="s">
        <v>204</v>
      </c>
      <c r="R906" s="14" t="s">
        <v>100</v>
      </c>
      <c r="S906" s="15" t="n">
        <f>154.78</f>
        <v>154.78</v>
      </c>
      <c r="T906" s="16" t="n">
        <f>50504</f>
        <v>50504.0</v>
      </c>
      <c r="U906" s="16" t="n">
        <v>16074.0</v>
      </c>
      <c r="V906" s="16" t="n">
        <f>10159046800</f>
        <v>1.01590468E10</v>
      </c>
      <c r="W906" s="16" t="n">
        <v>3.6647938E9</v>
      </c>
      <c r="X906" s="16" t="str">
        <f>"－"</f>
        <v>－</v>
      </c>
      <c r="Y906" s="13"/>
      <c r="Z906" s="17" t="n">
        <f>11941</f>
        <v>11941.0</v>
      </c>
      <c r="AA906" s="18" t="n">
        <f>18</f>
        <v>18.0</v>
      </c>
      <c r="AB906" s="11" t="s">
        <v>203</v>
      </c>
    </row>
    <row r="907">
      <c r="A907" s="11" t="s">
        <v>46</v>
      </c>
      <c r="B907" s="11" t="s">
        <v>47</v>
      </c>
      <c r="C907" s="11" t="s">
        <v>48</v>
      </c>
      <c r="D907" s="11" t="s">
        <v>651</v>
      </c>
      <c r="E907" s="11" t="s">
        <v>201</v>
      </c>
      <c r="F907" s="12" t="n">
        <v>31125.0</v>
      </c>
      <c r="G907" s="13" t="s">
        <v>56</v>
      </c>
      <c r="H907" s="14" t="s">
        <v>119</v>
      </c>
      <c r="I907" s="13" t="s">
        <v>202</v>
      </c>
      <c r="J907" s="14" t="s">
        <v>149</v>
      </c>
      <c r="K907" s="13" t="s">
        <v>202</v>
      </c>
      <c r="L907" s="14" t="s">
        <v>148</v>
      </c>
      <c r="M907" s="13" t="s">
        <v>204</v>
      </c>
      <c r="N907" s="14" t="s">
        <v>92</v>
      </c>
      <c r="O907" s="13" t="s">
        <v>204</v>
      </c>
      <c r="P907" s="14" t="s">
        <v>92</v>
      </c>
      <c r="Q907" s="13" t="s">
        <v>204</v>
      </c>
      <c r="R907" s="14" t="s">
        <v>189</v>
      </c>
      <c r="S907" s="15" t="n">
        <f>175.64</f>
        <v>175.64</v>
      </c>
      <c r="T907" s="16" t="n">
        <f>6441</f>
        <v>6441.0</v>
      </c>
      <c r="U907" s="16" t="n">
        <v>346.0</v>
      </c>
      <c r="V907" s="16" t="n">
        <f>1046987000</f>
        <v>1.046987E9</v>
      </c>
      <c r="W907" s="16" t="n">
        <v>5.0317E7</v>
      </c>
      <c r="X907" s="16" t="str">
        <f>"－"</f>
        <v>－</v>
      </c>
      <c r="Y907" s="13"/>
      <c r="Z907" s="17" t="n">
        <f>585</f>
        <v>585.0</v>
      </c>
      <c r="AA907" s="18" t="n">
        <f>11</f>
        <v>11.0</v>
      </c>
      <c r="AB907" s="11" t="s">
        <v>203</v>
      </c>
    </row>
    <row r="908">
      <c r="A908" s="11" t="s">
        <v>46</v>
      </c>
      <c r="B908" s="11" t="s">
        <v>47</v>
      </c>
      <c r="C908" s="11" t="s">
        <v>48</v>
      </c>
      <c r="D908" s="11" t="s">
        <v>651</v>
      </c>
      <c r="E908" s="11" t="s">
        <v>201</v>
      </c>
      <c r="F908" s="12" t="n">
        <v>31250.0</v>
      </c>
      <c r="G908" s="13" t="s">
        <v>50</v>
      </c>
      <c r="H908" s="14" t="s">
        <v>82</v>
      </c>
      <c r="I908" s="13" t="s">
        <v>202</v>
      </c>
      <c r="J908" s="14" t="s">
        <v>183</v>
      </c>
      <c r="K908" s="13" t="s">
        <v>202</v>
      </c>
      <c r="L908" s="14" t="s">
        <v>196</v>
      </c>
      <c r="M908" s="13" t="s">
        <v>50</v>
      </c>
      <c r="N908" s="14" t="s">
        <v>74</v>
      </c>
      <c r="O908" s="13" t="s">
        <v>55</v>
      </c>
      <c r="P908" s="14" t="s">
        <v>184</v>
      </c>
      <c r="Q908" s="13" t="s">
        <v>204</v>
      </c>
      <c r="R908" s="14" t="s">
        <v>91</v>
      </c>
      <c r="S908" s="15" t="n">
        <f>117.06</f>
        <v>117.06</v>
      </c>
      <c r="T908" s="16" t="n">
        <f>19818</f>
        <v>19818.0</v>
      </c>
      <c r="U908" s="16" t="n">
        <v>7865.0</v>
      </c>
      <c r="V908" s="16" t="n">
        <f>3512202960</f>
        <v>3.51220296E9</v>
      </c>
      <c r="W908" s="16" t="n">
        <v>1.79005696E9</v>
      </c>
      <c r="X908" s="16" t="str">
        <f>"－"</f>
        <v>－</v>
      </c>
      <c r="Y908" s="13"/>
      <c r="Z908" s="17" t="n">
        <f>1704</f>
        <v>1704.0</v>
      </c>
      <c r="AA908" s="18" t="n">
        <f>18</f>
        <v>18.0</v>
      </c>
      <c r="AB908" s="11" t="s">
        <v>203</v>
      </c>
    </row>
    <row r="909">
      <c r="A909" s="11" t="s">
        <v>46</v>
      </c>
      <c r="B909" s="11" t="s">
        <v>47</v>
      </c>
      <c r="C909" s="11" t="s">
        <v>48</v>
      </c>
      <c r="D909" s="11" t="s">
        <v>651</v>
      </c>
      <c r="E909" s="11" t="s">
        <v>201</v>
      </c>
      <c r="F909" s="12" t="n">
        <v>31375.0</v>
      </c>
      <c r="G909" s="13" t="s">
        <v>52</v>
      </c>
      <c r="H909" s="14" t="s">
        <v>115</v>
      </c>
      <c r="I909" s="13" t="s">
        <v>202</v>
      </c>
      <c r="J909" s="14" t="s">
        <v>163</v>
      </c>
      <c r="K909" s="13" t="s">
        <v>202</v>
      </c>
      <c r="L909" s="14" t="s">
        <v>282</v>
      </c>
      <c r="M909" s="13" t="s">
        <v>204</v>
      </c>
      <c r="N909" s="14" t="s">
        <v>334</v>
      </c>
      <c r="O909" s="13" t="s">
        <v>204</v>
      </c>
      <c r="P909" s="14" t="s">
        <v>82</v>
      </c>
      <c r="Q909" s="13" t="s">
        <v>204</v>
      </c>
      <c r="R909" s="14" t="s">
        <v>85</v>
      </c>
      <c r="S909" s="15" t="n">
        <f>132.17</f>
        <v>132.17</v>
      </c>
      <c r="T909" s="16" t="n">
        <f>7232</f>
        <v>7232.0</v>
      </c>
      <c r="U909" s="16" t="n">
        <v>225.0</v>
      </c>
      <c r="V909" s="16" t="n">
        <f>815904000</f>
        <v>8.15904E8</v>
      </c>
      <c r="W909" s="16" t="n">
        <v>2.474E7</v>
      </c>
      <c r="X909" s="16" t="str">
        <f>"－"</f>
        <v>－</v>
      </c>
      <c r="Y909" s="13"/>
      <c r="Z909" s="17" t="n">
        <f>536</f>
        <v>536.0</v>
      </c>
      <c r="AA909" s="18" t="n">
        <f>12</f>
        <v>12.0</v>
      </c>
      <c r="AB909" s="11" t="s">
        <v>203</v>
      </c>
    </row>
    <row r="910">
      <c r="A910" s="11" t="s">
        <v>46</v>
      </c>
      <c r="B910" s="11" t="s">
        <v>47</v>
      </c>
      <c r="C910" s="11" t="s">
        <v>48</v>
      </c>
      <c r="D910" s="11" t="s">
        <v>651</v>
      </c>
      <c r="E910" s="11" t="s">
        <v>201</v>
      </c>
      <c r="F910" s="12" t="n">
        <v>31500.0</v>
      </c>
      <c r="G910" s="13" t="s">
        <v>50</v>
      </c>
      <c r="H910" s="14" t="s">
        <v>76</v>
      </c>
      <c r="I910" s="13" t="s">
        <v>202</v>
      </c>
      <c r="J910" s="14" t="s">
        <v>190</v>
      </c>
      <c r="K910" s="13" t="s">
        <v>202</v>
      </c>
      <c r="L910" s="14" t="s">
        <v>238</v>
      </c>
      <c r="M910" s="13" t="s">
        <v>50</v>
      </c>
      <c r="N910" s="14" t="s">
        <v>78</v>
      </c>
      <c r="O910" s="13" t="s">
        <v>55</v>
      </c>
      <c r="P910" s="14" t="s">
        <v>213</v>
      </c>
      <c r="Q910" s="13" t="s">
        <v>204</v>
      </c>
      <c r="R910" s="14" t="s">
        <v>79</v>
      </c>
      <c r="S910" s="15" t="n">
        <f>88.06</f>
        <v>88.06</v>
      </c>
      <c r="T910" s="16" t="n">
        <f>30669</f>
        <v>30669.0</v>
      </c>
      <c r="U910" s="16" t="n">
        <v>6266.0</v>
      </c>
      <c r="V910" s="16" t="n">
        <f>3161086000</f>
        <v>3.161086E9</v>
      </c>
      <c r="W910" s="16" t="n">
        <v>6.91433E8</v>
      </c>
      <c r="X910" s="16" t="str">
        <f>"－"</f>
        <v>－</v>
      </c>
      <c r="Y910" s="13"/>
      <c r="Z910" s="17" t="n">
        <f>4818</f>
        <v>4818.0</v>
      </c>
      <c r="AA910" s="18" t="n">
        <f>18</f>
        <v>18.0</v>
      </c>
      <c r="AB910" s="11" t="s">
        <v>203</v>
      </c>
    </row>
    <row r="911">
      <c r="A911" s="11" t="s">
        <v>46</v>
      </c>
      <c r="B911" s="11" t="s">
        <v>47</v>
      </c>
      <c r="C911" s="11" t="s">
        <v>48</v>
      </c>
      <c r="D911" s="11" t="s">
        <v>651</v>
      </c>
      <c r="E911" s="11" t="s">
        <v>201</v>
      </c>
      <c r="F911" s="12" t="n">
        <v>31625.0</v>
      </c>
      <c r="G911" s="13" t="s">
        <v>206</v>
      </c>
      <c r="H911" s="14" t="s">
        <v>104</v>
      </c>
      <c r="I911" s="13" t="s">
        <v>202</v>
      </c>
      <c r="J911" s="14" t="s">
        <v>237</v>
      </c>
      <c r="K911" s="13" t="s">
        <v>202</v>
      </c>
      <c r="L911" s="14" t="s">
        <v>237</v>
      </c>
      <c r="M911" s="13" t="s">
        <v>204</v>
      </c>
      <c r="N911" s="14" t="s">
        <v>213</v>
      </c>
      <c r="O911" s="13" t="s">
        <v>204</v>
      </c>
      <c r="P911" s="14" t="s">
        <v>213</v>
      </c>
      <c r="Q911" s="13" t="s">
        <v>204</v>
      </c>
      <c r="R911" s="14" t="s">
        <v>214</v>
      </c>
      <c r="S911" s="15" t="n">
        <f>103.1</f>
        <v>103.1</v>
      </c>
      <c r="T911" s="16" t="n">
        <f>8297</f>
        <v>8297.0</v>
      </c>
      <c r="U911" s="16" t="n">
        <v>2209.0</v>
      </c>
      <c r="V911" s="16" t="n">
        <f>965001000</f>
        <v>9.65001E8</v>
      </c>
      <c r="W911" s="16" t="n">
        <v>3.69126E8</v>
      </c>
      <c r="X911" s="16" t="str">
        <f>"－"</f>
        <v>－</v>
      </c>
      <c r="Y911" s="13"/>
      <c r="Z911" s="17" t="n">
        <f>1148</f>
        <v>1148.0</v>
      </c>
      <c r="AA911" s="18" t="n">
        <f>10</f>
        <v>10.0</v>
      </c>
      <c r="AB911" s="11" t="s">
        <v>203</v>
      </c>
    </row>
    <row r="912">
      <c r="A912" s="11" t="s">
        <v>46</v>
      </c>
      <c r="B912" s="11" t="s">
        <v>47</v>
      </c>
      <c r="C912" s="11" t="s">
        <v>48</v>
      </c>
      <c r="D912" s="11" t="s">
        <v>651</v>
      </c>
      <c r="E912" s="11" t="s">
        <v>201</v>
      </c>
      <c r="F912" s="12" t="n">
        <v>31750.0</v>
      </c>
      <c r="G912" s="13" t="s">
        <v>50</v>
      </c>
      <c r="H912" s="14" t="s">
        <v>78</v>
      </c>
      <c r="I912" s="13" t="s">
        <v>202</v>
      </c>
      <c r="J912" s="14" t="s">
        <v>138</v>
      </c>
      <c r="K912" s="13" t="s">
        <v>202</v>
      </c>
      <c r="L912" s="14" t="s">
        <v>234</v>
      </c>
      <c r="M912" s="13" t="s">
        <v>50</v>
      </c>
      <c r="N912" s="14" t="s">
        <v>70</v>
      </c>
      <c r="O912" s="13" t="s">
        <v>50</v>
      </c>
      <c r="P912" s="14" t="s">
        <v>181</v>
      </c>
      <c r="Q912" s="13" t="s">
        <v>204</v>
      </c>
      <c r="R912" s="14" t="s">
        <v>75</v>
      </c>
      <c r="S912" s="15" t="n">
        <f>64.72</f>
        <v>64.72</v>
      </c>
      <c r="T912" s="16" t="n">
        <f>14161</f>
        <v>14161.0</v>
      </c>
      <c r="U912" s="16" t="n">
        <v>1101.0</v>
      </c>
      <c r="V912" s="16" t="n">
        <f>1041963000</f>
        <v>1.041963E9</v>
      </c>
      <c r="W912" s="16" t="n">
        <v>7.0631E7</v>
      </c>
      <c r="X912" s="16" t="str">
        <f>"－"</f>
        <v>－</v>
      </c>
      <c r="Y912" s="13"/>
      <c r="Z912" s="17" t="n">
        <f>1060</f>
        <v>1060.0</v>
      </c>
      <c r="AA912" s="18" t="n">
        <f>18</f>
        <v>18.0</v>
      </c>
      <c r="AB912" s="11" t="s">
        <v>203</v>
      </c>
    </row>
    <row r="913">
      <c r="A913" s="11" t="s">
        <v>46</v>
      </c>
      <c r="B913" s="11" t="s">
        <v>47</v>
      </c>
      <c r="C913" s="11" t="s">
        <v>48</v>
      </c>
      <c r="D913" s="11" t="s">
        <v>651</v>
      </c>
      <c r="E913" s="11" t="s">
        <v>201</v>
      </c>
      <c r="F913" s="12" t="n">
        <v>31875.0</v>
      </c>
      <c r="G913" s="13" t="s">
        <v>202</v>
      </c>
      <c r="H913" s="14" t="s">
        <v>129</v>
      </c>
      <c r="I913" s="13" t="s">
        <v>202</v>
      </c>
      <c r="J913" s="14" t="s">
        <v>134</v>
      </c>
      <c r="K913" s="13" t="s">
        <v>202</v>
      </c>
      <c r="L913" s="14" t="s">
        <v>230</v>
      </c>
      <c r="M913" s="13" t="s">
        <v>204</v>
      </c>
      <c r="N913" s="14" t="s">
        <v>73</v>
      </c>
      <c r="O913" s="13" t="s">
        <v>204</v>
      </c>
      <c r="P913" s="14" t="s">
        <v>73</v>
      </c>
      <c r="Q913" s="13" t="s">
        <v>204</v>
      </c>
      <c r="R913" s="14" t="s">
        <v>73</v>
      </c>
      <c r="S913" s="15" t="n">
        <f>72.63</f>
        <v>72.63</v>
      </c>
      <c r="T913" s="16" t="n">
        <f>3757</f>
        <v>3757.0</v>
      </c>
      <c r="U913" s="16" t="n">
        <v>243.0</v>
      </c>
      <c r="V913" s="16" t="n">
        <f>259130000</f>
        <v>2.5913E8</v>
      </c>
      <c r="W913" s="16" t="n">
        <v>1.1329E7</v>
      </c>
      <c r="X913" s="16" t="str">
        <f>"－"</f>
        <v>－</v>
      </c>
      <c r="Y913" s="13"/>
      <c r="Z913" s="17" t="n">
        <f>459</f>
        <v>459.0</v>
      </c>
      <c r="AA913" s="18" t="n">
        <f>8</f>
        <v>8.0</v>
      </c>
      <c r="AB913" s="11" t="s">
        <v>203</v>
      </c>
    </row>
    <row r="914">
      <c r="A914" s="11" t="s">
        <v>46</v>
      </c>
      <c r="B914" s="11" t="s">
        <v>47</v>
      </c>
      <c r="C914" s="11" t="s">
        <v>48</v>
      </c>
      <c r="D914" s="11" t="s">
        <v>651</v>
      </c>
      <c r="E914" s="11" t="s">
        <v>201</v>
      </c>
      <c r="F914" s="12" t="n">
        <v>32000.0</v>
      </c>
      <c r="G914" s="13" t="s">
        <v>50</v>
      </c>
      <c r="H914" s="14" t="s">
        <v>181</v>
      </c>
      <c r="I914" s="13" t="s">
        <v>202</v>
      </c>
      <c r="J914" s="14" t="s">
        <v>131</v>
      </c>
      <c r="K914" s="13" t="s">
        <v>202</v>
      </c>
      <c r="L914" s="14" t="s">
        <v>131</v>
      </c>
      <c r="M914" s="13" t="s">
        <v>50</v>
      </c>
      <c r="N914" s="14" t="s">
        <v>64</v>
      </c>
      <c r="O914" s="13" t="s">
        <v>60</v>
      </c>
      <c r="P914" s="14" t="s">
        <v>71</v>
      </c>
      <c r="Q914" s="13" t="s">
        <v>204</v>
      </c>
      <c r="R914" s="14" t="s">
        <v>181</v>
      </c>
      <c r="S914" s="15" t="n">
        <f>48.28</f>
        <v>48.28</v>
      </c>
      <c r="T914" s="16" t="n">
        <f>35915</f>
        <v>35915.0</v>
      </c>
      <c r="U914" s="16" t="n">
        <v>8517.0</v>
      </c>
      <c r="V914" s="16" t="n">
        <f>2414864000</f>
        <v>2.414864E9</v>
      </c>
      <c r="W914" s="16" t="n">
        <v>5.65985E8</v>
      </c>
      <c r="X914" s="16" t="str">
        <f>"－"</f>
        <v>－</v>
      </c>
      <c r="Y914" s="13"/>
      <c r="Z914" s="17" t="n">
        <f>5417</f>
        <v>5417.0</v>
      </c>
      <c r="AA914" s="18" t="n">
        <f>18</f>
        <v>18.0</v>
      </c>
      <c r="AB914" s="11" t="s">
        <v>203</v>
      </c>
    </row>
    <row r="915">
      <c r="A915" s="11" t="s">
        <v>46</v>
      </c>
      <c r="B915" s="11" t="s">
        <v>47</v>
      </c>
      <c r="C915" s="11" t="s">
        <v>48</v>
      </c>
      <c r="D915" s="11" t="s">
        <v>651</v>
      </c>
      <c r="E915" s="11" t="s">
        <v>201</v>
      </c>
      <c r="F915" s="12" t="n">
        <v>32125.0</v>
      </c>
      <c r="G915" s="13" t="s">
        <v>202</v>
      </c>
      <c r="H915" s="14" t="s">
        <v>121</v>
      </c>
      <c r="I915" s="13" t="s">
        <v>202</v>
      </c>
      <c r="J915" s="14" t="s">
        <v>230</v>
      </c>
      <c r="K915" s="13" t="s">
        <v>202</v>
      </c>
      <c r="L915" s="14" t="s">
        <v>232</v>
      </c>
      <c r="M915" s="13" t="s">
        <v>204</v>
      </c>
      <c r="N915" s="14" t="s">
        <v>71</v>
      </c>
      <c r="O915" s="13" t="s">
        <v>204</v>
      </c>
      <c r="P915" s="14" t="s">
        <v>71</v>
      </c>
      <c r="Q915" s="13" t="s">
        <v>204</v>
      </c>
      <c r="R915" s="14" t="s">
        <v>70</v>
      </c>
      <c r="S915" s="15" t="n">
        <f>54.25</f>
        <v>54.25</v>
      </c>
      <c r="T915" s="16" t="n">
        <f>3376</f>
        <v>3376.0</v>
      </c>
      <c r="U915" s="16" t="n">
        <v>119.0</v>
      </c>
      <c r="V915" s="16" t="n">
        <f>196919000</f>
        <v>1.96919E8</v>
      </c>
      <c r="W915" s="16" t="n">
        <v>7601000.0</v>
      </c>
      <c r="X915" s="16" t="str">
        <f>"－"</f>
        <v>－</v>
      </c>
      <c r="Y915" s="13"/>
      <c r="Z915" s="17" t="n">
        <f>285</f>
        <v>285.0</v>
      </c>
      <c r="AA915" s="18" t="n">
        <f>8</f>
        <v>8.0</v>
      </c>
      <c r="AB915" s="11" t="s">
        <v>203</v>
      </c>
    </row>
    <row r="916">
      <c r="A916" s="11" t="s">
        <v>46</v>
      </c>
      <c r="B916" s="11" t="s">
        <v>47</v>
      </c>
      <c r="C916" s="11" t="s">
        <v>48</v>
      </c>
      <c r="D916" s="11" t="s">
        <v>651</v>
      </c>
      <c r="E916" s="11" t="s">
        <v>201</v>
      </c>
      <c r="F916" s="12" t="n">
        <v>32250.0</v>
      </c>
      <c r="G916" s="13" t="s">
        <v>50</v>
      </c>
      <c r="H916" s="14" t="s">
        <v>71</v>
      </c>
      <c r="I916" s="13" t="s">
        <v>202</v>
      </c>
      <c r="J916" s="14" t="s">
        <v>128</v>
      </c>
      <c r="K916" s="13" t="s">
        <v>202</v>
      </c>
      <c r="L916" s="14" t="s">
        <v>128</v>
      </c>
      <c r="M916" s="13" t="s">
        <v>60</v>
      </c>
      <c r="N916" s="14" t="s">
        <v>68</v>
      </c>
      <c r="O916" s="13" t="s">
        <v>204</v>
      </c>
      <c r="P916" s="14" t="s">
        <v>68</v>
      </c>
      <c r="Q916" s="13" t="s">
        <v>204</v>
      </c>
      <c r="R916" s="14" t="s">
        <v>69</v>
      </c>
      <c r="S916" s="15" t="n">
        <f>36.28</f>
        <v>36.28</v>
      </c>
      <c r="T916" s="16" t="n">
        <f>11823</f>
        <v>11823.0</v>
      </c>
      <c r="U916" s="16" t="n">
        <v>470.0</v>
      </c>
      <c r="V916" s="16" t="n">
        <f>560462000</f>
        <v>5.60462E8</v>
      </c>
      <c r="W916" s="16" t="n">
        <v>2.4222E7</v>
      </c>
      <c r="X916" s="16" t="str">
        <f>"－"</f>
        <v>－</v>
      </c>
      <c r="Y916" s="13"/>
      <c r="Z916" s="17" t="n">
        <f>1100</f>
        <v>1100.0</v>
      </c>
      <c r="AA916" s="18" t="n">
        <f>18</f>
        <v>18.0</v>
      </c>
      <c r="AB916" s="11" t="s">
        <v>203</v>
      </c>
    </row>
    <row r="917">
      <c r="A917" s="11" t="s">
        <v>46</v>
      </c>
      <c r="B917" s="11" t="s">
        <v>47</v>
      </c>
      <c r="C917" s="11" t="s">
        <v>48</v>
      </c>
      <c r="D917" s="11" t="s">
        <v>651</v>
      </c>
      <c r="E917" s="11" t="s">
        <v>201</v>
      </c>
      <c r="F917" s="12" t="n">
        <v>32375.0</v>
      </c>
      <c r="G917" s="13" t="s">
        <v>288</v>
      </c>
      <c r="H917" s="14" t="s">
        <v>219</v>
      </c>
      <c r="I917" s="13" t="s">
        <v>207</v>
      </c>
      <c r="J917" s="14" t="s">
        <v>229</v>
      </c>
      <c r="K917" s="13" t="s">
        <v>288</v>
      </c>
      <c r="L917" s="14" t="s">
        <v>223</v>
      </c>
      <c r="M917" s="13" t="s">
        <v>204</v>
      </c>
      <c r="N917" s="14" t="s">
        <v>68</v>
      </c>
      <c r="O917" s="13" t="s">
        <v>204</v>
      </c>
      <c r="P917" s="14" t="s">
        <v>67</v>
      </c>
      <c r="Q917" s="13" t="s">
        <v>204</v>
      </c>
      <c r="R917" s="14" t="s">
        <v>68</v>
      </c>
      <c r="S917" s="15" t="n">
        <f>29.14</f>
        <v>29.14</v>
      </c>
      <c r="T917" s="16" t="n">
        <f>1990</f>
        <v>1990.0</v>
      </c>
      <c r="U917" s="16" t="n">
        <v>105.0</v>
      </c>
      <c r="V917" s="16" t="n">
        <f>73438000</f>
        <v>7.3438E7</v>
      </c>
      <c r="W917" s="16" t="n">
        <v>2405000.0</v>
      </c>
      <c r="X917" s="16" t="str">
        <f>"－"</f>
        <v>－</v>
      </c>
      <c r="Y917" s="13"/>
      <c r="Z917" s="17" t="n">
        <f>155</f>
        <v>155.0</v>
      </c>
      <c r="AA917" s="18" t="n">
        <f>7</f>
        <v>7.0</v>
      </c>
      <c r="AB917" s="11" t="s">
        <v>203</v>
      </c>
    </row>
    <row r="918">
      <c r="A918" s="11" t="s">
        <v>46</v>
      </c>
      <c r="B918" s="11" t="s">
        <v>47</v>
      </c>
      <c r="C918" s="11" t="s">
        <v>48</v>
      </c>
      <c r="D918" s="11" t="s">
        <v>651</v>
      </c>
      <c r="E918" s="11" t="s">
        <v>201</v>
      </c>
      <c r="F918" s="12" t="n">
        <v>32500.0</v>
      </c>
      <c r="G918" s="13" t="s">
        <v>50</v>
      </c>
      <c r="H918" s="14" t="s">
        <v>67</v>
      </c>
      <c r="I918" s="13" t="s">
        <v>202</v>
      </c>
      <c r="J918" s="14" t="s">
        <v>120</v>
      </c>
      <c r="K918" s="13" t="s">
        <v>202</v>
      </c>
      <c r="L918" s="14" t="s">
        <v>120</v>
      </c>
      <c r="M918" s="13" t="s">
        <v>58</v>
      </c>
      <c r="N918" s="14" t="s">
        <v>66</v>
      </c>
      <c r="O918" s="13" t="s">
        <v>60</v>
      </c>
      <c r="P918" s="14" t="s">
        <v>66</v>
      </c>
      <c r="Q918" s="13" t="s">
        <v>204</v>
      </c>
      <c r="R918" s="14" t="s">
        <v>66</v>
      </c>
      <c r="S918" s="15" t="n">
        <f>26.61</f>
        <v>26.61</v>
      </c>
      <c r="T918" s="16" t="n">
        <f>18575</f>
        <v>18575.0</v>
      </c>
      <c r="U918" s="16" t="n">
        <v>2205.0</v>
      </c>
      <c r="V918" s="16" t="n">
        <f>816584500</f>
        <v>8.165845E8</v>
      </c>
      <c r="W918" s="16" t="n">
        <v>1.367655E8</v>
      </c>
      <c r="X918" s="16" t="str">
        <f>"－"</f>
        <v>－</v>
      </c>
      <c r="Y918" s="13"/>
      <c r="Z918" s="17" t="n">
        <f>2220</f>
        <v>2220.0</v>
      </c>
      <c r="AA918" s="18" t="n">
        <f>18</f>
        <v>18.0</v>
      </c>
      <c r="AB918" s="11" t="s">
        <v>203</v>
      </c>
    </row>
    <row r="919">
      <c r="A919" s="11" t="s">
        <v>46</v>
      </c>
      <c r="B919" s="11" t="s">
        <v>47</v>
      </c>
      <c r="C919" s="11" t="s">
        <v>48</v>
      </c>
      <c r="D919" s="11" t="s">
        <v>651</v>
      </c>
      <c r="E919" s="11" t="s">
        <v>201</v>
      </c>
      <c r="F919" s="12" t="n">
        <v>32750.0</v>
      </c>
      <c r="G919" s="13" t="s">
        <v>50</v>
      </c>
      <c r="H919" s="14" t="s">
        <v>68</v>
      </c>
      <c r="I919" s="13" t="s">
        <v>202</v>
      </c>
      <c r="J919" s="14" t="s">
        <v>116</v>
      </c>
      <c r="K919" s="13" t="s">
        <v>202</v>
      </c>
      <c r="L919" s="14" t="s">
        <v>116</v>
      </c>
      <c r="M919" s="13" t="s">
        <v>204</v>
      </c>
      <c r="N919" s="14" t="s">
        <v>64</v>
      </c>
      <c r="O919" s="13" t="s">
        <v>204</v>
      </c>
      <c r="P919" s="14" t="s">
        <v>65</v>
      </c>
      <c r="Q919" s="13" t="s">
        <v>204</v>
      </c>
      <c r="R919" s="14" t="s">
        <v>65</v>
      </c>
      <c r="S919" s="15" t="n">
        <f>20.47</f>
        <v>20.47</v>
      </c>
      <c r="T919" s="16" t="n">
        <f>10671</f>
        <v>10671.0</v>
      </c>
      <c r="U919" s="16" t="n">
        <v>611.0</v>
      </c>
      <c r="V919" s="16" t="n">
        <f>341071000</f>
        <v>3.41071E8</v>
      </c>
      <c r="W919" s="16" t="n">
        <v>1.8567E7</v>
      </c>
      <c r="X919" s="16" t="str">
        <f>"－"</f>
        <v>－</v>
      </c>
      <c r="Y919" s="13"/>
      <c r="Z919" s="17" t="n">
        <f>691</f>
        <v>691.0</v>
      </c>
      <c r="AA919" s="18" t="n">
        <f>17</f>
        <v>17.0</v>
      </c>
      <c r="AB919" s="11" t="s">
        <v>203</v>
      </c>
    </row>
    <row r="920">
      <c r="A920" s="11" t="s">
        <v>46</v>
      </c>
      <c r="B920" s="11" t="s">
        <v>47</v>
      </c>
      <c r="C920" s="11" t="s">
        <v>48</v>
      </c>
      <c r="D920" s="11" t="s">
        <v>651</v>
      </c>
      <c r="E920" s="11" t="s">
        <v>201</v>
      </c>
      <c r="F920" s="12" t="n">
        <v>33000.0</v>
      </c>
      <c r="G920" s="13" t="s">
        <v>50</v>
      </c>
      <c r="H920" s="14" t="s">
        <v>66</v>
      </c>
      <c r="I920" s="13" t="s">
        <v>202</v>
      </c>
      <c r="J920" s="14" t="s">
        <v>223</v>
      </c>
      <c r="K920" s="13" t="s">
        <v>202</v>
      </c>
      <c r="L920" s="14" t="s">
        <v>223</v>
      </c>
      <c r="M920" s="13" t="s">
        <v>204</v>
      </c>
      <c r="N920" s="14" t="s">
        <v>62</v>
      </c>
      <c r="O920" s="13" t="s">
        <v>204</v>
      </c>
      <c r="P920" s="14" t="s">
        <v>62</v>
      </c>
      <c r="Q920" s="13" t="s">
        <v>204</v>
      </c>
      <c r="R920" s="14" t="s">
        <v>62</v>
      </c>
      <c r="S920" s="15" t="n">
        <f>15.11</f>
        <v>15.11</v>
      </c>
      <c r="T920" s="16" t="n">
        <f>18609</f>
        <v>18609.0</v>
      </c>
      <c r="U920" s="16" t="n">
        <v>2208.0</v>
      </c>
      <c r="V920" s="16" t="n">
        <f>517940000</f>
        <v>5.1794E8</v>
      </c>
      <c r="W920" s="16" t="n">
        <v>6.1492E7</v>
      </c>
      <c r="X920" s="16" t="str">
        <f>"－"</f>
        <v>－</v>
      </c>
      <c r="Y920" s="13"/>
      <c r="Z920" s="17" t="n">
        <f>2200</f>
        <v>2200.0</v>
      </c>
      <c r="AA920" s="18" t="n">
        <f>18</f>
        <v>18.0</v>
      </c>
      <c r="AB920" s="11" t="s">
        <v>203</v>
      </c>
    </row>
    <row r="921">
      <c r="A921" s="11" t="s">
        <v>46</v>
      </c>
      <c r="B921" s="11" t="s">
        <v>47</v>
      </c>
      <c r="C921" s="11" t="s">
        <v>48</v>
      </c>
      <c r="D921" s="11" t="s">
        <v>651</v>
      </c>
      <c r="E921" s="11" t="s">
        <v>201</v>
      </c>
      <c r="F921" s="12" t="n">
        <v>33250.0</v>
      </c>
      <c r="G921" s="13" t="s">
        <v>288</v>
      </c>
      <c r="H921" s="14" t="s">
        <v>79</v>
      </c>
      <c r="I921" s="13" t="s">
        <v>207</v>
      </c>
      <c r="J921" s="14" t="s">
        <v>91</v>
      </c>
      <c r="K921" s="13" t="s">
        <v>207</v>
      </c>
      <c r="L921" s="14" t="s">
        <v>91</v>
      </c>
      <c r="M921" s="13" t="s">
        <v>204</v>
      </c>
      <c r="N921" s="14" t="s">
        <v>62</v>
      </c>
      <c r="O921" s="13" t="s">
        <v>204</v>
      </c>
      <c r="P921" s="14" t="s">
        <v>62</v>
      </c>
      <c r="Q921" s="13" t="s">
        <v>204</v>
      </c>
      <c r="R921" s="14" t="s">
        <v>62</v>
      </c>
      <c r="S921" s="15" t="n">
        <f>10.29</f>
        <v>10.29</v>
      </c>
      <c r="T921" s="16" t="n">
        <f>1595</f>
        <v>1595.0</v>
      </c>
      <c r="U921" s="16" t="n">
        <v>45.0</v>
      </c>
      <c r="V921" s="16" t="n">
        <f>28069000</f>
        <v>2.8069E7</v>
      </c>
      <c r="W921" s="16" t="n">
        <v>594000.0</v>
      </c>
      <c r="X921" s="16" t="str">
        <f>"－"</f>
        <v>－</v>
      </c>
      <c r="Y921" s="13"/>
      <c r="Z921" s="17" t="n">
        <f>91</f>
        <v>91.0</v>
      </c>
      <c r="AA921" s="18" t="n">
        <f>7</f>
        <v>7.0</v>
      </c>
      <c r="AB921" s="11" t="s">
        <v>203</v>
      </c>
    </row>
    <row r="922">
      <c r="A922" s="11" t="s">
        <v>46</v>
      </c>
      <c r="B922" s="11" t="s">
        <v>47</v>
      </c>
      <c r="C922" s="11" t="s">
        <v>48</v>
      </c>
      <c r="D922" s="11" t="s">
        <v>651</v>
      </c>
      <c r="E922" s="11" t="s">
        <v>201</v>
      </c>
      <c r="F922" s="12" t="n">
        <v>33500.0</v>
      </c>
      <c r="G922" s="13" t="s">
        <v>50</v>
      </c>
      <c r="H922" s="14" t="s">
        <v>64</v>
      </c>
      <c r="I922" s="13" t="s">
        <v>202</v>
      </c>
      <c r="J922" s="14" t="s">
        <v>113</v>
      </c>
      <c r="K922" s="13" t="s">
        <v>202</v>
      </c>
      <c r="L922" s="14" t="s">
        <v>113</v>
      </c>
      <c r="M922" s="13" t="s">
        <v>204</v>
      </c>
      <c r="N922" s="14" t="s">
        <v>59</v>
      </c>
      <c r="O922" s="13" t="s">
        <v>204</v>
      </c>
      <c r="P922" s="14" t="s">
        <v>59</v>
      </c>
      <c r="Q922" s="13" t="s">
        <v>204</v>
      </c>
      <c r="R922" s="14" t="s">
        <v>59</v>
      </c>
      <c r="S922" s="15" t="n">
        <f>9.11</f>
        <v>9.11</v>
      </c>
      <c r="T922" s="16" t="n">
        <f>11438</f>
        <v>11438.0</v>
      </c>
      <c r="U922" s="16" t="n">
        <v>794.0</v>
      </c>
      <c r="V922" s="16" t="n">
        <f>206285000</f>
        <v>2.06285E8</v>
      </c>
      <c r="W922" s="16" t="n">
        <v>1.2675E7</v>
      </c>
      <c r="X922" s="16" t="str">
        <f>"－"</f>
        <v>－</v>
      </c>
      <c r="Y922" s="13"/>
      <c r="Z922" s="17" t="n">
        <f>939</f>
        <v>939.0</v>
      </c>
      <c r="AA922" s="18" t="n">
        <f>18</f>
        <v>18.0</v>
      </c>
      <c r="AB922" s="11" t="s">
        <v>203</v>
      </c>
    </row>
    <row r="923">
      <c r="A923" s="11" t="s">
        <v>46</v>
      </c>
      <c r="B923" s="11" t="s">
        <v>47</v>
      </c>
      <c r="C923" s="11" t="s">
        <v>48</v>
      </c>
      <c r="D923" s="11" t="s">
        <v>651</v>
      </c>
      <c r="E923" s="11" t="s">
        <v>201</v>
      </c>
      <c r="F923" s="12" t="n">
        <v>33750.0</v>
      </c>
      <c r="G923" s="13" t="s">
        <v>288</v>
      </c>
      <c r="H923" s="14" t="s">
        <v>77</v>
      </c>
      <c r="I923" s="13" t="s">
        <v>207</v>
      </c>
      <c r="J923" s="14" t="s">
        <v>81</v>
      </c>
      <c r="K923" s="13" t="s">
        <v>207</v>
      </c>
      <c r="L923" s="14" t="s">
        <v>81</v>
      </c>
      <c r="M923" s="13" t="s">
        <v>204</v>
      </c>
      <c r="N923" s="14" t="s">
        <v>51</v>
      </c>
      <c r="O923" s="13" t="s">
        <v>204</v>
      </c>
      <c r="P923" s="14" t="s">
        <v>59</v>
      </c>
      <c r="Q923" s="13" t="s">
        <v>204</v>
      </c>
      <c r="R923" s="14" t="s">
        <v>51</v>
      </c>
      <c r="S923" s="15" t="n">
        <f>6</f>
        <v>6.0</v>
      </c>
      <c r="T923" s="16" t="n">
        <f>1268</f>
        <v>1268.0</v>
      </c>
      <c r="U923" s="16" t="n">
        <v>43.0</v>
      </c>
      <c r="V923" s="16" t="n">
        <f>12418000</f>
        <v>1.2418E7</v>
      </c>
      <c r="W923" s="16" t="n">
        <v>407000.0</v>
      </c>
      <c r="X923" s="16" t="str">
        <f>"－"</f>
        <v>－</v>
      </c>
      <c r="Y923" s="13"/>
      <c r="Z923" s="17" t="n">
        <f>272</f>
        <v>272.0</v>
      </c>
      <c r="AA923" s="18" t="n">
        <f>7</f>
        <v>7.0</v>
      </c>
      <c r="AB923" s="11" t="s">
        <v>203</v>
      </c>
    </row>
    <row r="924">
      <c r="A924" s="11" t="s">
        <v>46</v>
      </c>
      <c r="B924" s="11" t="s">
        <v>47</v>
      </c>
      <c r="C924" s="11" t="s">
        <v>48</v>
      </c>
      <c r="D924" s="11" t="s">
        <v>651</v>
      </c>
      <c r="E924" s="11" t="s">
        <v>201</v>
      </c>
      <c r="F924" s="12" t="n">
        <v>34000.0</v>
      </c>
      <c r="G924" s="13" t="s">
        <v>50</v>
      </c>
      <c r="H924" s="14" t="s">
        <v>62</v>
      </c>
      <c r="I924" s="13" t="s">
        <v>202</v>
      </c>
      <c r="J924" s="14" t="s">
        <v>184</v>
      </c>
      <c r="K924" s="13" t="s">
        <v>202</v>
      </c>
      <c r="L924" s="14" t="s">
        <v>85</v>
      </c>
      <c r="M924" s="13" t="s">
        <v>204</v>
      </c>
      <c r="N924" s="14" t="s">
        <v>51</v>
      </c>
      <c r="O924" s="13" t="s">
        <v>204</v>
      </c>
      <c r="P924" s="14" t="s">
        <v>51</v>
      </c>
      <c r="Q924" s="13" t="s">
        <v>204</v>
      </c>
      <c r="R924" s="14" t="s">
        <v>51</v>
      </c>
      <c r="S924" s="15" t="n">
        <f>5.72</f>
        <v>5.72</v>
      </c>
      <c r="T924" s="16" t="n">
        <f>6639</f>
        <v>6639.0</v>
      </c>
      <c r="U924" s="16" t="n">
        <v>593.0</v>
      </c>
      <c r="V924" s="16" t="n">
        <f>78454000</f>
        <v>7.8454E7</v>
      </c>
      <c r="W924" s="16" t="n">
        <v>5254000.0</v>
      </c>
      <c r="X924" s="16" t="str">
        <f>"－"</f>
        <v>－</v>
      </c>
      <c r="Y924" s="13"/>
      <c r="Z924" s="17" t="n">
        <f>614</f>
        <v>614.0</v>
      </c>
      <c r="AA924" s="18" t="n">
        <f>18</f>
        <v>18.0</v>
      </c>
      <c r="AB924" s="11" t="s">
        <v>203</v>
      </c>
    </row>
    <row r="925">
      <c r="A925" s="11" t="s">
        <v>46</v>
      </c>
      <c r="B925" s="11" t="s">
        <v>47</v>
      </c>
      <c r="C925" s="11" t="s">
        <v>48</v>
      </c>
      <c r="D925" s="11" t="s">
        <v>651</v>
      </c>
      <c r="E925" s="11" t="s">
        <v>201</v>
      </c>
      <c r="F925" s="12" t="n">
        <v>34250.0</v>
      </c>
      <c r="G925" s="13" t="s">
        <v>288</v>
      </c>
      <c r="H925" s="14" t="s">
        <v>70</v>
      </c>
      <c r="I925" s="13" t="s">
        <v>288</v>
      </c>
      <c r="J925" s="14" t="s">
        <v>70</v>
      </c>
      <c r="K925" s="13" t="s">
        <v>288</v>
      </c>
      <c r="L925" s="14" t="s">
        <v>72</v>
      </c>
      <c r="M925" s="13" t="s">
        <v>215</v>
      </c>
      <c r="N925" s="14" t="s">
        <v>51</v>
      </c>
      <c r="O925" s="13" t="s">
        <v>210</v>
      </c>
      <c r="P925" s="14" t="s">
        <v>59</v>
      </c>
      <c r="Q925" s="13" t="s">
        <v>204</v>
      </c>
      <c r="R925" s="14" t="s">
        <v>51</v>
      </c>
      <c r="S925" s="15" t="n">
        <f>4</f>
        <v>4.0</v>
      </c>
      <c r="T925" s="16" t="n">
        <f>478</f>
        <v>478.0</v>
      </c>
      <c r="U925" s="16" t="n">
        <v>93.0</v>
      </c>
      <c r="V925" s="16" t="n">
        <f>3403000</f>
        <v>3403000.0</v>
      </c>
      <c r="W925" s="16" t="n">
        <v>428000.0</v>
      </c>
      <c r="X925" s="16" t="str">
        <f>"－"</f>
        <v>－</v>
      </c>
      <c r="Y925" s="13"/>
      <c r="Z925" s="17" t="n">
        <f>46</f>
        <v>46.0</v>
      </c>
      <c r="AA925" s="18" t="n">
        <f>7</f>
        <v>7.0</v>
      </c>
      <c r="AB925" s="11" t="s">
        <v>203</v>
      </c>
    </row>
    <row r="926">
      <c r="A926" s="11" t="s">
        <v>46</v>
      </c>
      <c r="B926" s="11" t="s">
        <v>47</v>
      </c>
      <c r="C926" s="11" t="s">
        <v>48</v>
      </c>
      <c r="D926" s="11" t="s">
        <v>651</v>
      </c>
      <c r="E926" s="11" t="s">
        <v>201</v>
      </c>
      <c r="F926" s="12" t="n">
        <v>34500.0</v>
      </c>
      <c r="G926" s="13" t="s">
        <v>55</v>
      </c>
      <c r="H926" s="14" t="s">
        <v>59</v>
      </c>
      <c r="I926" s="13" t="s">
        <v>202</v>
      </c>
      <c r="J926" s="14" t="s">
        <v>213</v>
      </c>
      <c r="K926" s="13" t="s">
        <v>202</v>
      </c>
      <c r="L926" s="14" t="s">
        <v>213</v>
      </c>
      <c r="M926" s="13" t="s">
        <v>210</v>
      </c>
      <c r="N926" s="14" t="s">
        <v>51</v>
      </c>
      <c r="O926" s="13" t="s">
        <v>215</v>
      </c>
      <c r="P926" s="14" t="s">
        <v>51</v>
      </c>
      <c r="Q926" s="13" t="s">
        <v>204</v>
      </c>
      <c r="R926" s="14" t="s">
        <v>51</v>
      </c>
      <c r="S926" s="15" t="n">
        <f>4</f>
        <v>4.0</v>
      </c>
      <c r="T926" s="16" t="n">
        <f>3872</f>
        <v>3872.0</v>
      </c>
      <c r="U926" s="16" t="n">
        <v>353.0</v>
      </c>
      <c r="V926" s="16" t="n">
        <f>30217000</f>
        <v>3.0217E7</v>
      </c>
      <c r="W926" s="16" t="n">
        <v>2145000.0</v>
      </c>
      <c r="X926" s="16" t="str">
        <f>"－"</f>
        <v>－</v>
      </c>
      <c r="Y926" s="13"/>
      <c r="Z926" s="17" t="n">
        <f>497</f>
        <v>497.0</v>
      </c>
      <c r="AA926" s="18" t="n">
        <f>17</f>
        <v>17.0</v>
      </c>
      <c r="AB926" s="11" t="s">
        <v>203</v>
      </c>
    </row>
    <row r="927">
      <c r="A927" s="11" t="s">
        <v>46</v>
      </c>
      <c r="B927" s="11" t="s">
        <v>47</v>
      </c>
      <c r="C927" s="11" t="s">
        <v>48</v>
      </c>
      <c r="D927" s="11" t="s">
        <v>651</v>
      </c>
      <c r="E927" s="11" t="s">
        <v>201</v>
      </c>
      <c r="F927" s="12" t="n">
        <v>34750.0</v>
      </c>
      <c r="G927" s="13" t="s">
        <v>207</v>
      </c>
      <c r="H927" s="14" t="s">
        <v>66</v>
      </c>
      <c r="I927" s="13" t="s">
        <v>207</v>
      </c>
      <c r="J927" s="14" t="s">
        <v>67</v>
      </c>
      <c r="K927" s="13" t="s">
        <v>207</v>
      </c>
      <c r="L927" s="14" t="s">
        <v>66</v>
      </c>
      <c r="M927" s="13" t="s">
        <v>204</v>
      </c>
      <c r="N927" s="14" t="s">
        <v>51</v>
      </c>
      <c r="O927" s="13" t="s">
        <v>204</v>
      </c>
      <c r="P927" s="14" t="s">
        <v>51</v>
      </c>
      <c r="Q927" s="13" t="s">
        <v>204</v>
      </c>
      <c r="R927" s="14" t="s">
        <v>51</v>
      </c>
      <c r="S927" s="15" t="n">
        <f>2.6</f>
        <v>2.6</v>
      </c>
      <c r="T927" s="16" t="n">
        <f>238</f>
        <v>238.0</v>
      </c>
      <c r="U927" s="16" t="n">
        <v>21.0</v>
      </c>
      <c r="V927" s="16" t="n">
        <f>849000</f>
        <v>849000.0</v>
      </c>
      <c r="W927" s="16" t="n">
        <v>43000.0</v>
      </c>
      <c r="X927" s="16" t="str">
        <f>"－"</f>
        <v>－</v>
      </c>
      <c r="Y927" s="13"/>
      <c r="Z927" s="17" t="n">
        <f>70</f>
        <v>70.0</v>
      </c>
      <c r="AA927" s="18" t="n">
        <f>5</f>
        <v>5.0</v>
      </c>
      <c r="AB927" s="11" t="s">
        <v>203</v>
      </c>
    </row>
    <row r="928">
      <c r="A928" s="11" t="s">
        <v>46</v>
      </c>
      <c r="B928" s="11" t="s">
        <v>47</v>
      </c>
      <c r="C928" s="11" t="s">
        <v>48</v>
      </c>
      <c r="D928" s="11" t="s">
        <v>651</v>
      </c>
      <c r="E928" s="11" t="s">
        <v>201</v>
      </c>
      <c r="F928" s="12" t="n">
        <v>35000.0</v>
      </c>
      <c r="G928" s="13" t="s">
        <v>50</v>
      </c>
      <c r="H928" s="14" t="s">
        <v>59</v>
      </c>
      <c r="I928" s="13" t="s">
        <v>202</v>
      </c>
      <c r="J928" s="14" t="s">
        <v>181</v>
      </c>
      <c r="K928" s="13" t="s">
        <v>202</v>
      </c>
      <c r="L928" s="14" t="s">
        <v>181</v>
      </c>
      <c r="M928" s="13" t="s">
        <v>205</v>
      </c>
      <c r="N928" s="14" t="s">
        <v>51</v>
      </c>
      <c r="O928" s="13" t="s">
        <v>210</v>
      </c>
      <c r="P928" s="14" t="s">
        <v>51</v>
      </c>
      <c r="Q928" s="13" t="s">
        <v>204</v>
      </c>
      <c r="R928" s="14" t="s">
        <v>51</v>
      </c>
      <c r="S928" s="15" t="n">
        <f>2.94</f>
        <v>2.94</v>
      </c>
      <c r="T928" s="16" t="n">
        <f>6589</f>
        <v>6589.0</v>
      </c>
      <c r="U928" s="16" t="n">
        <v>797.0</v>
      </c>
      <c r="V928" s="16" t="n">
        <f>34855000</f>
        <v>3.4855E7</v>
      </c>
      <c r="W928" s="16" t="n">
        <v>4267000.0</v>
      </c>
      <c r="X928" s="16" t="str">
        <f>"－"</f>
        <v>－</v>
      </c>
      <c r="Y928" s="13"/>
      <c r="Z928" s="17" t="n">
        <f>1219</f>
        <v>1219.0</v>
      </c>
      <c r="AA928" s="18" t="n">
        <f>18</f>
        <v>18.0</v>
      </c>
      <c r="AB928" s="11" t="s">
        <v>203</v>
      </c>
    </row>
    <row r="929">
      <c r="A929" s="11" t="s">
        <v>46</v>
      </c>
      <c r="B929" s="11" t="s">
        <v>47</v>
      </c>
      <c r="C929" s="11" t="s">
        <v>48</v>
      </c>
      <c r="D929" s="11" t="s">
        <v>651</v>
      </c>
      <c r="E929" s="11" t="s">
        <v>201</v>
      </c>
      <c r="F929" s="12" t="n">
        <v>35500.0</v>
      </c>
      <c r="G929" s="13" t="s">
        <v>288</v>
      </c>
      <c r="H929" s="14" t="s">
        <v>64</v>
      </c>
      <c r="I929" s="13" t="s">
        <v>288</v>
      </c>
      <c r="J929" s="14" t="s">
        <v>64</v>
      </c>
      <c r="K929" s="13" t="s">
        <v>288</v>
      </c>
      <c r="L929" s="14" t="s">
        <v>64</v>
      </c>
      <c r="M929" s="13" t="s">
        <v>210</v>
      </c>
      <c r="N929" s="14" t="s">
        <v>51</v>
      </c>
      <c r="O929" s="13" t="s">
        <v>210</v>
      </c>
      <c r="P929" s="14" t="s">
        <v>51</v>
      </c>
      <c r="Q929" s="13" t="s">
        <v>204</v>
      </c>
      <c r="R929" s="14" t="s">
        <v>51</v>
      </c>
      <c r="S929" s="15" t="n">
        <f>1.71</f>
        <v>1.71</v>
      </c>
      <c r="T929" s="16" t="n">
        <f>673</f>
        <v>673.0</v>
      </c>
      <c r="U929" s="16" t="n">
        <v>77.0</v>
      </c>
      <c r="V929" s="16" t="n">
        <f>1709000</f>
        <v>1709000.0</v>
      </c>
      <c r="W929" s="16" t="n">
        <v>147000.0</v>
      </c>
      <c r="X929" s="16" t="str">
        <f>"－"</f>
        <v>－</v>
      </c>
      <c r="Y929" s="13"/>
      <c r="Z929" s="17" t="n">
        <f>406</f>
        <v>406.0</v>
      </c>
      <c r="AA929" s="18" t="n">
        <f>7</f>
        <v>7.0</v>
      </c>
      <c r="AB929" s="11" t="s">
        <v>203</v>
      </c>
    </row>
    <row r="930">
      <c r="A930" s="11" t="s">
        <v>46</v>
      </c>
      <c r="B930" s="11" t="s">
        <v>47</v>
      </c>
      <c r="C930" s="11" t="s">
        <v>48</v>
      </c>
      <c r="D930" s="11" t="s">
        <v>651</v>
      </c>
      <c r="E930" s="11" t="s">
        <v>201</v>
      </c>
      <c r="F930" s="12" t="n">
        <v>36000.0</v>
      </c>
      <c r="G930" s="13" t="s">
        <v>207</v>
      </c>
      <c r="H930" s="14" t="s">
        <v>62</v>
      </c>
      <c r="I930" s="13" t="s">
        <v>207</v>
      </c>
      <c r="J930" s="14" t="s">
        <v>62</v>
      </c>
      <c r="K930" s="13" t="s">
        <v>207</v>
      </c>
      <c r="L930" s="14" t="s">
        <v>59</v>
      </c>
      <c r="M930" s="13" t="s">
        <v>207</v>
      </c>
      <c r="N930" s="14" t="s">
        <v>51</v>
      </c>
      <c r="O930" s="13" t="s">
        <v>208</v>
      </c>
      <c r="P930" s="14" t="s">
        <v>51</v>
      </c>
      <c r="Q930" s="13" t="s">
        <v>215</v>
      </c>
      <c r="R930" s="14" t="s">
        <v>51</v>
      </c>
      <c r="S930" s="15" t="n">
        <f>1</f>
        <v>1.0</v>
      </c>
      <c r="T930" s="16" t="n">
        <f>253</f>
        <v>253.0</v>
      </c>
      <c r="U930" s="16" t="n">
        <v>21.0</v>
      </c>
      <c r="V930" s="16" t="n">
        <f>399000</f>
        <v>399000.0</v>
      </c>
      <c r="W930" s="16" t="n">
        <v>23000.0</v>
      </c>
      <c r="X930" s="16" t="str">
        <f>"－"</f>
        <v>－</v>
      </c>
      <c r="Y930" s="13"/>
      <c r="Z930" s="17" t="n">
        <f>139</f>
        <v>139.0</v>
      </c>
      <c r="AA930" s="18" t="n">
        <f>4</f>
        <v>4.0</v>
      </c>
      <c r="AB930" s="11" t="s">
        <v>203</v>
      </c>
    </row>
    <row r="931">
      <c r="A931" s="11" t="s">
        <v>46</v>
      </c>
      <c r="B931" s="11" t="s">
        <v>47</v>
      </c>
      <c r="C931" s="11" t="s">
        <v>48</v>
      </c>
      <c r="D931" s="11" t="s">
        <v>651</v>
      </c>
      <c r="E931" s="11" t="s">
        <v>201</v>
      </c>
      <c r="F931" s="12" t="n">
        <v>37000.0</v>
      </c>
      <c r="G931" s="13" t="s">
        <v>207</v>
      </c>
      <c r="H931" s="14" t="s">
        <v>51</v>
      </c>
      <c r="I931" s="13" t="s">
        <v>207</v>
      </c>
      <c r="J931" s="14" t="s">
        <v>51</v>
      </c>
      <c r="K931" s="13" t="s">
        <v>207</v>
      </c>
      <c r="L931" s="14" t="s">
        <v>51</v>
      </c>
      <c r="M931" s="13" t="s">
        <v>207</v>
      </c>
      <c r="N931" s="14" t="s">
        <v>51</v>
      </c>
      <c r="O931" s="13" t="s">
        <v>207</v>
      </c>
      <c r="P931" s="14" t="s">
        <v>51</v>
      </c>
      <c r="Q931" s="13" t="s">
        <v>211</v>
      </c>
      <c r="R931" s="14" t="s">
        <v>51</v>
      </c>
      <c r="S931" s="15" t="n">
        <f>1</f>
        <v>1.0</v>
      </c>
      <c r="T931" s="16" t="n">
        <f>122</f>
        <v>122.0</v>
      </c>
      <c r="U931" s="16" t="n">
        <v>8.0</v>
      </c>
      <c r="V931" s="16" t="n">
        <f>122000</f>
        <v>122000.0</v>
      </c>
      <c r="W931" s="16" t="n">
        <v>8000.0</v>
      </c>
      <c r="X931" s="16" t="str">
        <f>"－"</f>
        <v>－</v>
      </c>
      <c r="Y931" s="13"/>
      <c r="Z931" s="17" t="n">
        <f>97</f>
        <v>97.0</v>
      </c>
      <c r="AA931" s="18" t="n">
        <f>3</f>
        <v>3.0</v>
      </c>
      <c r="AB931" s="11" t="s">
        <v>203</v>
      </c>
    </row>
    <row r="932">
      <c r="A932" s="11" t="s">
        <v>46</v>
      </c>
      <c r="B932" s="11" t="s">
        <v>47</v>
      </c>
      <c r="C932" s="11" t="s">
        <v>48</v>
      </c>
      <c r="D932" s="11" t="s">
        <v>651</v>
      </c>
      <c r="E932" s="11" t="s">
        <v>201</v>
      </c>
      <c r="F932" s="12" t="n">
        <v>38000.0</v>
      </c>
      <c r="G932" s="13" t="s">
        <v>207</v>
      </c>
      <c r="H932" s="14" t="s">
        <v>51</v>
      </c>
      <c r="I932" s="13" t="s">
        <v>207</v>
      </c>
      <c r="J932" s="14" t="s">
        <v>51</v>
      </c>
      <c r="K932" s="13" t="s">
        <v>207</v>
      </c>
      <c r="L932" s="14" t="s">
        <v>51</v>
      </c>
      <c r="M932" s="13" t="s">
        <v>207</v>
      </c>
      <c r="N932" s="14" t="s">
        <v>51</v>
      </c>
      <c r="O932" s="13" t="s">
        <v>207</v>
      </c>
      <c r="P932" s="14" t="s">
        <v>51</v>
      </c>
      <c r="Q932" s="13" t="s">
        <v>211</v>
      </c>
      <c r="R932" s="14" t="s">
        <v>51</v>
      </c>
      <c r="S932" s="15" t="n">
        <f>1</f>
        <v>1.0</v>
      </c>
      <c r="T932" s="16" t="n">
        <f>24</f>
        <v>24.0</v>
      </c>
      <c r="U932" s="16" t="n">
        <v>3.0</v>
      </c>
      <c r="V932" s="16" t="n">
        <f>24000</f>
        <v>24000.0</v>
      </c>
      <c r="W932" s="16" t="n">
        <v>3000.0</v>
      </c>
      <c r="X932" s="16" t="str">
        <f>"－"</f>
        <v>－</v>
      </c>
      <c r="Y932" s="13"/>
      <c r="Z932" s="17" t="n">
        <f>18</f>
        <v>18.0</v>
      </c>
      <c r="AA932" s="18" t="n">
        <f>2</f>
        <v>2.0</v>
      </c>
      <c r="AB932" s="11" t="s">
        <v>203</v>
      </c>
    </row>
    <row r="933">
      <c r="A933" s="11" t="s">
        <v>46</v>
      </c>
      <c r="B933" s="11" t="s">
        <v>47</v>
      </c>
      <c r="C933" s="11" t="s">
        <v>48</v>
      </c>
      <c r="D933" s="11" t="s">
        <v>651</v>
      </c>
      <c r="E933" s="11" t="s">
        <v>201</v>
      </c>
      <c r="F933" s="12" t="n">
        <v>39000.0</v>
      </c>
      <c r="G933" s="13" t="s">
        <v>207</v>
      </c>
      <c r="H933" s="14" t="s">
        <v>51</v>
      </c>
      <c r="I933" s="13" t="s">
        <v>207</v>
      </c>
      <c r="J933" s="14" t="s">
        <v>51</v>
      </c>
      <c r="K933" s="13" t="s">
        <v>208</v>
      </c>
      <c r="L933" s="14" t="s">
        <v>51</v>
      </c>
      <c r="M933" s="13" t="s">
        <v>207</v>
      </c>
      <c r="N933" s="14" t="s">
        <v>51</v>
      </c>
      <c r="O933" s="13" t="s">
        <v>208</v>
      </c>
      <c r="P933" s="14" t="s">
        <v>51</v>
      </c>
      <c r="Q933" s="13" t="s">
        <v>208</v>
      </c>
      <c r="R933" s="14" t="s">
        <v>51</v>
      </c>
      <c r="S933" s="15" t="n">
        <f>1</f>
        <v>1.0</v>
      </c>
      <c r="T933" s="16" t="n">
        <f>131</f>
        <v>131.0</v>
      </c>
      <c r="U933" s="16" t="n">
        <v>11.0</v>
      </c>
      <c r="V933" s="16" t="n">
        <f>131000</f>
        <v>131000.0</v>
      </c>
      <c r="W933" s="16" t="n">
        <v>11000.0</v>
      </c>
      <c r="X933" s="16" t="str">
        <f>"－"</f>
        <v>－</v>
      </c>
      <c r="Y933" s="13"/>
      <c r="Z933" s="17" t="n">
        <f>60</f>
        <v>60.0</v>
      </c>
      <c r="AA933" s="18" t="n">
        <f>2</f>
        <v>2.0</v>
      </c>
      <c r="AB933" s="11" t="s">
        <v>203</v>
      </c>
    </row>
    <row r="934">
      <c r="A934" s="11" t="s">
        <v>46</v>
      </c>
      <c r="B934" s="11" t="s">
        <v>47</v>
      </c>
      <c r="C934" s="11" t="s">
        <v>48</v>
      </c>
      <c r="D934" s="11" t="s">
        <v>651</v>
      </c>
      <c r="E934" s="11" t="s">
        <v>201</v>
      </c>
      <c r="F934" s="12" t="n">
        <v>40000.0</v>
      </c>
      <c r="G934" s="13" t="s">
        <v>207</v>
      </c>
      <c r="H934" s="14" t="s">
        <v>51</v>
      </c>
      <c r="I934" s="13" t="s">
        <v>207</v>
      </c>
      <c r="J934" s="14" t="s">
        <v>51</v>
      </c>
      <c r="K934" s="13" t="s">
        <v>208</v>
      </c>
      <c r="L934" s="14" t="s">
        <v>51</v>
      </c>
      <c r="M934" s="13" t="s">
        <v>207</v>
      </c>
      <c r="N934" s="14" t="s">
        <v>51</v>
      </c>
      <c r="O934" s="13" t="s">
        <v>208</v>
      </c>
      <c r="P934" s="14" t="s">
        <v>51</v>
      </c>
      <c r="Q934" s="13" t="s">
        <v>204</v>
      </c>
      <c r="R934" s="14" t="s">
        <v>51</v>
      </c>
      <c r="S934" s="15" t="n">
        <f>1</f>
        <v>1.0</v>
      </c>
      <c r="T934" s="16" t="n">
        <f>4</f>
        <v>4.0</v>
      </c>
      <c r="U934" s="16" t="n">
        <v>1.0</v>
      </c>
      <c r="V934" s="16" t="n">
        <f>4000</f>
        <v>4000.0</v>
      </c>
      <c r="W934" s="16" t="n">
        <v>1000.0</v>
      </c>
      <c r="X934" s="16" t="str">
        <f>"－"</f>
        <v>－</v>
      </c>
      <c r="Y934" s="13"/>
      <c r="Z934" s="17" t="n">
        <f>4</f>
        <v>4.0</v>
      </c>
      <c r="AA934" s="18" t="n">
        <f>3</f>
        <v>3.0</v>
      </c>
      <c r="AB934" s="11" t="s">
        <v>203</v>
      </c>
    </row>
    <row r="935">
      <c r="A935" s="11" t="s">
        <v>46</v>
      </c>
      <c r="B935" s="11" t="s">
        <v>47</v>
      </c>
      <c r="C935" s="11" t="s">
        <v>48</v>
      </c>
      <c r="D935" s="11" t="s">
        <v>651</v>
      </c>
      <c r="E935" s="11" t="s">
        <v>331</v>
      </c>
      <c r="F935" s="12" t="n">
        <v>19250.0</v>
      </c>
      <c r="G935" s="13" t="s">
        <v>206</v>
      </c>
      <c r="H935" s="14" t="s">
        <v>652</v>
      </c>
      <c r="I935" s="13" t="s">
        <v>206</v>
      </c>
      <c r="J935" s="14" t="s">
        <v>652</v>
      </c>
      <c r="K935" s="13"/>
      <c r="L935" s="14"/>
      <c r="M935" s="13" t="s">
        <v>205</v>
      </c>
      <c r="N935" s="14" t="s">
        <v>765</v>
      </c>
      <c r="O935" s="13"/>
      <c r="P935" s="14"/>
      <c r="Q935" s="13" t="s">
        <v>205</v>
      </c>
      <c r="R935" s="14" t="s">
        <v>765</v>
      </c>
      <c r="S935" s="15" t="n">
        <f>10035</f>
        <v>10035.0</v>
      </c>
      <c r="T935" s="16" t="n">
        <f>2</f>
        <v>2.0</v>
      </c>
      <c r="U935" s="16"/>
      <c r="V935" s="16" t="n">
        <f>20070000</f>
        <v>2.007E7</v>
      </c>
      <c r="W935" s="16"/>
      <c r="X935" s="16" t="str">
        <f>"－"</f>
        <v>－</v>
      </c>
      <c r="Y935" s="13"/>
      <c r="Z935" s="17" t="n">
        <f>2</f>
        <v>2.0</v>
      </c>
      <c r="AA935" s="18" t="n">
        <f>2</f>
        <v>2.0</v>
      </c>
      <c r="AB935" s="11" t="s">
        <v>332</v>
      </c>
    </row>
    <row r="936">
      <c r="A936" s="11" t="s">
        <v>46</v>
      </c>
      <c r="B936" s="11" t="s">
        <v>47</v>
      </c>
      <c r="C936" s="11" t="s">
        <v>48</v>
      </c>
      <c r="D936" s="11" t="s">
        <v>651</v>
      </c>
      <c r="E936" s="11" t="s">
        <v>331</v>
      </c>
      <c r="F936" s="12" t="n">
        <v>23750.0</v>
      </c>
      <c r="G936" s="13" t="s">
        <v>202</v>
      </c>
      <c r="H936" s="14" t="s">
        <v>766</v>
      </c>
      <c r="I936" s="13" t="s">
        <v>202</v>
      </c>
      <c r="J936" s="14" t="s">
        <v>766</v>
      </c>
      <c r="K936" s="13"/>
      <c r="L936" s="14"/>
      <c r="M936" s="13" t="s">
        <v>202</v>
      </c>
      <c r="N936" s="14" t="s">
        <v>766</v>
      </c>
      <c r="O936" s="13"/>
      <c r="P936" s="14"/>
      <c r="Q936" s="13" t="s">
        <v>202</v>
      </c>
      <c r="R936" s="14" t="s">
        <v>766</v>
      </c>
      <c r="S936" s="15" t="n">
        <f>6270</f>
        <v>6270.0</v>
      </c>
      <c r="T936" s="16" t="n">
        <f>1</f>
        <v>1.0</v>
      </c>
      <c r="U936" s="16"/>
      <c r="V936" s="16" t="n">
        <f>6270000</f>
        <v>6270000.0</v>
      </c>
      <c r="W936" s="16"/>
      <c r="X936" s="16" t="str">
        <f>"－"</f>
        <v>－</v>
      </c>
      <c r="Y936" s="13"/>
      <c r="Z936" s="17" t="n">
        <f>1</f>
        <v>1.0</v>
      </c>
      <c r="AA936" s="18" t="n">
        <f>1</f>
        <v>1.0</v>
      </c>
      <c r="AB936" s="11" t="s">
        <v>332</v>
      </c>
    </row>
    <row r="937">
      <c r="A937" s="11" t="s">
        <v>46</v>
      </c>
      <c r="B937" s="11" t="s">
        <v>47</v>
      </c>
      <c r="C937" s="11" t="s">
        <v>48</v>
      </c>
      <c r="D937" s="11" t="s">
        <v>651</v>
      </c>
      <c r="E937" s="11" t="s">
        <v>331</v>
      </c>
      <c r="F937" s="12" t="n">
        <v>24000.0</v>
      </c>
      <c r="G937" s="13"/>
      <c r="H937" s="14" t="s">
        <v>57</v>
      </c>
      <c r="I937" s="13"/>
      <c r="J937" s="14" t="s">
        <v>57</v>
      </c>
      <c r="K937" s="13"/>
      <c r="L937" s="14"/>
      <c r="M937" s="13"/>
      <c r="N937" s="14" t="s">
        <v>57</v>
      </c>
      <c r="O937" s="13"/>
      <c r="P937" s="14"/>
      <c r="Q937" s="13"/>
      <c r="R937" s="14" t="s">
        <v>57</v>
      </c>
      <c r="S937" s="15" t="str">
        <f>"－"</f>
        <v>－</v>
      </c>
      <c r="T937" s="16" t="str">
        <f>"－"</f>
        <v>－</v>
      </c>
      <c r="U937" s="16"/>
      <c r="V937" s="16" t="str">
        <f>"－"</f>
        <v>－</v>
      </c>
      <c r="W937" s="16"/>
      <c r="X937" s="16" t="str">
        <f>"－"</f>
        <v>－</v>
      </c>
      <c r="Y937" s="13"/>
      <c r="Z937" s="17" t="n">
        <f>125</f>
        <v>125.0</v>
      </c>
      <c r="AA937" s="18" t="str">
        <f>"－"</f>
        <v>－</v>
      </c>
      <c r="AB937" s="11" t="s">
        <v>332</v>
      </c>
    </row>
    <row r="938">
      <c r="A938" s="11" t="s">
        <v>46</v>
      </c>
      <c r="B938" s="11" t="s">
        <v>47</v>
      </c>
      <c r="C938" s="11" t="s">
        <v>48</v>
      </c>
      <c r="D938" s="11" t="s">
        <v>651</v>
      </c>
      <c r="E938" s="11" t="s">
        <v>331</v>
      </c>
      <c r="F938" s="12" t="n">
        <v>24750.0</v>
      </c>
      <c r="G938" s="13"/>
      <c r="H938" s="14" t="s">
        <v>57</v>
      </c>
      <c r="I938" s="13"/>
      <c r="J938" s="14" t="s">
        <v>57</v>
      </c>
      <c r="K938" s="13"/>
      <c r="L938" s="14"/>
      <c r="M938" s="13"/>
      <c r="N938" s="14" t="s">
        <v>57</v>
      </c>
      <c r="O938" s="13"/>
      <c r="P938" s="14"/>
      <c r="Q938" s="13"/>
      <c r="R938" s="14" t="s">
        <v>57</v>
      </c>
      <c r="S938" s="15" t="str">
        <f>"－"</f>
        <v>－</v>
      </c>
      <c r="T938" s="16" t="str">
        <f>"－"</f>
        <v>－</v>
      </c>
      <c r="U938" s="16"/>
      <c r="V938" s="16" t="str">
        <f>"－"</f>
        <v>－</v>
      </c>
      <c r="W938" s="16"/>
      <c r="X938" s="16" t="str">
        <f>"－"</f>
        <v>－</v>
      </c>
      <c r="Y938" s="13"/>
      <c r="Z938" s="17" t="n">
        <f>100</f>
        <v>100.0</v>
      </c>
      <c r="AA938" s="18" t="str">
        <f>"－"</f>
        <v>－</v>
      </c>
      <c r="AB938" s="11" t="s">
        <v>332</v>
      </c>
    </row>
    <row r="939">
      <c r="A939" s="11" t="s">
        <v>46</v>
      </c>
      <c r="B939" s="11" t="s">
        <v>47</v>
      </c>
      <c r="C939" s="11" t="s">
        <v>48</v>
      </c>
      <c r="D939" s="11" t="s">
        <v>651</v>
      </c>
      <c r="E939" s="11" t="s">
        <v>331</v>
      </c>
      <c r="F939" s="12" t="n">
        <v>25000.0</v>
      </c>
      <c r="G939" s="13"/>
      <c r="H939" s="14" t="s">
        <v>57</v>
      </c>
      <c r="I939" s="13"/>
      <c r="J939" s="14" t="s">
        <v>57</v>
      </c>
      <c r="K939" s="13"/>
      <c r="L939" s="14"/>
      <c r="M939" s="13"/>
      <c r="N939" s="14" t="s">
        <v>57</v>
      </c>
      <c r="O939" s="13"/>
      <c r="P939" s="14"/>
      <c r="Q939" s="13"/>
      <c r="R939" s="14" t="s">
        <v>57</v>
      </c>
      <c r="S939" s="15" t="str">
        <f>"－"</f>
        <v>－</v>
      </c>
      <c r="T939" s="16" t="str">
        <f>"－"</f>
        <v>－</v>
      </c>
      <c r="U939" s="16"/>
      <c r="V939" s="16" t="str">
        <f>"－"</f>
        <v>－</v>
      </c>
      <c r="W939" s="16"/>
      <c r="X939" s="16" t="str">
        <f>"－"</f>
        <v>－</v>
      </c>
      <c r="Y939" s="13"/>
      <c r="Z939" s="17" t="n">
        <f>400</f>
        <v>400.0</v>
      </c>
      <c r="AA939" s="18" t="str">
        <f>"－"</f>
        <v>－</v>
      </c>
      <c r="AB939" s="11" t="s">
        <v>332</v>
      </c>
    </row>
    <row r="940">
      <c r="A940" s="11" t="s">
        <v>46</v>
      </c>
      <c r="B940" s="11" t="s">
        <v>47</v>
      </c>
      <c r="C940" s="11" t="s">
        <v>48</v>
      </c>
      <c r="D940" s="11" t="s">
        <v>651</v>
      </c>
      <c r="E940" s="11" t="s">
        <v>331</v>
      </c>
      <c r="F940" s="12" t="n">
        <v>25500.0</v>
      </c>
      <c r="G940" s="13"/>
      <c r="H940" s="14" t="s">
        <v>57</v>
      </c>
      <c r="I940" s="13"/>
      <c r="J940" s="14" t="s">
        <v>57</v>
      </c>
      <c r="K940" s="13"/>
      <c r="L940" s="14"/>
      <c r="M940" s="13"/>
      <c r="N940" s="14" t="s">
        <v>57</v>
      </c>
      <c r="O940" s="13"/>
      <c r="P940" s="14"/>
      <c r="Q940" s="13"/>
      <c r="R940" s="14" t="s">
        <v>57</v>
      </c>
      <c r="S940" s="15" t="str">
        <f>"－"</f>
        <v>－</v>
      </c>
      <c r="T940" s="16" t="str">
        <f>"－"</f>
        <v>－</v>
      </c>
      <c r="U940" s="16"/>
      <c r="V940" s="16" t="str">
        <f>"－"</f>
        <v>－</v>
      </c>
      <c r="W940" s="16"/>
      <c r="X940" s="16" t="str">
        <f>"－"</f>
        <v>－</v>
      </c>
      <c r="Y940" s="13"/>
      <c r="Z940" s="17" t="n">
        <f>460</f>
        <v>460.0</v>
      </c>
      <c r="AA940" s="18" t="str">
        <f>"－"</f>
        <v>－</v>
      </c>
      <c r="AB940" s="11" t="s">
        <v>332</v>
      </c>
    </row>
    <row r="941">
      <c r="A941" s="11" t="s">
        <v>46</v>
      </c>
      <c r="B941" s="11" t="s">
        <v>47</v>
      </c>
      <c r="C941" s="11" t="s">
        <v>48</v>
      </c>
      <c r="D941" s="11" t="s">
        <v>651</v>
      </c>
      <c r="E941" s="11" t="s">
        <v>331</v>
      </c>
      <c r="F941" s="12" t="n">
        <v>25750.0</v>
      </c>
      <c r="G941" s="13"/>
      <c r="H941" s="14" t="s">
        <v>57</v>
      </c>
      <c r="I941" s="13"/>
      <c r="J941" s="14" t="s">
        <v>57</v>
      </c>
      <c r="K941" s="13"/>
      <c r="L941" s="14"/>
      <c r="M941" s="13"/>
      <c r="N941" s="14" t="s">
        <v>57</v>
      </c>
      <c r="O941" s="13"/>
      <c r="P941" s="14"/>
      <c r="Q941" s="13"/>
      <c r="R941" s="14" t="s">
        <v>57</v>
      </c>
      <c r="S941" s="15" t="str">
        <f>"－"</f>
        <v>－</v>
      </c>
      <c r="T941" s="16" t="str">
        <f>"－"</f>
        <v>－</v>
      </c>
      <c r="U941" s="16"/>
      <c r="V941" s="16" t="str">
        <f>"－"</f>
        <v>－</v>
      </c>
      <c r="W941" s="16"/>
      <c r="X941" s="16" t="str">
        <f>"－"</f>
        <v>－</v>
      </c>
      <c r="Y941" s="13"/>
      <c r="Z941" s="17" t="n">
        <f>100</f>
        <v>100.0</v>
      </c>
      <c r="AA941" s="18" t="str">
        <f>"－"</f>
        <v>－</v>
      </c>
      <c r="AB941" s="11" t="s">
        <v>332</v>
      </c>
    </row>
    <row r="942">
      <c r="A942" s="11" t="s">
        <v>46</v>
      </c>
      <c r="B942" s="11" t="s">
        <v>47</v>
      </c>
      <c r="C942" s="11" t="s">
        <v>48</v>
      </c>
      <c r="D942" s="11" t="s">
        <v>651</v>
      </c>
      <c r="E942" s="11" t="s">
        <v>331</v>
      </c>
      <c r="F942" s="12" t="n">
        <v>26000.0</v>
      </c>
      <c r="G942" s="13"/>
      <c r="H942" s="14" t="s">
        <v>57</v>
      </c>
      <c r="I942" s="13"/>
      <c r="J942" s="14" t="s">
        <v>57</v>
      </c>
      <c r="K942" s="13"/>
      <c r="L942" s="14"/>
      <c r="M942" s="13"/>
      <c r="N942" s="14" t="s">
        <v>57</v>
      </c>
      <c r="O942" s="13"/>
      <c r="P942" s="14"/>
      <c r="Q942" s="13"/>
      <c r="R942" s="14" t="s">
        <v>57</v>
      </c>
      <c r="S942" s="15" t="str">
        <f>"－"</f>
        <v>－</v>
      </c>
      <c r="T942" s="16" t="str">
        <f>"－"</f>
        <v>－</v>
      </c>
      <c r="U942" s="16"/>
      <c r="V942" s="16" t="str">
        <f>"－"</f>
        <v>－</v>
      </c>
      <c r="W942" s="16"/>
      <c r="X942" s="16" t="str">
        <f>"－"</f>
        <v>－</v>
      </c>
      <c r="Y942" s="13"/>
      <c r="Z942" s="17" t="n">
        <f>515</f>
        <v>515.0</v>
      </c>
      <c r="AA942" s="18" t="str">
        <f>"－"</f>
        <v>－</v>
      </c>
      <c r="AB942" s="11" t="s">
        <v>332</v>
      </c>
    </row>
    <row r="943">
      <c r="A943" s="11" t="s">
        <v>46</v>
      </c>
      <c r="B943" s="11" t="s">
        <v>47</v>
      </c>
      <c r="C943" s="11" t="s">
        <v>48</v>
      </c>
      <c r="D943" s="11" t="s">
        <v>651</v>
      </c>
      <c r="E943" s="11" t="s">
        <v>331</v>
      </c>
      <c r="F943" s="12" t="n">
        <v>26375.0</v>
      </c>
      <c r="G943" s="13" t="s">
        <v>205</v>
      </c>
      <c r="H943" s="14" t="s">
        <v>592</v>
      </c>
      <c r="I943" s="13" t="s">
        <v>205</v>
      </c>
      <c r="J943" s="14" t="s">
        <v>592</v>
      </c>
      <c r="K943" s="13"/>
      <c r="L943" s="14"/>
      <c r="M943" s="13" t="s">
        <v>205</v>
      </c>
      <c r="N943" s="14" t="s">
        <v>592</v>
      </c>
      <c r="O943" s="13"/>
      <c r="P943" s="14"/>
      <c r="Q943" s="13" t="s">
        <v>205</v>
      </c>
      <c r="R943" s="14" t="s">
        <v>592</v>
      </c>
      <c r="S943" s="15" t="n">
        <f>3200</f>
        <v>3200.0</v>
      </c>
      <c r="T943" s="16" t="n">
        <f>1</f>
        <v>1.0</v>
      </c>
      <c r="U943" s="16"/>
      <c r="V943" s="16" t="n">
        <f>3200000</f>
        <v>3200000.0</v>
      </c>
      <c r="W943" s="16"/>
      <c r="X943" s="16" t="str">
        <f>"－"</f>
        <v>－</v>
      </c>
      <c r="Y943" s="13"/>
      <c r="Z943" s="17" t="n">
        <f>1</f>
        <v>1.0</v>
      </c>
      <c r="AA943" s="18" t="n">
        <f>1</f>
        <v>1.0</v>
      </c>
      <c r="AB943" s="11" t="s">
        <v>332</v>
      </c>
    </row>
    <row r="944">
      <c r="A944" s="11" t="s">
        <v>46</v>
      </c>
      <c r="B944" s="11" t="s">
        <v>47</v>
      </c>
      <c r="C944" s="11" t="s">
        <v>48</v>
      </c>
      <c r="D944" s="11" t="s">
        <v>651</v>
      </c>
      <c r="E944" s="11" t="s">
        <v>331</v>
      </c>
      <c r="F944" s="12" t="n">
        <v>26500.0</v>
      </c>
      <c r="G944" s="13" t="s">
        <v>205</v>
      </c>
      <c r="H944" s="14" t="s">
        <v>767</v>
      </c>
      <c r="I944" s="13" t="s">
        <v>202</v>
      </c>
      <c r="J944" s="14" t="s">
        <v>768</v>
      </c>
      <c r="K944" s="13"/>
      <c r="L944" s="14"/>
      <c r="M944" s="13" t="s">
        <v>205</v>
      </c>
      <c r="N944" s="14" t="s">
        <v>406</v>
      </c>
      <c r="O944" s="13"/>
      <c r="P944" s="14"/>
      <c r="Q944" s="13" t="s">
        <v>202</v>
      </c>
      <c r="R944" s="14" t="s">
        <v>768</v>
      </c>
      <c r="S944" s="15" t="n">
        <f>3325</f>
        <v>3325.0</v>
      </c>
      <c r="T944" s="16" t="n">
        <f>3</f>
        <v>3.0</v>
      </c>
      <c r="U944" s="16"/>
      <c r="V944" s="16" t="n">
        <f>9690000</f>
        <v>9690000.0</v>
      </c>
      <c r="W944" s="16"/>
      <c r="X944" s="16" t="str">
        <f>"－"</f>
        <v>－</v>
      </c>
      <c r="Y944" s="13"/>
      <c r="Z944" s="17" t="n">
        <f>6</f>
        <v>6.0</v>
      </c>
      <c r="AA944" s="18" t="n">
        <f>2</f>
        <v>2.0</v>
      </c>
      <c r="AB944" s="11" t="s">
        <v>332</v>
      </c>
    </row>
    <row r="945">
      <c r="A945" s="11" t="s">
        <v>46</v>
      </c>
      <c r="B945" s="11" t="s">
        <v>47</v>
      </c>
      <c r="C945" s="11" t="s">
        <v>48</v>
      </c>
      <c r="D945" s="11" t="s">
        <v>651</v>
      </c>
      <c r="E945" s="11" t="s">
        <v>331</v>
      </c>
      <c r="F945" s="12" t="n">
        <v>26750.0</v>
      </c>
      <c r="G945" s="13" t="s">
        <v>202</v>
      </c>
      <c r="H945" s="14" t="s">
        <v>616</v>
      </c>
      <c r="I945" s="13" t="s">
        <v>202</v>
      </c>
      <c r="J945" s="14" t="s">
        <v>769</v>
      </c>
      <c r="K945" s="13"/>
      <c r="L945" s="14"/>
      <c r="M945" s="13" t="s">
        <v>202</v>
      </c>
      <c r="N945" s="14" t="s">
        <v>616</v>
      </c>
      <c r="O945" s="13"/>
      <c r="P945" s="14"/>
      <c r="Q945" s="13" t="s">
        <v>202</v>
      </c>
      <c r="R945" s="14" t="s">
        <v>769</v>
      </c>
      <c r="S945" s="15" t="n">
        <f>3420</f>
        <v>3420.0</v>
      </c>
      <c r="T945" s="16" t="n">
        <f>3</f>
        <v>3.0</v>
      </c>
      <c r="U945" s="16"/>
      <c r="V945" s="16" t="n">
        <f>10220000</f>
        <v>1.022E7</v>
      </c>
      <c r="W945" s="16"/>
      <c r="X945" s="16" t="str">
        <f>"－"</f>
        <v>－</v>
      </c>
      <c r="Y945" s="13"/>
      <c r="Z945" s="17" t="n">
        <f>3</f>
        <v>3.0</v>
      </c>
      <c r="AA945" s="18" t="n">
        <f>1</f>
        <v>1.0</v>
      </c>
      <c r="AB945" s="11" t="s">
        <v>332</v>
      </c>
    </row>
    <row r="946">
      <c r="A946" s="11" t="s">
        <v>46</v>
      </c>
      <c r="B946" s="11" t="s">
        <v>47</v>
      </c>
      <c r="C946" s="11" t="s">
        <v>48</v>
      </c>
      <c r="D946" s="11" t="s">
        <v>651</v>
      </c>
      <c r="E946" s="11" t="s">
        <v>331</v>
      </c>
      <c r="F946" s="12" t="n">
        <v>27000.0</v>
      </c>
      <c r="G946" s="13"/>
      <c r="H946" s="14" t="s">
        <v>57</v>
      </c>
      <c r="I946" s="13"/>
      <c r="J946" s="14" t="s">
        <v>57</v>
      </c>
      <c r="K946" s="13"/>
      <c r="L946" s="14"/>
      <c r="M946" s="13"/>
      <c r="N946" s="14" t="s">
        <v>57</v>
      </c>
      <c r="O946" s="13"/>
      <c r="P946" s="14"/>
      <c r="Q946" s="13"/>
      <c r="R946" s="14" t="s">
        <v>57</v>
      </c>
      <c r="S946" s="15" t="str">
        <f>"－"</f>
        <v>－</v>
      </c>
      <c r="T946" s="16" t="str">
        <f>"－"</f>
        <v>－</v>
      </c>
      <c r="U946" s="16"/>
      <c r="V946" s="16" t="str">
        <f>"－"</f>
        <v>－</v>
      </c>
      <c r="W946" s="16"/>
      <c r="X946" s="16" t="str">
        <f>"－"</f>
        <v>－</v>
      </c>
      <c r="Y946" s="13"/>
      <c r="Z946" s="17" t="n">
        <f>161</f>
        <v>161.0</v>
      </c>
      <c r="AA946" s="18" t="str">
        <f>"－"</f>
        <v>－</v>
      </c>
      <c r="AB946" s="11" t="s">
        <v>332</v>
      </c>
    </row>
    <row r="947">
      <c r="A947" s="11" t="s">
        <v>46</v>
      </c>
      <c r="B947" s="11" t="s">
        <v>47</v>
      </c>
      <c r="C947" s="11" t="s">
        <v>48</v>
      </c>
      <c r="D947" s="11" t="s">
        <v>651</v>
      </c>
      <c r="E947" s="11" t="s">
        <v>331</v>
      </c>
      <c r="F947" s="12" t="n">
        <v>27250.0</v>
      </c>
      <c r="G947" s="13" t="s">
        <v>288</v>
      </c>
      <c r="H947" s="14" t="s">
        <v>767</v>
      </c>
      <c r="I947" s="13" t="s">
        <v>288</v>
      </c>
      <c r="J947" s="14" t="s">
        <v>767</v>
      </c>
      <c r="K947" s="13"/>
      <c r="L947" s="14"/>
      <c r="M947" s="13" t="s">
        <v>288</v>
      </c>
      <c r="N947" s="14" t="s">
        <v>767</v>
      </c>
      <c r="O947" s="13"/>
      <c r="P947" s="14"/>
      <c r="Q947" s="13" t="s">
        <v>288</v>
      </c>
      <c r="R947" s="14" t="s">
        <v>767</v>
      </c>
      <c r="S947" s="15" t="n">
        <f>3040</f>
        <v>3040.0</v>
      </c>
      <c r="T947" s="16" t="n">
        <f>1</f>
        <v>1.0</v>
      </c>
      <c r="U947" s="16"/>
      <c r="V947" s="16" t="n">
        <f>3040000</f>
        <v>3040000.0</v>
      </c>
      <c r="W947" s="16"/>
      <c r="X947" s="16" t="str">
        <f>"－"</f>
        <v>－</v>
      </c>
      <c r="Y947" s="13"/>
      <c r="Z947" s="17" t="n">
        <f>7</f>
        <v>7.0</v>
      </c>
      <c r="AA947" s="18" t="n">
        <f>1</f>
        <v>1.0</v>
      </c>
      <c r="AB947" s="11" t="s">
        <v>332</v>
      </c>
    </row>
    <row r="948">
      <c r="A948" s="11" t="s">
        <v>46</v>
      </c>
      <c r="B948" s="11" t="s">
        <v>47</v>
      </c>
      <c r="C948" s="11" t="s">
        <v>48</v>
      </c>
      <c r="D948" s="11" t="s">
        <v>651</v>
      </c>
      <c r="E948" s="11" t="s">
        <v>331</v>
      </c>
      <c r="F948" s="12" t="n">
        <v>27500.0</v>
      </c>
      <c r="G948" s="13" t="s">
        <v>204</v>
      </c>
      <c r="H948" s="14" t="s">
        <v>479</v>
      </c>
      <c r="I948" s="13" t="s">
        <v>204</v>
      </c>
      <c r="J948" s="14" t="s">
        <v>479</v>
      </c>
      <c r="K948" s="13" t="s">
        <v>208</v>
      </c>
      <c r="L948" s="14" t="s">
        <v>770</v>
      </c>
      <c r="M948" s="13" t="s">
        <v>204</v>
      </c>
      <c r="N948" s="14" t="s">
        <v>479</v>
      </c>
      <c r="O948" s="13" t="s">
        <v>208</v>
      </c>
      <c r="P948" s="14" t="s">
        <v>770</v>
      </c>
      <c r="Q948" s="13" t="s">
        <v>204</v>
      </c>
      <c r="R948" s="14" t="s">
        <v>479</v>
      </c>
      <c r="S948" s="15" t="n">
        <f>1880</f>
        <v>1880.0</v>
      </c>
      <c r="T948" s="16" t="n">
        <f>2</f>
        <v>2.0</v>
      </c>
      <c r="U948" s="16" t="n">
        <v>1.0</v>
      </c>
      <c r="V948" s="16" t="n">
        <f>4380000</f>
        <v>4380000.0</v>
      </c>
      <c r="W948" s="16" t="n">
        <v>2500000.0</v>
      </c>
      <c r="X948" s="16" t="str">
        <f>"－"</f>
        <v>－</v>
      </c>
      <c r="Y948" s="13"/>
      <c r="Z948" s="17" t="n">
        <f>71</f>
        <v>71.0</v>
      </c>
      <c r="AA948" s="18" t="n">
        <f>1</f>
        <v>1.0</v>
      </c>
      <c r="AB948" s="11" t="s">
        <v>332</v>
      </c>
    </row>
    <row r="949">
      <c r="A949" s="11" t="s">
        <v>46</v>
      </c>
      <c r="B949" s="11" t="s">
        <v>47</v>
      </c>
      <c r="C949" s="11" t="s">
        <v>48</v>
      </c>
      <c r="D949" s="11" t="s">
        <v>651</v>
      </c>
      <c r="E949" s="11" t="s">
        <v>331</v>
      </c>
      <c r="F949" s="12" t="n">
        <v>28000.0</v>
      </c>
      <c r="G949" s="13" t="s">
        <v>50</v>
      </c>
      <c r="H949" s="14" t="s">
        <v>434</v>
      </c>
      <c r="I949" s="13" t="s">
        <v>288</v>
      </c>
      <c r="J949" s="14" t="s">
        <v>565</v>
      </c>
      <c r="K949" s="13" t="s">
        <v>50</v>
      </c>
      <c r="L949" s="14" t="s">
        <v>771</v>
      </c>
      <c r="M949" s="13" t="s">
        <v>50</v>
      </c>
      <c r="N949" s="14" t="s">
        <v>434</v>
      </c>
      <c r="O949" s="13" t="s">
        <v>50</v>
      </c>
      <c r="P949" s="14" t="s">
        <v>771</v>
      </c>
      <c r="Q949" s="13" t="s">
        <v>288</v>
      </c>
      <c r="R949" s="14" t="s">
        <v>565</v>
      </c>
      <c r="S949" s="15" t="n">
        <f>1314</f>
        <v>1314.0</v>
      </c>
      <c r="T949" s="16" t="n">
        <f>308</f>
        <v>308.0</v>
      </c>
      <c r="U949" s="16" t="n">
        <v>300.0</v>
      </c>
      <c r="V949" s="16" t="n">
        <f>288010000</f>
        <v>2.8801E8</v>
      </c>
      <c r="W949" s="16" t="n">
        <v>2.784E8</v>
      </c>
      <c r="X949" s="16" t="str">
        <f>"－"</f>
        <v>－</v>
      </c>
      <c r="Y949" s="13"/>
      <c r="Z949" s="17" t="n">
        <f>354</f>
        <v>354.0</v>
      </c>
      <c r="AA949" s="18" t="n">
        <f>5</f>
        <v>5.0</v>
      </c>
      <c r="AB949" s="11" t="s">
        <v>332</v>
      </c>
    </row>
    <row r="950">
      <c r="A950" s="11" t="s">
        <v>46</v>
      </c>
      <c r="B950" s="11" t="s">
        <v>47</v>
      </c>
      <c r="C950" s="11" t="s">
        <v>48</v>
      </c>
      <c r="D950" s="11" t="s">
        <v>651</v>
      </c>
      <c r="E950" s="11" t="s">
        <v>331</v>
      </c>
      <c r="F950" s="12" t="n">
        <v>28250.0</v>
      </c>
      <c r="G950" s="13"/>
      <c r="H950" s="14" t="s">
        <v>57</v>
      </c>
      <c r="I950" s="13"/>
      <c r="J950" s="14" t="s">
        <v>57</v>
      </c>
      <c r="K950" s="13"/>
      <c r="L950" s="14"/>
      <c r="M950" s="13"/>
      <c r="N950" s="14" t="s">
        <v>57</v>
      </c>
      <c r="O950" s="13"/>
      <c r="P950" s="14"/>
      <c r="Q950" s="13"/>
      <c r="R950" s="14" t="s">
        <v>57</v>
      </c>
      <c r="S950" s="15" t="str">
        <f>"－"</f>
        <v>－</v>
      </c>
      <c r="T950" s="16" t="str">
        <f>"－"</f>
        <v>－</v>
      </c>
      <c r="U950" s="16"/>
      <c r="V950" s="16" t="str">
        <f>"－"</f>
        <v>－</v>
      </c>
      <c r="W950" s="16"/>
      <c r="X950" s="16" t="str">
        <f>"－"</f>
        <v>－</v>
      </c>
      <c r="Y950" s="13"/>
      <c r="Z950" s="17" t="n">
        <f>211</f>
        <v>211.0</v>
      </c>
      <c r="AA950" s="18" t="str">
        <f>"－"</f>
        <v>－</v>
      </c>
      <c r="AB950" s="11" t="s">
        <v>332</v>
      </c>
    </row>
    <row r="951">
      <c r="A951" s="11" t="s">
        <v>46</v>
      </c>
      <c r="B951" s="11" t="s">
        <v>47</v>
      </c>
      <c r="C951" s="11" t="s">
        <v>48</v>
      </c>
      <c r="D951" s="11" t="s">
        <v>651</v>
      </c>
      <c r="E951" s="11" t="s">
        <v>331</v>
      </c>
      <c r="F951" s="12" t="n">
        <v>28375.0</v>
      </c>
      <c r="G951" s="13" t="s">
        <v>288</v>
      </c>
      <c r="H951" s="14" t="s">
        <v>756</v>
      </c>
      <c r="I951" s="13" t="s">
        <v>288</v>
      </c>
      <c r="J951" s="14" t="s">
        <v>756</v>
      </c>
      <c r="K951" s="13"/>
      <c r="L951" s="14"/>
      <c r="M951" s="13" t="s">
        <v>288</v>
      </c>
      <c r="N951" s="14" t="s">
        <v>756</v>
      </c>
      <c r="O951" s="13"/>
      <c r="P951" s="14"/>
      <c r="Q951" s="13" t="s">
        <v>288</v>
      </c>
      <c r="R951" s="14" t="s">
        <v>756</v>
      </c>
      <c r="S951" s="15" t="n">
        <f>2110</f>
        <v>2110.0</v>
      </c>
      <c r="T951" s="16" t="n">
        <f>1</f>
        <v>1.0</v>
      </c>
      <c r="U951" s="16"/>
      <c r="V951" s="16" t="n">
        <f>2110000</f>
        <v>2110000.0</v>
      </c>
      <c r="W951" s="16"/>
      <c r="X951" s="16" t="str">
        <f>"－"</f>
        <v>－</v>
      </c>
      <c r="Y951" s="13"/>
      <c r="Z951" s="17" t="n">
        <f>1</f>
        <v>1.0</v>
      </c>
      <c r="AA951" s="18" t="n">
        <f>1</f>
        <v>1.0</v>
      </c>
      <c r="AB951" s="11" t="s">
        <v>332</v>
      </c>
    </row>
    <row r="952">
      <c r="A952" s="11" t="s">
        <v>46</v>
      </c>
      <c r="B952" s="11" t="s">
        <v>47</v>
      </c>
      <c r="C952" s="11" t="s">
        <v>48</v>
      </c>
      <c r="D952" s="11" t="s">
        <v>651</v>
      </c>
      <c r="E952" s="11" t="s">
        <v>331</v>
      </c>
      <c r="F952" s="12" t="n">
        <v>28500.0</v>
      </c>
      <c r="G952" s="13" t="s">
        <v>63</v>
      </c>
      <c r="H952" s="14" t="s">
        <v>295</v>
      </c>
      <c r="I952" s="13" t="s">
        <v>202</v>
      </c>
      <c r="J952" s="14" t="s">
        <v>772</v>
      </c>
      <c r="K952" s="13" t="s">
        <v>52</v>
      </c>
      <c r="L952" s="14" t="s">
        <v>600</v>
      </c>
      <c r="M952" s="13" t="s">
        <v>63</v>
      </c>
      <c r="N952" s="14" t="s">
        <v>295</v>
      </c>
      <c r="O952" s="13" t="s">
        <v>63</v>
      </c>
      <c r="P952" s="14" t="s">
        <v>773</v>
      </c>
      <c r="Q952" s="13" t="s">
        <v>204</v>
      </c>
      <c r="R952" s="14" t="s">
        <v>600</v>
      </c>
      <c r="S952" s="15" t="n">
        <f>1335.63</f>
        <v>1335.63</v>
      </c>
      <c r="T952" s="16" t="n">
        <f>872</f>
        <v>872.0</v>
      </c>
      <c r="U952" s="16" t="n">
        <v>700.0</v>
      </c>
      <c r="V952" s="16" t="n">
        <f>919330000</f>
        <v>9.1933E8</v>
      </c>
      <c r="W952" s="16" t="n">
        <v>7.636E8</v>
      </c>
      <c r="X952" s="16" t="str">
        <f>"－"</f>
        <v>－</v>
      </c>
      <c r="Y952" s="13"/>
      <c r="Z952" s="17" t="n">
        <f>825</f>
        <v>825.0</v>
      </c>
      <c r="AA952" s="18" t="n">
        <f>8</f>
        <v>8.0</v>
      </c>
      <c r="AB952" s="11" t="s">
        <v>332</v>
      </c>
    </row>
    <row r="953">
      <c r="A953" s="11" t="s">
        <v>46</v>
      </c>
      <c r="B953" s="11" t="s">
        <v>47</v>
      </c>
      <c r="C953" s="11" t="s">
        <v>48</v>
      </c>
      <c r="D953" s="11" t="s">
        <v>651</v>
      </c>
      <c r="E953" s="11" t="s">
        <v>331</v>
      </c>
      <c r="F953" s="12" t="n">
        <v>28750.0</v>
      </c>
      <c r="G953" s="13" t="s">
        <v>55</v>
      </c>
      <c r="H953" s="14" t="s">
        <v>174</v>
      </c>
      <c r="I953" s="13" t="s">
        <v>204</v>
      </c>
      <c r="J953" s="14" t="s">
        <v>169</v>
      </c>
      <c r="K953" s="13"/>
      <c r="L953" s="14"/>
      <c r="M953" s="13" t="s">
        <v>55</v>
      </c>
      <c r="N953" s="14" t="s">
        <v>174</v>
      </c>
      <c r="O953" s="13"/>
      <c r="P953" s="14"/>
      <c r="Q953" s="13" t="s">
        <v>204</v>
      </c>
      <c r="R953" s="14" t="s">
        <v>169</v>
      </c>
      <c r="S953" s="15" t="n">
        <f>802.5</f>
        <v>802.5</v>
      </c>
      <c r="T953" s="16" t="n">
        <f>96</f>
        <v>96.0</v>
      </c>
      <c r="U953" s="16"/>
      <c r="V953" s="16" t="n">
        <f>76930000</f>
        <v>7.693E7</v>
      </c>
      <c r="W953" s="16"/>
      <c r="X953" s="16" t="str">
        <f>"－"</f>
        <v>－</v>
      </c>
      <c r="Y953" s="13"/>
      <c r="Z953" s="17" t="n">
        <f>354</f>
        <v>354.0</v>
      </c>
      <c r="AA953" s="18" t="n">
        <f>4</f>
        <v>4.0</v>
      </c>
      <c r="AB953" s="11" t="s">
        <v>332</v>
      </c>
    </row>
    <row r="954">
      <c r="A954" s="11" t="s">
        <v>46</v>
      </c>
      <c r="B954" s="11" t="s">
        <v>47</v>
      </c>
      <c r="C954" s="11" t="s">
        <v>48</v>
      </c>
      <c r="D954" s="11" t="s">
        <v>651</v>
      </c>
      <c r="E954" s="11" t="s">
        <v>331</v>
      </c>
      <c r="F954" s="12" t="n">
        <v>28875.0</v>
      </c>
      <c r="G954" s="13" t="s">
        <v>58</v>
      </c>
      <c r="H954" s="14" t="s">
        <v>690</v>
      </c>
      <c r="I954" s="13" t="s">
        <v>58</v>
      </c>
      <c r="J954" s="14" t="s">
        <v>690</v>
      </c>
      <c r="K954" s="13"/>
      <c r="L954" s="14"/>
      <c r="M954" s="13" t="s">
        <v>58</v>
      </c>
      <c r="N954" s="14" t="s">
        <v>690</v>
      </c>
      <c r="O954" s="13"/>
      <c r="P954" s="14"/>
      <c r="Q954" s="13" t="s">
        <v>58</v>
      </c>
      <c r="R954" s="14" t="s">
        <v>690</v>
      </c>
      <c r="S954" s="15" t="n">
        <f>730</f>
        <v>730.0</v>
      </c>
      <c r="T954" s="16" t="n">
        <f>20</f>
        <v>20.0</v>
      </c>
      <c r="U954" s="16"/>
      <c r="V954" s="16" t="n">
        <f>14600000</f>
        <v>1.46E7</v>
      </c>
      <c r="W954" s="16"/>
      <c r="X954" s="16" t="str">
        <f>"－"</f>
        <v>－</v>
      </c>
      <c r="Y954" s="13"/>
      <c r="Z954" s="17" t="str">
        <f>"－"</f>
        <v>－</v>
      </c>
      <c r="AA954" s="18" t="n">
        <f>1</f>
        <v>1.0</v>
      </c>
      <c r="AB954" s="11" t="s">
        <v>332</v>
      </c>
    </row>
    <row r="955">
      <c r="A955" s="11" t="s">
        <v>46</v>
      </c>
      <c r="B955" s="11" t="s">
        <v>47</v>
      </c>
      <c r="C955" s="11" t="s">
        <v>48</v>
      </c>
      <c r="D955" s="11" t="s">
        <v>651</v>
      </c>
      <c r="E955" s="11" t="s">
        <v>331</v>
      </c>
      <c r="F955" s="12" t="n">
        <v>29000.0</v>
      </c>
      <c r="G955" s="13" t="s">
        <v>50</v>
      </c>
      <c r="H955" s="14" t="s">
        <v>248</v>
      </c>
      <c r="I955" s="13" t="s">
        <v>288</v>
      </c>
      <c r="J955" s="14" t="s">
        <v>774</v>
      </c>
      <c r="K955" s="13" t="s">
        <v>288</v>
      </c>
      <c r="L955" s="14" t="s">
        <v>775</v>
      </c>
      <c r="M955" s="13" t="s">
        <v>55</v>
      </c>
      <c r="N955" s="14" t="s">
        <v>197</v>
      </c>
      <c r="O955" s="13" t="s">
        <v>55</v>
      </c>
      <c r="P955" s="14" t="s">
        <v>245</v>
      </c>
      <c r="Q955" s="13" t="s">
        <v>204</v>
      </c>
      <c r="R955" s="14" t="s">
        <v>275</v>
      </c>
      <c r="S955" s="15" t="n">
        <f>971.36</f>
        <v>971.36</v>
      </c>
      <c r="T955" s="16" t="n">
        <f>1337</f>
        <v>1337.0</v>
      </c>
      <c r="U955" s="16" t="n">
        <v>1202.0</v>
      </c>
      <c r="V955" s="16" t="n">
        <f>1138305000</f>
        <v>1.138305E9</v>
      </c>
      <c r="W955" s="16" t="n">
        <v>1.03338E9</v>
      </c>
      <c r="X955" s="16" t="str">
        <f>"－"</f>
        <v>－</v>
      </c>
      <c r="Y955" s="13"/>
      <c r="Z955" s="17" t="n">
        <f>2422</f>
        <v>2422.0</v>
      </c>
      <c r="AA955" s="18" t="n">
        <f>11</f>
        <v>11.0</v>
      </c>
      <c r="AB955" s="11" t="s">
        <v>332</v>
      </c>
    </row>
    <row r="956">
      <c r="A956" s="11" t="s">
        <v>46</v>
      </c>
      <c r="B956" s="11" t="s">
        <v>47</v>
      </c>
      <c r="C956" s="11" t="s">
        <v>48</v>
      </c>
      <c r="D956" s="11" t="s">
        <v>651</v>
      </c>
      <c r="E956" s="11" t="s">
        <v>331</v>
      </c>
      <c r="F956" s="12" t="n">
        <v>29125.0</v>
      </c>
      <c r="G956" s="13" t="s">
        <v>63</v>
      </c>
      <c r="H956" s="14" t="s">
        <v>152</v>
      </c>
      <c r="I956" s="13" t="s">
        <v>204</v>
      </c>
      <c r="J956" s="14" t="s">
        <v>429</v>
      </c>
      <c r="K956" s="13"/>
      <c r="L956" s="14"/>
      <c r="M956" s="13" t="s">
        <v>63</v>
      </c>
      <c r="N956" s="14" t="s">
        <v>152</v>
      </c>
      <c r="O956" s="13"/>
      <c r="P956" s="14"/>
      <c r="Q956" s="13" t="s">
        <v>204</v>
      </c>
      <c r="R956" s="14" t="s">
        <v>429</v>
      </c>
      <c r="S956" s="15" t="n">
        <f>847.5</f>
        <v>847.5</v>
      </c>
      <c r="T956" s="16" t="n">
        <f>33</f>
        <v>33.0</v>
      </c>
      <c r="U956" s="16"/>
      <c r="V956" s="16" t="n">
        <f>28980000</f>
        <v>2.898E7</v>
      </c>
      <c r="W956" s="16"/>
      <c r="X956" s="16" t="str">
        <f>"－"</f>
        <v>－</v>
      </c>
      <c r="Y956" s="13"/>
      <c r="Z956" s="17" t="n">
        <f>5</f>
        <v>5.0</v>
      </c>
      <c r="AA956" s="18" t="n">
        <f>4</f>
        <v>4.0</v>
      </c>
      <c r="AB956" s="11" t="s">
        <v>332</v>
      </c>
    </row>
    <row r="957">
      <c r="A957" s="11" t="s">
        <v>46</v>
      </c>
      <c r="B957" s="11" t="s">
        <v>47</v>
      </c>
      <c r="C957" s="11" t="s">
        <v>48</v>
      </c>
      <c r="D957" s="11" t="s">
        <v>651</v>
      </c>
      <c r="E957" s="11" t="s">
        <v>331</v>
      </c>
      <c r="F957" s="12" t="n">
        <v>29250.0</v>
      </c>
      <c r="G957" s="13" t="s">
        <v>55</v>
      </c>
      <c r="H957" s="14" t="s">
        <v>312</v>
      </c>
      <c r="I957" s="13" t="s">
        <v>288</v>
      </c>
      <c r="J957" s="14" t="s">
        <v>754</v>
      </c>
      <c r="K957" s="13" t="s">
        <v>63</v>
      </c>
      <c r="L957" s="14" t="s">
        <v>248</v>
      </c>
      <c r="M957" s="13" t="s">
        <v>55</v>
      </c>
      <c r="N957" s="14" t="s">
        <v>312</v>
      </c>
      <c r="O957" s="13" t="s">
        <v>55</v>
      </c>
      <c r="P957" s="14" t="s">
        <v>312</v>
      </c>
      <c r="Q957" s="13" t="s">
        <v>204</v>
      </c>
      <c r="R957" s="14" t="s">
        <v>263</v>
      </c>
      <c r="S957" s="15" t="n">
        <f>886.11</f>
        <v>886.11</v>
      </c>
      <c r="T957" s="16" t="n">
        <f>172</f>
        <v>172.0</v>
      </c>
      <c r="U957" s="16" t="n">
        <v>2.0</v>
      </c>
      <c r="V957" s="16" t="n">
        <f>157465000</f>
        <v>1.57465E8</v>
      </c>
      <c r="W957" s="16" t="n">
        <v>985000.0</v>
      </c>
      <c r="X957" s="16" t="str">
        <f>"－"</f>
        <v>－</v>
      </c>
      <c r="Y957" s="13"/>
      <c r="Z957" s="17" t="n">
        <f>91</f>
        <v>91.0</v>
      </c>
      <c r="AA957" s="18" t="n">
        <f>9</f>
        <v>9.0</v>
      </c>
      <c r="AB957" s="11" t="s">
        <v>332</v>
      </c>
    </row>
    <row r="958">
      <c r="A958" s="11" t="s">
        <v>46</v>
      </c>
      <c r="B958" s="11" t="s">
        <v>47</v>
      </c>
      <c r="C958" s="11" t="s">
        <v>48</v>
      </c>
      <c r="D958" s="11" t="s">
        <v>651</v>
      </c>
      <c r="E958" s="11" t="s">
        <v>331</v>
      </c>
      <c r="F958" s="12" t="n">
        <v>29375.0</v>
      </c>
      <c r="G958" s="13" t="s">
        <v>63</v>
      </c>
      <c r="H958" s="14" t="s">
        <v>372</v>
      </c>
      <c r="I958" s="13" t="s">
        <v>288</v>
      </c>
      <c r="J958" s="14" t="s">
        <v>776</v>
      </c>
      <c r="K958" s="13" t="s">
        <v>60</v>
      </c>
      <c r="L958" s="14" t="s">
        <v>777</v>
      </c>
      <c r="M958" s="13" t="s">
        <v>63</v>
      </c>
      <c r="N958" s="14" t="s">
        <v>372</v>
      </c>
      <c r="O958" s="13" t="s">
        <v>60</v>
      </c>
      <c r="P958" s="14" t="s">
        <v>777</v>
      </c>
      <c r="Q958" s="13" t="s">
        <v>215</v>
      </c>
      <c r="R958" s="14" t="s">
        <v>272</v>
      </c>
      <c r="S958" s="15" t="n">
        <f>866.43</f>
        <v>866.43</v>
      </c>
      <c r="T958" s="16" t="n">
        <f>299</f>
        <v>299.0</v>
      </c>
      <c r="U958" s="16" t="n">
        <v>250.0</v>
      </c>
      <c r="V958" s="16" t="n">
        <f>164065000</f>
        <v>1.64065E8</v>
      </c>
      <c r="W958" s="16" t="n">
        <v>1.235E8</v>
      </c>
      <c r="X958" s="16" t="str">
        <f>"－"</f>
        <v>－</v>
      </c>
      <c r="Y958" s="13"/>
      <c r="Z958" s="17" t="n">
        <f>252</f>
        <v>252.0</v>
      </c>
      <c r="AA958" s="18" t="n">
        <f>7</f>
        <v>7.0</v>
      </c>
      <c r="AB958" s="11" t="s">
        <v>332</v>
      </c>
    </row>
    <row r="959">
      <c r="A959" s="11" t="s">
        <v>46</v>
      </c>
      <c r="B959" s="11" t="s">
        <v>47</v>
      </c>
      <c r="C959" s="11" t="s">
        <v>48</v>
      </c>
      <c r="D959" s="11" t="s">
        <v>651</v>
      </c>
      <c r="E959" s="11" t="s">
        <v>331</v>
      </c>
      <c r="F959" s="12" t="n">
        <v>29500.0</v>
      </c>
      <c r="G959" s="13" t="s">
        <v>55</v>
      </c>
      <c r="H959" s="14" t="s">
        <v>282</v>
      </c>
      <c r="I959" s="13" t="s">
        <v>202</v>
      </c>
      <c r="J959" s="14" t="s">
        <v>320</v>
      </c>
      <c r="K959" s="13" t="s">
        <v>288</v>
      </c>
      <c r="L959" s="14" t="s">
        <v>483</v>
      </c>
      <c r="M959" s="13" t="s">
        <v>55</v>
      </c>
      <c r="N959" s="14" t="s">
        <v>282</v>
      </c>
      <c r="O959" s="13" t="s">
        <v>204</v>
      </c>
      <c r="P959" s="14" t="s">
        <v>367</v>
      </c>
      <c r="Q959" s="13" t="s">
        <v>204</v>
      </c>
      <c r="R959" s="14" t="s">
        <v>166</v>
      </c>
      <c r="S959" s="15" t="n">
        <f>868.64</f>
        <v>868.64</v>
      </c>
      <c r="T959" s="16" t="n">
        <f>584</f>
        <v>584.0</v>
      </c>
      <c r="U959" s="16" t="n">
        <v>324.0</v>
      </c>
      <c r="V959" s="16" t="n">
        <f>442735000</f>
        <v>4.42735E8</v>
      </c>
      <c r="W959" s="16" t="n">
        <v>2.5553E8</v>
      </c>
      <c r="X959" s="16" t="str">
        <f>"－"</f>
        <v>－</v>
      </c>
      <c r="Y959" s="13"/>
      <c r="Z959" s="17" t="n">
        <f>1323</f>
        <v>1323.0</v>
      </c>
      <c r="AA959" s="18" t="n">
        <f>11</f>
        <v>11.0</v>
      </c>
      <c r="AB959" s="11" t="s">
        <v>332</v>
      </c>
    </row>
    <row r="960">
      <c r="A960" s="11" t="s">
        <v>46</v>
      </c>
      <c r="B960" s="11" t="s">
        <v>47</v>
      </c>
      <c r="C960" s="11" t="s">
        <v>48</v>
      </c>
      <c r="D960" s="11" t="s">
        <v>651</v>
      </c>
      <c r="E960" s="11" t="s">
        <v>331</v>
      </c>
      <c r="F960" s="12" t="n">
        <v>29625.0</v>
      </c>
      <c r="G960" s="13" t="s">
        <v>206</v>
      </c>
      <c r="H960" s="14" t="s">
        <v>306</v>
      </c>
      <c r="I960" s="13" t="s">
        <v>205</v>
      </c>
      <c r="J960" s="14" t="s">
        <v>402</v>
      </c>
      <c r="K960" s="13"/>
      <c r="L960" s="14"/>
      <c r="M960" s="13" t="s">
        <v>206</v>
      </c>
      <c r="N960" s="14" t="s">
        <v>291</v>
      </c>
      <c r="O960" s="13"/>
      <c r="P960" s="14"/>
      <c r="Q960" s="13" t="s">
        <v>215</v>
      </c>
      <c r="R960" s="14" t="s">
        <v>287</v>
      </c>
      <c r="S960" s="15" t="n">
        <f>873.75</f>
        <v>873.75</v>
      </c>
      <c r="T960" s="16" t="n">
        <f>85</f>
        <v>85.0</v>
      </c>
      <c r="U960" s="16"/>
      <c r="V960" s="16" t="n">
        <f>75695000</f>
        <v>7.5695E7</v>
      </c>
      <c r="W960" s="16"/>
      <c r="X960" s="16" t="str">
        <f>"－"</f>
        <v>－</v>
      </c>
      <c r="Y960" s="13"/>
      <c r="Z960" s="17" t="n">
        <f>87</f>
        <v>87.0</v>
      </c>
      <c r="AA960" s="18" t="n">
        <f>4</f>
        <v>4.0</v>
      </c>
      <c r="AB960" s="11" t="s">
        <v>332</v>
      </c>
    </row>
    <row r="961">
      <c r="A961" s="11" t="s">
        <v>46</v>
      </c>
      <c r="B961" s="11" t="s">
        <v>47</v>
      </c>
      <c r="C961" s="11" t="s">
        <v>48</v>
      </c>
      <c r="D961" s="11" t="s">
        <v>651</v>
      </c>
      <c r="E961" s="11" t="s">
        <v>331</v>
      </c>
      <c r="F961" s="12" t="n">
        <v>29750.0</v>
      </c>
      <c r="G961" s="13" t="s">
        <v>50</v>
      </c>
      <c r="H961" s="14" t="s">
        <v>234</v>
      </c>
      <c r="I961" s="13" t="s">
        <v>288</v>
      </c>
      <c r="J961" s="14" t="s">
        <v>304</v>
      </c>
      <c r="K961" s="13" t="s">
        <v>206</v>
      </c>
      <c r="L961" s="14" t="s">
        <v>291</v>
      </c>
      <c r="M961" s="13" t="s">
        <v>50</v>
      </c>
      <c r="N961" s="14" t="s">
        <v>234</v>
      </c>
      <c r="O961" s="13" t="s">
        <v>60</v>
      </c>
      <c r="P961" s="14" t="s">
        <v>141</v>
      </c>
      <c r="Q961" s="13" t="s">
        <v>204</v>
      </c>
      <c r="R961" s="14" t="s">
        <v>186</v>
      </c>
      <c r="S961" s="15" t="n">
        <f>673.21</f>
        <v>673.21</v>
      </c>
      <c r="T961" s="16" t="n">
        <f>775</f>
        <v>775.0</v>
      </c>
      <c r="U961" s="16" t="n">
        <v>107.0</v>
      </c>
      <c r="V961" s="16" t="n">
        <f>480285000</f>
        <v>4.80285E8</v>
      </c>
      <c r="W961" s="16" t="n">
        <v>4.178E7</v>
      </c>
      <c r="X961" s="16" t="str">
        <f>"－"</f>
        <v>－</v>
      </c>
      <c r="Y961" s="13"/>
      <c r="Z961" s="17" t="n">
        <f>389</f>
        <v>389.0</v>
      </c>
      <c r="AA961" s="18" t="n">
        <f>14</f>
        <v>14.0</v>
      </c>
      <c r="AB961" s="11" t="s">
        <v>332</v>
      </c>
    </row>
    <row r="962">
      <c r="A962" s="11" t="s">
        <v>46</v>
      </c>
      <c r="B962" s="11" t="s">
        <v>47</v>
      </c>
      <c r="C962" s="11" t="s">
        <v>48</v>
      </c>
      <c r="D962" s="11" t="s">
        <v>651</v>
      </c>
      <c r="E962" s="11" t="s">
        <v>331</v>
      </c>
      <c r="F962" s="12" t="n">
        <v>29875.0</v>
      </c>
      <c r="G962" s="13" t="s">
        <v>50</v>
      </c>
      <c r="H962" s="14" t="s">
        <v>136</v>
      </c>
      <c r="I962" s="13" t="s">
        <v>210</v>
      </c>
      <c r="J962" s="14" t="s">
        <v>382</v>
      </c>
      <c r="K962" s="13" t="s">
        <v>204</v>
      </c>
      <c r="L962" s="14" t="s">
        <v>686</v>
      </c>
      <c r="M962" s="13" t="s">
        <v>50</v>
      </c>
      <c r="N962" s="14" t="s">
        <v>195</v>
      </c>
      <c r="O962" s="13" t="s">
        <v>60</v>
      </c>
      <c r="P962" s="14" t="s">
        <v>345</v>
      </c>
      <c r="Q962" s="13" t="s">
        <v>204</v>
      </c>
      <c r="R962" s="14" t="s">
        <v>155</v>
      </c>
      <c r="S962" s="15" t="n">
        <f>535</f>
        <v>535.0</v>
      </c>
      <c r="T962" s="16" t="n">
        <f>995</f>
        <v>995.0</v>
      </c>
      <c r="U962" s="16" t="n">
        <v>744.0</v>
      </c>
      <c r="V962" s="16" t="n">
        <f>371680000</f>
        <v>3.7168E8</v>
      </c>
      <c r="W962" s="16" t="n">
        <v>2.1369E8</v>
      </c>
      <c r="X962" s="16" t="str">
        <f>"－"</f>
        <v>－</v>
      </c>
      <c r="Y962" s="13"/>
      <c r="Z962" s="17" t="n">
        <f>869</f>
        <v>869.0</v>
      </c>
      <c r="AA962" s="18" t="n">
        <f>8</f>
        <v>8.0</v>
      </c>
      <c r="AB962" s="11" t="s">
        <v>332</v>
      </c>
    </row>
    <row r="963">
      <c r="A963" s="11" t="s">
        <v>46</v>
      </c>
      <c r="B963" s="11" t="s">
        <v>47</v>
      </c>
      <c r="C963" s="11" t="s">
        <v>48</v>
      </c>
      <c r="D963" s="11" t="s">
        <v>651</v>
      </c>
      <c r="E963" s="11" t="s">
        <v>331</v>
      </c>
      <c r="F963" s="12" t="n">
        <v>30000.0</v>
      </c>
      <c r="G963" s="13" t="s">
        <v>50</v>
      </c>
      <c r="H963" s="14" t="s">
        <v>185</v>
      </c>
      <c r="I963" s="13" t="s">
        <v>202</v>
      </c>
      <c r="J963" s="14" t="s">
        <v>319</v>
      </c>
      <c r="K963" s="13" t="s">
        <v>211</v>
      </c>
      <c r="L963" s="14" t="s">
        <v>165</v>
      </c>
      <c r="M963" s="13" t="s">
        <v>55</v>
      </c>
      <c r="N963" s="14" t="s">
        <v>135</v>
      </c>
      <c r="O963" s="13" t="s">
        <v>55</v>
      </c>
      <c r="P963" s="14" t="s">
        <v>778</v>
      </c>
      <c r="Q963" s="13" t="s">
        <v>204</v>
      </c>
      <c r="R963" s="14" t="s">
        <v>369</v>
      </c>
      <c r="S963" s="15" t="n">
        <f>638.33</f>
        <v>638.33</v>
      </c>
      <c r="T963" s="16" t="n">
        <f>6506</f>
        <v>6506.0</v>
      </c>
      <c r="U963" s="16" t="n">
        <v>5009.0</v>
      </c>
      <c r="V963" s="16" t="n">
        <f>3849304500</f>
        <v>3.8493045E9</v>
      </c>
      <c r="W963" s="16" t="n">
        <v>2.8271345E9</v>
      </c>
      <c r="X963" s="16" t="str">
        <f>"－"</f>
        <v>－</v>
      </c>
      <c r="Y963" s="13"/>
      <c r="Z963" s="17" t="n">
        <f>3853</f>
        <v>3853.0</v>
      </c>
      <c r="AA963" s="18" t="n">
        <f>18</f>
        <v>18.0</v>
      </c>
      <c r="AB963" s="11" t="s">
        <v>332</v>
      </c>
    </row>
    <row r="964">
      <c r="A964" s="11" t="s">
        <v>46</v>
      </c>
      <c r="B964" s="11" t="s">
        <v>47</v>
      </c>
      <c r="C964" s="11" t="s">
        <v>48</v>
      </c>
      <c r="D964" s="11" t="s">
        <v>651</v>
      </c>
      <c r="E964" s="11" t="s">
        <v>331</v>
      </c>
      <c r="F964" s="12" t="n">
        <v>30125.0</v>
      </c>
      <c r="G964" s="13" t="s">
        <v>50</v>
      </c>
      <c r="H964" s="14" t="s">
        <v>293</v>
      </c>
      <c r="I964" s="13" t="s">
        <v>288</v>
      </c>
      <c r="J964" s="14" t="s">
        <v>423</v>
      </c>
      <c r="K964" s="13" t="s">
        <v>204</v>
      </c>
      <c r="L964" s="14" t="s">
        <v>315</v>
      </c>
      <c r="M964" s="13" t="s">
        <v>50</v>
      </c>
      <c r="N964" s="14" t="s">
        <v>230</v>
      </c>
      <c r="O964" s="13" t="s">
        <v>204</v>
      </c>
      <c r="P964" s="14" t="s">
        <v>196</v>
      </c>
      <c r="Q964" s="13" t="s">
        <v>204</v>
      </c>
      <c r="R964" s="14" t="s">
        <v>147</v>
      </c>
      <c r="S964" s="15" t="n">
        <f>618.75</f>
        <v>618.75</v>
      </c>
      <c r="T964" s="16" t="n">
        <f>638</f>
        <v>638.0</v>
      </c>
      <c r="U964" s="16" t="n">
        <v>2.0</v>
      </c>
      <c r="V964" s="16" t="n">
        <f>417280000</f>
        <v>4.1728E8</v>
      </c>
      <c r="W964" s="16" t="n">
        <v>970000.0</v>
      </c>
      <c r="X964" s="16" t="str">
        <f>"－"</f>
        <v>－</v>
      </c>
      <c r="Y964" s="13"/>
      <c r="Z964" s="17" t="n">
        <f>338</f>
        <v>338.0</v>
      </c>
      <c r="AA964" s="18" t="n">
        <f>12</f>
        <v>12.0</v>
      </c>
      <c r="AB964" s="11" t="s">
        <v>332</v>
      </c>
    </row>
    <row r="965">
      <c r="A965" s="11" t="s">
        <v>46</v>
      </c>
      <c r="B965" s="11" t="s">
        <v>47</v>
      </c>
      <c r="C965" s="11" t="s">
        <v>48</v>
      </c>
      <c r="D965" s="11" t="s">
        <v>651</v>
      </c>
      <c r="E965" s="11" t="s">
        <v>331</v>
      </c>
      <c r="F965" s="12" t="n">
        <v>30250.0</v>
      </c>
      <c r="G965" s="13" t="s">
        <v>50</v>
      </c>
      <c r="H965" s="14" t="s">
        <v>231</v>
      </c>
      <c r="I965" s="13" t="s">
        <v>288</v>
      </c>
      <c r="J965" s="14" t="s">
        <v>386</v>
      </c>
      <c r="K965" s="13" t="s">
        <v>288</v>
      </c>
      <c r="L965" s="14" t="s">
        <v>779</v>
      </c>
      <c r="M965" s="13" t="s">
        <v>50</v>
      </c>
      <c r="N965" s="14" t="s">
        <v>231</v>
      </c>
      <c r="O965" s="13" t="s">
        <v>58</v>
      </c>
      <c r="P965" s="14" t="s">
        <v>453</v>
      </c>
      <c r="Q965" s="13" t="s">
        <v>204</v>
      </c>
      <c r="R965" s="14" t="s">
        <v>415</v>
      </c>
      <c r="S965" s="15" t="n">
        <f>521.33</f>
        <v>521.33</v>
      </c>
      <c r="T965" s="16" t="n">
        <f>1646</f>
        <v>1646.0</v>
      </c>
      <c r="U965" s="16" t="n">
        <v>993.0</v>
      </c>
      <c r="V965" s="16" t="n">
        <f>1102451000</f>
        <v>1.102451E9</v>
      </c>
      <c r="W965" s="16" t="n">
        <v>7.28566E8</v>
      </c>
      <c r="X965" s="16" t="str">
        <f>"－"</f>
        <v>－</v>
      </c>
      <c r="Y965" s="13"/>
      <c r="Z965" s="17" t="n">
        <f>1909</f>
        <v>1909.0</v>
      </c>
      <c r="AA965" s="18" t="n">
        <f>15</f>
        <v>15.0</v>
      </c>
      <c r="AB965" s="11" t="s">
        <v>332</v>
      </c>
    </row>
    <row r="966">
      <c r="A966" s="11" t="s">
        <v>46</v>
      </c>
      <c r="B966" s="11" t="s">
        <v>47</v>
      </c>
      <c r="C966" s="11" t="s">
        <v>48</v>
      </c>
      <c r="D966" s="11" t="s">
        <v>651</v>
      </c>
      <c r="E966" s="11" t="s">
        <v>331</v>
      </c>
      <c r="F966" s="12" t="n">
        <v>30375.0</v>
      </c>
      <c r="G966" s="13" t="s">
        <v>50</v>
      </c>
      <c r="H966" s="14" t="s">
        <v>129</v>
      </c>
      <c r="I966" s="13" t="s">
        <v>202</v>
      </c>
      <c r="J966" s="14" t="s">
        <v>280</v>
      </c>
      <c r="K966" s="13" t="s">
        <v>61</v>
      </c>
      <c r="L966" s="14" t="s">
        <v>175</v>
      </c>
      <c r="M966" s="13" t="s">
        <v>50</v>
      </c>
      <c r="N966" s="14" t="s">
        <v>129</v>
      </c>
      <c r="O966" s="13" t="s">
        <v>63</v>
      </c>
      <c r="P966" s="14" t="s">
        <v>135</v>
      </c>
      <c r="Q966" s="13" t="s">
        <v>204</v>
      </c>
      <c r="R966" s="14" t="s">
        <v>190</v>
      </c>
      <c r="S966" s="15" t="n">
        <f>542.5</f>
        <v>542.5</v>
      </c>
      <c r="T966" s="16" t="n">
        <f>282</f>
        <v>282.0</v>
      </c>
      <c r="U966" s="16" t="n">
        <v>10.0</v>
      </c>
      <c r="V966" s="16" t="n">
        <f>95585000</f>
        <v>9.5585E7</v>
      </c>
      <c r="W966" s="16" t="n">
        <v>3410000.0</v>
      </c>
      <c r="X966" s="16" t="str">
        <f>"－"</f>
        <v>－</v>
      </c>
      <c r="Y966" s="13"/>
      <c r="Z966" s="17" t="n">
        <f>117</f>
        <v>117.0</v>
      </c>
      <c r="AA966" s="18" t="n">
        <f>12</f>
        <v>12.0</v>
      </c>
      <c r="AB966" s="11" t="s">
        <v>332</v>
      </c>
    </row>
    <row r="967">
      <c r="A967" s="11" t="s">
        <v>46</v>
      </c>
      <c r="B967" s="11" t="s">
        <v>47</v>
      </c>
      <c r="C967" s="11" t="s">
        <v>48</v>
      </c>
      <c r="D967" s="11" t="s">
        <v>651</v>
      </c>
      <c r="E967" s="11" t="s">
        <v>331</v>
      </c>
      <c r="F967" s="12" t="n">
        <v>30500.0</v>
      </c>
      <c r="G967" s="13" t="s">
        <v>50</v>
      </c>
      <c r="H967" s="14" t="s">
        <v>261</v>
      </c>
      <c r="I967" s="13" t="s">
        <v>202</v>
      </c>
      <c r="J967" s="14" t="s">
        <v>434</v>
      </c>
      <c r="K967" s="13" t="s">
        <v>202</v>
      </c>
      <c r="L967" s="14" t="s">
        <v>298</v>
      </c>
      <c r="M967" s="13" t="s">
        <v>50</v>
      </c>
      <c r="N967" s="14" t="s">
        <v>261</v>
      </c>
      <c r="O967" s="13" t="s">
        <v>50</v>
      </c>
      <c r="P967" s="14" t="s">
        <v>124</v>
      </c>
      <c r="Q967" s="13" t="s">
        <v>204</v>
      </c>
      <c r="R967" s="14" t="s">
        <v>141</v>
      </c>
      <c r="S967" s="15" t="n">
        <f>467.94</f>
        <v>467.94</v>
      </c>
      <c r="T967" s="16" t="n">
        <f>2791</f>
        <v>2791.0</v>
      </c>
      <c r="U967" s="16" t="n">
        <v>1657.0</v>
      </c>
      <c r="V967" s="16" t="n">
        <f>1447214000</f>
        <v>1.447214E9</v>
      </c>
      <c r="W967" s="16" t="n">
        <v>9.17239E8</v>
      </c>
      <c r="X967" s="16" t="str">
        <f>"－"</f>
        <v>－</v>
      </c>
      <c r="Y967" s="13"/>
      <c r="Z967" s="17" t="n">
        <f>1698</f>
        <v>1698.0</v>
      </c>
      <c r="AA967" s="18" t="n">
        <f>17</f>
        <v>17.0</v>
      </c>
      <c r="AB967" s="11" t="s">
        <v>332</v>
      </c>
    </row>
    <row r="968">
      <c r="A968" s="11" t="s">
        <v>46</v>
      </c>
      <c r="B968" s="11" t="s">
        <v>47</v>
      </c>
      <c r="C968" s="11" t="s">
        <v>48</v>
      </c>
      <c r="D968" s="11" t="s">
        <v>651</v>
      </c>
      <c r="E968" s="11" t="s">
        <v>331</v>
      </c>
      <c r="F968" s="12" t="n">
        <v>30625.0</v>
      </c>
      <c r="G968" s="13" t="s">
        <v>50</v>
      </c>
      <c r="H968" s="14" t="s">
        <v>286</v>
      </c>
      <c r="I968" s="13" t="s">
        <v>288</v>
      </c>
      <c r="J968" s="14" t="s">
        <v>359</v>
      </c>
      <c r="K968" s="13" t="s">
        <v>202</v>
      </c>
      <c r="L968" s="14" t="s">
        <v>296</v>
      </c>
      <c r="M968" s="13" t="s">
        <v>50</v>
      </c>
      <c r="N968" s="14" t="s">
        <v>286</v>
      </c>
      <c r="O968" s="13" t="s">
        <v>205</v>
      </c>
      <c r="P968" s="14" t="s">
        <v>150</v>
      </c>
      <c r="Q968" s="13" t="s">
        <v>204</v>
      </c>
      <c r="R968" s="14" t="s">
        <v>244</v>
      </c>
      <c r="S968" s="15" t="n">
        <f>464.09</f>
        <v>464.09</v>
      </c>
      <c r="T968" s="16" t="n">
        <f>389</f>
        <v>389.0</v>
      </c>
      <c r="U968" s="16" t="n">
        <v>2.0</v>
      </c>
      <c r="V968" s="16" t="n">
        <f>112485000</f>
        <v>1.12485E8</v>
      </c>
      <c r="W968" s="16" t="n">
        <v>1255000.0</v>
      </c>
      <c r="X968" s="16" t="str">
        <f>"－"</f>
        <v>－</v>
      </c>
      <c r="Y968" s="13"/>
      <c r="Z968" s="17" t="n">
        <f>222</f>
        <v>222.0</v>
      </c>
      <c r="AA968" s="18" t="n">
        <f>11</f>
        <v>11.0</v>
      </c>
      <c r="AB968" s="11" t="s">
        <v>332</v>
      </c>
    </row>
    <row r="969">
      <c r="A969" s="11" t="s">
        <v>46</v>
      </c>
      <c r="B969" s="11" t="s">
        <v>47</v>
      </c>
      <c r="C969" s="11" t="s">
        <v>48</v>
      </c>
      <c r="D969" s="11" t="s">
        <v>651</v>
      </c>
      <c r="E969" s="11" t="s">
        <v>331</v>
      </c>
      <c r="F969" s="12" t="n">
        <v>30750.0</v>
      </c>
      <c r="G969" s="13" t="s">
        <v>55</v>
      </c>
      <c r="H969" s="14" t="s">
        <v>122</v>
      </c>
      <c r="I969" s="13" t="s">
        <v>202</v>
      </c>
      <c r="J969" s="14" t="s">
        <v>164</v>
      </c>
      <c r="K969" s="13" t="s">
        <v>207</v>
      </c>
      <c r="L969" s="14" t="s">
        <v>161</v>
      </c>
      <c r="M969" s="13" t="s">
        <v>55</v>
      </c>
      <c r="N969" s="14" t="s">
        <v>122</v>
      </c>
      <c r="O969" s="13" t="s">
        <v>206</v>
      </c>
      <c r="P969" s="14" t="s">
        <v>780</v>
      </c>
      <c r="Q969" s="13" t="s">
        <v>204</v>
      </c>
      <c r="R969" s="14" t="s">
        <v>134</v>
      </c>
      <c r="S969" s="15" t="n">
        <f>406.18</f>
        <v>406.18</v>
      </c>
      <c r="T969" s="16" t="n">
        <f>1423</f>
        <v>1423.0</v>
      </c>
      <c r="U969" s="16" t="n">
        <v>85.0</v>
      </c>
      <c r="V969" s="16" t="n">
        <f>489510600</f>
        <v>4.895106E8</v>
      </c>
      <c r="W969" s="16" t="n">
        <v>2.99706E7</v>
      </c>
      <c r="X969" s="16" t="str">
        <f>"－"</f>
        <v>－</v>
      </c>
      <c r="Y969" s="13"/>
      <c r="Z969" s="17" t="n">
        <f>937</f>
        <v>937.0</v>
      </c>
      <c r="AA969" s="18" t="n">
        <f>17</f>
        <v>17.0</v>
      </c>
      <c r="AB969" s="11" t="s">
        <v>332</v>
      </c>
    </row>
    <row r="970">
      <c r="A970" s="11" t="s">
        <v>46</v>
      </c>
      <c r="B970" s="11" t="s">
        <v>47</v>
      </c>
      <c r="C970" s="11" t="s">
        <v>48</v>
      </c>
      <c r="D970" s="11" t="s">
        <v>651</v>
      </c>
      <c r="E970" s="11" t="s">
        <v>331</v>
      </c>
      <c r="F970" s="12" t="n">
        <v>30875.0</v>
      </c>
      <c r="G970" s="13" t="s">
        <v>50</v>
      </c>
      <c r="H970" s="14" t="s">
        <v>118</v>
      </c>
      <c r="I970" s="13" t="s">
        <v>288</v>
      </c>
      <c r="J970" s="14" t="s">
        <v>419</v>
      </c>
      <c r="K970" s="13"/>
      <c r="L970" s="14"/>
      <c r="M970" s="13" t="s">
        <v>50</v>
      </c>
      <c r="N970" s="14" t="s">
        <v>118</v>
      </c>
      <c r="O970" s="13"/>
      <c r="P970" s="14"/>
      <c r="Q970" s="13" t="s">
        <v>204</v>
      </c>
      <c r="R970" s="14" t="s">
        <v>274</v>
      </c>
      <c r="S970" s="15" t="n">
        <f>357.65</f>
        <v>357.65</v>
      </c>
      <c r="T970" s="16" t="n">
        <f>576</f>
        <v>576.0</v>
      </c>
      <c r="U970" s="16"/>
      <c r="V970" s="16" t="n">
        <f>211540000</f>
        <v>2.1154E8</v>
      </c>
      <c r="W970" s="16"/>
      <c r="X970" s="16" t="str">
        <f>"－"</f>
        <v>－</v>
      </c>
      <c r="Y970" s="13"/>
      <c r="Z970" s="17" t="n">
        <f>146</f>
        <v>146.0</v>
      </c>
      <c r="AA970" s="18" t="n">
        <f>17</f>
        <v>17.0</v>
      </c>
      <c r="AB970" s="11" t="s">
        <v>332</v>
      </c>
    </row>
    <row r="971">
      <c r="A971" s="11" t="s">
        <v>46</v>
      </c>
      <c r="B971" s="11" t="s">
        <v>47</v>
      </c>
      <c r="C971" s="11" t="s">
        <v>48</v>
      </c>
      <c r="D971" s="11" t="s">
        <v>651</v>
      </c>
      <c r="E971" s="11" t="s">
        <v>331</v>
      </c>
      <c r="F971" s="12" t="n">
        <v>31000.0</v>
      </c>
      <c r="G971" s="13" t="s">
        <v>50</v>
      </c>
      <c r="H971" s="14" t="s">
        <v>115</v>
      </c>
      <c r="I971" s="13" t="s">
        <v>202</v>
      </c>
      <c r="J971" s="14" t="s">
        <v>297</v>
      </c>
      <c r="K971" s="13" t="s">
        <v>202</v>
      </c>
      <c r="L971" s="14" t="s">
        <v>297</v>
      </c>
      <c r="M971" s="13" t="s">
        <v>60</v>
      </c>
      <c r="N971" s="14" t="s">
        <v>229</v>
      </c>
      <c r="O971" s="13" t="s">
        <v>50</v>
      </c>
      <c r="P971" s="14" t="s">
        <v>118</v>
      </c>
      <c r="Q971" s="13" t="s">
        <v>204</v>
      </c>
      <c r="R971" s="14" t="s">
        <v>293</v>
      </c>
      <c r="S971" s="15" t="n">
        <f>314.94</f>
        <v>314.94</v>
      </c>
      <c r="T971" s="16" t="n">
        <f>8900</f>
        <v>8900.0</v>
      </c>
      <c r="U971" s="16" t="n">
        <v>4393.0</v>
      </c>
      <c r="V971" s="16" t="n">
        <f>3865018420</f>
        <v>3.86501842E9</v>
      </c>
      <c r="W971" s="16" t="n">
        <v>2.08277942E9</v>
      </c>
      <c r="X971" s="16" t="str">
        <f>"－"</f>
        <v>－</v>
      </c>
      <c r="Y971" s="13"/>
      <c r="Z971" s="17" t="n">
        <f>3396</f>
        <v>3396.0</v>
      </c>
      <c r="AA971" s="18" t="n">
        <f>18</f>
        <v>18.0</v>
      </c>
      <c r="AB971" s="11" t="s">
        <v>332</v>
      </c>
    </row>
    <row r="972">
      <c r="A972" s="11" t="s">
        <v>46</v>
      </c>
      <c r="B972" s="11" t="s">
        <v>47</v>
      </c>
      <c r="C972" s="11" t="s">
        <v>48</v>
      </c>
      <c r="D972" s="11" t="s">
        <v>651</v>
      </c>
      <c r="E972" s="11" t="s">
        <v>331</v>
      </c>
      <c r="F972" s="12" t="n">
        <v>31125.0</v>
      </c>
      <c r="G972" s="13" t="s">
        <v>206</v>
      </c>
      <c r="H972" s="14" t="s">
        <v>134</v>
      </c>
      <c r="I972" s="13" t="s">
        <v>207</v>
      </c>
      <c r="J972" s="14" t="s">
        <v>153</v>
      </c>
      <c r="K972" s="13" t="s">
        <v>288</v>
      </c>
      <c r="L972" s="14" t="s">
        <v>781</v>
      </c>
      <c r="M972" s="13" t="s">
        <v>204</v>
      </c>
      <c r="N972" s="14" t="s">
        <v>233</v>
      </c>
      <c r="O972" s="13" t="s">
        <v>56</v>
      </c>
      <c r="P972" s="14" t="s">
        <v>782</v>
      </c>
      <c r="Q972" s="13" t="s">
        <v>204</v>
      </c>
      <c r="R972" s="14" t="s">
        <v>233</v>
      </c>
      <c r="S972" s="15" t="n">
        <f>360</f>
        <v>360.0</v>
      </c>
      <c r="T972" s="16" t="n">
        <f>2410</f>
        <v>2410.0</v>
      </c>
      <c r="U972" s="16" t="n">
        <v>1852.0</v>
      </c>
      <c r="V972" s="16" t="n">
        <f>962042000</f>
        <v>9.62042E8</v>
      </c>
      <c r="W972" s="16" t="n">
        <v>7.59172E8</v>
      </c>
      <c r="X972" s="16" t="str">
        <f>"－"</f>
        <v>－</v>
      </c>
      <c r="Y972" s="13"/>
      <c r="Z972" s="17" t="n">
        <f>1189</f>
        <v>1189.0</v>
      </c>
      <c r="AA972" s="18" t="n">
        <f>9</f>
        <v>9.0</v>
      </c>
      <c r="AB972" s="11" t="s">
        <v>332</v>
      </c>
    </row>
    <row r="973">
      <c r="A973" s="11" t="s">
        <v>46</v>
      </c>
      <c r="B973" s="11" t="s">
        <v>47</v>
      </c>
      <c r="C973" s="11" t="s">
        <v>48</v>
      </c>
      <c r="D973" s="11" t="s">
        <v>651</v>
      </c>
      <c r="E973" s="11" t="s">
        <v>331</v>
      </c>
      <c r="F973" s="12" t="n">
        <v>31250.0</v>
      </c>
      <c r="G973" s="13" t="s">
        <v>50</v>
      </c>
      <c r="H973" s="14" t="s">
        <v>339</v>
      </c>
      <c r="I973" s="13" t="s">
        <v>288</v>
      </c>
      <c r="J973" s="14" t="s">
        <v>253</v>
      </c>
      <c r="K973" s="13" t="s">
        <v>288</v>
      </c>
      <c r="L973" s="14" t="s">
        <v>381</v>
      </c>
      <c r="M973" s="13" t="s">
        <v>55</v>
      </c>
      <c r="N973" s="14" t="s">
        <v>277</v>
      </c>
      <c r="O973" s="13" t="s">
        <v>204</v>
      </c>
      <c r="P973" s="14" t="s">
        <v>123</v>
      </c>
      <c r="Q973" s="13" t="s">
        <v>204</v>
      </c>
      <c r="R973" s="14" t="s">
        <v>125</v>
      </c>
      <c r="S973" s="15" t="n">
        <f>265.89</f>
        <v>265.89</v>
      </c>
      <c r="T973" s="16" t="n">
        <f>2364</f>
        <v>2364.0</v>
      </c>
      <c r="U973" s="16" t="n">
        <v>1569.0</v>
      </c>
      <c r="V973" s="16" t="n">
        <f>967487000</f>
        <v>9.67487E8</v>
      </c>
      <c r="W973" s="16" t="n">
        <v>6.72678E8</v>
      </c>
      <c r="X973" s="16" t="str">
        <f>"－"</f>
        <v>－</v>
      </c>
      <c r="Y973" s="13"/>
      <c r="Z973" s="17" t="n">
        <f>1077</f>
        <v>1077.0</v>
      </c>
      <c r="AA973" s="18" t="n">
        <f>18</f>
        <v>18.0</v>
      </c>
      <c r="AB973" s="11" t="s">
        <v>332</v>
      </c>
    </row>
    <row r="974">
      <c r="A974" s="11" t="s">
        <v>46</v>
      </c>
      <c r="B974" s="11" t="s">
        <v>47</v>
      </c>
      <c r="C974" s="11" t="s">
        <v>48</v>
      </c>
      <c r="D974" s="11" t="s">
        <v>651</v>
      </c>
      <c r="E974" s="11" t="s">
        <v>331</v>
      </c>
      <c r="F974" s="12" t="n">
        <v>31375.0</v>
      </c>
      <c r="G974" s="13" t="s">
        <v>56</v>
      </c>
      <c r="H974" s="14" t="s">
        <v>274</v>
      </c>
      <c r="I974" s="13" t="s">
        <v>202</v>
      </c>
      <c r="J974" s="14" t="s">
        <v>460</v>
      </c>
      <c r="K974" s="13"/>
      <c r="L974" s="14"/>
      <c r="M974" s="13" t="s">
        <v>204</v>
      </c>
      <c r="N974" s="14" t="s">
        <v>128</v>
      </c>
      <c r="O974" s="13"/>
      <c r="P974" s="14"/>
      <c r="Q974" s="13" t="s">
        <v>204</v>
      </c>
      <c r="R974" s="14" t="s">
        <v>127</v>
      </c>
      <c r="S974" s="15" t="n">
        <f>316.5</f>
        <v>316.5</v>
      </c>
      <c r="T974" s="16" t="n">
        <f>239</f>
        <v>239.0</v>
      </c>
      <c r="U974" s="16"/>
      <c r="V974" s="16" t="n">
        <f>82980000</f>
        <v>8.298E7</v>
      </c>
      <c r="W974" s="16"/>
      <c r="X974" s="16" t="str">
        <f>"－"</f>
        <v>－</v>
      </c>
      <c r="Y974" s="13"/>
      <c r="Z974" s="17" t="n">
        <f>64</f>
        <v>64.0</v>
      </c>
      <c r="AA974" s="18" t="n">
        <f>10</f>
        <v>10.0</v>
      </c>
      <c r="AB974" s="11" t="s">
        <v>332</v>
      </c>
    </row>
    <row r="975">
      <c r="A975" s="11" t="s">
        <v>46</v>
      </c>
      <c r="B975" s="11" t="s">
        <v>47</v>
      </c>
      <c r="C975" s="11" t="s">
        <v>48</v>
      </c>
      <c r="D975" s="11" t="s">
        <v>651</v>
      </c>
      <c r="E975" s="11" t="s">
        <v>331</v>
      </c>
      <c r="F975" s="12" t="n">
        <v>31500.0</v>
      </c>
      <c r="G975" s="13" t="s">
        <v>50</v>
      </c>
      <c r="H975" s="14" t="s">
        <v>337</v>
      </c>
      <c r="I975" s="13" t="s">
        <v>202</v>
      </c>
      <c r="J975" s="14" t="s">
        <v>460</v>
      </c>
      <c r="K975" s="13" t="s">
        <v>202</v>
      </c>
      <c r="L975" s="14" t="s">
        <v>315</v>
      </c>
      <c r="M975" s="13" t="s">
        <v>55</v>
      </c>
      <c r="N975" s="14" t="s">
        <v>221</v>
      </c>
      <c r="O975" s="13" t="s">
        <v>60</v>
      </c>
      <c r="P975" s="14" t="s">
        <v>221</v>
      </c>
      <c r="Q975" s="13" t="s">
        <v>204</v>
      </c>
      <c r="R975" s="14" t="s">
        <v>120</v>
      </c>
      <c r="S975" s="15" t="n">
        <f>232.94</f>
        <v>232.94</v>
      </c>
      <c r="T975" s="16" t="n">
        <f>7653</f>
        <v>7653.0</v>
      </c>
      <c r="U975" s="16" t="n">
        <v>4371.0</v>
      </c>
      <c r="V975" s="16" t="n">
        <f>2015513000</f>
        <v>2.015513E9</v>
      </c>
      <c r="W975" s="16" t="n">
        <v>9.7308E8</v>
      </c>
      <c r="X975" s="16" t="str">
        <f>"－"</f>
        <v>－</v>
      </c>
      <c r="Y975" s="13"/>
      <c r="Z975" s="17" t="n">
        <f>4944</f>
        <v>4944.0</v>
      </c>
      <c r="AA975" s="18" t="n">
        <f>17</f>
        <v>17.0</v>
      </c>
      <c r="AB975" s="11" t="s">
        <v>332</v>
      </c>
    </row>
    <row r="976">
      <c r="A976" s="11" t="s">
        <v>46</v>
      </c>
      <c r="B976" s="11" t="s">
        <v>47</v>
      </c>
      <c r="C976" s="11" t="s">
        <v>48</v>
      </c>
      <c r="D976" s="11" t="s">
        <v>651</v>
      </c>
      <c r="E976" s="11" t="s">
        <v>331</v>
      </c>
      <c r="F976" s="12" t="n">
        <v>31625.0</v>
      </c>
      <c r="G976" s="13" t="s">
        <v>205</v>
      </c>
      <c r="H976" s="14" t="s">
        <v>125</v>
      </c>
      <c r="I976" s="13" t="s">
        <v>202</v>
      </c>
      <c r="J976" s="14" t="s">
        <v>534</v>
      </c>
      <c r="K976" s="13" t="s">
        <v>202</v>
      </c>
      <c r="L976" s="14" t="s">
        <v>312</v>
      </c>
      <c r="M976" s="13" t="s">
        <v>204</v>
      </c>
      <c r="N976" s="14" t="s">
        <v>118</v>
      </c>
      <c r="O976" s="13" t="s">
        <v>204</v>
      </c>
      <c r="P976" s="14" t="s">
        <v>123</v>
      </c>
      <c r="Q976" s="13" t="s">
        <v>204</v>
      </c>
      <c r="R976" s="14" t="s">
        <v>119</v>
      </c>
      <c r="S976" s="15" t="n">
        <f>286.67</f>
        <v>286.67</v>
      </c>
      <c r="T976" s="16" t="n">
        <f>972</f>
        <v>972.0</v>
      </c>
      <c r="U976" s="16" t="n">
        <v>9.0</v>
      </c>
      <c r="V976" s="16" t="n">
        <f>281560000</f>
        <v>2.8156E8</v>
      </c>
      <c r="W976" s="16" t="n">
        <v>3310000.0</v>
      </c>
      <c r="X976" s="16" t="str">
        <f>"－"</f>
        <v>－</v>
      </c>
      <c r="Y976" s="13"/>
      <c r="Z976" s="17" t="n">
        <f>462</f>
        <v>462.0</v>
      </c>
      <c r="AA976" s="18" t="n">
        <f>9</f>
        <v>9.0</v>
      </c>
      <c r="AB976" s="11" t="s">
        <v>332</v>
      </c>
    </row>
    <row r="977">
      <c r="A977" s="11" t="s">
        <v>46</v>
      </c>
      <c r="B977" s="11" t="s">
        <v>47</v>
      </c>
      <c r="C977" s="11" t="s">
        <v>48</v>
      </c>
      <c r="D977" s="11" t="s">
        <v>651</v>
      </c>
      <c r="E977" s="11" t="s">
        <v>331</v>
      </c>
      <c r="F977" s="12" t="n">
        <v>31750.0</v>
      </c>
      <c r="G977" s="13" t="s">
        <v>50</v>
      </c>
      <c r="H977" s="14" t="s">
        <v>221</v>
      </c>
      <c r="I977" s="13" t="s">
        <v>202</v>
      </c>
      <c r="J977" s="14" t="s">
        <v>197</v>
      </c>
      <c r="K977" s="13" t="s">
        <v>202</v>
      </c>
      <c r="L977" s="14" t="s">
        <v>415</v>
      </c>
      <c r="M977" s="13" t="s">
        <v>50</v>
      </c>
      <c r="N977" s="14" t="s">
        <v>267</v>
      </c>
      <c r="O977" s="13" t="s">
        <v>204</v>
      </c>
      <c r="P977" s="14" t="s">
        <v>286</v>
      </c>
      <c r="Q977" s="13" t="s">
        <v>204</v>
      </c>
      <c r="R977" s="14" t="s">
        <v>117</v>
      </c>
      <c r="S977" s="15" t="n">
        <f>212.43</f>
        <v>212.43</v>
      </c>
      <c r="T977" s="16" t="n">
        <f>1152</f>
        <v>1152.0</v>
      </c>
      <c r="U977" s="16" t="n">
        <v>28.0</v>
      </c>
      <c r="V977" s="16" t="n">
        <f>342773000</f>
        <v>3.42773E8</v>
      </c>
      <c r="W977" s="16" t="n">
        <v>7685000.0</v>
      </c>
      <c r="X977" s="16" t="str">
        <f>"－"</f>
        <v>－</v>
      </c>
      <c r="Y977" s="13"/>
      <c r="Z977" s="17" t="n">
        <f>397</f>
        <v>397.0</v>
      </c>
      <c r="AA977" s="18" t="n">
        <f>14</f>
        <v>14.0</v>
      </c>
      <c r="AB977" s="11" t="s">
        <v>332</v>
      </c>
    </row>
    <row r="978">
      <c r="A978" s="11" t="s">
        <v>46</v>
      </c>
      <c r="B978" s="11" t="s">
        <v>47</v>
      </c>
      <c r="C978" s="11" t="s">
        <v>48</v>
      </c>
      <c r="D978" s="11" t="s">
        <v>651</v>
      </c>
      <c r="E978" s="11" t="s">
        <v>331</v>
      </c>
      <c r="F978" s="12" t="n">
        <v>31875.0</v>
      </c>
      <c r="G978" s="13" t="s">
        <v>202</v>
      </c>
      <c r="H978" s="14" t="s">
        <v>426</v>
      </c>
      <c r="I978" s="13" t="s">
        <v>202</v>
      </c>
      <c r="J978" s="14" t="s">
        <v>426</v>
      </c>
      <c r="K978" s="13" t="s">
        <v>210</v>
      </c>
      <c r="L978" s="14" t="s">
        <v>126</v>
      </c>
      <c r="M978" s="13" t="s">
        <v>204</v>
      </c>
      <c r="N978" s="14" t="s">
        <v>226</v>
      </c>
      <c r="O978" s="13" t="s">
        <v>210</v>
      </c>
      <c r="P978" s="14" t="s">
        <v>126</v>
      </c>
      <c r="Q978" s="13" t="s">
        <v>204</v>
      </c>
      <c r="R978" s="14" t="s">
        <v>226</v>
      </c>
      <c r="S978" s="15" t="n">
        <f>241.63</f>
        <v>241.63</v>
      </c>
      <c r="T978" s="16" t="n">
        <f>201</f>
        <v>201.0</v>
      </c>
      <c r="U978" s="16" t="n">
        <v>1.0</v>
      </c>
      <c r="V978" s="16" t="n">
        <f>47045000</f>
        <v>4.7045E7</v>
      </c>
      <c r="W978" s="16" t="n">
        <v>145000.0</v>
      </c>
      <c r="X978" s="16" t="str">
        <f>"－"</f>
        <v>－</v>
      </c>
      <c r="Y978" s="13"/>
      <c r="Z978" s="17" t="n">
        <f>34</f>
        <v>34.0</v>
      </c>
      <c r="AA978" s="18" t="n">
        <f>8</f>
        <v>8.0</v>
      </c>
      <c r="AB978" s="11" t="s">
        <v>332</v>
      </c>
    </row>
    <row r="979">
      <c r="A979" s="11" t="s">
        <v>46</v>
      </c>
      <c r="B979" s="11" t="s">
        <v>47</v>
      </c>
      <c r="C979" s="11" t="s">
        <v>48</v>
      </c>
      <c r="D979" s="11" t="s">
        <v>651</v>
      </c>
      <c r="E979" s="11" t="s">
        <v>331</v>
      </c>
      <c r="F979" s="12" t="n">
        <v>32000.0</v>
      </c>
      <c r="G979" s="13" t="s">
        <v>55</v>
      </c>
      <c r="H979" s="14" t="s">
        <v>102</v>
      </c>
      <c r="I979" s="13" t="s">
        <v>202</v>
      </c>
      <c r="J979" s="14" t="s">
        <v>193</v>
      </c>
      <c r="K979" s="13" t="s">
        <v>202</v>
      </c>
      <c r="L979" s="14" t="s">
        <v>145</v>
      </c>
      <c r="M979" s="13" t="s">
        <v>58</v>
      </c>
      <c r="N979" s="14" t="s">
        <v>189</v>
      </c>
      <c r="O979" s="13" t="s">
        <v>204</v>
      </c>
      <c r="P979" s="14" t="s">
        <v>101</v>
      </c>
      <c r="Q979" s="13" t="s">
        <v>204</v>
      </c>
      <c r="R979" s="14" t="s">
        <v>225</v>
      </c>
      <c r="S979" s="15" t="n">
        <f>165.63</f>
        <v>165.63</v>
      </c>
      <c r="T979" s="16" t="n">
        <f>7445</f>
        <v>7445.0</v>
      </c>
      <c r="U979" s="16" t="n">
        <v>3934.0</v>
      </c>
      <c r="V979" s="16" t="n">
        <f>1869002500</f>
        <v>1.8690025E9</v>
      </c>
      <c r="W979" s="16" t="n">
        <v>1.0483435E9</v>
      </c>
      <c r="X979" s="16" t="str">
        <f>"－"</f>
        <v>－</v>
      </c>
      <c r="Y979" s="13"/>
      <c r="Z979" s="17" t="n">
        <f>2773</f>
        <v>2773.0</v>
      </c>
      <c r="AA979" s="18" t="n">
        <f>16</f>
        <v>16.0</v>
      </c>
      <c r="AB979" s="11" t="s">
        <v>332</v>
      </c>
    </row>
    <row r="980">
      <c r="A980" s="11" t="s">
        <v>46</v>
      </c>
      <c r="B980" s="11" t="s">
        <v>47</v>
      </c>
      <c r="C980" s="11" t="s">
        <v>48</v>
      </c>
      <c r="D980" s="11" t="s">
        <v>651</v>
      </c>
      <c r="E980" s="11" t="s">
        <v>331</v>
      </c>
      <c r="F980" s="12" t="n">
        <v>32125.0</v>
      </c>
      <c r="G980" s="13" t="s">
        <v>202</v>
      </c>
      <c r="H980" s="14" t="s">
        <v>136</v>
      </c>
      <c r="I980" s="13" t="s">
        <v>288</v>
      </c>
      <c r="J980" s="14" t="s">
        <v>190</v>
      </c>
      <c r="K980" s="13" t="s">
        <v>202</v>
      </c>
      <c r="L980" s="14" t="s">
        <v>139</v>
      </c>
      <c r="M980" s="13" t="s">
        <v>204</v>
      </c>
      <c r="N980" s="14" t="s">
        <v>111</v>
      </c>
      <c r="O980" s="13" t="s">
        <v>204</v>
      </c>
      <c r="P980" s="14" t="s">
        <v>115</v>
      </c>
      <c r="Q980" s="13" t="s">
        <v>204</v>
      </c>
      <c r="R980" s="14" t="s">
        <v>111</v>
      </c>
      <c r="S980" s="15" t="n">
        <f>187.5</f>
        <v>187.5</v>
      </c>
      <c r="T980" s="16" t="n">
        <f>501</f>
        <v>501.0</v>
      </c>
      <c r="U980" s="16" t="n">
        <v>4.0</v>
      </c>
      <c r="V980" s="16" t="n">
        <f>111170000</f>
        <v>1.1117E8</v>
      </c>
      <c r="W980" s="16" t="n">
        <v>1000000.0</v>
      </c>
      <c r="X980" s="16" t="str">
        <f>"－"</f>
        <v>－</v>
      </c>
      <c r="Y980" s="13"/>
      <c r="Z980" s="17" t="n">
        <f>108</f>
        <v>108.0</v>
      </c>
      <c r="AA980" s="18" t="n">
        <f>8</f>
        <v>8.0</v>
      </c>
      <c r="AB980" s="11" t="s">
        <v>332</v>
      </c>
    </row>
    <row r="981">
      <c r="A981" s="11" t="s">
        <v>46</v>
      </c>
      <c r="B981" s="11" t="s">
        <v>47</v>
      </c>
      <c r="C981" s="11" t="s">
        <v>48</v>
      </c>
      <c r="D981" s="11" t="s">
        <v>651</v>
      </c>
      <c r="E981" s="11" t="s">
        <v>331</v>
      </c>
      <c r="F981" s="12" t="n">
        <v>32250.0</v>
      </c>
      <c r="G981" s="13" t="s">
        <v>50</v>
      </c>
      <c r="H981" s="14" t="s">
        <v>236</v>
      </c>
      <c r="I981" s="13" t="s">
        <v>202</v>
      </c>
      <c r="J981" s="14" t="s">
        <v>238</v>
      </c>
      <c r="K981" s="13" t="s">
        <v>202</v>
      </c>
      <c r="L981" s="14" t="s">
        <v>241</v>
      </c>
      <c r="M981" s="13" t="s">
        <v>50</v>
      </c>
      <c r="N981" s="14" t="s">
        <v>236</v>
      </c>
      <c r="O981" s="13" t="s">
        <v>55</v>
      </c>
      <c r="P981" s="14" t="s">
        <v>90</v>
      </c>
      <c r="Q981" s="13" t="s">
        <v>204</v>
      </c>
      <c r="R981" s="14" t="s">
        <v>270</v>
      </c>
      <c r="S981" s="15" t="n">
        <f>141.79</f>
        <v>141.79</v>
      </c>
      <c r="T981" s="16" t="n">
        <f>950</f>
        <v>950.0</v>
      </c>
      <c r="U981" s="16" t="n">
        <v>258.0</v>
      </c>
      <c r="V981" s="16" t="n">
        <f>165710000</f>
        <v>1.6571E8</v>
      </c>
      <c r="W981" s="16" t="n">
        <v>4.494E7</v>
      </c>
      <c r="X981" s="16" t="str">
        <f>"－"</f>
        <v>－</v>
      </c>
      <c r="Y981" s="13"/>
      <c r="Z981" s="17" t="n">
        <f>389</f>
        <v>389.0</v>
      </c>
      <c r="AA981" s="18" t="n">
        <f>14</f>
        <v>14.0</v>
      </c>
      <c r="AB981" s="11" t="s">
        <v>332</v>
      </c>
    </row>
    <row r="982">
      <c r="A982" s="11" t="s">
        <v>46</v>
      </c>
      <c r="B982" s="11" t="s">
        <v>47</v>
      </c>
      <c r="C982" s="11" t="s">
        <v>48</v>
      </c>
      <c r="D982" s="11" t="s">
        <v>651</v>
      </c>
      <c r="E982" s="11" t="s">
        <v>331</v>
      </c>
      <c r="F982" s="12" t="n">
        <v>32375.0</v>
      </c>
      <c r="G982" s="13" t="s">
        <v>288</v>
      </c>
      <c r="H982" s="14" t="s">
        <v>130</v>
      </c>
      <c r="I982" s="13" t="s">
        <v>288</v>
      </c>
      <c r="J982" s="14" t="s">
        <v>135</v>
      </c>
      <c r="K982" s="13"/>
      <c r="L982" s="14"/>
      <c r="M982" s="13" t="s">
        <v>204</v>
      </c>
      <c r="N982" s="14" t="s">
        <v>218</v>
      </c>
      <c r="O982" s="13"/>
      <c r="P982" s="14"/>
      <c r="Q982" s="13" t="s">
        <v>204</v>
      </c>
      <c r="R982" s="14" t="s">
        <v>221</v>
      </c>
      <c r="S982" s="15" t="n">
        <f>138.43</f>
        <v>138.43</v>
      </c>
      <c r="T982" s="16" t="n">
        <f>171</f>
        <v>171.0</v>
      </c>
      <c r="U982" s="16"/>
      <c r="V982" s="16" t="n">
        <f>26558000</f>
        <v>2.6558E7</v>
      </c>
      <c r="W982" s="16"/>
      <c r="X982" s="16" t="str">
        <f>"－"</f>
        <v>－</v>
      </c>
      <c r="Y982" s="13"/>
      <c r="Z982" s="17" t="n">
        <f>44</f>
        <v>44.0</v>
      </c>
      <c r="AA982" s="18" t="n">
        <f>7</f>
        <v>7.0</v>
      </c>
      <c r="AB982" s="11" t="s">
        <v>332</v>
      </c>
    </row>
    <row r="983">
      <c r="A983" s="11" t="s">
        <v>46</v>
      </c>
      <c r="B983" s="11" t="s">
        <v>47</v>
      </c>
      <c r="C983" s="11" t="s">
        <v>48</v>
      </c>
      <c r="D983" s="11" t="s">
        <v>651</v>
      </c>
      <c r="E983" s="11" t="s">
        <v>331</v>
      </c>
      <c r="F983" s="12" t="n">
        <v>32500.0</v>
      </c>
      <c r="G983" s="13" t="s">
        <v>61</v>
      </c>
      <c r="H983" s="14" t="s">
        <v>111</v>
      </c>
      <c r="I983" s="13" t="s">
        <v>202</v>
      </c>
      <c r="J983" s="14" t="s">
        <v>140</v>
      </c>
      <c r="K983" s="13" t="s">
        <v>202</v>
      </c>
      <c r="L983" s="14" t="s">
        <v>138</v>
      </c>
      <c r="M983" s="13" t="s">
        <v>204</v>
      </c>
      <c r="N983" s="14" t="s">
        <v>100</v>
      </c>
      <c r="O983" s="13" t="s">
        <v>60</v>
      </c>
      <c r="P983" s="14" t="s">
        <v>95</v>
      </c>
      <c r="Q983" s="13" t="s">
        <v>204</v>
      </c>
      <c r="R983" s="14" t="s">
        <v>97</v>
      </c>
      <c r="S983" s="15" t="n">
        <f>128.54</f>
        <v>128.54</v>
      </c>
      <c r="T983" s="16" t="n">
        <f>2596</f>
        <v>2596.0</v>
      </c>
      <c r="U983" s="16" t="n">
        <v>1191.0</v>
      </c>
      <c r="V983" s="16" t="n">
        <f>356988000</f>
        <v>3.56988E8</v>
      </c>
      <c r="W983" s="16" t="n">
        <v>1.65363E8</v>
      </c>
      <c r="X983" s="16" t="str">
        <f>"－"</f>
        <v>－</v>
      </c>
      <c r="Y983" s="13"/>
      <c r="Z983" s="17" t="n">
        <f>3444</f>
        <v>3444.0</v>
      </c>
      <c r="AA983" s="18" t="n">
        <f>13</f>
        <v>13.0</v>
      </c>
      <c r="AB983" s="11" t="s">
        <v>332</v>
      </c>
    </row>
    <row r="984">
      <c r="A984" s="11" t="s">
        <v>46</v>
      </c>
      <c r="B984" s="11" t="s">
        <v>47</v>
      </c>
      <c r="C984" s="11" t="s">
        <v>48</v>
      </c>
      <c r="D984" s="11" t="s">
        <v>651</v>
      </c>
      <c r="E984" s="11" t="s">
        <v>331</v>
      </c>
      <c r="F984" s="12" t="n">
        <v>32750.0</v>
      </c>
      <c r="G984" s="13" t="s">
        <v>61</v>
      </c>
      <c r="H984" s="14" t="s">
        <v>95</v>
      </c>
      <c r="I984" s="13" t="s">
        <v>202</v>
      </c>
      <c r="J984" s="14" t="s">
        <v>136</v>
      </c>
      <c r="K984" s="13" t="s">
        <v>288</v>
      </c>
      <c r="L984" s="14" t="s">
        <v>261</v>
      </c>
      <c r="M984" s="13" t="s">
        <v>61</v>
      </c>
      <c r="N984" s="14" t="s">
        <v>95</v>
      </c>
      <c r="O984" s="13" t="s">
        <v>60</v>
      </c>
      <c r="P984" s="14" t="s">
        <v>79</v>
      </c>
      <c r="Q984" s="13" t="s">
        <v>204</v>
      </c>
      <c r="R984" s="14" t="s">
        <v>96</v>
      </c>
      <c r="S984" s="15" t="n">
        <f>107.58</f>
        <v>107.58</v>
      </c>
      <c r="T984" s="16" t="n">
        <f>662</f>
        <v>662.0</v>
      </c>
      <c r="U984" s="16" t="n">
        <v>9.0</v>
      </c>
      <c r="V984" s="16" t="n">
        <f>80422000</f>
        <v>8.0422E7</v>
      </c>
      <c r="W984" s="16" t="n">
        <v>922000.0</v>
      </c>
      <c r="X984" s="16" t="str">
        <f>"－"</f>
        <v>－</v>
      </c>
      <c r="Y984" s="13"/>
      <c r="Z984" s="17" t="n">
        <f>88</f>
        <v>88.0</v>
      </c>
      <c r="AA984" s="18" t="n">
        <f>12</f>
        <v>12.0</v>
      </c>
      <c r="AB984" s="11" t="s">
        <v>332</v>
      </c>
    </row>
    <row r="985">
      <c r="A985" s="11" t="s">
        <v>46</v>
      </c>
      <c r="B985" s="11" t="s">
        <v>47</v>
      </c>
      <c r="C985" s="11" t="s">
        <v>48</v>
      </c>
      <c r="D985" s="11" t="s">
        <v>651</v>
      </c>
      <c r="E985" s="11" t="s">
        <v>331</v>
      </c>
      <c r="F985" s="12" t="n">
        <v>33000.0</v>
      </c>
      <c r="G985" s="13" t="s">
        <v>55</v>
      </c>
      <c r="H985" s="14" t="s">
        <v>77</v>
      </c>
      <c r="I985" s="13" t="s">
        <v>202</v>
      </c>
      <c r="J985" s="14" t="s">
        <v>232</v>
      </c>
      <c r="K985" s="13" t="s">
        <v>288</v>
      </c>
      <c r="L985" s="14" t="s">
        <v>125</v>
      </c>
      <c r="M985" s="13" t="s">
        <v>55</v>
      </c>
      <c r="N985" s="14" t="s">
        <v>77</v>
      </c>
      <c r="O985" s="13" t="s">
        <v>204</v>
      </c>
      <c r="P985" s="14" t="s">
        <v>88</v>
      </c>
      <c r="Q985" s="13" t="s">
        <v>204</v>
      </c>
      <c r="R985" s="14" t="s">
        <v>90</v>
      </c>
      <c r="S985" s="15" t="n">
        <f>75.33</f>
        <v>75.33</v>
      </c>
      <c r="T985" s="16" t="n">
        <f>3415</f>
        <v>3415.0</v>
      </c>
      <c r="U985" s="16" t="n">
        <v>1865.0</v>
      </c>
      <c r="V985" s="16" t="n">
        <f>314227000</f>
        <v>3.14227E8</v>
      </c>
      <c r="W985" s="16" t="n">
        <v>1.9206E8</v>
      </c>
      <c r="X985" s="16" t="str">
        <f>"－"</f>
        <v>－</v>
      </c>
      <c r="Y985" s="13"/>
      <c r="Z985" s="17" t="n">
        <f>1197</f>
        <v>1197.0</v>
      </c>
      <c r="AA985" s="18" t="n">
        <f>15</f>
        <v>15.0</v>
      </c>
      <c r="AB985" s="11" t="s">
        <v>332</v>
      </c>
    </row>
    <row r="986">
      <c r="A986" s="11" t="s">
        <v>46</v>
      </c>
      <c r="B986" s="11" t="s">
        <v>47</v>
      </c>
      <c r="C986" s="11" t="s">
        <v>48</v>
      </c>
      <c r="D986" s="11" t="s">
        <v>651</v>
      </c>
      <c r="E986" s="11" t="s">
        <v>331</v>
      </c>
      <c r="F986" s="12" t="n">
        <v>33250.0</v>
      </c>
      <c r="G986" s="13" t="s">
        <v>63</v>
      </c>
      <c r="H986" s="14" t="s">
        <v>75</v>
      </c>
      <c r="I986" s="13" t="s">
        <v>202</v>
      </c>
      <c r="J986" s="14" t="s">
        <v>129</v>
      </c>
      <c r="K986" s="13" t="s">
        <v>288</v>
      </c>
      <c r="L986" s="14" t="s">
        <v>117</v>
      </c>
      <c r="M986" s="13" t="s">
        <v>63</v>
      </c>
      <c r="N986" s="14" t="s">
        <v>75</v>
      </c>
      <c r="O986" s="13" t="s">
        <v>204</v>
      </c>
      <c r="P986" s="14" t="s">
        <v>91</v>
      </c>
      <c r="Q986" s="13" t="s">
        <v>204</v>
      </c>
      <c r="R986" s="14" t="s">
        <v>85</v>
      </c>
      <c r="S986" s="15" t="n">
        <f>67.85</f>
        <v>67.85</v>
      </c>
      <c r="T986" s="16" t="n">
        <f>513</f>
        <v>513.0</v>
      </c>
      <c r="U986" s="16" t="n">
        <v>3.0</v>
      </c>
      <c r="V986" s="16" t="n">
        <f>33670000</f>
        <v>3.367E7</v>
      </c>
      <c r="W986" s="16" t="n">
        <v>252000.0</v>
      </c>
      <c r="X986" s="16" t="str">
        <f>"－"</f>
        <v>－</v>
      </c>
      <c r="Y986" s="13"/>
      <c r="Z986" s="17" t="n">
        <f>200</f>
        <v>200.0</v>
      </c>
      <c r="AA986" s="18" t="n">
        <f>13</f>
        <v>13.0</v>
      </c>
      <c r="AB986" s="11" t="s">
        <v>332</v>
      </c>
    </row>
    <row r="987">
      <c r="A987" s="11" t="s">
        <v>46</v>
      </c>
      <c r="B987" s="11" t="s">
        <v>47</v>
      </c>
      <c r="C987" s="11" t="s">
        <v>48</v>
      </c>
      <c r="D987" s="11" t="s">
        <v>651</v>
      </c>
      <c r="E987" s="11" t="s">
        <v>331</v>
      </c>
      <c r="F987" s="12" t="n">
        <v>33500.0</v>
      </c>
      <c r="G987" s="13" t="s">
        <v>63</v>
      </c>
      <c r="H987" s="14" t="s">
        <v>216</v>
      </c>
      <c r="I987" s="13" t="s">
        <v>202</v>
      </c>
      <c r="J987" s="14" t="s">
        <v>123</v>
      </c>
      <c r="K987" s="13" t="s">
        <v>202</v>
      </c>
      <c r="L987" s="14" t="s">
        <v>123</v>
      </c>
      <c r="M987" s="13" t="s">
        <v>63</v>
      </c>
      <c r="N987" s="14" t="s">
        <v>216</v>
      </c>
      <c r="O987" s="13" t="s">
        <v>204</v>
      </c>
      <c r="P987" s="14" t="s">
        <v>236</v>
      </c>
      <c r="Q987" s="13" t="s">
        <v>204</v>
      </c>
      <c r="R987" s="14" t="s">
        <v>334</v>
      </c>
      <c r="S987" s="15" t="n">
        <f>53.2</f>
        <v>53.2</v>
      </c>
      <c r="T987" s="16" t="n">
        <f>1778</f>
        <v>1778.0</v>
      </c>
      <c r="U987" s="16" t="n">
        <v>711.0</v>
      </c>
      <c r="V987" s="16" t="n">
        <f>91607000</f>
        <v>9.1607E7</v>
      </c>
      <c r="W987" s="16" t="n">
        <v>2.9643E7</v>
      </c>
      <c r="X987" s="16" t="str">
        <f>"－"</f>
        <v>－</v>
      </c>
      <c r="Y987" s="13"/>
      <c r="Z987" s="17" t="n">
        <f>692</f>
        <v>692.0</v>
      </c>
      <c r="AA987" s="18" t="n">
        <f>15</f>
        <v>15.0</v>
      </c>
      <c r="AB987" s="11" t="s">
        <v>332</v>
      </c>
    </row>
    <row r="988">
      <c r="A988" s="11" t="s">
        <v>46</v>
      </c>
      <c r="B988" s="11" t="s">
        <v>47</v>
      </c>
      <c r="C988" s="11" t="s">
        <v>48</v>
      </c>
      <c r="D988" s="11" t="s">
        <v>651</v>
      </c>
      <c r="E988" s="11" t="s">
        <v>331</v>
      </c>
      <c r="F988" s="12" t="n">
        <v>33750.0</v>
      </c>
      <c r="G988" s="13" t="s">
        <v>50</v>
      </c>
      <c r="H988" s="14" t="s">
        <v>72</v>
      </c>
      <c r="I988" s="13" t="s">
        <v>202</v>
      </c>
      <c r="J988" s="14" t="s">
        <v>119</v>
      </c>
      <c r="K988" s="13" t="s">
        <v>202</v>
      </c>
      <c r="L988" s="14" t="s">
        <v>235</v>
      </c>
      <c r="M988" s="13" t="s">
        <v>50</v>
      </c>
      <c r="N988" s="14" t="s">
        <v>70</v>
      </c>
      <c r="O988" s="13" t="s">
        <v>204</v>
      </c>
      <c r="P988" s="14" t="s">
        <v>81</v>
      </c>
      <c r="Q988" s="13" t="s">
        <v>204</v>
      </c>
      <c r="R988" s="14" t="s">
        <v>214</v>
      </c>
      <c r="S988" s="15" t="n">
        <f>41.38</f>
        <v>41.38</v>
      </c>
      <c r="T988" s="16" t="n">
        <f>653</f>
        <v>653.0</v>
      </c>
      <c r="U988" s="16" t="n">
        <v>33.0</v>
      </c>
      <c r="V988" s="16" t="n">
        <f>31450000</f>
        <v>3.145E7</v>
      </c>
      <c r="W988" s="16" t="n">
        <v>969000.0</v>
      </c>
      <c r="X988" s="16" t="str">
        <f>"－"</f>
        <v>－</v>
      </c>
      <c r="Y988" s="13"/>
      <c r="Z988" s="17" t="n">
        <f>71</f>
        <v>71.0</v>
      </c>
      <c r="AA988" s="18" t="n">
        <f>13</f>
        <v>13.0</v>
      </c>
      <c r="AB988" s="11" t="s">
        <v>332</v>
      </c>
    </row>
    <row r="989">
      <c r="A989" s="11" t="s">
        <v>46</v>
      </c>
      <c r="B989" s="11" t="s">
        <v>47</v>
      </c>
      <c r="C989" s="11" t="s">
        <v>48</v>
      </c>
      <c r="D989" s="11" t="s">
        <v>651</v>
      </c>
      <c r="E989" s="11" t="s">
        <v>331</v>
      </c>
      <c r="F989" s="12" t="n">
        <v>34000.0</v>
      </c>
      <c r="G989" s="13" t="s">
        <v>61</v>
      </c>
      <c r="H989" s="14" t="s">
        <v>83</v>
      </c>
      <c r="I989" s="13" t="s">
        <v>202</v>
      </c>
      <c r="J989" s="14" t="s">
        <v>116</v>
      </c>
      <c r="K989" s="13" t="s">
        <v>202</v>
      </c>
      <c r="L989" s="14" t="s">
        <v>449</v>
      </c>
      <c r="M989" s="13" t="s">
        <v>204</v>
      </c>
      <c r="N989" s="14" t="s">
        <v>75</v>
      </c>
      <c r="O989" s="13" t="s">
        <v>204</v>
      </c>
      <c r="P989" s="14" t="s">
        <v>75</v>
      </c>
      <c r="Q989" s="13" t="s">
        <v>204</v>
      </c>
      <c r="R989" s="14" t="s">
        <v>75</v>
      </c>
      <c r="S989" s="15" t="n">
        <f>38.92</f>
        <v>38.92</v>
      </c>
      <c r="T989" s="16" t="n">
        <f>1736</f>
        <v>1736.0</v>
      </c>
      <c r="U989" s="16" t="n">
        <v>105.0</v>
      </c>
      <c r="V989" s="16" t="n">
        <f>65339000</f>
        <v>6.5339E7</v>
      </c>
      <c r="W989" s="16" t="n">
        <v>3196000.0</v>
      </c>
      <c r="X989" s="16" t="str">
        <f>"－"</f>
        <v>－</v>
      </c>
      <c r="Y989" s="13"/>
      <c r="Z989" s="17" t="n">
        <f>705</f>
        <v>705.0</v>
      </c>
      <c r="AA989" s="18" t="n">
        <f>13</f>
        <v>13.0</v>
      </c>
      <c r="AB989" s="11" t="s">
        <v>332</v>
      </c>
    </row>
    <row r="990">
      <c r="A990" s="11" t="s">
        <v>46</v>
      </c>
      <c r="B990" s="11" t="s">
        <v>47</v>
      </c>
      <c r="C990" s="11" t="s">
        <v>48</v>
      </c>
      <c r="D990" s="11" t="s">
        <v>651</v>
      </c>
      <c r="E990" s="11" t="s">
        <v>331</v>
      </c>
      <c r="F990" s="12" t="n">
        <v>34250.0</v>
      </c>
      <c r="G990" s="13" t="s">
        <v>61</v>
      </c>
      <c r="H990" s="14" t="s">
        <v>181</v>
      </c>
      <c r="I990" s="13" t="s">
        <v>202</v>
      </c>
      <c r="J990" s="14" t="s">
        <v>763</v>
      </c>
      <c r="K990" s="13" t="s">
        <v>215</v>
      </c>
      <c r="L990" s="14" t="s">
        <v>83</v>
      </c>
      <c r="M990" s="13" t="s">
        <v>61</v>
      </c>
      <c r="N990" s="14" t="s">
        <v>181</v>
      </c>
      <c r="O990" s="13" t="s">
        <v>205</v>
      </c>
      <c r="P990" s="14" t="s">
        <v>213</v>
      </c>
      <c r="Q990" s="13" t="s">
        <v>204</v>
      </c>
      <c r="R990" s="14" t="s">
        <v>77</v>
      </c>
      <c r="S990" s="15" t="n">
        <f>31.54</f>
        <v>31.54</v>
      </c>
      <c r="T990" s="16" t="n">
        <f>271</f>
        <v>271.0</v>
      </c>
      <c r="U990" s="16" t="n">
        <v>7.0</v>
      </c>
      <c r="V990" s="16" t="n">
        <f>8277000</f>
        <v>8277000.0</v>
      </c>
      <c r="W990" s="16" t="n">
        <v>145000.0</v>
      </c>
      <c r="X990" s="16" t="str">
        <f>"－"</f>
        <v>－</v>
      </c>
      <c r="Y990" s="13"/>
      <c r="Z990" s="17" t="n">
        <f>72</f>
        <v>72.0</v>
      </c>
      <c r="AA990" s="18" t="n">
        <f>13</f>
        <v>13.0</v>
      </c>
      <c r="AB990" s="11" t="s">
        <v>332</v>
      </c>
    </row>
    <row r="991">
      <c r="A991" s="11" t="s">
        <v>46</v>
      </c>
      <c r="B991" s="11" t="s">
        <v>47</v>
      </c>
      <c r="C991" s="11" t="s">
        <v>48</v>
      </c>
      <c r="D991" s="11" t="s">
        <v>651</v>
      </c>
      <c r="E991" s="11" t="s">
        <v>331</v>
      </c>
      <c r="F991" s="12" t="n">
        <v>34500.0</v>
      </c>
      <c r="G991" s="13" t="s">
        <v>52</v>
      </c>
      <c r="H991" s="14" t="s">
        <v>74</v>
      </c>
      <c r="I991" s="13" t="s">
        <v>202</v>
      </c>
      <c r="J991" s="14" t="s">
        <v>111</v>
      </c>
      <c r="K991" s="13" t="s">
        <v>202</v>
      </c>
      <c r="L991" s="14" t="s">
        <v>269</v>
      </c>
      <c r="M991" s="13" t="s">
        <v>204</v>
      </c>
      <c r="N991" s="14" t="s">
        <v>72</v>
      </c>
      <c r="O991" s="13" t="s">
        <v>204</v>
      </c>
      <c r="P991" s="14" t="s">
        <v>181</v>
      </c>
      <c r="Q991" s="13" t="s">
        <v>204</v>
      </c>
      <c r="R991" s="14" t="s">
        <v>72</v>
      </c>
      <c r="S991" s="15" t="n">
        <f>27.67</f>
        <v>27.67</v>
      </c>
      <c r="T991" s="16" t="n">
        <f>565</f>
        <v>565.0</v>
      </c>
      <c r="U991" s="16" t="n">
        <v>82.0</v>
      </c>
      <c r="V991" s="16" t="n">
        <f>14772000</f>
        <v>1.4772E7</v>
      </c>
      <c r="W991" s="16" t="n">
        <v>1813000.0</v>
      </c>
      <c r="X991" s="16" t="str">
        <f>"－"</f>
        <v>－</v>
      </c>
      <c r="Y991" s="13"/>
      <c r="Z991" s="17" t="n">
        <f>70</f>
        <v>70.0</v>
      </c>
      <c r="AA991" s="18" t="n">
        <f>12</f>
        <v>12.0</v>
      </c>
      <c r="AB991" s="11" t="s">
        <v>332</v>
      </c>
    </row>
    <row r="992">
      <c r="A992" s="11" t="s">
        <v>46</v>
      </c>
      <c r="B992" s="11" t="s">
        <v>47</v>
      </c>
      <c r="C992" s="11" t="s">
        <v>48</v>
      </c>
      <c r="D992" s="11" t="s">
        <v>651</v>
      </c>
      <c r="E992" s="11" t="s">
        <v>331</v>
      </c>
      <c r="F992" s="12" t="n">
        <v>34750.0</v>
      </c>
      <c r="G992" s="13" t="s">
        <v>61</v>
      </c>
      <c r="H992" s="14" t="s">
        <v>181</v>
      </c>
      <c r="I992" s="13" t="s">
        <v>202</v>
      </c>
      <c r="J992" s="14" t="s">
        <v>220</v>
      </c>
      <c r="K992" s="13" t="s">
        <v>202</v>
      </c>
      <c r="L992" s="14" t="s">
        <v>89</v>
      </c>
      <c r="M992" s="13" t="s">
        <v>204</v>
      </c>
      <c r="N992" s="14" t="s">
        <v>70</v>
      </c>
      <c r="O992" s="13" t="s">
        <v>204</v>
      </c>
      <c r="P992" s="14" t="s">
        <v>70</v>
      </c>
      <c r="Q992" s="13" t="s">
        <v>204</v>
      </c>
      <c r="R992" s="14" t="s">
        <v>72</v>
      </c>
      <c r="S992" s="15" t="n">
        <f>21.77</f>
        <v>21.77</v>
      </c>
      <c r="T992" s="16" t="n">
        <f>300</f>
        <v>300.0</v>
      </c>
      <c r="U992" s="16" t="n">
        <v>14.0</v>
      </c>
      <c r="V992" s="16" t="n">
        <f>6472000</f>
        <v>6472000.0</v>
      </c>
      <c r="W992" s="16" t="n">
        <v>300000.0</v>
      </c>
      <c r="X992" s="16" t="str">
        <f>"－"</f>
        <v>－</v>
      </c>
      <c r="Y992" s="13"/>
      <c r="Z992" s="17" t="n">
        <f>41</f>
        <v>41.0</v>
      </c>
      <c r="AA992" s="18" t="n">
        <f>13</f>
        <v>13.0</v>
      </c>
      <c r="AB992" s="11" t="s">
        <v>332</v>
      </c>
    </row>
    <row r="993">
      <c r="A993" s="11" t="s">
        <v>46</v>
      </c>
      <c r="B993" s="11" t="s">
        <v>47</v>
      </c>
      <c r="C993" s="11" t="s">
        <v>48</v>
      </c>
      <c r="D993" s="11" t="s">
        <v>651</v>
      </c>
      <c r="E993" s="11" t="s">
        <v>331</v>
      </c>
      <c r="F993" s="12" t="n">
        <v>35000.0</v>
      </c>
      <c r="G993" s="13" t="s">
        <v>55</v>
      </c>
      <c r="H993" s="14" t="s">
        <v>65</v>
      </c>
      <c r="I993" s="13" t="s">
        <v>202</v>
      </c>
      <c r="J993" s="14" t="s">
        <v>107</v>
      </c>
      <c r="K993" s="13" t="s">
        <v>202</v>
      </c>
      <c r="L993" s="14" t="s">
        <v>88</v>
      </c>
      <c r="M993" s="13" t="s">
        <v>55</v>
      </c>
      <c r="N993" s="14" t="s">
        <v>65</v>
      </c>
      <c r="O993" s="13" t="s">
        <v>63</v>
      </c>
      <c r="P993" s="14" t="s">
        <v>69</v>
      </c>
      <c r="Q993" s="13" t="s">
        <v>204</v>
      </c>
      <c r="R993" s="14" t="s">
        <v>69</v>
      </c>
      <c r="S993" s="15" t="n">
        <f>17.5</f>
        <v>17.5</v>
      </c>
      <c r="T993" s="16" t="n">
        <f>1010</f>
        <v>1010.0</v>
      </c>
      <c r="U993" s="16" t="n">
        <v>100.0</v>
      </c>
      <c r="V993" s="16" t="n">
        <f>22284000</f>
        <v>2.2284E7</v>
      </c>
      <c r="W993" s="16" t="n">
        <v>1886000.0</v>
      </c>
      <c r="X993" s="16" t="str">
        <f>"－"</f>
        <v>－</v>
      </c>
      <c r="Y993" s="13"/>
      <c r="Z993" s="17" t="n">
        <f>306</f>
        <v>306.0</v>
      </c>
      <c r="AA993" s="18" t="n">
        <f>14</f>
        <v>14.0</v>
      </c>
      <c r="AB993" s="11" t="s">
        <v>332</v>
      </c>
    </row>
    <row r="994">
      <c r="A994" s="11" t="s">
        <v>46</v>
      </c>
      <c r="B994" s="11" t="s">
        <v>47</v>
      </c>
      <c r="C994" s="11" t="s">
        <v>48</v>
      </c>
      <c r="D994" s="11" t="s">
        <v>651</v>
      </c>
      <c r="E994" s="11" t="s">
        <v>331</v>
      </c>
      <c r="F994" s="12" t="n">
        <v>35250.0</v>
      </c>
      <c r="G994" s="13" t="s">
        <v>208</v>
      </c>
      <c r="H994" s="14" t="s">
        <v>77</v>
      </c>
      <c r="I994" s="13" t="s">
        <v>211</v>
      </c>
      <c r="J994" s="14" t="s">
        <v>78</v>
      </c>
      <c r="K994" s="13" t="s">
        <v>208</v>
      </c>
      <c r="L994" s="14" t="s">
        <v>75</v>
      </c>
      <c r="M994" s="13" t="s">
        <v>204</v>
      </c>
      <c r="N994" s="14" t="s">
        <v>69</v>
      </c>
      <c r="O994" s="13" t="s">
        <v>204</v>
      </c>
      <c r="P994" s="14" t="s">
        <v>69</v>
      </c>
      <c r="Q994" s="13" t="s">
        <v>204</v>
      </c>
      <c r="R994" s="14" t="s">
        <v>69</v>
      </c>
      <c r="S994" s="15" t="n">
        <f>12.4</f>
        <v>12.4</v>
      </c>
      <c r="T994" s="16" t="n">
        <f>36</f>
        <v>36.0</v>
      </c>
      <c r="U994" s="16" t="n">
        <v>2.0</v>
      </c>
      <c r="V994" s="16" t="n">
        <f>504000</f>
        <v>504000.0</v>
      </c>
      <c r="W994" s="16" t="n">
        <v>27000.0</v>
      </c>
      <c r="X994" s="16" t="str">
        <f>"－"</f>
        <v>－</v>
      </c>
      <c r="Y994" s="13"/>
      <c r="Z994" s="17" t="n">
        <f>11</f>
        <v>11.0</v>
      </c>
      <c r="AA994" s="18" t="n">
        <f>5</f>
        <v>5.0</v>
      </c>
      <c r="AB994" s="11" t="s">
        <v>332</v>
      </c>
    </row>
    <row r="995">
      <c r="A995" s="11" t="s">
        <v>46</v>
      </c>
      <c r="B995" s="11" t="s">
        <v>47</v>
      </c>
      <c r="C995" s="11" t="s">
        <v>48</v>
      </c>
      <c r="D995" s="11" t="s">
        <v>651</v>
      </c>
      <c r="E995" s="11" t="s">
        <v>331</v>
      </c>
      <c r="F995" s="12" t="n">
        <v>35500.0</v>
      </c>
      <c r="G995" s="13" t="s">
        <v>207</v>
      </c>
      <c r="H995" s="14" t="s">
        <v>214</v>
      </c>
      <c r="I995" s="13" t="s">
        <v>207</v>
      </c>
      <c r="J995" s="14" t="s">
        <v>81</v>
      </c>
      <c r="K995" s="13" t="s">
        <v>208</v>
      </c>
      <c r="L995" s="14" t="s">
        <v>73</v>
      </c>
      <c r="M995" s="13" t="s">
        <v>204</v>
      </c>
      <c r="N995" s="14" t="s">
        <v>67</v>
      </c>
      <c r="O995" s="13" t="s">
        <v>204</v>
      </c>
      <c r="P995" s="14" t="s">
        <v>69</v>
      </c>
      <c r="Q995" s="13" t="s">
        <v>204</v>
      </c>
      <c r="R995" s="14" t="s">
        <v>68</v>
      </c>
      <c r="S995" s="15" t="n">
        <f>13</f>
        <v>13.0</v>
      </c>
      <c r="T995" s="16" t="n">
        <f>39</f>
        <v>39.0</v>
      </c>
      <c r="U995" s="16" t="n">
        <v>5.0</v>
      </c>
      <c r="V995" s="16" t="n">
        <f>640000</f>
        <v>640000.0</v>
      </c>
      <c r="W995" s="16" t="n">
        <v>50000.0</v>
      </c>
      <c r="X995" s="16" t="str">
        <f>"－"</f>
        <v>－</v>
      </c>
      <c r="Y995" s="13"/>
      <c r="Z995" s="17" t="n">
        <f>28</f>
        <v>28.0</v>
      </c>
      <c r="AA995" s="18" t="n">
        <f>2</f>
        <v>2.0</v>
      </c>
      <c r="AB995" s="11" t="s">
        <v>332</v>
      </c>
    </row>
    <row r="996">
      <c r="A996" s="11" t="s">
        <v>46</v>
      </c>
      <c r="B996" s="11" t="s">
        <v>47</v>
      </c>
      <c r="C996" s="11" t="s">
        <v>48</v>
      </c>
      <c r="D996" s="11" t="s">
        <v>651</v>
      </c>
      <c r="E996" s="11" t="s">
        <v>331</v>
      </c>
      <c r="F996" s="12" t="n">
        <v>36000.0</v>
      </c>
      <c r="G996" s="13" t="s">
        <v>207</v>
      </c>
      <c r="H996" s="14" t="s">
        <v>216</v>
      </c>
      <c r="I996" s="13" t="s">
        <v>207</v>
      </c>
      <c r="J996" s="14" t="s">
        <v>216</v>
      </c>
      <c r="K996" s="13" t="s">
        <v>207</v>
      </c>
      <c r="L996" s="14" t="s">
        <v>71</v>
      </c>
      <c r="M996" s="13" t="s">
        <v>204</v>
      </c>
      <c r="N996" s="14" t="s">
        <v>65</v>
      </c>
      <c r="O996" s="13" t="s">
        <v>207</v>
      </c>
      <c r="P996" s="14" t="s">
        <v>71</v>
      </c>
      <c r="Q996" s="13" t="s">
        <v>204</v>
      </c>
      <c r="R996" s="14" t="s">
        <v>66</v>
      </c>
      <c r="S996" s="15" t="n">
        <f>8.33</f>
        <v>8.33</v>
      </c>
      <c r="T996" s="16" t="n">
        <f>12</f>
        <v>12.0</v>
      </c>
      <c r="U996" s="16" t="n">
        <v>1.0</v>
      </c>
      <c r="V996" s="16" t="n">
        <f>93000</f>
        <v>93000.0</v>
      </c>
      <c r="W996" s="16" t="n">
        <v>10000.0</v>
      </c>
      <c r="X996" s="16" t="str">
        <f>"－"</f>
        <v>－</v>
      </c>
      <c r="Y996" s="13"/>
      <c r="Z996" s="17" t="n">
        <f>8</f>
        <v>8.0</v>
      </c>
      <c r="AA996" s="18" t="n">
        <f>3</f>
        <v>3.0</v>
      </c>
      <c r="AB996" s="11" t="s">
        <v>332</v>
      </c>
    </row>
    <row r="997">
      <c r="A997" s="11" t="s">
        <v>46</v>
      </c>
      <c r="B997" s="11" t="s">
        <v>47</v>
      </c>
      <c r="C997" s="11" t="s">
        <v>48</v>
      </c>
      <c r="D997" s="11" t="s">
        <v>651</v>
      </c>
      <c r="E997" s="11" t="s">
        <v>331</v>
      </c>
      <c r="F997" s="12" t="n">
        <v>37000.0</v>
      </c>
      <c r="G997" s="13" t="s">
        <v>207</v>
      </c>
      <c r="H997" s="14" t="s">
        <v>68</v>
      </c>
      <c r="I997" s="13" t="s">
        <v>207</v>
      </c>
      <c r="J997" s="14" t="s">
        <v>68</v>
      </c>
      <c r="K997" s="13" t="s">
        <v>204</v>
      </c>
      <c r="L997" s="14" t="s">
        <v>64</v>
      </c>
      <c r="M997" s="13" t="s">
        <v>204</v>
      </c>
      <c r="N997" s="14" t="s">
        <v>59</v>
      </c>
      <c r="O997" s="13" t="s">
        <v>204</v>
      </c>
      <c r="P997" s="14" t="s">
        <v>64</v>
      </c>
      <c r="Q997" s="13" t="s">
        <v>204</v>
      </c>
      <c r="R997" s="14" t="s">
        <v>64</v>
      </c>
      <c r="S997" s="15" t="n">
        <f>5.17</f>
        <v>5.17</v>
      </c>
      <c r="T997" s="16" t="n">
        <f>47</f>
        <v>47.0</v>
      </c>
      <c r="U997" s="16" t="n">
        <v>3.0</v>
      </c>
      <c r="V997" s="16" t="n">
        <f>238000</f>
        <v>238000.0</v>
      </c>
      <c r="W997" s="16" t="n">
        <v>12000.0</v>
      </c>
      <c r="X997" s="16" t="str">
        <f>"－"</f>
        <v>－</v>
      </c>
      <c r="Y997" s="13"/>
      <c r="Z997" s="17" t="n">
        <f>27</f>
        <v>27.0</v>
      </c>
      <c r="AA997" s="18" t="n">
        <f>6</f>
        <v>6.0</v>
      </c>
      <c r="AB997" s="11" t="s">
        <v>332</v>
      </c>
    </row>
    <row r="998">
      <c r="A998" s="11" t="s">
        <v>46</v>
      </c>
      <c r="B998" s="11" t="s">
        <v>47</v>
      </c>
      <c r="C998" s="11" t="s">
        <v>48</v>
      </c>
      <c r="D998" s="11" t="s">
        <v>651</v>
      </c>
      <c r="E998" s="11" t="s">
        <v>331</v>
      </c>
      <c r="F998" s="12" t="n">
        <v>38000.0</v>
      </c>
      <c r="G998" s="13" t="s">
        <v>207</v>
      </c>
      <c r="H998" s="14" t="s">
        <v>64</v>
      </c>
      <c r="I998" s="13" t="s">
        <v>211</v>
      </c>
      <c r="J998" s="14" t="s">
        <v>65</v>
      </c>
      <c r="K998" s="13" t="s">
        <v>208</v>
      </c>
      <c r="L998" s="14" t="s">
        <v>64</v>
      </c>
      <c r="M998" s="13" t="s">
        <v>210</v>
      </c>
      <c r="N998" s="14" t="s">
        <v>59</v>
      </c>
      <c r="O998" s="13" t="s">
        <v>204</v>
      </c>
      <c r="P998" s="14" t="s">
        <v>59</v>
      </c>
      <c r="Q998" s="13" t="s">
        <v>204</v>
      </c>
      <c r="R998" s="14" t="s">
        <v>62</v>
      </c>
      <c r="S998" s="15" t="n">
        <f>3.17</f>
        <v>3.17</v>
      </c>
      <c r="T998" s="16" t="n">
        <f>550</f>
        <v>550.0</v>
      </c>
      <c r="U998" s="16" t="n">
        <v>24.0</v>
      </c>
      <c r="V998" s="16" t="n">
        <f>2124000</f>
        <v>2124000.0</v>
      </c>
      <c r="W998" s="16" t="n">
        <v>82000.0</v>
      </c>
      <c r="X998" s="16" t="str">
        <f>"－"</f>
        <v>－</v>
      </c>
      <c r="Y998" s="13"/>
      <c r="Z998" s="17" t="n">
        <f>410</f>
        <v>410.0</v>
      </c>
      <c r="AA998" s="18" t="n">
        <f>6</f>
        <v>6.0</v>
      </c>
      <c r="AB998" s="11" t="s">
        <v>332</v>
      </c>
    </row>
    <row r="999">
      <c r="A999" s="11" t="s">
        <v>46</v>
      </c>
      <c r="B999" s="11" t="s">
        <v>47</v>
      </c>
      <c r="C999" s="11" t="s">
        <v>48</v>
      </c>
      <c r="D999" s="11" t="s">
        <v>651</v>
      </c>
      <c r="E999" s="11" t="s">
        <v>408</v>
      </c>
      <c r="F999" s="12" t="n">
        <v>27000.0</v>
      </c>
      <c r="G999" s="13"/>
      <c r="H999" s="14" t="s">
        <v>57</v>
      </c>
      <c r="I999" s="13"/>
      <c r="J999" s="14" t="s">
        <v>57</v>
      </c>
      <c r="K999" s="13"/>
      <c r="L999" s="14"/>
      <c r="M999" s="13"/>
      <c r="N999" s="14" t="s">
        <v>57</v>
      </c>
      <c r="O999" s="13"/>
      <c r="P999" s="14"/>
      <c r="Q999" s="13"/>
      <c r="R999" s="14" t="s">
        <v>57</v>
      </c>
      <c r="S999" s="15" t="str">
        <f>"－"</f>
        <v>－</v>
      </c>
      <c r="T999" s="16" t="str">
        <f>"－"</f>
        <v>－</v>
      </c>
      <c r="U999" s="16"/>
      <c r="V999" s="16" t="str">
        <f>"－"</f>
        <v>－</v>
      </c>
      <c r="W999" s="16"/>
      <c r="X999" s="16" t="str">
        <f>"－"</f>
        <v>－</v>
      </c>
      <c r="Y999" s="13"/>
      <c r="Z999" s="17" t="n">
        <f>200</f>
        <v>200.0</v>
      </c>
      <c r="AA999" s="18" t="str">
        <f>"－"</f>
        <v>－</v>
      </c>
      <c r="AB999" s="11" t="s">
        <v>410</v>
      </c>
    </row>
    <row r="1000">
      <c r="A1000" s="11" t="s">
        <v>46</v>
      </c>
      <c r="B1000" s="11" t="s">
        <v>47</v>
      </c>
      <c r="C1000" s="11" t="s">
        <v>48</v>
      </c>
      <c r="D1000" s="11" t="s">
        <v>651</v>
      </c>
      <c r="E1000" s="11" t="s">
        <v>408</v>
      </c>
      <c r="F1000" s="12" t="n">
        <v>27250.0</v>
      </c>
      <c r="G1000" s="13"/>
      <c r="H1000" s="14" t="s">
        <v>57</v>
      </c>
      <c r="I1000" s="13"/>
      <c r="J1000" s="14" t="s">
        <v>57</v>
      </c>
      <c r="K1000" s="13"/>
      <c r="L1000" s="14"/>
      <c r="M1000" s="13"/>
      <c r="N1000" s="14" t="s">
        <v>57</v>
      </c>
      <c r="O1000" s="13"/>
      <c r="P1000" s="14"/>
      <c r="Q1000" s="13"/>
      <c r="R1000" s="14" t="s">
        <v>57</v>
      </c>
      <c r="S1000" s="15" t="str">
        <f>"－"</f>
        <v>－</v>
      </c>
      <c r="T1000" s="16" t="str">
        <f>"－"</f>
        <v>－</v>
      </c>
      <c r="U1000" s="16"/>
      <c r="V1000" s="16" t="str">
        <f>"－"</f>
        <v>－</v>
      </c>
      <c r="W1000" s="16"/>
      <c r="X1000" s="16" t="str">
        <f>"－"</f>
        <v>－</v>
      </c>
      <c r="Y1000" s="13"/>
      <c r="Z1000" s="17" t="n">
        <f>100</f>
        <v>100.0</v>
      </c>
      <c r="AA1000" s="18" t="str">
        <f>"－"</f>
        <v>－</v>
      </c>
      <c r="AB1000" s="11" t="s">
        <v>410</v>
      </c>
    </row>
    <row r="1001">
      <c r="A1001" s="11" t="s">
        <v>46</v>
      </c>
      <c r="B1001" s="11" t="s">
        <v>47</v>
      </c>
      <c r="C1001" s="11" t="s">
        <v>48</v>
      </c>
      <c r="D1001" s="11" t="s">
        <v>651</v>
      </c>
      <c r="E1001" s="11" t="s">
        <v>408</v>
      </c>
      <c r="F1001" s="12" t="n">
        <v>27500.0</v>
      </c>
      <c r="G1001" s="13"/>
      <c r="H1001" s="14" t="s">
        <v>57</v>
      </c>
      <c r="I1001" s="13"/>
      <c r="J1001" s="14" t="s">
        <v>57</v>
      </c>
      <c r="K1001" s="13"/>
      <c r="L1001" s="14"/>
      <c r="M1001" s="13"/>
      <c r="N1001" s="14" t="s">
        <v>57</v>
      </c>
      <c r="O1001" s="13"/>
      <c r="P1001" s="14"/>
      <c r="Q1001" s="13"/>
      <c r="R1001" s="14" t="s">
        <v>57</v>
      </c>
      <c r="S1001" s="15" t="str">
        <f>"－"</f>
        <v>－</v>
      </c>
      <c r="T1001" s="16" t="str">
        <f>"－"</f>
        <v>－</v>
      </c>
      <c r="U1001" s="16"/>
      <c r="V1001" s="16" t="str">
        <f>"－"</f>
        <v>－</v>
      </c>
      <c r="W1001" s="16"/>
      <c r="X1001" s="16" t="str">
        <f>"－"</f>
        <v>－</v>
      </c>
      <c r="Y1001" s="13"/>
      <c r="Z1001" s="17" t="n">
        <f>100</f>
        <v>100.0</v>
      </c>
      <c r="AA1001" s="18" t="str">
        <f>"－"</f>
        <v>－</v>
      </c>
      <c r="AB1001" s="11" t="s">
        <v>410</v>
      </c>
    </row>
    <row r="1002">
      <c r="A1002" s="11" t="s">
        <v>46</v>
      </c>
      <c r="B1002" s="11" t="s">
        <v>47</v>
      </c>
      <c r="C1002" s="11" t="s">
        <v>48</v>
      </c>
      <c r="D1002" s="11" t="s">
        <v>651</v>
      </c>
      <c r="E1002" s="11" t="s">
        <v>408</v>
      </c>
      <c r="F1002" s="12" t="n">
        <v>28000.0</v>
      </c>
      <c r="G1002" s="13"/>
      <c r="H1002" s="14" t="s">
        <v>57</v>
      </c>
      <c r="I1002" s="13"/>
      <c r="J1002" s="14" t="s">
        <v>57</v>
      </c>
      <c r="K1002" s="13"/>
      <c r="L1002" s="14"/>
      <c r="M1002" s="13"/>
      <c r="N1002" s="14" t="s">
        <v>57</v>
      </c>
      <c r="O1002" s="13"/>
      <c r="P1002" s="14"/>
      <c r="Q1002" s="13"/>
      <c r="R1002" s="14" t="s">
        <v>57</v>
      </c>
      <c r="S1002" s="15" t="str">
        <f>"－"</f>
        <v>－</v>
      </c>
      <c r="T1002" s="16" t="str">
        <f>"－"</f>
        <v>－</v>
      </c>
      <c r="U1002" s="16"/>
      <c r="V1002" s="16" t="str">
        <f>"－"</f>
        <v>－</v>
      </c>
      <c r="W1002" s="16"/>
      <c r="X1002" s="16" t="str">
        <f>"－"</f>
        <v>－</v>
      </c>
      <c r="Y1002" s="13"/>
      <c r="Z1002" s="17" t="n">
        <f>700</f>
        <v>700.0</v>
      </c>
      <c r="AA1002" s="18" t="str">
        <f>"－"</f>
        <v>－</v>
      </c>
      <c r="AB1002" s="11" t="s">
        <v>410</v>
      </c>
    </row>
    <row r="1003">
      <c r="A1003" s="11" t="s">
        <v>46</v>
      </c>
      <c r="B1003" s="11" t="s">
        <v>47</v>
      </c>
      <c r="C1003" s="11" t="s">
        <v>48</v>
      </c>
      <c r="D1003" s="11" t="s">
        <v>651</v>
      </c>
      <c r="E1003" s="11" t="s">
        <v>408</v>
      </c>
      <c r="F1003" s="12" t="n">
        <v>28250.0</v>
      </c>
      <c r="G1003" s="13" t="s">
        <v>60</v>
      </c>
      <c r="H1003" s="14" t="s">
        <v>439</v>
      </c>
      <c r="I1003" s="13" t="s">
        <v>60</v>
      </c>
      <c r="J1003" s="14" t="s">
        <v>439</v>
      </c>
      <c r="K1003" s="13"/>
      <c r="L1003" s="14"/>
      <c r="M1003" s="13" t="s">
        <v>60</v>
      </c>
      <c r="N1003" s="14" t="s">
        <v>439</v>
      </c>
      <c r="O1003" s="13"/>
      <c r="P1003" s="14"/>
      <c r="Q1003" s="13" t="s">
        <v>60</v>
      </c>
      <c r="R1003" s="14" t="s">
        <v>439</v>
      </c>
      <c r="S1003" s="15" t="n">
        <f>1320</f>
        <v>1320.0</v>
      </c>
      <c r="T1003" s="16" t="n">
        <f>10</f>
        <v>10.0</v>
      </c>
      <c r="U1003" s="16"/>
      <c r="V1003" s="16" t="n">
        <f>13200000</f>
        <v>1.32E7</v>
      </c>
      <c r="W1003" s="16"/>
      <c r="X1003" s="16" t="str">
        <f>"－"</f>
        <v>－</v>
      </c>
      <c r="Y1003" s="13"/>
      <c r="Z1003" s="17" t="n">
        <f>2</f>
        <v>2.0</v>
      </c>
      <c r="AA1003" s="18" t="n">
        <f>1</f>
        <v>1.0</v>
      </c>
      <c r="AB1003" s="11" t="s">
        <v>410</v>
      </c>
    </row>
    <row r="1004">
      <c r="A1004" s="11" t="s">
        <v>46</v>
      </c>
      <c r="B1004" s="11" t="s">
        <v>47</v>
      </c>
      <c r="C1004" s="11" t="s">
        <v>48</v>
      </c>
      <c r="D1004" s="11" t="s">
        <v>651</v>
      </c>
      <c r="E1004" s="11" t="s">
        <v>408</v>
      </c>
      <c r="F1004" s="12" t="n">
        <v>28750.0</v>
      </c>
      <c r="G1004" s="13" t="s">
        <v>60</v>
      </c>
      <c r="H1004" s="14" t="s">
        <v>280</v>
      </c>
      <c r="I1004" s="13" t="s">
        <v>60</v>
      </c>
      <c r="J1004" s="14" t="s">
        <v>280</v>
      </c>
      <c r="K1004" s="13"/>
      <c r="L1004" s="14"/>
      <c r="M1004" s="13" t="s">
        <v>60</v>
      </c>
      <c r="N1004" s="14" t="s">
        <v>747</v>
      </c>
      <c r="O1004" s="13"/>
      <c r="P1004" s="14"/>
      <c r="Q1004" s="13" t="s">
        <v>60</v>
      </c>
      <c r="R1004" s="14" t="s">
        <v>747</v>
      </c>
      <c r="S1004" s="15" t="n">
        <f>960</f>
        <v>960.0</v>
      </c>
      <c r="T1004" s="16" t="n">
        <f>40</f>
        <v>40.0</v>
      </c>
      <c r="U1004" s="16"/>
      <c r="V1004" s="16" t="n">
        <f>39400000</f>
        <v>3.94E7</v>
      </c>
      <c r="W1004" s="16"/>
      <c r="X1004" s="16" t="str">
        <f>"－"</f>
        <v>－</v>
      </c>
      <c r="Y1004" s="13"/>
      <c r="Z1004" s="17" t="str">
        <f>"－"</f>
        <v>－</v>
      </c>
      <c r="AA1004" s="18" t="n">
        <f>1</f>
        <v>1.0</v>
      </c>
      <c r="AB1004" s="11" t="s">
        <v>410</v>
      </c>
    </row>
    <row r="1005">
      <c r="A1005" s="11" t="s">
        <v>46</v>
      </c>
      <c r="B1005" s="11" t="s">
        <v>47</v>
      </c>
      <c r="C1005" s="11" t="s">
        <v>48</v>
      </c>
      <c r="D1005" s="11" t="s">
        <v>651</v>
      </c>
      <c r="E1005" s="11" t="s">
        <v>408</v>
      </c>
      <c r="F1005" s="12" t="n">
        <v>29000.0</v>
      </c>
      <c r="G1005" s="13"/>
      <c r="H1005" s="14" t="s">
        <v>57</v>
      </c>
      <c r="I1005" s="13"/>
      <c r="J1005" s="14" t="s">
        <v>57</v>
      </c>
      <c r="K1005" s="13" t="s">
        <v>56</v>
      </c>
      <c r="L1005" s="14" t="s">
        <v>400</v>
      </c>
      <c r="M1005" s="13"/>
      <c r="N1005" s="14" t="s">
        <v>57</v>
      </c>
      <c r="O1005" s="13" t="s">
        <v>56</v>
      </c>
      <c r="P1005" s="14" t="s">
        <v>400</v>
      </c>
      <c r="Q1005" s="13"/>
      <c r="R1005" s="14" t="s">
        <v>57</v>
      </c>
      <c r="S1005" s="15" t="str">
        <f>"－"</f>
        <v>－</v>
      </c>
      <c r="T1005" s="16" t="n">
        <f>90</f>
        <v>90.0</v>
      </c>
      <c r="U1005" s="16" t="n">
        <v>90.0</v>
      </c>
      <c r="V1005" s="16" t="n">
        <f>126000000</f>
        <v>1.26E8</v>
      </c>
      <c r="W1005" s="16" t="n">
        <v>1.26E8</v>
      </c>
      <c r="X1005" s="16" t="str">
        <f>"－"</f>
        <v>－</v>
      </c>
      <c r="Y1005" s="13"/>
      <c r="Z1005" s="17" t="n">
        <f>840</f>
        <v>840.0</v>
      </c>
      <c r="AA1005" s="18" t="str">
        <f>"－"</f>
        <v>－</v>
      </c>
      <c r="AB1005" s="11" t="s">
        <v>410</v>
      </c>
    </row>
    <row r="1006">
      <c r="A1006" s="11" t="s">
        <v>46</v>
      </c>
      <c r="B1006" s="11" t="s">
        <v>47</v>
      </c>
      <c r="C1006" s="11" t="s">
        <v>48</v>
      </c>
      <c r="D1006" s="11" t="s">
        <v>651</v>
      </c>
      <c r="E1006" s="11" t="s">
        <v>408</v>
      </c>
      <c r="F1006" s="12" t="n">
        <v>29250.0</v>
      </c>
      <c r="G1006" s="13" t="s">
        <v>63</v>
      </c>
      <c r="H1006" s="14" t="s">
        <v>297</v>
      </c>
      <c r="I1006" s="13" t="s">
        <v>60</v>
      </c>
      <c r="J1006" s="14" t="s">
        <v>263</v>
      </c>
      <c r="K1006" s="13"/>
      <c r="L1006" s="14"/>
      <c r="M1006" s="13" t="s">
        <v>63</v>
      </c>
      <c r="N1006" s="14" t="s">
        <v>297</v>
      </c>
      <c r="O1006" s="13"/>
      <c r="P1006" s="14"/>
      <c r="Q1006" s="13" t="s">
        <v>60</v>
      </c>
      <c r="R1006" s="14" t="s">
        <v>263</v>
      </c>
      <c r="S1006" s="15" t="n">
        <f>772.5</f>
        <v>772.5</v>
      </c>
      <c r="T1006" s="16" t="n">
        <f>21</f>
        <v>21.0</v>
      </c>
      <c r="U1006" s="16"/>
      <c r="V1006" s="16" t="n">
        <f>16745000</f>
        <v>1.6745E7</v>
      </c>
      <c r="W1006" s="16"/>
      <c r="X1006" s="16" t="str">
        <f>"－"</f>
        <v>－</v>
      </c>
      <c r="Y1006" s="13"/>
      <c r="Z1006" s="17" t="n">
        <f>6</f>
        <v>6.0</v>
      </c>
      <c r="AA1006" s="18" t="n">
        <f>2</f>
        <v>2.0</v>
      </c>
      <c r="AB1006" s="11" t="s">
        <v>410</v>
      </c>
    </row>
    <row r="1007">
      <c r="A1007" s="11" t="s">
        <v>46</v>
      </c>
      <c r="B1007" s="11" t="s">
        <v>47</v>
      </c>
      <c r="C1007" s="11" t="s">
        <v>48</v>
      </c>
      <c r="D1007" s="11" t="s">
        <v>651</v>
      </c>
      <c r="E1007" s="11" t="s">
        <v>408</v>
      </c>
      <c r="F1007" s="12" t="n">
        <v>29500.0</v>
      </c>
      <c r="G1007" s="13"/>
      <c r="H1007" s="14" t="s">
        <v>57</v>
      </c>
      <c r="I1007" s="13"/>
      <c r="J1007" s="14" t="s">
        <v>57</v>
      </c>
      <c r="K1007" s="13" t="s">
        <v>204</v>
      </c>
      <c r="L1007" s="14" t="s">
        <v>783</v>
      </c>
      <c r="M1007" s="13"/>
      <c r="N1007" s="14" t="s">
        <v>57</v>
      </c>
      <c r="O1007" s="13" t="s">
        <v>204</v>
      </c>
      <c r="P1007" s="14" t="s">
        <v>432</v>
      </c>
      <c r="Q1007" s="13"/>
      <c r="R1007" s="14" t="s">
        <v>57</v>
      </c>
      <c r="S1007" s="15" t="str">
        <f>"－"</f>
        <v>－</v>
      </c>
      <c r="T1007" s="16" t="n">
        <f>400</f>
        <v>400.0</v>
      </c>
      <c r="U1007" s="16" t="n">
        <v>400.0</v>
      </c>
      <c r="V1007" s="16" t="n">
        <f>368100000</f>
        <v>3.681E8</v>
      </c>
      <c r="W1007" s="16" t="n">
        <v>3.681E8</v>
      </c>
      <c r="X1007" s="16" t="str">
        <f>"－"</f>
        <v>－</v>
      </c>
      <c r="Y1007" s="13"/>
      <c r="Z1007" s="17" t="n">
        <f>400</f>
        <v>400.0</v>
      </c>
      <c r="AA1007" s="18" t="str">
        <f>"－"</f>
        <v>－</v>
      </c>
      <c r="AB1007" s="11" t="s">
        <v>410</v>
      </c>
    </row>
    <row r="1008">
      <c r="A1008" s="11" t="s">
        <v>46</v>
      </c>
      <c r="B1008" s="11" t="s">
        <v>47</v>
      </c>
      <c r="C1008" s="11" t="s">
        <v>48</v>
      </c>
      <c r="D1008" s="11" t="s">
        <v>651</v>
      </c>
      <c r="E1008" s="11" t="s">
        <v>408</v>
      </c>
      <c r="F1008" s="12" t="n">
        <v>29750.0</v>
      </c>
      <c r="G1008" s="13" t="s">
        <v>52</v>
      </c>
      <c r="H1008" s="14" t="s">
        <v>747</v>
      </c>
      <c r="I1008" s="13" t="s">
        <v>208</v>
      </c>
      <c r="J1008" s="14" t="s">
        <v>438</v>
      </c>
      <c r="K1008" s="13" t="s">
        <v>206</v>
      </c>
      <c r="L1008" s="14" t="s">
        <v>300</v>
      </c>
      <c r="M1008" s="13" t="s">
        <v>204</v>
      </c>
      <c r="N1008" s="14" t="s">
        <v>784</v>
      </c>
      <c r="O1008" s="13" t="s">
        <v>206</v>
      </c>
      <c r="P1008" s="14" t="s">
        <v>429</v>
      </c>
      <c r="Q1008" s="13" t="s">
        <v>204</v>
      </c>
      <c r="R1008" s="14" t="s">
        <v>784</v>
      </c>
      <c r="S1008" s="15" t="n">
        <f>978</f>
        <v>978.0</v>
      </c>
      <c r="T1008" s="16" t="n">
        <f>59</f>
        <v>59.0</v>
      </c>
      <c r="U1008" s="16" t="n">
        <v>4.0</v>
      </c>
      <c r="V1008" s="16" t="n">
        <f>70540000</f>
        <v>7.054E7</v>
      </c>
      <c r="W1008" s="16" t="n">
        <v>3925000.0</v>
      </c>
      <c r="X1008" s="16" t="str">
        <f>"－"</f>
        <v>－</v>
      </c>
      <c r="Y1008" s="13"/>
      <c r="Z1008" s="17" t="n">
        <f>50</f>
        <v>50.0</v>
      </c>
      <c r="AA1008" s="18" t="n">
        <f>5</f>
        <v>5.0</v>
      </c>
      <c r="AB1008" s="11" t="s">
        <v>410</v>
      </c>
    </row>
    <row r="1009">
      <c r="A1009" s="11" t="s">
        <v>46</v>
      </c>
      <c r="B1009" s="11" t="s">
        <v>47</v>
      </c>
      <c r="C1009" s="11" t="s">
        <v>48</v>
      </c>
      <c r="D1009" s="11" t="s">
        <v>651</v>
      </c>
      <c r="E1009" s="11" t="s">
        <v>408</v>
      </c>
      <c r="F1009" s="12" t="n">
        <v>29875.0</v>
      </c>
      <c r="G1009" s="13" t="s">
        <v>206</v>
      </c>
      <c r="H1009" s="14" t="s">
        <v>298</v>
      </c>
      <c r="I1009" s="13" t="s">
        <v>206</v>
      </c>
      <c r="J1009" s="14" t="s">
        <v>382</v>
      </c>
      <c r="K1009" s="13" t="s">
        <v>206</v>
      </c>
      <c r="L1009" s="14" t="s">
        <v>382</v>
      </c>
      <c r="M1009" s="13" t="s">
        <v>205</v>
      </c>
      <c r="N1009" s="14" t="s">
        <v>279</v>
      </c>
      <c r="O1009" s="13" t="s">
        <v>206</v>
      </c>
      <c r="P1009" s="14" t="s">
        <v>785</v>
      </c>
      <c r="Q1009" s="13" t="s">
        <v>205</v>
      </c>
      <c r="R1009" s="14" t="s">
        <v>279</v>
      </c>
      <c r="S1009" s="15" t="n">
        <f>897.5</f>
        <v>897.5</v>
      </c>
      <c r="T1009" s="16" t="n">
        <f>6</f>
        <v>6.0</v>
      </c>
      <c r="U1009" s="16" t="n">
        <v>3.0</v>
      </c>
      <c r="V1009" s="16" t="n">
        <f>5455000</f>
        <v>5455000.0</v>
      </c>
      <c r="W1009" s="16" t="n">
        <v>2740000.0</v>
      </c>
      <c r="X1009" s="16" t="str">
        <f>"－"</f>
        <v>－</v>
      </c>
      <c r="Y1009" s="13"/>
      <c r="Z1009" s="17" t="n">
        <f>4</f>
        <v>4.0</v>
      </c>
      <c r="AA1009" s="18" t="n">
        <f>2</f>
        <v>2.0</v>
      </c>
      <c r="AB1009" s="11" t="s">
        <v>410</v>
      </c>
    </row>
    <row r="1010">
      <c r="A1010" s="11" t="s">
        <v>46</v>
      </c>
      <c r="B1010" s="11" t="s">
        <v>47</v>
      </c>
      <c r="C1010" s="11" t="s">
        <v>48</v>
      </c>
      <c r="D1010" s="11" t="s">
        <v>651</v>
      </c>
      <c r="E1010" s="11" t="s">
        <v>408</v>
      </c>
      <c r="F1010" s="12" t="n">
        <v>30000.0</v>
      </c>
      <c r="G1010" s="13" t="s">
        <v>50</v>
      </c>
      <c r="H1010" s="14" t="s">
        <v>182</v>
      </c>
      <c r="I1010" s="13" t="s">
        <v>202</v>
      </c>
      <c r="J1010" s="14" t="s">
        <v>680</v>
      </c>
      <c r="K1010" s="13" t="s">
        <v>210</v>
      </c>
      <c r="L1010" s="14" t="s">
        <v>786</v>
      </c>
      <c r="M1010" s="13" t="s">
        <v>50</v>
      </c>
      <c r="N1010" s="14" t="s">
        <v>182</v>
      </c>
      <c r="O1010" s="13" t="s">
        <v>206</v>
      </c>
      <c r="P1010" s="14" t="s">
        <v>268</v>
      </c>
      <c r="Q1010" s="13" t="s">
        <v>215</v>
      </c>
      <c r="R1010" s="14" t="s">
        <v>178</v>
      </c>
      <c r="S1010" s="15" t="n">
        <f>883.33</f>
        <v>883.33</v>
      </c>
      <c r="T1010" s="16" t="n">
        <f>273</f>
        <v>273.0</v>
      </c>
      <c r="U1010" s="16" t="n">
        <v>202.0</v>
      </c>
      <c r="V1010" s="16" t="n">
        <f>258325000</f>
        <v>2.58325E8</v>
      </c>
      <c r="W1010" s="16" t="n">
        <v>2.0723E8</v>
      </c>
      <c r="X1010" s="16" t="str">
        <f>"－"</f>
        <v>－</v>
      </c>
      <c r="Y1010" s="13"/>
      <c r="Z1010" s="17" t="n">
        <f>227</f>
        <v>227.0</v>
      </c>
      <c r="AA1010" s="18" t="n">
        <f>6</f>
        <v>6.0</v>
      </c>
      <c r="AB1010" s="11" t="s">
        <v>410</v>
      </c>
    </row>
    <row r="1011">
      <c r="A1011" s="11" t="s">
        <v>46</v>
      </c>
      <c r="B1011" s="11" t="s">
        <v>47</v>
      </c>
      <c r="C1011" s="11" t="s">
        <v>48</v>
      </c>
      <c r="D1011" s="11" t="s">
        <v>651</v>
      </c>
      <c r="E1011" s="11" t="s">
        <v>408</v>
      </c>
      <c r="F1011" s="12" t="n">
        <v>30125.0</v>
      </c>
      <c r="G1011" s="13" t="s">
        <v>211</v>
      </c>
      <c r="H1011" s="14" t="s">
        <v>392</v>
      </c>
      <c r="I1011" s="13" t="s">
        <v>211</v>
      </c>
      <c r="J1011" s="14" t="s">
        <v>392</v>
      </c>
      <c r="K1011" s="13"/>
      <c r="L1011" s="14"/>
      <c r="M1011" s="13" t="s">
        <v>211</v>
      </c>
      <c r="N1011" s="14" t="s">
        <v>173</v>
      </c>
      <c r="O1011" s="13"/>
      <c r="P1011" s="14"/>
      <c r="Q1011" s="13" t="s">
        <v>211</v>
      </c>
      <c r="R1011" s="14" t="s">
        <v>173</v>
      </c>
      <c r="S1011" s="15" t="n">
        <f>1110</f>
        <v>1110.0</v>
      </c>
      <c r="T1011" s="16" t="n">
        <f>40</f>
        <v>40.0</v>
      </c>
      <c r="U1011" s="16"/>
      <c r="V1011" s="16" t="n">
        <f>44600000</f>
        <v>4.46E7</v>
      </c>
      <c r="W1011" s="16"/>
      <c r="X1011" s="16" t="str">
        <f>"－"</f>
        <v>－</v>
      </c>
      <c r="Y1011" s="13"/>
      <c r="Z1011" s="17" t="n">
        <f>40</f>
        <v>40.0</v>
      </c>
      <c r="AA1011" s="18" t="n">
        <f>1</f>
        <v>1.0</v>
      </c>
      <c r="AB1011" s="11" t="s">
        <v>410</v>
      </c>
    </row>
    <row r="1012">
      <c r="A1012" s="11" t="s">
        <v>46</v>
      </c>
      <c r="B1012" s="11" t="s">
        <v>47</v>
      </c>
      <c r="C1012" s="11" t="s">
        <v>48</v>
      </c>
      <c r="D1012" s="11" t="s">
        <v>651</v>
      </c>
      <c r="E1012" s="11" t="s">
        <v>408</v>
      </c>
      <c r="F1012" s="12" t="n">
        <v>30250.0</v>
      </c>
      <c r="G1012" s="13" t="s">
        <v>50</v>
      </c>
      <c r="H1012" s="14" t="s">
        <v>146</v>
      </c>
      <c r="I1012" s="13" t="s">
        <v>56</v>
      </c>
      <c r="J1012" s="14" t="s">
        <v>262</v>
      </c>
      <c r="K1012" s="13" t="s">
        <v>210</v>
      </c>
      <c r="L1012" s="14" t="s">
        <v>787</v>
      </c>
      <c r="M1012" s="13" t="s">
        <v>50</v>
      </c>
      <c r="N1012" s="14" t="s">
        <v>146</v>
      </c>
      <c r="O1012" s="13" t="s">
        <v>206</v>
      </c>
      <c r="P1012" s="14" t="s">
        <v>262</v>
      </c>
      <c r="Q1012" s="13" t="s">
        <v>205</v>
      </c>
      <c r="R1012" s="14" t="s">
        <v>420</v>
      </c>
      <c r="S1012" s="15" t="n">
        <f>571.25</f>
        <v>571.25</v>
      </c>
      <c r="T1012" s="16" t="n">
        <f>244</f>
        <v>244.0</v>
      </c>
      <c r="U1012" s="16" t="n">
        <v>201.0</v>
      </c>
      <c r="V1012" s="16" t="n">
        <f>202415000</f>
        <v>2.02415E8</v>
      </c>
      <c r="W1012" s="16" t="n">
        <v>1.84165E8</v>
      </c>
      <c r="X1012" s="16" t="str">
        <f>"－"</f>
        <v>－</v>
      </c>
      <c r="Y1012" s="13"/>
      <c r="Z1012" s="17" t="n">
        <f>200</f>
        <v>200.0</v>
      </c>
      <c r="AA1012" s="18" t="n">
        <f>4</f>
        <v>4.0</v>
      </c>
      <c r="AB1012" s="11" t="s">
        <v>410</v>
      </c>
    </row>
    <row r="1013">
      <c r="A1013" s="11" t="s">
        <v>46</v>
      </c>
      <c r="B1013" s="11" t="s">
        <v>47</v>
      </c>
      <c r="C1013" s="11" t="s">
        <v>48</v>
      </c>
      <c r="D1013" s="11" t="s">
        <v>651</v>
      </c>
      <c r="E1013" s="11" t="s">
        <v>408</v>
      </c>
      <c r="F1013" s="12" t="n">
        <v>30500.0</v>
      </c>
      <c r="G1013" s="13" t="s">
        <v>50</v>
      </c>
      <c r="H1013" s="14" t="s">
        <v>142</v>
      </c>
      <c r="I1013" s="13" t="s">
        <v>202</v>
      </c>
      <c r="J1013" s="14" t="s">
        <v>425</v>
      </c>
      <c r="K1013" s="13"/>
      <c r="L1013" s="14"/>
      <c r="M1013" s="13" t="s">
        <v>50</v>
      </c>
      <c r="N1013" s="14" t="s">
        <v>142</v>
      </c>
      <c r="O1013" s="13"/>
      <c r="P1013" s="14"/>
      <c r="Q1013" s="13" t="s">
        <v>210</v>
      </c>
      <c r="R1013" s="14" t="s">
        <v>287</v>
      </c>
      <c r="S1013" s="15" t="n">
        <f>725</f>
        <v>725.0</v>
      </c>
      <c r="T1013" s="16" t="n">
        <f>95</f>
        <v>95.0</v>
      </c>
      <c r="U1013" s="16"/>
      <c r="V1013" s="16" t="n">
        <f>67940000</f>
        <v>6.794E7</v>
      </c>
      <c r="W1013" s="16"/>
      <c r="X1013" s="16" t="str">
        <f>"－"</f>
        <v>－</v>
      </c>
      <c r="Y1013" s="13"/>
      <c r="Z1013" s="17" t="n">
        <f>61</f>
        <v>61.0</v>
      </c>
      <c r="AA1013" s="18" t="n">
        <f>9</f>
        <v>9.0</v>
      </c>
      <c r="AB1013" s="11" t="s">
        <v>410</v>
      </c>
    </row>
    <row r="1014">
      <c r="A1014" s="11" t="s">
        <v>46</v>
      </c>
      <c r="B1014" s="11" t="s">
        <v>47</v>
      </c>
      <c r="C1014" s="11" t="s">
        <v>48</v>
      </c>
      <c r="D1014" s="11" t="s">
        <v>651</v>
      </c>
      <c r="E1014" s="11" t="s">
        <v>408</v>
      </c>
      <c r="F1014" s="12" t="n">
        <v>30625.0</v>
      </c>
      <c r="G1014" s="13" t="s">
        <v>205</v>
      </c>
      <c r="H1014" s="14" t="s">
        <v>294</v>
      </c>
      <c r="I1014" s="13" t="s">
        <v>205</v>
      </c>
      <c r="J1014" s="14" t="s">
        <v>294</v>
      </c>
      <c r="K1014" s="13" t="s">
        <v>206</v>
      </c>
      <c r="L1014" s="14" t="s">
        <v>539</v>
      </c>
      <c r="M1014" s="13" t="s">
        <v>205</v>
      </c>
      <c r="N1014" s="14" t="s">
        <v>294</v>
      </c>
      <c r="O1014" s="13" t="s">
        <v>206</v>
      </c>
      <c r="P1014" s="14" t="s">
        <v>539</v>
      </c>
      <c r="Q1014" s="13" t="s">
        <v>205</v>
      </c>
      <c r="R1014" s="14" t="s">
        <v>294</v>
      </c>
      <c r="S1014" s="15" t="n">
        <f>790</f>
        <v>790.0</v>
      </c>
      <c r="T1014" s="16" t="n">
        <f>3</f>
        <v>3.0</v>
      </c>
      <c r="U1014" s="16" t="n">
        <v>1.0</v>
      </c>
      <c r="V1014" s="16" t="n">
        <f>2215000</f>
        <v>2215000.0</v>
      </c>
      <c r="W1014" s="16" t="n">
        <v>635000.0</v>
      </c>
      <c r="X1014" s="16" t="str">
        <f>"－"</f>
        <v>－</v>
      </c>
      <c r="Y1014" s="13"/>
      <c r="Z1014" s="17" t="n">
        <f>2</f>
        <v>2.0</v>
      </c>
      <c r="AA1014" s="18" t="n">
        <f>1</f>
        <v>1.0</v>
      </c>
      <c r="AB1014" s="11" t="s">
        <v>410</v>
      </c>
    </row>
    <row r="1015">
      <c r="A1015" s="11" t="s">
        <v>46</v>
      </c>
      <c r="B1015" s="11" t="s">
        <v>47</v>
      </c>
      <c r="C1015" s="11" t="s">
        <v>48</v>
      </c>
      <c r="D1015" s="11" t="s">
        <v>651</v>
      </c>
      <c r="E1015" s="11" t="s">
        <v>408</v>
      </c>
      <c r="F1015" s="12" t="n">
        <v>30750.0</v>
      </c>
      <c r="G1015" s="13" t="s">
        <v>50</v>
      </c>
      <c r="H1015" s="14" t="s">
        <v>134</v>
      </c>
      <c r="I1015" s="13" t="s">
        <v>288</v>
      </c>
      <c r="J1015" s="14" t="s">
        <v>382</v>
      </c>
      <c r="K1015" s="13" t="s">
        <v>61</v>
      </c>
      <c r="L1015" s="14" t="s">
        <v>788</v>
      </c>
      <c r="M1015" s="13" t="s">
        <v>50</v>
      </c>
      <c r="N1015" s="14" t="s">
        <v>134</v>
      </c>
      <c r="O1015" s="13" t="s">
        <v>61</v>
      </c>
      <c r="P1015" s="14" t="s">
        <v>788</v>
      </c>
      <c r="Q1015" s="13" t="s">
        <v>288</v>
      </c>
      <c r="R1015" s="14" t="s">
        <v>382</v>
      </c>
      <c r="S1015" s="15" t="n">
        <f>478.13</f>
        <v>478.13</v>
      </c>
      <c r="T1015" s="16" t="n">
        <f>431</f>
        <v>431.0</v>
      </c>
      <c r="U1015" s="16" t="n">
        <v>360.0</v>
      </c>
      <c r="V1015" s="16" t="n">
        <f>227456200</f>
        <v>2.274562E8</v>
      </c>
      <c r="W1015" s="16" t="n">
        <v>1.925712E8</v>
      </c>
      <c r="X1015" s="16" t="str">
        <f>"－"</f>
        <v>－</v>
      </c>
      <c r="Y1015" s="13"/>
      <c r="Z1015" s="17" t="n">
        <f>364</f>
        <v>364.0</v>
      </c>
      <c r="AA1015" s="18" t="n">
        <f>8</f>
        <v>8.0</v>
      </c>
      <c r="AB1015" s="11" t="s">
        <v>410</v>
      </c>
    </row>
    <row r="1016">
      <c r="A1016" s="11" t="s">
        <v>46</v>
      </c>
      <c r="B1016" s="11" t="s">
        <v>47</v>
      </c>
      <c r="C1016" s="11" t="s">
        <v>48</v>
      </c>
      <c r="D1016" s="11" t="s">
        <v>651</v>
      </c>
      <c r="E1016" s="11" t="s">
        <v>408</v>
      </c>
      <c r="F1016" s="12" t="n">
        <v>31000.0</v>
      </c>
      <c r="G1016" s="13" t="s">
        <v>50</v>
      </c>
      <c r="H1016" s="14" t="s">
        <v>131</v>
      </c>
      <c r="I1016" s="13" t="s">
        <v>288</v>
      </c>
      <c r="J1016" s="14" t="s">
        <v>506</v>
      </c>
      <c r="K1016" s="13" t="s">
        <v>204</v>
      </c>
      <c r="L1016" s="14" t="s">
        <v>789</v>
      </c>
      <c r="M1016" s="13" t="s">
        <v>50</v>
      </c>
      <c r="N1016" s="14" t="s">
        <v>131</v>
      </c>
      <c r="O1016" s="13" t="s">
        <v>204</v>
      </c>
      <c r="P1016" s="14" t="s">
        <v>145</v>
      </c>
      <c r="Q1016" s="13" t="s">
        <v>211</v>
      </c>
      <c r="R1016" s="14" t="s">
        <v>284</v>
      </c>
      <c r="S1016" s="15" t="n">
        <f>517.92</f>
        <v>517.92</v>
      </c>
      <c r="T1016" s="16" t="n">
        <f>4534</f>
        <v>4534.0</v>
      </c>
      <c r="U1016" s="16" t="n">
        <v>3125.0</v>
      </c>
      <c r="V1016" s="16" t="n">
        <f>2120829580</f>
        <v>2.12082958E9</v>
      </c>
      <c r="W1016" s="16" t="n">
        <v>1.69236958E9</v>
      </c>
      <c r="X1016" s="16" t="str">
        <f>"－"</f>
        <v>－</v>
      </c>
      <c r="Y1016" s="13"/>
      <c r="Z1016" s="17" t="n">
        <f>4224</f>
        <v>4224.0</v>
      </c>
      <c r="AA1016" s="18" t="n">
        <f>12</f>
        <v>12.0</v>
      </c>
      <c r="AB1016" s="11" t="s">
        <v>410</v>
      </c>
    </row>
    <row r="1017">
      <c r="A1017" s="11" t="s">
        <v>46</v>
      </c>
      <c r="B1017" s="11" t="s">
        <v>47</v>
      </c>
      <c r="C1017" s="11" t="s">
        <v>48</v>
      </c>
      <c r="D1017" s="11" t="s">
        <v>651</v>
      </c>
      <c r="E1017" s="11" t="s">
        <v>408</v>
      </c>
      <c r="F1017" s="12" t="n">
        <v>31125.0</v>
      </c>
      <c r="G1017" s="13" t="s">
        <v>288</v>
      </c>
      <c r="H1017" s="14" t="s">
        <v>266</v>
      </c>
      <c r="I1017" s="13" t="s">
        <v>288</v>
      </c>
      <c r="J1017" s="14" t="s">
        <v>266</v>
      </c>
      <c r="K1017" s="13"/>
      <c r="L1017" s="14"/>
      <c r="M1017" s="13" t="s">
        <v>210</v>
      </c>
      <c r="N1017" s="14" t="s">
        <v>290</v>
      </c>
      <c r="O1017" s="13"/>
      <c r="P1017" s="14"/>
      <c r="Q1017" s="13" t="s">
        <v>210</v>
      </c>
      <c r="R1017" s="14" t="s">
        <v>290</v>
      </c>
      <c r="S1017" s="15" t="n">
        <f>695</f>
        <v>695.0</v>
      </c>
      <c r="T1017" s="16" t="n">
        <f>8</f>
        <v>8.0</v>
      </c>
      <c r="U1017" s="16"/>
      <c r="V1017" s="16" t="n">
        <f>5115000</f>
        <v>5115000.0</v>
      </c>
      <c r="W1017" s="16"/>
      <c r="X1017" s="16" t="str">
        <f>"－"</f>
        <v>－</v>
      </c>
      <c r="Y1017" s="13"/>
      <c r="Z1017" s="17" t="n">
        <f>3</f>
        <v>3.0</v>
      </c>
      <c r="AA1017" s="18" t="n">
        <f>3</f>
        <v>3.0</v>
      </c>
      <c r="AB1017" s="11" t="s">
        <v>410</v>
      </c>
    </row>
    <row r="1018">
      <c r="A1018" s="11" t="s">
        <v>46</v>
      </c>
      <c r="B1018" s="11" t="s">
        <v>47</v>
      </c>
      <c r="C1018" s="11" t="s">
        <v>48</v>
      </c>
      <c r="D1018" s="11" t="s">
        <v>651</v>
      </c>
      <c r="E1018" s="11" t="s">
        <v>408</v>
      </c>
      <c r="F1018" s="12" t="n">
        <v>31250.0</v>
      </c>
      <c r="G1018" s="13" t="s">
        <v>205</v>
      </c>
      <c r="H1018" s="14" t="s">
        <v>183</v>
      </c>
      <c r="I1018" s="13" t="s">
        <v>288</v>
      </c>
      <c r="J1018" s="14" t="s">
        <v>396</v>
      </c>
      <c r="K1018" s="13" t="s">
        <v>288</v>
      </c>
      <c r="L1018" s="14" t="s">
        <v>420</v>
      </c>
      <c r="M1018" s="13" t="s">
        <v>204</v>
      </c>
      <c r="N1018" s="14" t="s">
        <v>192</v>
      </c>
      <c r="O1018" s="13" t="s">
        <v>215</v>
      </c>
      <c r="P1018" s="14" t="s">
        <v>156</v>
      </c>
      <c r="Q1018" s="13" t="s">
        <v>204</v>
      </c>
      <c r="R1018" s="14" t="s">
        <v>192</v>
      </c>
      <c r="S1018" s="15" t="n">
        <f>562</f>
        <v>562.0</v>
      </c>
      <c r="T1018" s="16" t="n">
        <f>16</f>
        <v>16.0</v>
      </c>
      <c r="U1018" s="16" t="n">
        <v>3.0</v>
      </c>
      <c r="V1018" s="16" t="n">
        <f>10320000</f>
        <v>1.032E7</v>
      </c>
      <c r="W1018" s="16" t="n">
        <v>1975000.0</v>
      </c>
      <c r="X1018" s="16" t="str">
        <f>"－"</f>
        <v>－</v>
      </c>
      <c r="Y1018" s="13"/>
      <c r="Z1018" s="17" t="n">
        <f>10</f>
        <v>10.0</v>
      </c>
      <c r="AA1018" s="18" t="n">
        <f>5</f>
        <v>5.0</v>
      </c>
      <c r="AB1018" s="11" t="s">
        <v>410</v>
      </c>
    </row>
    <row r="1019">
      <c r="A1019" s="11" t="s">
        <v>46</v>
      </c>
      <c r="B1019" s="11" t="s">
        <v>47</v>
      </c>
      <c r="C1019" s="11" t="s">
        <v>48</v>
      </c>
      <c r="D1019" s="11" t="s">
        <v>651</v>
      </c>
      <c r="E1019" s="11" t="s">
        <v>408</v>
      </c>
      <c r="F1019" s="12" t="n">
        <v>31375.0</v>
      </c>
      <c r="G1019" s="13" t="s">
        <v>207</v>
      </c>
      <c r="H1019" s="14" t="s">
        <v>292</v>
      </c>
      <c r="I1019" s="13" t="s">
        <v>207</v>
      </c>
      <c r="J1019" s="14" t="s">
        <v>292</v>
      </c>
      <c r="K1019" s="13"/>
      <c r="L1019" s="14"/>
      <c r="M1019" s="13" t="s">
        <v>207</v>
      </c>
      <c r="N1019" s="14" t="s">
        <v>252</v>
      </c>
      <c r="O1019" s="13"/>
      <c r="P1019" s="14"/>
      <c r="Q1019" s="13" t="s">
        <v>207</v>
      </c>
      <c r="R1019" s="14" t="s">
        <v>252</v>
      </c>
      <c r="S1019" s="15" t="n">
        <f>675</f>
        <v>675.0</v>
      </c>
      <c r="T1019" s="16" t="n">
        <f>22</f>
        <v>22.0</v>
      </c>
      <c r="U1019" s="16"/>
      <c r="V1019" s="16" t="n">
        <f>15670000</f>
        <v>1.567E7</v>
      </c>
      <c r="W1019" s="16"/>
      <c r="X1019" s="16" t="str">
        <f>"－"</f>
        <v>－</v>
      </c>
      <c r="Y1019" s="13"/>
      <c r="Z1019" s="17" t="n">
        <f>2</f>
        <v>2.0</v>
      </c>
      <c r="AA1019" s="18" t="n">
        <f>1</f>
        <v>1.0</v>
      </c>
      <c r="AB1019" s="11" t="s">
        <v>410</v>
      </c>
    </row>
    <row r="1020">
      <c r="A1020" s="11" t="s">
        <v>46</v>
      </c>
      <c r="B1020" s="11" t="s">
        <v>47</v>
      </c>
      <c r="C1020" s="11" t="s">
        <v>48</v>
      </c>
      <c r="D1020" s="11" t="s">
        <v>651</v>
      </c>
      <c r="E1020" s="11" t="s">
        <v>408</v>
      </c>
      <c r="F1020" s="12" t="n">
        <v>31500.0</v>
      </c>
      <c r="G1020" s="13" t="s">
        <v>60</v>
      </c>
      <c r="H1020" s="14" t="s">
        <v>293</v>
      </c>
      <c r="I1020" s="13" t="s">
        <v>202</v>
      </c>
      <c r="J1020" s="14" t="s">
        <v>283</v>
      </c>
      <c r="K1020" s="13" t="s">
        <v>288</v>
      </c>
      <c r="L1020" s="14" t="s">
        <v>318</v>
      </c>
      <c r="M1020" s="13" t="s">
        <v>60</v>
      </c>
      <c r="N1020" s="14" t="s">
        <v>293</v>
      </c>
      <c r="O1020" s="13" t="s">
        <v>211</v>
      </c>
      <c r="P1020" s="14" t="s">
        <v>153</v>
      </c>
      <c r="Q1020" s="13" t="s">
        <v>204</v>
      </c>
      <c r="R1020" s="14" t="s">
        <v>239</v>
      </c>
      <c r="S1020" s="15" t="n">
        <f>496.67</f>
        <v>496.67</v>
      </c>
      <c r="T1020" s="16" t="n">
        <f>56</f>
        <v>56.0</v>
      </c>
      <c r="U1020" s="16" t="n">
        <v>8.0</v>
      </c>
      <c r="V1020" s="16" t="n">
        <f>24125000</f>
        <v>2.4125E7</v>
      </c>
      <c r="W1020" s="16" t="n">
        <v>5010000.0</v>
      </c>
      <c r="X1020" s="16" t="str">
        <f>"－"</f>
        <v>－</v>
      </c>
      <c r="Y1020" s="13"/>
      <c r="Z1020" s="17" t="n">
        <f>21</f>
        <v>21.0</v>
      </c>
      <c r="AA1020" s="18" t="n">
        <f>12</f>
        <v>12.0</v>
      </c>
      <c r="AB1020" s="11" t="s">
        <v>410</v>
      </c>
    </row>
    <row r="1021">
      <c r="A1021" s="11" t="s">
        <v>46</v>
      </c>
      <c r="B1021" s="11" t="s">
        <v>47</v>
      </c>
      <c r="C1021" s="11" t="s">
        <v>48</v>
      </c>
      <c r="D1021" s="11" t="s">
        <v>651</v>
      </c>
      <c r="E1021" s="11" t="s">
        <v>408</v>
      </c>
      <c r="F1021" s="12" t="n">
        <v>31625.0</v>
      </c>
      <c r="G1021" s="13" t="s">
        <v>288</v>
      </c>
      <c r="H1021" s="14" t="s">
        <v>292</v>
      </c>
      <c r="I1021" s="13" t="s">
        <v>288</v>
      </c>
      <c r="J1021" s="14" t="s">
        <v>292</v>
      </c>
      <c r="K1021" s="13" t="s">
        <v>211</v>
      </c>
      <c r="L1021" s="14" t="s">
        <v>153</v>
      </c>
      <c r="M1021" s="13" t="s">
        <v>207</v>
      </c>
      <c r="N1021" s="14" t="s">
        <v>790</v>
      </c>
      <c r="O1021" s="13" t="s">
        <v>211</v>
      </c>
      <c r="P1021" s="14" t="s">
        <v>153</v>
      </c>
      <c r="Q1021" s="13" t="s">
        <v>207</v>
      </c>
      <c r="R1021" s="14" t="s">
        <v>790</v>
      </c>
      <c r="S1021" s="15" t="n">
        <f>645</f>
        <v>645.0</v>
      </c>
      <c r="T1021" s="16" t="n">
        <f>22</f>
        <v>22.0</v>
      </c>
      <c r="U1021" s="16" t="n">
        <v>1.0</v>
      </c>
      <c r="V1021" s="16" t="n">
        <f>15445000</f>
        <v>1.5445E7</v>
      </c>
      <c r="W1021" s="16" t="n">
        <v>570000.0</v>
      </c>
      <c r="X1021" s="16" t="str">
        <f>"－"</f>
        <v>－</v>
      </c>
      <c r="Y1021" s="13"/>
      <c r="Z1021" s="17" t="n">
        <f>2</f>
        <v>2.0</v>
      </c>
      <c r="AA1021" s="18" t="n">
        <f>2</f>
        <v>2.0</v>
      </c>
      <c r="AB1021" s="11" t="s">
        <v>410</v>
      </c>
    </row>
    <row r="1022">
      <c r="A1022" s="11" t="s">
        <v>46</v>
      </c>
      <c r="B1022" s="11" t="s">
        <v>47</v>
      </c>
      <c r="C1022" s="11" t="s">
        <v>48</v>
      </c>
      <c r="D1022" s="11" t="s">
        <v>651</v>
      </c>
      <c r="E1022" s="11" t="s">
        <v>408</v>
      </c>
      <c r="F1022" s="12" t="n">
        <v>31750.0</v>
      </c>
      <c r="G1022" s="13" t="s">
        <v>60</v>
      </c>
      <c r="H1022" s="14" t="s">
        <v>128</v>
      </c>
      <c r="I1022" s="13" t="s">
        <v>202</v>
      </c>
      <c r="J1022" s="14" t="s">
        <v>167</v>
      </c>
      <c r="K1022" s="13" t="s">
        <v>288</v>
      </c>
      <c r="L1022" s="14" t="s">
        <v>153</v>
      </c>
      <c r="M1022" s="13" t="s">
        <v>60</v>
      </c>
      <c r="N1022" s="14" t="s">
        <v>128</v>
      </c>
      <c r="O1022" s="13" t="s">
        <v>288</v>
      </c>
      <c r="P1022" s="14" t="s">
        <v>186</v>
      </c>
      <c r="Q1022" s="13" t="s">
        <v>204</v>
      </c>
      <c r="R1022" s="14" t="s">
        <v>133</v>
      </c>
      <c r="S1022" s="15" t="n">
        <f>457.5</f>
        <v>457.5</v>
      </c>
      <c r="T1022" s="16" t="n">
        <f>92</f>
        <v>92.0</v>
      </c>
      <c r="U1022" s="16" t="n">
        <v>6.0</v>
      </c>
      <c r="V1022" s="16" t="n">
        <f>30115000</f>
        <v>3.0115E7</v>
      </c>
      <c r="W1022" s="16" t="n">
        <v>3350000.0</v>
      </c>
      <c r="X1022" s="16" t="str">
        <f>"－"</f>
        <v>－</v>
      </c>
      <c r="Y1022" s="13"/>
      <c r="Z1022" s="17" t="n">
        <f>62</f>
        <v>62.0</v>
      </c>
      <c r="AA1022" s="18" t="n">
        <f>6</f>
        <v>6.0</v>
      </c>
      <c r="AB1022" s="11" t="s">
        <v>410</v>
      </c>
    </row>
    <row r="1023">
      <c r="A1023" s="11" t="s">
        <v>46</v>
      </c>
      <c r="B1023" s="11" t="s">
        <v>47</v>
      </c>
      <c r="C1023" s="11" t="s">
        <v>48</v>
      </c>
      <c r="D1023" s="11" t="s">
        <v>651</v>
      </c>
      <c r="E1023" s="11" t="s">
        <v>408</v>
      </c>
      <c r="F1023" s="12" t="n">
        <v>31875.0</v>
      </c>
      <c r="G1023" s="13" t="s">
        <v>211</v>
      </c>
      <c r="H1023" s="14" t="s">
        <v>243</v>
      </c>
      <c r="I1023" s="13" t="s">
        <v>211</v>
      </c>
      <c r="J1023" s="14" t="s">
        <v>243</v>
      </c>
      <c r="K1023" s="13" t="s">
        <v>207</v>
      </c>
      <c r="L1023" s="14" t="s">
        <v>149</v>
      </c>
      <c r="M1023" s="13" t="s">
        <v>211</v>
      </c>
      <c r="N1023" s="14" t="s">
        <v>243</v>
      </c>
      <c r="O1023" s="13" t="s">
        <v>207</v>
      </c>
      <c r="P1023" s="14" t="s">
        <v>149</v>
      </c>
      <c r="Q1023" s="13" t="s">
        <v>211</v>
      </c>
      <c r="R1023" s="14" t="s">
        <v>243</v>
      </c>
      <c r="S1023" s="15" t="n">
        <f>455</f>
        <v>455.0</v>
      </c>
      <c r="T1023" s="16" t="n">
        <f>2</f>
        <v>2.0</v>
      </c>
      <c r="U1023" s="16" t="n">
        <v>1.0</v>
      </c>
      <c r="V1023" s="16" t="n">
        <f>925000</f>
        <v>925000.0</v>
      </c>
      <c r="W1023" s="16" t="n">
        <v>470000.0</v>
      </c>
      <c r="X1023" s="16" t="str">
        <f>"－"</f>
        <v>－</v>
      </c>
      <c r="Y1023" s="13"/>
      <c r="Z1023" s="17" t="n">
        <f>1</f>
        <v>1.0</v>
      </c>
      <c r="AA1023" s="18" t="n">
        <f>1</f>
        <v>1.0</v>
      </c>
      <c r="AB1023" s="11" t="s">
        <v>410</v>
      </c>
    </row>
    <row r="1024">
      <c r="A1024" s="11" t="s">
        <v>46</v>
      </c>
      <c r="B1024" s="11" t="s">
        <v>47</v>
      </c>
      <c r="C1024" s="11" t="s">
        <v>48</v>
      </c>
      <c r="D1024" s="11" t="s">
        <v>651</v>
      </c>
      <c r="E1024" s="11" t="s">
        <v>408</v>
      </c>
      <c r="F1024" s="12" t="n">
        <v>32000.0</v>
      </c>
      <c r="G1024" s="13" t="s">
        <v>50</v>
      </c>
      <c r="H1024" s="14" t="s">
        <v>118</v>
      </c>
      <c r="I1024" s="13" t="s">
        <v>288</v>
      </c>
      <c r="J1024" s="14" t="s">
        <v>245</v>
      </c>
      <c r="K1024" s="13" t="s">
        <v>288</v>
      </c>
      <c r="L1024" s="14" t="s">
        <v>534</v>
      </c>
      <c r="M1024" s="13" t="s">
        <v>60</v>
      </c>
      <c r="N1024" s="14" t="s">
        <v>117</v>
      </c>
      <c r="O1024" s="13" t="s">
        <v>61</v>
      </c>
      <c r="P1024" s="14" t="s">
        <v>185</v>
      </c>
      <c r="Q1024" s="13" t="s">
        <v>204</v>
      </c>
      <c r="R1024" s="14" t="s">
        <v>130</v>
      </c>
      <c r="S1024" s="15" t="n">
        <f>278.75</f>
        <v>278.75</v>
      </c>
      <c r="T1024" s="16" t="n">
        <f>1659</f>
        <v>1659.0</v>
      </c>
      <c r="U1024" s="16" t="n">
        <v>1605.0</v>
      </c>
      <c r="V1024" s="16" t="n">
        <f>461605000</f>
        <v>4.61605E8</v>
      </c>
      <c r="W1024" s="16" t="n">
        <v>4.4817E8</v>
      </c>
      <c r="X1024" s="16" t="str">
        <f>"－"</f>
        <v>－</v>
      </c>
      <c r="Y1024" s="13"/>
      <c r="Z1024" s="17" t="n">
        <f>1605</f>
        <v>1605.0</v>
      </c>
      <c r="AA1024" s="18" t="n">
        <f>8</f>
        <v>8.0</v>
      </c>
      <c r="AB1024" s="11" t="s">
        <v>410</v>
      </c>
    </row>
    <row r="1025">
      <c r="A1025" s="11" t="s">
        <v>46</v>
      </c>
      <c r="B1025" s="11" t="s">
        <v>47</v>
      </c>
      <c r="C1025" s="11" t="s">
        <v>48</v>
      </c>
      <c r="D1025" s="11" t="s">
        <v>651</v>
      </c>
      <c r="E1025" s="11" t="s">
        <v>408</v>
      </c>
      <c r="F1025" s="12" t="n">
        <v>32125.0</v>
      </c>
      <c r="G1025" s="13" t="s">
        <v>288</v>
      </c>
      <c r="H1025" s="14" t="s">
        <v>289</v>
      </c>
      <c r="I1025" s="13" t="s">
        <v>207</v>
      </c>
      <c r="J1025" s="14" t="s">
        <v>245</v>
      </c>
      <c r="K1025" s="13" t="s">
        <v>288</v>
      </c>
      <c r="L1025" s="14" t="s">
        <v>369</v>
      </c>
      <c r="M1025" s="13" t="s">
        <v>204</v>
      </c>
      <c r="N1025" s="14" t="s">
        <v>232</v>
      </c>
      <c r="O1025" s="13" t="s">
        <v>288</v>
      </c>
      <c r="P1025" s="14" t="s">
        <v>369</v>
      </c>
      <c r="Q1025" s="13" t="s">
        <v>204</v>
      </c>
      <c r="R1025" s="14" t="s">
        <v>232</v>
      </c>
      <c r="S1025" s="15" t="n">
        <f>364</f>
        <v>364.0</v>
      </c>
      <c r="T1025" s="16" t="n">
        <f>57</f>
        <v>57.0</v>
      </c>
      <c r="U1025" s="16" t="n">
        <v>1.0</v>
      </c>
      <c r="V1025" s="16" t="n">
        <f>20840000</f>
        <v>2.084E7</v>
      </c>
      <c r="W1025" s="16" t="n">
        <v>485000.0</v>
      </c>
      <c r="X1025" s="16" t="str">
        <f>"－"</f>
        <v>－</v>
      </c>
      <c r="Y1025" s="13"/>
      <c r="Z1025" s="17" t="n">
        <f>9</f>
        <v>9.0</v>
      </c>
      <c r="AA1025" s="18" t="n">
        <f>5</f>
        <v>5.0</v>
      </c>
      <c r="AB1025" s="11" t="s">
        <v>410</v>
      </c>
    </row>
    <row r="1026">
      <c r="A1026" s="11" t="s">
        <v>46</v>
      </c>
      <c r="B1026" s="11" t="s">
        <v>47</v>
      </c>
      <c r="C1026" s="11" t="s">
        <v>48</v>
      </c>
      <c r="D1026" s="11" t="s">
        <v>651</v>
      </c>
      <c r="E1026" s="11" t="s">
        <v>408</v>
      </c>
      <c r="F1026" s="12" t="n">
        <v>32250.0</v>
      </c>
      <c r="G1026" s="13" t="s">
        <v>58</v>
      </c>
      <c r="H1026" s="14" t="s">
        <v>118</v>
      </c>
      <c r="I1026" s="13" t="s">
        <v>288</v>
      </c>
      <c r="J1026" s="14" t="s">
        <v>372</v>
      </c>
      <c r="K1026" s="13" t="s">
        <v>207</v>
      </c>
      <c r="L1026" s="14" t="s">
        <v>426</v>
      </c>
      <c r="M1026" s="13" t="s">
        <v>58</v>
      </c>
      <c r="N1026" s="14" t="s">
        <v>118</v>
      </c>
      <c r="O1026" s="13" t="s">
        <v>207</v>
      </c>
      <c r="P1026" s="14" t="s">
        <v>426</v>
      </c>
      <c r="Q1026" s="13" t="s">
        <v>204</v>
      </c>
      <c r="R1026" s="14" t="s">
        <v>128</v>
      </c>
      <c r="S1026" s="15" t="n">
        <f>248</f>
        <v>248.0</v>
      </c>
      <c r="T1026" s="16" t="n">
        <f>34</f>
        <v>34.0</v>
      </c>
      <c r="U1026" s="16" t="n">
        <v>1.0</v>
      </c>
      <c r="V1026" s="16" t="n">
        <f>9265000</f>
        <v>9265000.0</v>
      </c>
      <c r="W1026" s="16" t="n">
        <v>415000.0</v>
      </c>
      <c r="X1026" s="16" t="str">
        <f>"－"</f>
        <v>－</v>
      </c>
      <c r="Y1026" s="13"/>
      <c r="Z1026" s="17" t="n">
        <f>7</f>
        <v>7.0</v>
      </c>
      <c r="AA1026" s="18" t="n">
        <f>5</f>
        <v>5.0</v>
      </c>
      <c r="AB1026" s="11" t="s">
        <v>410</v>
      </c>
    </row>
    <row r="1027">
      <c r="A1027" s="11" t="s">
        <v>46</v>
      </c>
      <c r="B1027" s="11" t="s">
        <v>47</v>
      </c>
      <c r="C1027" s="11" t="s">
        <v>48</v>
      </c>
      <c r="D1027" s="11" t="s">
        <v>651</v>
      </c>
      <c r="E1027" s="11" t="s">
        <v>408</v>
      </c>
      <c r="F1027" s="12" t="n">
        <v>32375.0</v>
      </c>
      <c r="G1027" s="13" t="s">
        <v>288</v>
      </c>
      <c r="H1027" s="14" t="s">
        <v>193</v>
      </c>
      <c r="I1027" s="13" t="s">
        <v>288</v>
      </c>
      <c r="J1027" s="14" t="s">
        <v>193</v>
      </c>
      <c r="K1027" s="13" t="s">
        <v>215</v>
      </c>
      <c r="L1027" s="14" t="s">
        <v>140</v>
      </c>
      <c r="M1027" s="13" t="s">
        <v>204</v>
      </c>
      <c r="N1027" s="14" t="s">
        <v>232</v>
      </c>
      <c r="O1027" s="13" t="s">
        <v>215</v>
      </c>
      <c r="P1027" s="14" t="s">
        <v>140</v>
      </c>
      <c r="Q1027" s="13" t="s">
        <v>204</v>
      </c>
      <c r="R1027" s="14" t="s">
        <v>232</v>
      </c>
      <c r="S1027" s="15" t="n">
        <f>321.67</f>
        <v>321.67</v>
      </c>
      <c r="T1027" s="16" t="n">
        <f>6</f>
        <v>6.0</v>
      </c>
      <c r="U1027" s="16" t="n">
        <v>1.0</v>
      </c>
      <c r="V1027" s="16" t="n">
        <f>1850000</f>
        <v>1850000.0</v>
      </c>
      <c r="W1027" s="16" t="n">
        <v>300000.0</v>
      </c>
      <c r="X1027" s="16" t="str">
        <f>"－"</f>
        <v>－</v>
      </c>
      <c r="Y1027" s="13"/>
      <c r="Z1027" s="17" t="n">
        <f>2</f>
        <v>2.0</v>
      </c>
      <c r="AA1027" s="18" t="n">
        <f>3</f>
        <v>3.0</v>
      </c>
      <c r="AB1027" s="11" t="s">
        <v>410</v>
      </c>
    </row>
    <row r="1028">
      <c r="A1028" s="11" t="s">
        <v>46</v>
      </c>
      <c r="B1028" s="11" t="s">
        <v>47</v>
      </c>
      <c r="C1028" s="11" t="s">
        <v>48</v>
      </c>
      <c r="D1028" s="11" t="s">
        <v>651</v>
      </c>
      <c r="E1028" s="11" t="s">
        <v>408</v>
      </c>
      <c r="F1028" s="12" t="n">
        <v>32500.0</v>
      </c>
      <c r="G1028" s="13" t="s">
        <v>63</v>
      </c>
      <c r="H1028" s="14" t="s">
        <v>112</v>
      </c>
      <c r="I1028" s="13" t="s">
        <v>202</v>
      </c>
      <c r="J1028" s="14" t="s">
        <v>154</v>
      </c>
      <c r="K1028" s="13" t="s">
        <v>202</v>
      </c>
      <c r="L1028" s="14" t="s">
        <v>197</v>
      </c>
      <c r="M1028" s="13" t="s">
        <v>63</v>
      </c>
      <c r="N1028" s="14" t="s">
        <v>112</v>
      </c>
      <c r="O1028" s="13" t="s">
        <v>204</v>
      </c>
      <c r="P1028" s="14" t="s">
        <v>413</v>
      </c>
      <c r="Q1028" s="13" t="s">
        <v>204</v>
      </c>
      <c r="R1028" s="14" t="s">
        <v>261</v>
      </c>
      <c r="S1028" s="15" t="n">
        <f>269.58</f>
        <v>269.58</v>
      </c>
      <c r="T1028" s="16" t="n">
        <f>1608</f>
        <v>1608.0</v>
      </c>
      <c r="U1028" s="16" t="n">
        <v>1408.0</v>
      </c>
      <c r="V1028" s="16" t="n">
        <f>295070000</f>
        <v>2.9507E8</v>
      </c>
      <c r="W1028" s="16" t="n">
        <v>2.5282E8</v>
      </c>
      <c r="X1028" s="16" t="str">
        <f>"－"</f>
        <v>－</v>
      </c>
      <c r="Y1028" s="13"/>
      <c r="Z1028" s="17" t="n">
        <f>1416</f>
        <v>1416.0</v>
      </c>
      <c r="AA1028" s="18" t="n">
        <f>12</f>
        <v>12.0</v>
      </c>
      <c r="AB1028" s="11" t="s">
        <v>410</v>
      </c>
    </row>
    <row r="1029">
      <c r="A1029" s="11" t="s">
        <v>46</v>
      </c>
      <c r="B1029" s="11" t="s">
        <v>47</v>
      </c>
      <c r="C1029" s="11" t="s">
        <v>48</v>
      </c>
      <c r="D1029" s="11" t="s">
        <v>651</v>
      </c>
      <c r="E1029" s="11" t="s">
        <v>408</v>
      </c>
      <c r="F1029" s="12" t="n">
        <v>32750.0</v>
      </c>
      <c r="G1029" s="13" t="s">
        <v>63</v>
      </c>
      <c r="H1029" s="14" t="s">
        <v>337</v>
      </c>
      <c r="I1029" s="13" t="s">
        <v>207</v>
      </c>
      <c r="J1029" s="14" t="s">
        <v>182</v>
      </c>
      <c r="K1029" s="13" t="s">
        <v>288</v>
      </c>
      <c r="L1029" s="14" t="s">
        <v>238</v>
      </c>
      <c r="M1029" s="13" t="s">
        <v>63</v>
      </c>
      <c r="N1029" s="14" t="s">
        <v>103</v>
      </c>
      <c r="O1029" s="13" t="s">
        <v>204</v>
      </c>
      <c r="P1029" s="14" t="s">
        <v>128</v>
      </c>
      <c r="Q1029" s="13" t="s">
        <v>204</v>
      </c>
      <c r="R1029" s="14" t="s">
        <v>125</v>
      </c>
      <c r="S1029" s="15" t="n">
        <f>210.7</f>
        <v>210.7</v>
      </c>
      <c r="T1029" s="16" t="n">
        <f>161</f>
        <v>161.0</v>
      </c>
      <c r="U1029" s="16" t="n">
        <v>2.0</v>
      </c>
      <c r="V1029" s="16" t="n">
        <f>32867000</f>
        <v>3.2867E7</v>
      </c>
      <c r="W1029" s="16" t="n">
        <v>515000.0</v>
      </c>
      <c r="X1029" s="16" t="str">
        <f>"－"</f>
        <v>－</v>
      </c>
      <c r="Y1029" s="13"/>
      <c r="Z1029" s="17" t="n">
        <f>17</f>
        <v>17.0</v>
      </c>
      <c r="AA1029" s="18" t="n">
        <f>10</f>
        <v>10.0</v>
      </c>
      <c r="AB1029" s="11" t="s">
        <v>410</v>
      </c>
    </row>
    <row r="1030">
      <c r="A1030" s="11" t="s">
        <v>46</v>
      </c>
      <c r="B1030" s="11" t="s">
        <v>47</v>
      </c>
      <c r="C1030" s="11" t="s">
        <v>48</v>
      </c>
      <c r="D1030" s="11" t="s">
        <v>651</v>
      </c>
      <c r="E1030" s="11" t="s">
        <v>408</v>
      </c>
      <c r="F1030" s="12" t="n">
        <v>33000.0</v>
      </c>
      <c r="G1030" s="13" t="s">
        <v>52</v>
      </c>
      <c r="H1030" s="14" t="s">
        <v>129</v>
      </c>
      <c r="I1030" s="13" t="s">
        <v>207</v>
      </c>
      <c r="J1030" s="14" t="s">
        <v>241</v>
      </c>
      <c r="K1030" s="13" t="s">
        <v>207</v>
      </c>
      <c r="L1030" s="14" t="s">
        <v>144</v>
      </c>
      <c r="M1030" s="13" t="s">
        <v>204</v>
      </c>
      <c r="N1030" s="14" t="s">
        <v>118</v>
      </c>
      <c r="O1030" s="13" t="s">
        <v>206</v>
      </c>
      <c r="P1030" s="14" t="s">
        <v>124</v>
      </c>
      <c r="Q1030" s="13" t="s">
        <v>204</v>
      </c>
      <c r="R1030" s="14" t="s">
        <v>118</v>
      </c>
      <c r="S1030" s="15" t="n">
        <f>223.89</f>
        <v>223.89</v>
      </c>
      <c r="T1030" s="16" t="n">
        <f>430</f>
        <v>430.0</v>
      </c>
      <c r="U1030" s="16" t="n">
        <v>301.0</v>
      </c>
      <c r="V1030" s="16" t="n">
        <f>93790000</f>
        <v>9.379E7</v>
      </c>
      <c r="W1030" s="16" t="n">
        <v>6.1275E7</v>
      </c>
      <c r="X1030" s="16" t="str">
        <f>"－"</f>
        <v>－</v>
      </c>
      <c r="Y1030" s="13"/>
      <c r="Z1030" s="17" t="n">
        <f>313</f>
        <v>313.0</v>
      </c>
      <c r="AA1030" s="18" t="n">
        <f>9</f>
        <v>9.0</v>
      </c>
      <c r="AB1030" s="11" t="s">
        <v>410</v>
      </c>
    </row>
    <row r="1031">
      <c r="A1031" s="11" t="s">
        <v>46</v>
      </c>
      <c r="B1031" s="11" t="s">
        <v>47</v>
      </c>
      <c r="C1031" s="11" t="s">
        <v>48</v>
      </c>
      <c r="D1031" s="11" t="s">
        <v>651</v>
      </c>
      <c r="E1031" s="11" t="s">
        <v>408</v>
      </c>
      <c r="F1031" s="12" t="n">
        <v>33250.0</v>
      </c>
      <c r="G1031" s="13" t="s">
        <v>206</v>
      </c>
      <c r="H1031" s="14" t="s">
        <v>122</v>
      </c>
      <c r="I1031" s="13" t="s">
        <v>288</v>
      </c>
      <c r="J1031" s="14" t="s">
        <v>139</v>
      </c>
      <c r="K1031" s="13"/>
      <c r="L1031" s="14"/>
      <c r="M1031" s="13" t="s">
        <v>204</v>
      </c>
      <c r="N1031" s="14" t="s">
        <v>118</v>
      </c>
      <c r="O1031" s="13"/>
      <c r="P1031" s="14"/>
      <c r="Q1031" s="13" t="s">
        <v>204</v>
      </c>
      <c r="R1031" s="14" t="s">
        <v>121</v>
      </c>
      <c r="S1031" s="15" t="n">
        <f>193</f>
        <v>193.0</v>
      </c>
      <c r="T1031" s="16" t="n">
        <f>111</f>
        <v>111.0</v>
      </c>
      <c r="U1031" s="16"/>
      <c r="V1031" s="16" t="n">
        <f>15285000</f>
        <v>1.5285E7</v>
      </c>
      <c r="W1031" s="16"/>
      <c r="X1031" s="16" t="str">
        <f>"－"</f>
        <v>－</v>
      </c>
      <c r="Y1031" s="13"/>
      <c r="Z1031" s="17" t="n">
        <f>10</f>
        <v>10.0</v>
      </c>
      <c r="AA1031" s="18" t="n">
        <f>10</f>
        <v>10.0</v>
      </c>
      <c r="AB1031" s="11" t="s">
        <v>410</v>
      </c>
    </row>
    <row r="1032">
      <c r="A1032" s="11" t="s">
        <v>46</v>
      </c>
      <c r="B1032" s="11" t="s">
        <v>47</v>
      </c>
      <c r="C1032" s="11" t="s">
        <v>48</v>
      </c>
      <c r="D1032" s="11" t="s">
        <v>651</v>
      </c>
      <c r="E1032" s="11" t="s">
        <v>408</v>
      </c>
      <c r="F1032" s="12" t="n">
        <v>33500.0</v>
      </c>
      <c r="G1032" s="13" t="s">
        <v>52</v>
      </c>
      <c r="H1032" s="14" t="s">
        <v>116</v>
      </c>
      <c r="I1032" s="13" t="s">
        <v>202</v>
      </c>
      <c r="J1032" s="14" t="s">
        <v>140</v>
      </c>
      <c r="K1032" s="13"/>
      <c r="L1032" s="14"/>
      <c r="M1032" s="13" t="s">
        <v>204</v>
      </c>
      <c r="N1032" s="14" t="s">
        <v>339</v>
      </c>
      <c r="O1032" s="13"/>
      <c r="P1032" s="14"/>
      <c r="Q1032" s="13" t="s">
        <v>204</v>
      </c>
      <c r="R1032" s="14" t="s">
        <v>339</v>
      </c>
      <c r="S1032" s="15" t="n">
        <f>160.55</f>
        <v>160.55</v>
      </c>
      <c r="T1032" s="16" t="n">
        <f>74</f>
        <v>74.0</v>
      </c>
      <c r="U1032" s="16"/>
      <c r="V1032" s="16" t="n">
        <f>11611000</f>
        <v>1.1611E7</v>
      </c>
      <c r="W1032" s="16"/>
      <c r="X1032" s="16" t="str">
        <f>"－"</f>
        <v>－</v>
      </c>
      <c r="Y1032" s="13"/>
      <c r="Z1032" s="17" t="n">
        <f>41</f>
        <v>41.0</v>
      </c>
      <c r="AA1032" s="18" t="n">
        <f>11</f>
        <v>11.0</v>
      </c>
      <c r="AB1032" s="11" t="s">
        <v>410</v>
      </c>
    </row>
    <row r="1033">
      <c r="A1033" s="11" t="s">
        <v>46</v>
      </c>
      <c r="B1033" s="11" t="s">
        <v>47</v>
      </c>
      <c r="C1033" s="11" t="s">
        <v>48</v>
      </c>
      <c r="D1033" s="11" t="s">
        <v>651</v>
      </c>
      <c r="E1033" s="11" t="s">
        <v>408</v>
      </c>
      <c r="F1033" s="12" t="n">
        <v>34000.0</v>
      </c>
      <c r="G1033" s="13" t="s">
        <v>208</v>
      </c>
      <c r="H1033" s="14" t="s">
        <v>121</v>
      </c>
      <c r="I1033" s="13" t="s">
        <v>211</v>
      </c>
      <c r="J1033" s="14" t="s">
        <v>120</v>
      </c>
      <c r="K1033" s="13"/>
      <c r="L1033" s="14"/>
      <c r="M1033" s="13" t="s">
        <v>204</v>
      </c>
      <c r="N1033" s="14" t="s">
        <v>269</v>
      </c>
      <c r="O1033" s="13"/>
      <c r="P1033" s="14"/>
      <c r="Q1033" s="13" t="s">
        <v>204</v>
      </c>
      <c r="R1033" s="14" t="s">
        <v>269</v>
      </c>
      <c r="S1033" s="15" t="n">
        <f>106.2</f>
        <v>106.2</v>
      </c>
      <c r="T1033" s="16" t="n">
        <f>20</f>
        <v>20.0</v>
      </c>
      <c r="U1033" s="16"/>
      <c r="V1033" s="16" t="n">
        <f>2091000</f>
        <v>2091000.0</v>
      </c>
      <c r="W1033" s="16"/>
      <c r="X1033" s="16" t="str">
        <f>"－"</f>
        <v>－</v>
      </c>
      <c r="Y1033" s="13"/>
      <c r="Z1033" s="17" t="n">
        <f>13</f>
        <v>13.0</v>
      </c>
      <c r="AA1033" s="18" t="n">
        <f>5</f>
        <v>5.0</v>
      </c>
      <c r="AB1033" s="11" t="s">
        <v>410</v>
      </c>
    </row>
    <row r="1034">
      <c r="A1034" s="11" t="s">
        <v>46</v>
      </c>
      <c r="B1034" s="11" t="s">
        <v>47</v>
      </c>
      <c r="C1034" s="11" t="s">
        <v>48</v>
      </c>
      <c r="D1034" s="11" t="s">
        <v>651</v>
      </c>
      <c r="E1034" s="11" t="s">
        <v>408</v>
      </c>
      <c r="F1034" s="12" t="n">
        <v>35000.0</v>
      </c>
      <c r="G1034" s="13" t="s">
        <v>202</v>
      </c>
      <c r="H1034" s="14" t="s">
        <v>119</v>
      </c>
      <c r="I1034" s="13" t="s">
        <v>202</v>
      </c>
      <c r="J1034" s="14" t="s">
        <v>119</v>
      </c>
      <c r="K1034" s="13"/>
      <c r="L1034" s="14"/>
      <c r="M1034" s="13" t="s">
        <v>204</v>
      </c>
      <c r="N1034" s="14" t="s">
        <v>189</v>
      </c>
      <c r="O1034" s="13"/>
      <c r="P1034" s="14"/>
      <c r="Q1034" s="13" t="s">
        <v>204</v>
      </c>
      <c r="R1034" s="14" t="s">
        <v>189</v>
      </c>
      <c r="S1034" s="15" t="n">
        <f>67.5</f>
        <v>67.5</v>
      </c>
      <c r="T1034" s="16" t="n">
        <f>166</f>
        <v>166.0</v>
      </c>
      <c r="U1034" s="16"/>
      <c r="V1034" s="16" t="n">
        <f>10796000</f>
        <v>1.0796E7</v>
      </c>
      <c r="W1034" s="16"/>
      <c r="X1034" s="16" t="str">
        <f>"－"</f>
        <v>－</v>
      </c>
      <c r="Y1034" s="13"/>
      <c r="Z1034" s="17" t="n">
        <f>67</f>
        <v>67.0</v>
      </c>
      <c r="AA1034" s="18" t="n">
        <f>6</f>
        <v>6.0</v>
      </c>
      <c r="AB1034" s="11" t="s">
        <v>410</v>
      </c>
    </row>
    <row r="1035">
      <c r="A1035" s="11" t="s">
        <v>46</v>
      </c>
      <c r="B1035" s="11" t="s">
        <v>47</v>
      </c>
      <c r="C1035" s="11" t="s">
        <v>48</v>
      </c>
      <c r="D1035" s="11" t="s">
        <v>651</v>
      </c>
      <c r="E1035" s="11" t="s">
        <v>447</v>
      </c>
      <c r="F1035" s="12" t="n">
        <v>11000.0</v>
      </c>
      <c r="G1035" s="13"/>
      <c r="H1035" s="14" t="s">
        <v>57</v>
      </c>
      <c r="I1035" s="13"/>
      <c r="J1035" s="14" t="s">
        <v>57</v>
      </c>
      <c r="K1035" s="13"/>
      <c r="L1035" s="14"/>
      <c r="M1035" s="13"/>
      <c r="N1035" s="14" t="s">
        <v>57</v>
      </c>
      <c r="O1035" s="13"/>
      <c r="P1035" s="14"/>
      <c r="Q1035" s="13"/>
      <c r="R1035" s="14" t="s">
        <v>57</v>
      </c>
      <c r="S1035" s="15" t="str">
        <f>"－"</f>
        <v>－</v>
      </c>
      <c r="T1035" s="16" t="str">
        <f>"－"</f>
        <v>－</v>
      </c>
      <c r="U1035" s="16"/>
      <c r="V1035" s="16" t="str">
        <f>"－"</f>
        <v>－</v>
      </c>
      <c r="W1035" s="16"/>
      <c r="X1035" s="16" t="str">
        <f>"－"</f>
        <v>－</v>
      </c>
      <c r="Y1035" s="13"/>
      <c r="Z1035" s="17" t="n">
        <f>1100</f>
        <v>1100.0</v>
      </c>
      <c r="AA1035" s="18" t="str">
        <f>"－"</f>
        <v>－</v>
      </c>
      <c r="AB1035" s="11" t="s">
        <v>448</v>
      </c>
    </row>
    <row r="1036">
      <c r="A1036" s="11" t="s">
        <v>46</v>
      </c>
      <c r="B1036" s="11" t="s">
        <v>47</v>
      </c>
      <c r="C1036" s="11" t="s">
        <v>48</v>
      </c>
      <c r="D1036" s="11" t="s">
        <v>651</v>
      </c>
      <c r="E1036" s="11" t="s">
        <v>447</v>
      </c>
      <c r="F1036" s="12" t="n">
        <v>13000.0</v>
      </c>
      <c r="G1036" s="13"/>
      <c r="H1036" s="14" t="s">
        <v>57</v>
      </c>
      <c r="I1036" s="13"/>
      <c r="J1036" s="14" t="s">
        <v>57</v>
      </c>
      <c r="K1036" s="13"/>
      <c r="L1036" s="14"/>
      <c r="M1036" s="13"/>
      <c r="N1036" s="14" t="s">
        <v>57</v>
      </c>
      <c r="O1036" s="13"/>
      <c r="P1036" s="14"/>
      <c r="Q1036" s="13"/>
      <c r="R1036" s="14" t="s">
        <v>57</v>
      </c>
      <c r="S1036" s="15" t="str">
        <f>"－"</f>
        <v>－</v>
      </c>
      <c r="T1036" s="16" t="str">
        <f>"－"</f>
        <v>－</v>
      </c>
      <c r="U1036" s="16"/>
      <c r="V1036" s="16" t="str">
        <f>"－"</f>
        <v>－</v>
      </c>
      <c r="W1036" s="16"/>
      <c r="X1036" s="16" t="str">
        <f>"－"</f>
        <v>－</v>
      </c>
      <c r="Y1036" s="13"/>
      <c r="Z1036" s="17" t="n">
        <f>100</f>
        <v>100.0</v>
      </c>
      <c r="AA1036" s="18" t="str">
        <f>"－"</f>
        <v>－</v>
      </c>
      <c r="AB1036" s="11" t="s">
        <v>448</v>
      </c>
    </row>
    <row r="1037">
      <c r="A1037" s="11" t="s">
        <v>46</v>
      </c>
      <c r="B1037" s="11" t="s">
        <v>47</v>
      </c>
      <c r="C1037" s="11" t="s">
        <v>48</v>
      </c>
      <c r="D1037" s="11" t="s">
        <v>651</v>
      </c>
      <c r="E1037" s="11" t="s">
        <v>447</v>
      </c>
      <c r="F1037" s="12" t="n">
        <v>15000.0</v>
      </c>
      <c r="G1037" s="13"/>
      <c r="H1037" s="14" t="s">
        <v>57</v>
      </c>
      <c r="I1037" s="13"/>
      <c r="J1037" s="14" t="s">
        <v>57</v>
      </c>
      <c r="K1037" s="13" t="s">
        <v>208</v>
      </c>
      <c r="L1037" s="14" t="s">
        <v>791</v>
      </c>
      <c r="M1037" s="13"/>
      <c r="N1037" s="14" t="s">
        <v>57</v>
      </c>
      <c r="O1037" s="13" t="s">
        <v>208</v>
      </c>
      <c r="P1037" s="14" t="s">
        <v>791</v>
      </c>
      <c r="Q1037" s="13"/>
      <c r="R1037" s="14" t="s">
        <v>57</v>
      </c>
      <c r="S1037" s="15" t="str">
        <f>"－"</f>
        <v>－</v>
      </c>
      <c r="T1037" s="16" t="n">
        <f>700</f>
        <v>700.0</v>
      </c>
      <c r="U1037" s="16" t="n">
        <v>700.0</v>
      </c>
      <c r="V1037" s="16" t="n">
        <f>10344600000</f>
        <v>1.03446E10</v>
      </c>
      <c r="W1037" s="16" t="n">
        <v>1.03446E10</v>
      </c>
      <c r="X1037" s="16" t="str">
        <f>"－"</f>
        <v>－</v>
      </c>
      <c r="Y1037" s="13"/>
      <c r="Z1037" s="17" t="n">
        <f>700</f>
        <v>700.0</v>
      </c>
      <c r="AA1037" s="18" t="str">
        <f>"－"</f>
        <v>－</v>
      </c>
      <c r="AB1037" s="11" t="s">
        <v>448</v>
      </c>
    </row>
    <row r="1038">
      <c r="A1038" s="11" t="s">
        <v>46</v>
      </c>
      <c r="B1038" s="11" t="s">
        <v>47</v>
      </c>
      <c r="C1038" s="11" t="s">
        <v>48</v>
      </c>
      <c r="D1038" s="11" t="s">
        <v>651</v>
      </c>
      <c r="E1038" s="11" t="s">
        <v>447</v>
      </c>
      <c r="F1038" s="12" t="n">
        <v>15500.0</v>
      </c>
      <c r="G1038" s="13"/>
      <c r="H1038" s="14" t="s">
        <v>57</v>
      </c>
      <c r="I1038" s="13"/>
      <c r="J1038" s="14" t="s">
        <v>57</v>
      </c>
      <c r="K1038" s="13"/>
      <c r="L1038" s="14"/>
      <c r="M1038" s="13"/>
      <c r="N1038" s="14" t="s">
        <v>57</v>
      </c>
      <c r="O1038" s="13"/>
      <c r="P1038" s="14"/>
      <c r="Q1038" s="13"/>
      <c r="R1038" s="14" t="s">
        <v>57</v>
      </c>
      <c r="S1038" s="15" t="str">
        <f>"－"</f>
        <v>－</v>
      </c>
      <c r="T1038" s="16" t="str">
        <f>"－"</f>
        <v>－</v>
      </c>
      <c r="U1038" s="16"/>
      <c r="V1038" s="16" t="str">
        <f>"－"</f>
        <v>－</v>
      </c>
      <c r="W1038" s="16"/>
      <c r="X1038" s="16" t="str">
        <f>"－"</f>
        <v>－</v>
      </c>
      <c r="Y1038" s="13"/>
      <c r="Z1038" s="17" t="n">
        <f>150</f>
        <v>150.0</v>
      </c>
      <c r="AA1038" s="18" t="str">
        <f>"－"</f>
        <v>－</v>
      </c>
      <c r="AB1038" s="11" t="s">
        <v>448</v>
      </c>
    </row>
    <row r="1039">
      <c r="A1039" s="11" t="s">
        <v>46</v>
      </c>
      <c r="B1039" s="11" t="s">
        <v>47</v>
      </c>
      <c r="C1039" s="11" t="s">
        <v>48</v>
      </c>
      <c r="D1039" s="11" t="s">
        <v>651</v>
      </c>
      <c r="E1039" s="11" t="s">
        <v>447</v>
      </c>
      <c r="F1039" s="12" t="n">
        <v>15750.0</v>
      </c>
      <c r="G1039" s="13"/>
      <c r="H1039" s="14" t="s">
        <v>57</v>
      </c>
      <c r="I1039" s="13"/>
      <c r="J1039" s="14" t="s">
        <v>57</v>
      </c>
      <c r="K1039" s="13"/>
      <c r="L1039" s="14"/>
      <c r="M1039" s="13"/>
      <c r="N1039" s="14" t="s">
        <v>57</v>
      </c>
      <c r="O1039" s="13"/>
      <c r="P1039" s="14"/>
      <c r="Q1039" s="13"/>
      <c r="R1039" s="14" t="s">
        <v>57</v>
      </c>
      <c r="S1039" s="15" t="str">
        <f>"－"</f>
        <v>－</v>
      </c>
      <c r="T1039" s="16" t="str">
        <f>"－"</f>
        <v>－</v>
      </c>
      <c r="U1039" s="16"/>
      <c r="V1039" s="16" t="str">
        <f>"－"</f>
        <v>－</v>
      </c>
      <c r="W1039" s="16"/>
      <c r="X1039" s="16" t="str">
        <f>"－"</f>
        <v>－</v>
      </c>
      <c r="Y1039" s="13"/>
      <c r="Z1039" s="17" t="n">
        <f>58</f>
        <v>58.0</v>
      </c>
      <c r="AA1039" s="18" t="str">
        <f>"－"</f>
        <v>－</v>
      </c>
      <c r="AB1039" s="11" t="s">
        <v>448</v>
      </c>
    </row>
    <row r="1040">
      <c r="A1040" s="11" t="s">
        <v>46</v>
      </c>
      <c r="B1040" s="11" t="s">
        <v>47</v>
      </c>
      <c r="C1040" s="11" t="s">
        <v>48</v>
      </c>
      <c r="D1040" s="11" t="s">
        <v>651</v>
      </c>
      <c r="E1040" s="11" t="s">
        <v>447</v>
      </c>
      <c r="F1040" s="12" t="n">
        <v>16500.0</v>
      </c>
      <c r="G1040" s="13"/>
      <c r="H1040" s="14" t="s">
        <v>57</v>
      </c>
      <c r="I1040" s="13"/>
      <c r="J1040" s="14" t="s">
        <v>57</v>
      </c>
      <c r="K1040" s="13"/>
      <c r="L1040" s="14"/>
      <c r="M1040" s="13"/>
      <c r="N1040" s="14" t="s">
        <v>57</v>
      </c>
      <c r="O1040" s="13"/>
      <c r="P1040" s="14"/>
      <c r="Q1040" s="13"/>
      <c r="R1040" s="14" t="s">
        <v>57</v>
      </c>
      <c r="S1040" s="15" t="str">
        <f>"－"</f>
        <v>－</v>
      </c>
      <c r="T1040" s="16" t="str">
        <f>"－"</f>
        <v>－</v>
      </c>
      <c r="U1040" s="16"/>
      <c r="V1040" s="16" t="str">
        <f>"－"</f>
        <v>－</v>
      </c>
      <c r="W1040" s="16"/>
      <c r="X1040" s="16" t="str">
        <f>"－"</f>
        <v>－</v>
      </c>
      <c r="Y1040" s="13"/>
      <c r="Z1040" s="17" t="n">
        <f>23</f>
        <v>23.0</v>
      </c>
      <c r="AA1040" s="18" t="str">
        <f>"－"</f>
        <v>－</v>
      </c>
      <c r="AB1040" s="11" t="s">
        <v>448</v>
      </c>
    </row>
    <row r="1041">
      <c r="A1041" s="11" t="s">
        <v>46</v>
      </c>
      <c r="B1041" s="11" t="s">
        <v>47</v>
      </c>
      <c r="C1041" s="11" t="s">
        <v>48</v>
      </c>
      <c r="D1041" s="11" t="s">
        <v>651</v>
      </c>
      <c r="E1041" s="11" t="s">
        <v>447</v>
      </c>
      <c r="F1041" s="12" t="n">
        <v>17000.0</v>
      </c>
      <c r="G1041" s="13"/>
      <c r="H1041" s="14" t="s">
        <v>57</v>
      </c>
      <c r="I1041" s="13"/>
      <c r="J1041" s="14" t="s">
        <v>57</v>
      </c>
      <c r="K1041" s="13"/>
      <c r="L1041" s="14"/>
      <c r="M1041" s="13"/>
      <c r="N1041" s="14" t="s">
        <v>57</v>
      </c>
      <c r="O1041" s="13"/>
      <c r="P1041" s="14"/>
      <c r="Q1041" s="13"/>
      <c r="R1041" s="14" t="s">
        <v>57</v>
      </c>
      <c r="S1041" s="15" t="str">
        <f>"－"</f>
        <v>－</v>
      </c>
      <c r="T1041" s="16" t="str">
        <f>"－"</f>
        <v>－</v>
      </c>
      <c r="U1041" s="16"/>
      <c r="V1041" s="16" t="str">
        <f>"－"</f>
        <v>－</v>
      </c>
      <c r="W1041" s="16"/>
      <c r="X1041" s="16" t="str">
        <f>"－"</f>
        <v>－</v>
      </c>
      <c r="Y1041" s="13"/>
      <c r="Z1041" s="17" t="n">
        <f>150</f>
        <v>150.0</v>
      </c>
      <c r="AA1041" s="18" t="str">
        <f>"－"</f>
        <v>－</v>
      </c>
      <c r="AB1041" s="11" t="s">
        <v>448</v>
      </c>
    </row>
    <row r="1042">
      <c r="A1042" s="11" t="s">
        <v>46</v>
      </c>
      <c r="B1042" s="11" t="s">
        <v>47</v>
      </c>
      <c r="C1042" s="11" t="s">
        <v>48</v>
      </c>
      <c r="D1042" s="11" t="s">
        <v>651</v>
      </c>
      <c r="E1042" s="11" t="s">
        <v>447</v>
      </c>
      <c r="F1042" s="12" t="n">
        <v>17500.0</v>
      </c>
      <c r="G1042" s="13"/>
      <c r="H1042" s="14" t="s">
        <v>57</v>
      </c>
      <c r="I1042" s="13"/>
      <c r="J1042" s="14" t="s">
        <v>57</v>
      </c>
      <c r="K1042" s="13"/>
      <c r="L1042" s="14"/>
      <c r="M1042" s="13"/>
      <c r="N1042" s="14" t="s">
        <v>57</v>
      </c>
      <c r="O1042" s="13"/>
      <c r="P1042" s="14"/>
      <c r="Q1042" s="13"/>
      <c r="R1042" s="14" t="s">
        <v>57</v>
      </c>
      <c r="S1042" s="15" t="str">
        <f>"－"</f>
        <v>－</v>
      </c>
      <c r="T1042" s="16" t="str">
        <f>"－"</f>
        <v>－</v>
      </c>
      <c r="U1042" s="16"/>
      <c r="V1042" s="16" t="str">
        <f>"－"</f>
        <v>－</v>
      </c>
      <c r="W1042" s="16"/>
      <c r="X1042" s="16" t="str">
        <f>"－"</f>
        <v>－</v>
      </c>
      <c r="Y1042" s="13"/>
      <c r="Z1042" s="17" t="n">
        <f>250</f>
        <v>250.0</v>
      </c>
      <c r="AA1042" s="18" t="str">
        <f>"－"</f>
        <v>－</v>
      </c>
      <c r="AB1042" s="11" t="s">
        <v>448</v>
      </c>
    </row>
    <row r="1043">
      <c r="A1043" s="11" t="s">
        <v>46</v>
      </c>
      <c r="B1043" s="11" t="s">
        <v>47</v>
      </c>
      <c r="C1043" s="11" t="s">
        <v>48</v>
      </c>
      <c r="D1043" s="11" t="s">
        <v>651</v>
      </c>
      <c r="E1043" s="11" t="s">
        <v>447</v>
      </c>
      <c r="F1043" s="12" t="n">
        <v>18000.0</v>
      </c>
      <c r="G1043" s="13"/>
      <c r="H1043" s="14" t="s">
        <v>57</v>
      </c>
      <c r="I1043" s="13"/>
      <c r="J1043" s="14" t="s">
        <v>57</v>
      </c>
      <c r="K1043" s="13"/>
      <c r="L1043" s="14"/>
      <c r="M1043" s="13"/>
      <c r="N1043" s="14" t="s">
        <v>57</v>
      </c>
      <c r="O1043" s="13"/>
      <c r="P1043" s="14"/>
      <c r="Q1043" s="13"/>
      <c r="R1043" s="14" t="s">
        <v>57</v>
      </c>
      <c r="S1043" s="15" t="str">
        <f>"－"</f>
        <v>－</v>
      </c>
      <c r="T1043" s="16" t="str">
        <f>"－"</f>
        <v>－</v>
      </c>
      <c r="U1043" s="16"/>
      <c r="V1043" s="16" t="str">
        <f>"－"</f>
        <v>－</v>
      </c>
      <c r="W1043" s="16"/>
      <c r="X1043" s="16" t="str">
        <f>"－"</f>
        <v>－</v>
      </c>
      <c r="Y1043" s="13"/>
      <c r="Z1043" s="17" t="n">
        <f>50</f>
        <v>50.0</v>
      </c>
      <c r="AA1043" s="18" t="str">
        <f>"－"</f>
        <v>－</v>
      </c>
      <c r="AB1043" s="11" t="s">
        <v>448</v>
      </c>
    </row>
    <row r="1044">
      <c r="A1044" s="11" t="s">
        <v>46</v>
      </c>
      <c r="B1044" s="11" t="s">
        <v>47</v>
      </c>
      <c r="C1044" s="11" t="s">
        <v>48</v>
      </c>
      <c r="D1044" s="11" t="s">
        <v>651</v>
      </c>
      <c r="E1044" s="11" t="s">
        <v>447</v>
      </c>
      <c r="F1044" s="12" t="n">
        <v>18500.0</v>
      </c>
      <c r="G1044" s="13"/>
      <c r="H1044" s="14" t="s">
        <v>57</v>
      </c>
      <c r="I1044" s="13"/>
      <c r="J1044" s="14" t="s">
        <v>57</v>
      </c>
      <c r="K1044" s="13"/>
      <c r="L1044" s="14"/>
      <c r="M1044" s="13"/>
      <c r="N1044" s="14" t="s">
        <v>57</v>
      </c>
      <c r="O1044" s="13"/>
      <c r="P1044" s="14"/>
      <c r="Q1044" s="13"/>
      <c r="R1044" s="14" t="s">
        <v>57</v>
      </c>
      <c r="S1044" s="15" t="str">
        <f>"－"</f>
        <v>－</v>
      </c>
      <c r="T1044" s="16" t="str">
        <f>"－"</f>
        <v>－</v>
      </c>
      <c r="U1044" s="16"/>
      <c r="V1044" s="16" t="str">
        <f>"－"</f>
        <v>－</v>
      </c>
      <c r="W1044" s="16"/>
      <c r="X1044" s="16" t="str">
        <f>"－"</f>
        <v>－</v>
      </c>
      <c r="Y1044" s="13"/>
      <c r="Z1044" s="17" t="n">
        <f>800</f>
        <v>800.0</v>
      </c>
      <c r="AA1044" s="18" t="str">
        <f>"－"</f>
        <v>－</v>
      </c>
      <c r="AB1044" s="11" t="s">
        <v>448</v>
      </c>
    </row>
    <row r="1045">
      <c r="A1045" s="11" t="s">
        <v>46</v>
      </c>
      <c r="B1045" s="11" t="s">
        <v>47</v>
      </c>
      <c r="C1045" s="11" t="s">
        <v>48</v>
      </c>
      <c r="D1045" s="11" t="s">
        <v>651</v>
      </c>
      <c r="E1045" s="11" t="s">
        <v>447</v>
      </c>
      <c r="F1045" s="12" t="n">
        <v>19000.0</v>
      </c>
      <c r="G1045" s="13"/>
      <c r="H1045" s="14" t="s">
        <v>57</v>
      </c>
      <c r="I1045" s="13"/>
      <c r="J1045" s="14" t="s">
        <v>57</v>
      </c>
      <c r="K1045" s="13"/>
      <c r="L1045" s="14"/>
      <c r="M1045" s="13"/>
      <c r="N1045" s="14" t="s">
        <v>57</v>
      </c>
      <c r="O1045" s="13"/>
      <c r="P1045" s="14"/>
      <c r="Q1045" s="13"/>
      <c r="R1045" s="14" t="s">
        <v>57</v>
      </c>
      <c r="S1045" s="15" t="str">
        <f>"－"</f>
        <v>－</v>
      </c>
      <c r="T1045" s="16" t="str">
        <f>"－"</f>
        <v>－</v>
      </c>
      <c r="U1045" s="16"/>
      <c r="V1045" s="16" t="str">
        <f>"－"</f>
        <v>－</v>
      </c>
      <c r="W1045" s="16"/>
      <c r="X1045" s="16" t="str">
        <f>"－"</f>
        <v>－</v>
      </c>
      <c r="Y1045" s="13"/>
      <c r="Z1045" s="17" t="n">
        <f>300</f>
        <v>300.0</v>
      </c>
      <c r="AA1045" s="18" t="str">
        <f>"－"</f>
        <v>－</v>
      </c>
      <c r="AB1045" s="11" t="s">
        <v>448</v>
      </c>
    </row>
    <row r="1046">
      <c r="A1046" s="11" t="s">
        <v>46</v>
      </c>
      <c r="B1046" s="11" t="s">
        <v>47</v>
      </c>
      <c r="C1046" s="11" t="s">
        <v>48</v>
      </c>
      <c r="D1046" s="11" t="s">
        <v>651</v>
      </c>
      <c r="E1046" s="11" t="s">
        <v>447</v>
      </c>
      <c r="F1046" s="12" t="n">
        <v>19250.0</v>
      </c>
      <c r="G1046" s="13"/>
      <c r="H1046" s="14" t="s">
        <v>57</v>
      </c>
      <c r="I1046" s="13"/>
      <c r="J1046" s="14" t="s">
        <v>57</v>
      </c>
      <c r="K1046" s="13"/>
      <c r="L1046" s="14"/>
      <c r="M1046" s="13"/>
      <c r="N1046" s="14" t="s">
        <v>57</v>
      </c>
      <c r="O1046" s="13"/>
      <c r="P1046" s="14"/>
      <c r="Q1046" s="13"/>
      <c r="R1046" s="14" t="s">
        <v>57</v>
      </c>
      <c r="S1046" s="15" t="str">
        <f>"－"</f>
        <v>－</v>
      </c>
      <c r="T1046" s="16" t="str">
        <f>"－"</f>
        <v>－</v>
      </c>
      <c r="U1046" s="16"/>
      <c r="V1046" s="16" t="str">
        <f>"－"</f>
        <v>－</v>
      </c>
      <c r="W1046" s="16"/>
      <c r="X1046" s="16" t="str">
        <f>"－"</f>
        <v>－</v>
      </c>
      <c r="Y1046" s="13"/>
      <c r="Z1046" s="17" t="n">
        <f>120</f>
        <v>120.0</v>
      </c>
      <c r="AA1046" s="18" t="str">
        <f>"－"</f>
        <v>－</v>
      </c>
      <c r="AB1046" s="11" t="s">
        <v>448</v>
      </c>
    </row>
    <row r="1047">
      <c r="A1047" s="11" t="s">
        <v>46</v>
      </c>
      <c r="B1047" s="11" t="s">
        <v>47</v>
      </c>
      <c r="C1047" s="11" t="s">
        <v>48</v>
      </c>
      <c r="D1047" s="11" t="s">
        <v>651</v>
      </c>
      <c r="E1047" s="11" t="s">
        <v>447</v>
      </c>
      <c r="F1047" s="12" t="n">
        <v>19500.0</v>
      </c>
      <c r="G1047" s="13"/>
      <c r="H1047" s="14" t="s">
        <v>57</v>
      </c>
      <c r="I1047" s="13"/>
      <c r="J1047" s="14" t="s">
        <v>57</v>
      </c>
      <c r="K1047" s="13"/>
      <c r="L1047" s="14"/>
      <c r="M1047" s="13"/>
      <c r="N1047" s="14" t="s">
        <v>57</v>
      </c>
      <c r="O1047" s="13"/>
      <c r="P1047" s="14"/>
      <c r="Q1047" s="13"/>
      <c r="R1047" s="14" t="s">
        <v>57</v>
      </c>
      <c r="S1047" s="15" t="str">
        <f>"－"</f>
        <v>－</v>
      </c>
      <c r="T1047" s="16" t="str">
        <f>"－"</f>
        <v>－</v>
      </c>
      <c r="U1047" s="16"/>
      <c r="V1047" s="16" t="str">
        <f>"－"</f>
        <v>－</v>
      </c>
      <c r="W1047" s="16"/>
      <c r="X1047" s="16" t="str">
        <f>"－"</f>
        <v>－</v>
      </c>
      <c r="Y1047" s="13"/>
      <c r="Z1047" s="17" t="n">
        <f>3835</f>
        <v>3835.0</v>
      </c>
      <c r="AA1047" s="18" t="str">
        <f>"－"</f>
        <v>－</v>
      </c>
      <c r="AB1047" s="11" t="s">
        <v>448</v>
      </c>
    </row>
    <row r="1048">
      <c r="A1048" s="11" t="s">
        <v>46</v>
      </c>
      <c r="B1048" s="11" t="s">
        <v>47</v>
      </c>
      <c r="C1048" s="11" t="s">
        <v>48</v>
      </c>
      <c r="D1048" s="11" t="s">
        <v>651</v>
      </c>
      <c r="E1048" s="11" t="s">
        <v>447</v>
      </c>
      <c r="F1048" s="12" t="n">
        <v>20000.0</v>
      </c>
      <c r="G1048" s="13"/>
      <c r="H1048" s="14" t="s">
        <v>57</v>
      </c>
      <c r="I1048" s="13"/>
      <c r="J1048" s="14" t="s">
        <v>57</v>
      </c>
      <c r="K1048" s="13"/>
      <c r="L1048" s="14"/>
      <c r="M1048" s="13"/>
      <c r="N1048" s="14" t="s">
        <v>57</v>
      </c>
      <c r="O1048" s="13"/>
      <c r="P1048" s="14"/>
      <c r="Q1048" s="13"/>
      <c r="R1048" s="14" t="s">
        <v>57</v>
      </c>
      <c r="S1048" s="15" t="str">
        <f>"－"</f>
        <v>－</v>
      </c>
      <c r="T1048" s="16" t="str">
        <f>"－"</f>
        <v>－</v>
      </c>
      <c r="U1048" s="16"/>
      <c r="V1048" s="16" t="str">
        <f>"－"</f>
        <v>－</v>
      </c>
      <c r="W1048" s="16"/>
      <c r="X1048" s="16" t="str">
        <f>"－"</f>
        <v>－</v>
      </c>
      <c r="Y1048" s="13"/>
      <c r="Z1048" s="17" t="n">
        <f>2675</f>
        <v>2675.0</v>
      </c>
      <c r="AA1048" s="18" t="str">
        <f>"－"</f>
        <v>－</v>
      </c>
      <c r="AB1048" s="11" t="s">
        <v>448</v>
      </c>
    </row>
    <row r="1049">
      <c r="A1049" s="11" t="s">
        <v>46</v>
      </c>
      <c r="B1049" s="11" t="s">
        <v>47</v>
      </c>
      <c r="C1049" s="11" t="s">
        <v>48</v>
      </c>
      <c r="D1049" s="11" t="s">
        <v>651</v>
      </c>
      <c r="E1049" s="11" t="s">
        <v>447</v>
      </c>
      <c r="F1049" s="12" t="n">
        <v>20250.0</v>
      </c>
      <c r="G1049" s="13"/>
      <c r="H1049" s="14" t="s">
        <v>57</v>
      </c>
      <c r="I1049" s="13"/>
      <c r="J1049" s="14" t="s">
        <v>57</v>
      </c>
      <c r="K1049" s="13"/>
      <c r="L1049" s="14"/>
      <c r="M1049" s="13"/>
      <c r="N1049" s="14" t="s">
        <v>57</v>
      </c>
      <c r="O1049" s="13"/>
      <c r="P1049" s="14"/>
      <c r="Q1049" s="13"/>
      <c r="R1049" s="14" t="s">
        <v>57</v>
      </c>
      <c r="S1049" s="15" t="str">
        <f>"－"</f>
        <v>－</v>
      </c>
      <c r="T1049" s="16" t="str">
        <f>"－"</f>
        <v>－</v>
      </c>
      <c r="U1049" s="16"/>
      <c r="V1049" s="16" t="str">
        <f>"－"</f>
        <v>－</v>
      </c>
      <c r="W1049" s="16"/>
      <c r="X1049" s="16" t="str">
        <f>"－"</f>
        <v>－</v>
      </c>
      <c r="Y1049" s="13"/>
      <c r="Z1049" s="17" t="n">
        <f>25</f>
        <v>25.0</v>
      </c>
      <c r="AA1049" s="18" t="str">
        <f>"－"</f>
        <v>－</v>
      </c>
      <c r="AB1049" s="11" t="s">
        <v>448</v>
      </c>
    </row>
    <row r="1050">
      <c r="A1050" s="11" t="s">
        <v>46</v>
      </c>
      <c r="B1050" s="11" t="s">
        <v>47</v>
      </c>
      <c r="C1050" s="11" t="s">
        <v>48</v>
      </c>
      <c r="D1050" s="11" t="s">
        <v>651</v>
      </c>
      <c r="E1050" s="11" t="s">
        <v>447</v>
      </c>
      <c r="F1050" s="12" t="n">
        <v>20500.0</v>
      </c>
      <c r="G1050" s="13"/>
      <c r="H1050" s="14" t="s">
        <v>57</v>
      </c>
      <c r="I1050" s="13"/>
      <c r="J1050" s="14" t="s">
        <v>57</v>
      </c>
      <c r="K1050" s="13"/>
      <c r="L1050" s="14"/>
      <c r="M1050" s="13"/>
      <c r="N1050" s="14" t="s">
        <v>57</v>
      </c>
      <c r="O1050" s="13"/>
      <c r="P1050" s="14"/>
      <c r="Q1050" s="13"/>
      <c r="R1050" s="14" t="s">
        <v>57</v>
      </c>
      <c r="S1050" s="15" t="str">
        <f>"－"</f>
        <v>－</v>
      </c>
      <c r="T1050" s="16" t="str">
        <f>"－"</f>
        <v>－</v>
      </c>
      <c r="U1050" s="16"/>
      <c r="V1050" s="16" t="str">
        <f>"－"</f>
        <v>－</v>
      </c>
      <c r="W1050" s="16"/>
      <c r="X1050" s="16" t="str">
        <f>"－"</f>
        <v>－</v>
      </c>
      <c r="Y1050" s="13"/>
      <c r="Z1050" s="17" t="n">
        <f>1390</f>
        <v>1390.0</v>
      </c>
      <c r="AA1050" s="18" t="str">
        <f>"－"</f>
        <v>－</v>
      </c>
      <c r="AB1050" s="11" t="s">
        <v>448</v>
      </c>
    </row>
    <row r="1051">
      <c r="A1051" s="11" t="s">
        <v>46</v>
      </c>
      <c r="B1051" s="11" t="s">
        <v>47</v>
      </c>
      <c r="C1051" s="11" t="s">
        <v>48</v>
      </c>
      <c r="D1051" s="11" t="s">
        <v>651</v>
      </c>
      <c r="E1051" s="11" t="s">
        <v>447</v>
      </c>
      <c r="F1051" s="12" t="n">
        <v>20750.0</v>
      </c>
      <c r="G1051" s="13"/>
      <c r="H1051" s="14" t="s">
        <v>57</v>
      </c>
      <c r="I1051" s="13"/>
      <c r="J1051" s="14" t="s">
        <v>57</v>
      </c>
      <c r="K1051" s="13"/>
      <c r="L1051" s="14"/>
      <c r="M1051" s="13"/>
      <c r="N1051" s="14" t="s">
        <v>57</v>
      </c>
      <c r="O1051" s="13"/>
      <c r="P1051" s="14"/>
      <c r="Q1051" s="13"/>
      <c r="R1051" s="14" t="s">
        <v>57</v>
      </c>
      <c r="S1051" s="15" t="str">
        <f>"－"</f>
        <v>－</v>
      </c>
      <c r="T1051" s="16" t="str">
        <f>"－"</f>
        <v>－</v>
      </c>
      <c r="U1051" s="16"/>
      <c r="V1051" s="16" t="str">
        <f>"－"</f>
        <v>－</v>
      </c>
      <c r="W1051" s="16"/>
      <c r="X1051" s="16" t="str">
        <f>"－"</f>
        <v>－</v>
      </c>
      <c r="Y1051" s="13"/>
      <c r="Z1051" s="17" t="n">
        <f>225</f>
        <v>225.0</v>
      </c>
      <c r="AA1051" s="18" t="str">
        <f>"－"</f>
        <v>－</v>
      </c>
      <c r="AB1051" s="11" t="s">
        <v>448</v>
      </c>
    </row>
    <row r="1052">
      <c r="A1052" s="11" t="s">
        <v>46</v>
      </c>
      <c r="B1052" s="11" t="s">
        <v>47</v>
      </c>
      <c r="C1052" s="11" t="s">
        <v>48</v>
      </c>
      <c r="D1052" s="11" t="s">
        <v>651</v>
      </c>
      <c r="E1052" s="11" t="s">
        <v>447</v>
      </c>
      <c r="F1052" s="12" t="n">
        <v>21000.0</v>
      </c>
      <c r="G1052" s="13"/>
      <c r="H1052" s="14" t="s">
        <v>57</v>
      </c>
      <c r="I1052" s="13"/>
      <c r="J1052" s="14" t="s">
        <v>57</v>
      </c>
      <c r="K1052" s="13" t="s">
        <v>205</v>
      </c>
      <c r="L1052" s="14" t="s">
        <v>792</v>
      </c>
      <c r="M1052" s="13"/>
      <c r="N1052" s="14" t="s">
        <v>57</v>
      </c>
      <c r="O1052" s="13" t="s">
        <v>205</v>
      </c>
      <c r="P1052" s="14" t="s">
        <v>792</v>
      </c>
      <c r="Q1052" s="13"/>
      <c r="R1052" s="14" t="s">
        <v>57</v>
      </c>
      <c r="S1052" s="15" t="str">
        <f>"－"</f>
        <v>－</v>
      </c>
      <c r="T1052" s="16" t="n">
        <f>1000</f>
        <v>1000.0</v>
      </c>
      <c r="U1052" s="16" t="n">
        <v>1000.0</v>
      </c>
      <c r="V1052" s="16" t="n">
        <f>8313550000</f>
        <v>8.31355E9</v>
      </c>
      <c r="W1052" s="16" t="n">
        <v>8.31355E9</v>
      </c>
      <c r="X1052" s="16" t="str">
        <f>"－"</f>
        <v>－</v>
      </c>
      <c r="Y1052" s="13"/>
      <c r="Z1052" s="17" t="n">
        <f>4647</f>
        <v>4647.0</v>
      </c>
      <c r="AA1052" s="18" t="str">
        <f>"－"</f>
        <v>－</v>
      </c>
      <c r="AB1052" s="11" t="s">
        <v>448</v>
      </c>
    </row>
    <row r="1053">
      <c r="A1053" s="11" t="s">
        <v>46</v>
      </c>
      <c r="B1053" s="11" t="s">
        <v>47</v>
      </c>
      <c r="C1053" s="11" t="s">
        <v>48</v>
      </c>
      <c r="D1053" s="11" t="s">
        <v>651</v>
      </c>
      <c r="E1053" s="11" t="s">
        <v>447</v>
      </c>
      <c r="F1053" s="12" t="n">
        <v>21250.0</v>
      </c>
      <c r="G1053" s="13"/>
      <c r="H1053" s="14" t="s">
        <v>57</v>
      </c>
      <c r="I1053" s="13"/>
      <c r="J1053" s="14" t="s">
        <v>57</v>
      </c>
      <c r="K1053" s="13"/>
      <c r="L1053" s="14"/>
      <c r="M1053" s="13"/>
      <c r="N1053" s="14" t="s">
        <v>57</v>
      </c>
      <c r="O1053" s="13"/>
      <c r="P1053" s="14"/>
      <c r="Q1053" s="13"/>
      <c r="R1053" s="14" t="s">
        <v>57</v>
      </c>
      <c r="S1053" s="15" t="str">
        <f>"－"</f>
        <v>－</v>
      </c>
      <c r="T1053" s="16" t="str">
        <f>"－"</f>
        <v>－</v>
      </c>
      <c r="U1053" s="16"/>
      <c r="V1053" s="16" t="str">
        <f>"－"</f>
        <v>－</v>
      </c>
      <c r="W1053" s="16"/>
      <c r="X1053" s="16" t="str">
        <f>"－"</f>
        <v>－</v>
      </c>
      <c r="Y1053" s="13"/>
      <c r="Z1053" s="17" t="n">
        <f>500</f>
        <v>500.0</v>
      </c>
      <c r="AA1053" s="18" t="str">
        <f>"－"</f>
        <v>－</v>
      </c>
      <c r="AB1053" s="11" t="s">
        <v>448</v>
      </c>
    </row>
    <row r="1054">
      <c r="A1054" s="11" t="s">
        <v>46</v>
      </c>
      <c r="B1054" s="11" t="s">
        <v>47</v>
      </c>
      <c r="C1054" s="11" t="s">
        <v>48</v>
      </c>
      <c r="D1054" s="11" t="s">
        <v>651</v>
      </c>
      <c r="E1054" s="11" t="s">
        <v>447</v>
      </c>
      <c r="F1054" s="12" t="n">
        <v>21500.0</v>
      </c>
      <c r="G1054" s="13"/>
      <c r="H1054" s="14" t="s">
        <v>57</v>
      </c>
      <c r="I1054" s="13"/>
      <c r="J1054" s="14" t="s">
        <v>57</v>
      </c>
      <c r="K1054" s="13"/>
      <c r="L1054" s="14"/>
      <c r="M1054" s="13"/>
      <c r="N1054" s="14" t="s">
        <v>57</v>
      </c>
      <c r="O1054" s="13"/>
      <c r="P1054" s="14"/>
      <c r="Q1054" s="13"/>
      <c r="R1054" s="14" t="s">
        <v>57</v>
      </c>
      <c r="S1054" s="15" t="str">
        <f>"－"</f>
        <v>－</v>
      </c>
      <c r="T1054" s="16" t="str">
        <f>"－"</f>
        <v>－</v>
      </c>
      <c r="U1054" s="16"/>
      <c r="V1054" s="16" t="str">
        <f>"－"</f>
        <v>－</v>
      </c>
      <c r="W1054" s="16"/>
      <c r="X1054" s="16" t="str">
        <f>"－"</f>
        <v>－</v>
      </c>
      <c r="Y1054" s="13"/>
      <c r="Z1054" s="17" t="n">
        <f>2375</f>
        <v>2375.0</v>
      </c>
      <c r="AA1054" s="18" t="str">
        <f>"－"</f>
        <v>－</v>
      </c>
      <c r="AB1054" s="11" t="s">
        <v>448</v>
      </c>
    </row>
    <row r="1055">
      <c r="A1055" s="11" t="s">
        <v>46</v>
      </c>
      <c r="B1055" s="11" t="s">
        <v>47</v>
      </c>
      <c r="C1055" s="11" t="s">
        <v>48</v>
      </c>
      <c r="D1055" s="11" t="s">
        <v>651</v>
      </c>
      <c r="E1055" s="11" t="s">
        <v>447</v>
      </c>
      <c r="F1055" s="12" t="n">
        <v>21750.0</v>
      </c>
      <c r="G1055" s="13"/>
      <c r="H1055" s="14" t="s">
        <v>57</v>
      </c>
      <c r="I1055" s="13"/>
      <c r="J1055" s="14" t="s">
        <v>57</v>
      </c>
      <c r="K1055" s="13"/>
      <c r="L1055" s="14"/>
      <c r="M1055" s="13"/>
      <c r="N1055" s="14" t="s">
        <v>57</v>
      </c>
      <c r="O1055" s="13"/>
      <c r="P1055" s="14"/>
      <c r="Q1055" s="13"/>
      <c r="R1055" s="14" t="s">
        <v>57</v>
      </c>
      <c r="S1055" s="15" t="str">
        <f>"－"</f>
        <v>－</v>
      </c>
      <c r="T1055" s="16" t="str">
        <f>"－"</f>
        <v>－</v>
      </c>
      <c r="U1055" s="16"/>
      <c r="V1055" s="16" t="str">
        <f>"－"</f>
        <v>－</v>
      </c>
      <c r="W1055" s="16"/>
      <c r="X1055" s="16" t="str">
        <f>"－"</f>
        <v>－</v>
      </c>
      <c r="Y1055" s="13"/>
      <c r="Z1055" s="17" t="n">
        <f>552</f>
        <v>552.0</v>
      </c>
      <c r="AA1055" s="18" t="str">
        <f>"－"</f>
        <v>－</v>
      </c>
      <c r="AB1055" s="11" t="s">
        <v>448</v>
      </c>
    </row>
    <row r="1056">
      <c r="A1056" s="11" t="s">
        <v>46</v>
      </c>
      <c r="B1056" s="11" t="s">
        <v>47</v>
      </c>
      <c r="C1056" s="11" t="s">
        <v>48</v>
      </c>
      <c r="D1056" s="11" t="s">
        <v>651</v>
      </c>
      <c r="E1056" s="11" t="s">
        <v>447</v>
      </c>
      <c r="F1056" s="12" t="n">
        <v>22000.0</v>
      </c>
      <c r="G1056" s="13"/>
      <c r="H1056" s="14" t="s">
        <v>57</v>
      </c>
      <c r="I1056" s="13"/>
      <c r="J1056" s="14" t="s">
        <v>57</v>
      </c>
      <c r="K1056" s="13"/>
      <c r="L1056" s="14"/>
      <c r="M1056" s="13"/>
      <c r="N1056" s="14" t="s">
        <v>57</v>
      </c>
      <c r="O1056" s="13"/>
      <c r="P1056" s="14"/>
      <c r="Q1056" s="13"/>
      <c r="R1056" s="14" t="s">
        <v>57</v>
      </c>
      <c r="S1056" s="15" t="str">
        <f>"－"</f>
        <v>－</v>
      </c>
      <c r="T1056" s="16" t="str">
        <f>"－"</f>
        <v>－</v>
      </c>
      <c r="U1056" s="16"/>
      <c r="V1056" s="16" t="str">
        <f>"－"</f>
        <v>－</v>
      </c>
      <c r="W1056" s="16"/>
      <c r="X1056" s="16" t="str">
        <f>"－"</f>
        <v>－</v>
      </c>
      <c r="Y1056" s="13"/>
      <c r="Z1056" s="17" t="n">
        <f>3210</f>
        <v>3210.0</v>
      </c>
      <c r="AA1056" s="18" t="str">
        <f>"－"</f>
        <v>－</v>
      </c>
      <c r="AB1056" s="11" t="s">
        <v>448</v>
      </c>
    </row>
    <row r="1057">
      <c r="A1057" s="11" t="s">
        <v>46</v>
      </c>
      <c r="B1057" s="11" t="s">
        <v>47</v>
      </c>
      <c r="C1057" s="11" t="s">
        <v>48</v>
      </c>
      <c r="D1057" s="11" t="s">
        <v>651</v>
      </c>
      <c r="E1057" s="11" t="s">
        <v>447</v>
      </c>
      <c r="F1057" s="12" t="n">
        <v>22250.0</v>
      </c>
      <c r="G1057" s="13"/>
      <c r="H1057" s="14" t="s">
        <v>57</v>
      </c>
      <c r="I1057" s="13"/>
      <c r="J1057" s="14" t="s">
        <v>57</v>
      </c>
      <c r="K1057" s="13"/>
      <c r="L1057" s="14"/>
      <c r="M1057" s="13"/>
      <c r="N1057" s="14" t="s">
        <v>57</v>
      </c>
      <c r="O1057" s="13"/>
      <c r="P1057" s="14"/>
      <c r="Q1057" s="13"/>
      <c r="R1057" s="14" t="s">
        <v>57</v>
      </c>
      <c r="S1057" s="15" t="str">
        <f>"－"</f>
        <v>－</v>
      </c>
      <c r="T1057" s="16" t="str">
        <f>"－"</f>
        <v>－</v>
      </c>
      <c r="U1057" s="16"/>
      <c r="V1057" s="16" t="str">
        <f>"－"</f>
        <v>－</v>
      </c>
      <c r="W1057" s="16"/>
      <c r="X1057" s="16" t="str">
        <f>"－"</f>
        <v>－</v>
      </c>
      <c r="Y1057" s="13"/>
      <c r="Z1057" s="17" t="n">
        <f>125</f>
        <v>125.0</v>
      </c>
      <c r="AA1057" s="18" t="str">
        <f>"－"</f>
        <v>－</v>
      </c>
      <c r="AB1057" s="11" t="s">
        <v>448</v>
      </c>
    </row>
    <row r="1058">
      <c r="A1058" s="11" t="s">
        <v>46</v>
      </c>
      <c r="B1058" s="11" t="s">
        <v>47</v>
      </c>
      <c r="C1058" s="11" t="s">
        <v>48</v>
      </c>
      <c r="D1058" s="11" t="s">
        <v>651</v>
      </c>
      <c r="E1058" s="11" t="s">
        <v>447</v>
      </c>
      <c r="F1058" s="12" t="n">
        <v>22500.0</v>
      </c>
      <c r="G1058" s="13"/>
      <c r="H1058" s="14" t="s">
        <v>57</v>
      </c>
      <c r="I1058" s="13"/>
      <c r="J1058" s="14" t="s">
        <v>57</v>
      </c>
      <c r="K1058" s="13"/>
      <c r="L1058" s="14"/>
      <c r="M1058" s="13"/>
      <c r="N1058" s="14" t="s">
        <v>57</v>
      </c>
      <c r="O1058" s="13"/>
      <c r="P1058" s="14"/>
      <c r="Q1058" s="13"/>
      <c r="R1058" s="14" t="s">
        <v>57</v>
      </c>
      <c r="S1058" s="15" t="str">
        <f>"－"</f>
        <v>－</v>
      </c>
      <c r="T1058" s="16" t="str">
        <f>"－"</f>
        <v>－</v>
      </c>
      <c r="U1058" s="16"/>
      <c r="V1058" s="16" t="str">
        <f>"－"</f>
        <v>－</v>
      </c>
      <c r="W1058" s="16"/>
      <c r="X1058" s="16" t="str">
        <f>"－"</f>
        <v>－</v>
      </c>
      <c r="Y1058" s="13"/>
      <c r="Z1058" s="17" t="n">
        <f>1487</f>
        <v>1487.0</v>
      </c>
      <c r="AA1058" s="18" t="str">
        <f>"－"</f>
        <v>－</v>
      </c>
      <c r="AB1058" s="11" t="s">
        <v>448</v>
      </c>
    </row>
    <row r="1059">
      <c r="A1059" s="11" t="s">
        <v>46</v>
      </c>
      <c r="B1059" s="11" t="s">
        <v>47</v>
      </c>
      <c r="C1059" s="11" t="s">
        <v>48</v>
      </c>
      <c r="D1059" s="11" t="s">
        <v>651</v>
      </c>
      <c r="E1059" s="11" t="s">
        <v>447</v>
      </c>
      <c r="F1059" s="12" t="n">
        <v>22750.0</v>
      </c>
      <c r="G1059" s="13"/>
      <c r="H1059" s="14" t="s">
        <v>57</v>
      </c>
      <c r="I1059" s="13"/>
      <c r="J1059" s="14" t="s">
        <v>57</v>
      </c>
      <c r="K1059" s="13"/>
      <c r="L1059" s="14"/>
      <c r="M1059" s="13"/>
      <c r="N1059" s="14" t="s">
        <v>57</v>
      </c>
      <c r="O1059" s="13"/>
      <c r="P1059" s="14"/>
      <c r="Q1059" s="13"/>
      <c r="R1059" s="14" t="s">
        <v>57</v>
      </c>
      <c r="S1059" s="15" t="str">
        <f>"－"</f>
        <v>－</v>
      </c>
      <c r="T1059" s="16" t="str">
        <f>"－"</f>
        <v>－</v>
      </c>
      <c r="U1059" s="16"/>
      <c r="V1059" s="16" t="str">
        <f>"－"</f>
        <v>－</v>
      </c>
      <c r="W1059" s="16"/>
      <c r="X1059" s="16" t="str">
        <f>"－"</f>
        <v>－</v>
      </c>
      <c r="Y1059" s="13"/>
      <c r="Z1059" s="17" t="n">
        <f>211</f>
        <v>211.0</v>
      </c>
      <c r="AA1059" s="18" t="str">
        <f>"－"</f>
        <v>－</v>
      </c>
      <c r="AB1059" s="11" t="s">
        <v>448</v>
      </c>
    </row>
    <row r="1060">
      <c r="A1060" s="11" t="s">
        <v>46</v>
      </c>
      <c r="B1060" s="11" t="s">
        <v>47</v>
      </c>
      <c r="C1060" s="11" t="s">
        <v>48</v>
      </c>
      <c r="D1060" s="11" t="s">
        <v>651</v>
      </c>
      <c r="E1060" s="11" t="s">
        <v>447</v>
      </c>
      <c r="F1060" s="12" t="n">
        <v>23000.0</v>
      </c>
      <c r="G1060" s="13"/>
      <c r="H1060" s="14" t="s">
        <v>57</v>
      </c>
      <c r="I1060" s="13"/>
      <c r="J1060" s="14" t="s">
        <v>57</v>
      </c>
      <c r="K1060" s="13"/>
      <c r="L1060" s="14"/>
      <c r="M1060" s="13"/>
      <c r="N1060" s="14" t="s">
        <v>57</v>
      </c>
      <c r="O1060" s="13"/>
      <c r="P1060" s="14"/>
      <c r="Q1060" s="13"/>
      <c r="R1060" s="14" t="s">
        <v>57</v>
      </c>
      <c r="S1060" s="15" t="str">
        <f>"－"</f>
        <v>－</v>
      </c>
      <c r="T1060" s="16" t="str">
        <f>"－"</f>
        <v>－</v>
      </c>
      <c r="U1060" s="16"/>
      <c r="V1060" s="16" t="str">
        <f>"－"</f>
        <v>－</v>
      </c>
      <c r="W1060" s="16"/>
      <c r="X1060" s="16" t="str">
        <f>"－"</f>
        <v>－</v>
      </c>
      <c r="Y1060" s="13"/>
      <c r="Z1060" s="17" t="n">
        <f>2921</f>
        <v>2921.0</v>
      </c>
      <c r="AA1060" s="18" t="str">
        <f>"－"</f>
        <v>－</v>
      </c>
      <c r="AB1060" s="11" t="s">
        <v>448</v>
      </c>
    </row>
    <row r="1061">
      <c r="A1061" s="11" t="s">
        <v>46</v>
      </c>
      <c r="B1061" s="11" t="s">
        <v>47</v>
      </c>
      <c r="C1061" s="11" t="s">
        <v>48</v>
      </c>
      <c r="D1061" s="11" t="s">
        <v>651</v>
      </c>
      <c r="E1061" s="11" t="s">
        <v>447</v>
      </c>
      <c r="F1061" s="12" t="n">
        <v>23250.0</v>
      </c>
      <c r="G1061" s="13"/>
      <c r="H1061" s="14" t="s">
        <v>57</v>
      </c>
      <c r="I1061" s="13"/>
      <c r="J1061" s="14" t="s">
        <v>57</v>
      </c>
      <c r="K1061" s="13"/>
      <c r="L1061" s="14"/>
      <c r="M1061" s="13"/>
      <c r="N1061" s="14" t="s">
        <v>57</v>
      </c>
      <c r="O1061" s="13"/>
      <c r="P1061" s="14"/>
      <c r="Q1061" s="13"/>
      <c r="R1061" s="14" t="s">
        <v>57</v>
      </c>
      <c r="S1061" s="15" t="str">
        <f>"－"</f>
        <v>－</v>
      </c>
      <c r="T1061" s="16" t="str">
        <f>"－"</f>
        <v>－</v>
      </c>
      <c r="U1061" s="16"/>
      <c r="V1061" s="16" t="str">
        <f>"－"</f>
        <v>－</v>
      </c>
      <c r="W1061" s="16"/>
      <c r="X1061" s="16" t="str">
        <f>"－"</f>
        <v>－</v>
      </c>
      <c r="Y1061" s="13"/>
      <c r="Z1061" s="17" t="n">
        <f>580</f>
        <v>580.0</v>
      </c>
      <c r="AA1061" s="18" t="str">
        <f>"－"</f>
        <v>－</v>
      </c>
      <c r="AB1061" s="11" t="s">
        <v>448</v>
      </c>
    </row>
    <row r="1062">
      <c r="A1062" s="11" t="s">
        <v>46</v>
      </c>
      <c r="B1062" s="11" t="s">
        <v>47</v>
      </c>
      <c r="C1062" s="11" t="s">
        <v>48</v>
      </c>
      <c r="D1062" s="11" t="s">
        <v>651</v>
      </c>
      <c r="E1062" s="11" t="s">
        <v>447</v>
      </c>
      <c r="F1062" s="12" t="n">
        <v>23500.0</v>
      </c>
      <c r="G1062" s="13"/>
      <c r="H1062" s="14" t="s">
        <v>57</v>
      </c>
      <c r="I1062" s="13"/>
      <c r="J1062" s="14" t="s">
        <v>57</v>
      </c>
      <c r="K1062" s="13"/>
      <c r="L1062" s="14"/>
      <c r="M1062" s="13"/>
      <c r="N1062" s="14" t="s">
        <v>57</v>
      </c>
      <c r="O1062" s="13"/>
      <c r="P1062" s="14"/>
      <c r="Q1062" s="13"/>
      <c r="R1062" s="14" t="s">
        <v>57</v>
      </c>
      <c r="S1062" s="15" t="str">
        <f>"－"</f>
        <v>－</v>
      </c>
      <c r="T1062" s="16" t="str">
        <f>"－"</f>
        <v>－</v>
      </c>
      <c r="U1062" s="16"/>
      <c r="V1062" s="16" t="str">
        <f>"－"</f>
        <v>－</v>
      </c>
      <c r="W1062" s="16"/>
      <c r="X1062" s="16" t="str">
        <f>"－"</f>
        <v>－</v>
      </c>
      <c r="Y1062" s="13"/>
      <c r="Z1062" s="17" t="n">
        <f>1573</f>
        <v>1573.0</v>
      </c>
      <c r="AA1062" s="18" t="str">
        <f>"－"</f>
        <v>－</v>
      </c>
      <c r="AB1062" s="11" t="s">
        <v>448</v>
      </c>
    </row>
    <row r="1063">
      <c r="A1063" s="11" t="s">
        <v>46</v>
      </c>
      <c r="B1063" s="11" t="s">
        <v>47</v>
      </c>
      <c r="C1063" s="11" t="s">
        <v>48</v>
      </c>
      <c r="D1063" s="11" t="s">
        <v>651</v>
      </c>
      <c r="E1063" s="11" t="s">
        <v>447</v>
      </c>
      <c r="F1063" s="12" t="n">
        <v>23750.0</v>
      </c>
      <c r="G1063" s="13"/>
      <c r="H1063" s="14" t="s">
        <v>57</v>
      </c>
      <c r="I1063" s="13"/>
      <c r="J1063" s="14" t="s">
        <v>57</v>
      </c>
      <c r="K1063" s="13"/>
      <c r="L1063" s="14"/>
      <c r="M1063" s="13"/>
      <c r="N1063" s="14" t="s">
        <v>57</v>
      </c>
      <c r="O1063" s="13"/>
      <c r="P1063" s="14"/>
      <c r="Q1063" s="13"/>
      <c r="R1063" s="14" t="s">
        <v>57</v>
      </c>
      <c r="S1063" s="15" t="str">
        <f>"－"</f>
        <v>－</v>
      </c>
      <c r="T1063" s="16" t="str">
        <f>"－"</f>
        <v>－</v>
      </c>
      <c r="U1063" s="16"/>
      <c r="V1063" s="16" t="str">
        <f>"－"</f>
        <v>－</v>
      </c>
      <c r="W1063" s="16"/>
      <c r="X1063" s="16" t="str">
        <f>"－"</f>
        <v>－</v>
      </c>
      <c r="Y1063" s="13"/>
      <c r="Z1063" s="17" t="n">
        <f>860</f>
        <v>860.0</v>
      </c>
      <c r="AA1063" s="18" t="str">
        <f>"－"</f>
        <v>－</v>
      </c>
      <c r="AB1063" s="11" t="s">
        <v>448</v>
      </c>
    </row>
    <row r="1064">
      <c r="A1064" s="11" t="s">
        <v>46</v>
      </c>
      <c r="B1064" s="11" t="s">
        <v>47</v>
      </c>
      <c r="C1064" s="11" t="s">
        <v>48</v>
      </c>
      <c r="D1064" s="11" t="s">
        <v>651</v>
      </c>
      <c r="E1064" s="11" t="s">
        <v>447</v>
      </c>
      <c r="F1064" s="12" t="n">
        <v>24000.0</v>
      </c>
      <c r="G1064" s="13"/>
      <c r="H1064" s="14" t="s">
        <v>57</v>
      </c>
      <c r="I1064" s="13"/>
      <c r="J1064" s="14" t="s">
        <v>57</v>
      </c>
      <c r="K1064" s="13" t="s">
        <v>58</v>
      </c>
      <c r="L1064" s="14" t="s">
        <v>793</v>
      </c>
      <c r="M1064" s="13"/>
      <c r="N1064" s="14" t="s">
        <v>57</v>
      </c>
      <c r="O1064" s="13" t="s">
        <v>50</v>
      </c>
      <c r="P1064" s="14" t="s">
        <v>794</v>
      </c>
      <c r="Q1064" s="13"/>
      <c r="R1064" s="14" t="s">
        <v>57</v>
      </c>
      <c r="S1064" s="15" t="str">
        <f>"－"</f>
        <v>－</v>
      </c>
      <c r="T1064" s="16" t="n">
        <f>800</f>
        <v>800.0</v>
      </c>
      <c r="U1064" s="16" t="n">
        <v>800.0</v>
      </c>
      <c r="V1064" s="16" t="n">
        <f>3426089400</f>
        <v>3.4260894E9</v>
      </c>
      <c r="W1064" s="16" t="n">
        <v>3.4260894E9</v>
      </c>
      <c r="X1064" s="16" t="str">
        <f>"－"</f>
        <v>－</v>
      </c>
      <c r="Y1064" s="13"/>
      <c r="Z1064" s="17" t="n">
        <f>4825</f>
        <v>4825.0</v>
      </c>
      <c r="AA1064" s="18" t="str">
        <f>"－"</f>
        <v>－</v>
      </c>
      <c r="AB1064" s="11" t="s">
        <v>448</v>
      </c>
    </row>
    <row r="1065">
      <c r="A1065" s="11" t="s">
        <v>46</v>
      </c>
      <c r="B1065" s="11" t="s">
        <v>47</v>
      </c>
      <c r="C1065" s="11" t="s">
        <v>48</v>
      </c>
      <c r="D1065" s="11" t="s">
        <v>651</v>
      </c>
      <c r="E1065" s="11" t="s">
        <v>447</v>
      </c>
      <c r="F1065" s="12" t="n">
        <v>24250.0</v>
      </c>
      <c r="G1065" s="13"/>
      <c r="H1065" s="14" t="s">
        <v>57</v>
      </c>
      <c r="I1065" s="13"/>
      <c r="J1065" s="14" t="s">
        <v>57</v>
      </c>
      <c r="K1065" s="13"/>
      <c r="L1065" s="14"/>
      <c r="M1065" s="13"/>
      <c r="N1065" s="14" t="s">
        <v>57</v>
      </c>
      <c r="O1065" s="13"/>
      <c r="P1065" s="14"/>
      <c r="Q1065" s="13"/>
      <c r="R1065" s="14" t="s">
        <v>57</v>
      </c>
      <c r="S1065" s="15" t="str">
        <f>"－"</f>
        <v>－</v>
      </c>
      <c r="T1065" s="16" t="str">
        <f>"－"</f>
        <v>－</v>
      </c>
      <c r="U1065" s="16"/>
      <c r="V1065" s="16" t="str">
        <f>"－"</f>
        <v>－</v>
      </c>
      <c r="W1065" s="16"/>
      <c r="X1065" s="16" t="str">
        <f>"－"</f>
        <v>－</v>
      </c>
      <c r="Y1065" s="13"/>
      <c r="Z1065" s="17" t="n">
        <f>11</f>
        <v>11.0</v>
      </c>
      <c r="AA1065" s="18" t="str">
        <f>"－"</f>
        <v>－</v>
      </c>
      <c r="AB1065" s="11" t="s">
        <v>448</v>
      </c>
    </row>
    <row r="1066">
      <c r="A1066" s="11" t="s">
        <v>46</v>
      </c>
      <c r="B1066" s="11" t="s">
        <v>47</v>
      </c>
      <c r="C1066" s="11" t="s">
        <v>48</v>
      </c>
      <c r="D1066" s="11" t="s">
        <v>651</v>
      </c>
      <c r="E1066" s="11" t="s">
        <v>447</v>
      </c>
      <c r="F1066" s="12" t="n">
        <v>24500.0</v>
      </c>
      <c r="G1066" s="13"/>
      <c r="H1066" s="14" t="s">
        <v>57</v>
      </c>
      <c r="I1066" s="13"/>
      <c r="J1066" s="14" t="s">
        <v>57</v>
      </c>
      <c r="K1066" s="13"/>
      <c r="L1066" s="14"/>
      <c r="M1066" s="13"/>
      <c r="N1066" s="14" t="s">
        <v>57</v>
      </c>
      <c r="O1066" s="13"/>
      <c r="P1066" s="14"/>
      <c r="Q1066" s="13"/>
      <c r="R1066" s="14" t="s">
        <v>57</v>
      </c>
      <c r="S1066" s="15" t="str">
        <f>"－"</f>
        <v>－</v>
      </c>
      <c r="T1066" s="16" t="str">
        <f>"－"</f>
        <v>－</v>
      </c>
      <c r="U1066" s="16"/>
      <c r="V1066" s="16" t="str">
        <f>"－"</f>
        <v>－</v>
      </c>
      <c r="W1066" s="16"/>
      <c r="X1066" s="16" t="str">
        <f>"－"</f>
        <v>－</v>
      </c>
      <c r="Y1066" s="13"/>
      <c r="Z1066" s="17" t="n">
        <f>809</f>
        <v>809.0</v>
      </c>
      <c r="AA1066" s="18" t="str">
        <f>"－"</f>
        <v>－</v>
      </c>
      <c r="AB1066" s="11" t="s">
        <v>448</v>
      </c>
    </row>
    <row r="1067">
      <c r="A1067" s="11" t="s">
        <v>46</v>
      </c>
      <c r="B1067" s="11" t="s">
        <v>47</v>
      </c>
      <c r="C1067" s="11" t="s">
        <v>48</v>
      </c>
      <c r="D1067" s="11" t="s">
        <v>651</v>
      </c>
      <c r="E1067" s="11" t="s">
        <v>447</v>
      </c>
      <c r="F1067" s="12" t="n">
        <v>24750.0</v>
      </c>
      <c r="G1067" s="13"/>
      <c r="H1067" s="14" t="s">
        <v>57</v>
      </c>
      <c r="I1067" s="13"/>
      <c r="J1067" s="14" t="s">
        <v>57</v>
      </c>
      <c r="K1067" s="13"/>
      <c r="L1067" s="14"/>
      <c r="M1067" s="13"/>
      <c r="N1067" s="14" t="s">
        <v>57</v>
      </c>
      <c r="O1067" s="13"/>
      <c r="P1067" s="14"/>
      <c r="Q1067" s="13"/>
      <c r="R1067" s="14" t="s">
        <v>57</v>
      </c>
      <c r="S1067" s="15" t="str">
        <f>"－"</f>
        <v>－</v>
      </c>
      <c r="T1067" s="16" t="str">
        <f>"－"</f>
        <v>－</v>
      </c>
      <c r="U1067" s="16"/>
      <c r="V1067" s="16" t="str">
        <f>"－"</f>
        <v>－</v>
      </c>
      <c r="W1067" s="16"/>
      <c r="X1067" s="16" t="str">
        <f>"－"</f>
        <v>－</v>
      </c>
      <c r="Y1067" s="13"/>
      <c r="Z1067" s="17" t="n">
        <f>40</f>
        <v>40.0</v>
      </c>
      <c r="AA1067" s="18" t="str">
        <f>"－"</f>
        <v>－</v>
      </c>
      <c r="AB1067" s="11" t="s">
        <v>448</v>
      </c>
    </row>
    <row r="1068">
      <c r="A1068" s="11" t="s">
        <v>46</v>
      </c>
      <c r="B1068" s="11" t="s">
        <v>47</v>
      </c>
      <c r="C1068" s="11" t="s">
        <v>48</v>
      </c>
      <c r="D1068" s="11" t="s">
        <v>651</v>
      </c>
      <c r="E1068" s="11" t="s">
        <v>447</v>
      </c>
      <c r="F1068" s="12" t="n">
        <v>25000.0</v>
      </c>
      <c r="G1068" s="13" t="s">
        <v>56</v>
      </c>
      <c r="H1068" s="14" t="s">
        <v>795</v>
      </c>
      <c r="I1068" s="13" t="s">
        <v>56</v>
      </c>
      <c r="J1068" s="14" t="s">
        <v>795</v>
      </c>
      <c r="K1068" s="13"/>
      <c r="L1068" s="14"/>
      <c r="M1068" s="13" t="s">
        <v>56</v>
      </c>
      <c r="N1068" s="14" t="s">
        <v>795</v>
      </c>
      <c r="O1068" s="13"/>
      <c r="P1068" s="14"/>
      <c r="Q1068" s="13" t="s">
        <v>56</v>
      </c>
      <c r="R1068" s="14" t="s">
        <v>795</v>
      </c>
      <c r="S1068" s="15" t="n">
        <f>4670</f>
        <v>4670.0</v>
      </c>
      <c r="T1068" s="16" t="n">
        <f>2</f>
        <v>2.0</v>
      </c>
      <c r="U1068" s="16"/>
      <c r="V1068" s="16" t="n">
        <f>9340000</f>
        <v>9340000.0</v>
      </c>
      <c r="W1068" s="16"/>
      <c r="X1068" s="16" t="str">
        <f>"－"</f>
        <v>－</v>
      </c>
      <c r="Y1068" s="13"/>
      <c r="Z1068" s="17" t="n">
        <f>2597</f>
        <v>2597.0</v>
      </c>
      <c r="AA1068" s="18" t="n">
        <f>1</f>
        <v>1.0</v>
      </c>
      <c r="AB1068" s="11" t="s">
        <v>448</v>
      </c>
    </row>
    <row r="1069">
      <c r="A1069" s="11" t="s">
        <v>46</v>
      </c>
      <c r="B1069" s="11" t="s">
        <v>47</v>
      </c>
      <c r="C1069" s="11" t="s">
        <v>48</v>
      </c>
      <c r="D1069" s="11" t="s">
        <v>651</v>
      </c>
      <c r="E1069" s="11" t="s">
        <v>447</v>
      </c>
      <c r="F1069" s="12" t="n">
        <v>25250.0</v>
      </c>
      <c r="G1069" s="13"/>
      <c r="H1069" s="14" t="s">
        <v>57</v>
      </c>
      <c r="I1069" s="13"/>
      <c r="J1069" s="14" t="s">
        <v>57</v>
      </c>
      <c r="K1069" s="13"/>
      <c r="L1069" s="14"/>
      <c r="M1069" s="13"/>
      <c r="N1069" s="14" t="s">
        <v>57</v>
      </c>
      <c r="O1069" s="13"/>
      <c r="P1069" s="14"/>
      <c r="Q1069" s="13"/>
      <c r="R1069" s="14" t="s">
        <v>57</v>
      </c>
      <c r="S1069" s="15" t="str">
        <f>"－"</f>
        <v>－</v>
      </c>
      <c r="T1069" s="16" t="str">
        <f>"－"</f>
        <v>－</v>
      </c>
      <c r="U1069" s="16"/>
      <c r="V1069" s="16" t="str">
        <f>"－"</f>
        <v>－</v>
      </c>
      <c r="W1069" s="16"/>
      <c r="X1069" s="16" t="str">
        <f>"－"</f>
        <v>－</v>
      </c>
      <c r="Y1069" s="13"/>
      <c r="Z1069" s="17" t="n">
        <f>5</f>
        <v>5.0</v>
      </c>
      <c r="AA1069" s="18" t="str">
        <f>"－"</f>
        <v>－</v>
      </c>
      <c r="AB1069" s="11" t="s">
        <v>448</v>
      </c>
    </row>
    <row r="1070">
      <c r="A1070" s="11" t="s">
        <v>46</v>
      </c>
      <c r="B1070" s="11" t="s">
        <v>47</v>
      </c>
      <c r="C1070" s="11" t="s">
        <v>48</v>
      </c>
      <c r="D1070" s="11" t="s">
        <v>651</v>
      </c>
      <c r="E1070" s="11" t="s">
        <v>447</v>
      </c>
      <c r="F1070" s="12" t="n">
        <v>25500.0</v>
      </c>
      <c r="G1070" s="13"/>
      <c r="H1070" s="14" t="s">
        <v>57</v>
      </c>
      <c r="I1070" s="13"/>
      <c r="J1070" s="14" t="s">
        <v>57</v>
      </c>
      <c r="K1070" s="13"/>
      <c r="L1070" s="14"/>
      <c r="M1070" s="13"/>
      <c r="N1070" s="14" t="s">
        <v>57</v>
      </c>
      <c r="O1070" s="13"/>
      <c r="P1070" s="14"/>
      <c r="Q1070" s="13"/>
      <c r="R1070" s="14" t="s">
        <v>57</v>
      </c>
      <c r="S1070" s="15" t="str">
        <f>"－"</f>
        <v>－</v>
      </c>
      <c r="T1070" s="16" t="str">
        <f>"－"</f>
        <v>－</v>
      </c>
      <c r="U1070" s="16"/>
      <c r="V1070" s="16" t="str">
        <f>"－"</f>
        <v>－</v>
      </c>
      <c r="W1070" s="16"/>
      <c r="X1070" s="16" t="str">
        <f>"－"</f>
        <v>－</v>
      </c>
      <c r="Y1070" s="13"/>
      <c r="Z1070" s="17" t="n">
        <f>1854</f>
        <v>1854.0</v>
      </c>
      <c r="AA1070" s="18" t="str">
        <f>"－"</f>
        <v>－</v>
      </c>
      <c r="AB1070" s="11" t="s">
        <v>448</v>
      </c>
    </row>
    <row r="1071">
      <c r="A1071" s="11" t="s">
        <v>46</v>
      </c>
      <c r="B1071" s="11" t="s">
        <v>47</v>
      </c>
      <c r="C1071" s="11" t="s">
        <v>48</v>
      </c>
      <c r="D1071" s="11" t="s">
        <v>651</v>
      </c>
      <c r="E1071" s="11" t="s">
        <v>447</v>
      </c>
      <c r="F1071" s="12" t="n">
        <v>25750.0</v>
      </c>
      <c r="G1071" s="13"/>
      <c r="H1071" s="14" t="s">
        <v>57</v>
      </c>
      <c r="I1071" s="13"/>
      <c r="J1071" s="14" t="s">
        <v>57</v>
      </c>
      <c r="K1071" s="13"/>
      <c r="L1071" s="14"/>
      <c r="M1071" s="13"/>
      <c r="N1071" s="14" t="s">
        <v>57</v>
      </c>
      <c r="O1071" s="13"/>
      <c r="P1071" s="14"/>
      <c r="Q1071" s="13"/>
      <c r="R1071" s="14" t="s">
        <v>57</v>
      </c>
      <c r="S1071" s="15" t="str">
        <f>"－"</f>
        <v>－</v>
      </c>
      <c r="T1071" s="16" t="str">
        <f>"－"</f>
        <v>－</v>
      </c>
      <c r="U1071" s="16"/>
      <c r="V1071" s="16" t="str">
        <f>"－"</f>
        <v>－</v>
      </c>
      <c r="W1071" s="16"/>
      <c r="X1071" s="16" t="str">
        <f>"－"</f>
        <v>－</v>
      </c>
      <c r="Y1071" s="13"/>
      <c r="Z1071" s="17" t="n">
        <f>1000</f>
        <v>1000.0</v>
      </c>
      <c r="AA1071" s="18" t="str">
        <f>"－"</f>
        <v>－</v>
      </c>
      <c r="AB1071" s="11" t="s">
        <v>448</v>
      </c>
    </row>
    <row r="1072">
      <c r="A1072" s="11" t="s">
        <v>46</v>
      </c>
      <c r="B1072" s="11" t="s">
        <v>47</v>
      </c>
      <c r="C1072" s="11" t="s">
        <v>48</v>
      </c>
      <c r="D1072" s="11" t="s">
        <v>651</v>
      </c>
      <c r="E1072" s="11" t="s">
        <v>447</v>
      </c>
      <c r="F1072" s="12" t="n">
        <v>26000.0</v>
      </c>
      <c r="G1072" s="13"/>
      <c r="H1072" s="14" t="s">
        <v>57</v>
      </c>
      <c r="I1072" s="13"/>
      <c r="J1072" s="14" t="s">
        <v>57</v>
      </c>
      <c r="K1072" s="13" t="s">
        <v>58</v>
      </c>
      <c r="L1072" s="14" t="s">
        <v>796</v>
      </c>
      <c r="M1072" s="13"/>
      <c r="N1072" s="14" t="s">
        <v>57</v>
      </c>
      <c r="O1072" s="13" t="s">
        <v>58</v>
      </c>
      <c r="P1072" s="14" t="s">
        <v>796</v>
      </c>
      <c r="Q1072" s="13"/>
      <c r="R1072" s="14" t="s">
        <v>57</v>
      </c>
      <c r="S1072" s="15" t="str">
        <f>"－"</f>
        <v>－</v>
      </c>
      <c r="T1072" s="16" t="n">
        <f>200</f>
        <v>200.0</v>
      </c>
      <c r="U1072" s="16" t="n">
        <v>200.0</v>
      </c>
      <c r="V1072" s="16" t="n">
        <f>603651800</f>
        <v>6.036518E8</v>
      </c>
      <c r="W1072" s="16" t="n">
        <v>6.036518E8</v>
      </c>
      <c r="X1072" s="16" t="str">
        <f>"－"</f>
        <v>－</v>
      </c>
      <c r="Y1072" s="13"/>
      <c r="Z1072" s="17" t="n">
        <f>7114</f>
        <v>7114.0</v>
      </c>
      <c r="AA1072" s="18" t="str">
        <f>"－"</f>
        <v>－</v>
      </c>
      <c r="AB1072" s="11" t="s">
        <v>448</v>
      </c>
    </row>
    <row r="1073">
      <c r="A1073" s="11" t="s">
        <v>46</v>
      </c>
      <c r="B1073" s="11" t="s">
        <v>47</v>
      </c>
      <c r="C1073" s="11" t="s">
        <v>48</v>
      </c>
      <c r="D1073" s="11" t="s">
        <v>651</v>
      </c>
      <c r="E1073" s="11" t="s">
        <v>447</v>
      </c>
      <c r="F1073" s="12" t="n">
        <v>26250.0</v>
      </c>
      <c r="G1073" s="13"/>
      <c r="H1073" s="14" t="s">
        <v>57</v>
      </c>
      <c r="I1073" s="13"/>
      <c r="J1073" s="14" t="s">
        <v>57</v>
      </c>
      <c r="K1073" s="13"/>
      <c r="L1073" s="14"/>
      <c r="M1073" s="13"/>
      <c r="N1073" s="14" t="s">
        <v>57</v>
      </c>
      <c r="O1073" s="13"/>
      <c r="P1073" s="14"/>
      <c r="Q1073" s="13"/>
      <c r="R1073" s="14" t="s">
        <v>57</v>
      </c>
      <c r="S1073" s="15" t="str">
        <f>"－"</f>
        <v>－</v>
      </c>
      <c r="T1073" s="16" t="str">
        <f>"－"</f>
        <v>－</v>
      </c>
      <c r="U1073" s="16"/>
      <c r="V1073" s="16" t="str">
        <f>"－"</f>
        <v>－</v>
      </c>
      <c r="W1073" s="16"/>
      <c r="X1073" s="16" t="str">
        <f>"－"</f>
        <v>－</v>
      </c>
      <c r="Y1073" s="13"/>
      <c r="Z1073" s="17" t="n">
        <f>100</f>
        <v>100.0</v>
      </c>
      <c r="AA1073" s="18" t="str">
        <f>"－"</f>
        <v>－</v>
      </c>
      <c r="AB1073" s="11" t="s">
        <v>448</v>
      </c>
    </row>
    <row r="1074">
      <c r="A1074" s="11" t="s">
        <v>46</v>
      </c>
      <c r="B1074" s="11" t="s">
        <v>47</v>
      </c>
      <c r="C1074" s="11" t="s">
        <v>48</v>
      </c>
      <c r="D1074" s="11" t="s">
        <v>651</v>
      </c>
      <c r="E1074" s="11" t="s">
        <v>447</v>
      </c>
      <c r="F1074" s="12" t="n">
        <v>26500.0</v>
      </c>
      <c r="G1074" s="13"/>
      <c r="H1074" s="14" t="s">
        <v>57</v>
      </c>
      <c r="I1074" s="13"/>
      <c r="J1074" s="14" t="s">
        <v>57</v>
      </c>
      <c r="K1074" s="13"/>
      <c r="L1074" s="14"/>
      <c r="M1074" s="13"/>
      <c r="N1074" s="14" t="s">
        <v>57</v>
      </c>
      <c r="O1074" s="13"/>
      <c r="P1074" s="14"/>
      <c r="Q1074" s="13"/>
      <c r="R1074" s="14" t="s">
        <v>57</v>
      </c>
      <c r="S1074" s="15" t="str">
        <f>"－"</f>
        <v>－</v>
      </c>
      <c r="T1074" s="16" t="str">
        <f>"－"</f>
        <v>－</v>
      </c>
      <c r="U1074" s="16"/>
      <c r="V1074" s="16" t="str">
        <f>"－"</f>
        <v>－</v>
      </c>
      <c r="W1074" s="16"/>
      <c r="X1074" s="16" t="str">
        <f>"－"</f>
        <v>－</v>
      </c>
      <c r="Y1074" s="13"/>
      <c r="Z1074" s="17" t="n">
        <f>2350</f>
        <v>2350.0</v>
      </c>
      <c r="AA1074" s="18" t="str">
        <f>"－"</f>
        <v>－</v>
      </c>
      <c r="AB1074" s="11" t="s">
        <v>448</v>
      </c>
    </row>
    <row r="1075">
      <c r="A1075" s="11" t="s">
        <v>46</v>
      </c>
      <c r="B1075" s="11" t="s">
        <v>47</v>
      </c>
      <c r="C1075" s="11" t="s">
        <v>48</v>
      </c>
      <c r="D1075" s="11" t="s">
        <v>651</v>
      </c>
      <c r="E1075" s="11" t="s">
        <v>447</v>
      </c>
      <c r="F1075" s="12" t="n">
        <v>26750.0</v>
      </c>
      <c r="G1075" s="13"/>
      <c r="H1075" s="14" t="s">
        <v>57</v>
      </c>
      <c r="I1075" s="13"/>
      <c r="J1075" s="14" t="s">
        <v>57</v>
      </c>
      <c r="K1075" s="13"/>
      <c r="L1075" s="14"/>
      <c r="M1075" s="13"/>
      <c r="N1075" s="14" t="s">
        <v>57</v>
      </c>
      <c r="O1075" s="13"/>
      <c r="P1075" s="14"/>
      <c r="Q1075" s="13"/>
      <c r="R1075" s="14" t="s">
        <v>57</v>
      </c>
      <c r="S1075" s="15" t="str">
        <f>"－"</f>
        <v>－</v>
      </c>
      <c r="T1075" s="16" t="str">
        <f>"－"</f>
        <v>－</v>
      </c>
      <c r="U1075" s="16"/>
      <c r="V1075" s="16" t="str">
        <f>"－"</f>
        <v>－</v>
      </c>
      <c r="W1075" s="16"/>
      <c r="X1075" s="16" t="str">
        <f>"－"</f>
        <v>－</v>
      </c>
      <c r="Y1075" s="13"/>
      <c r="Z1075" s="17" t="n">
        <f>103</f>
        <v>103.0</v>
      </c>
      <c r="AA1075" s="18" t="str">
        <f>"－"</f>
        <v>－</v>
      </c>
      <c r="AB1075" s="11" t="s">
        <v>448</v>
      </c>
    </row>
    <row r="1076">
      <c r="A1076" s="11" t="s">
        <v>46</v>
      </c>
      <c r="B1076" s="11" t="s">
        <v>47</v>
      </c>
      <c r="C1076" s="11" t="s">
        <v>48</v>
      </c>
      <c r="D1076" s="11" t="s">
        <v>651</v>
      </c>
      <c r="E1076" s="11" t="s">
        <v>447</v>
      </c>
      <c r="F1076" s="12" t="n">
        <v>27000.0</v>
      </c>
      <c r="G1076" s="13" t="s">
        <v>63</v>
      </c>
      <c r="H1076" s="14" t="s">
        <v>631</v>
      </c>
      <c r="I1076" s="13" t="s">
        <v>63</v>
      </c>
      <c r="J1076" s="14" t="s">
        <v>631</v>
      </c>
      <c r="K1076" s="13" t="s">
        <v>55</v>
      </c>
      <c r="L1076" s="14" t="s">
        <v>610</v>
      </c>
      <c r="M1076" s="13" t="s">
        <v>63</v>
      </c>
      <c r="N1076" s="14" t="s">
        <v>631</v>
      </c>
      <c r="O1076" s="13" t="s">
        <v>55</v>
      </c>
      <c r="P1076" s="14" t="s">
        <v>610</v>
      </c>
      <c r="Q1076" s="13" t="s">
        <v>63</v>
      </c>
      <c r="R1076" s="14" t="s">
        <v>631</v>
      </c>
      <c r="S1076" s="15" t="n">
        <f>2200</f>
        <v>2200.0</v>
      </c>
      <c r="T1076" s="16" t="n">
        <f>201</f>
        <v>201.0</v>
      </c>
      <c r="U1076" s="16" t="n">
        <v>200.0</v>
      </c>
      <c r="V1076" s="16" t="n">
        <f>402200000</f>
        <v>4.022E8</v>
      </c>
      <c r="W1076" s="16" t="n">
        <v>4.0E8</v>
      </c>
      <c r="X1076" s="16" t="str">
        <f>"－"</f>
        <v>－</v>
      </c>
      <c r="Y1076" s="13"/>
      <c r="Z1076" s="17" t="n">
        <f>4063</f>
        <v>4063.0</v>
      </c>
      <c r="AA1076" s="18" t="n">
        <f>1</f>
        <v>1.0</v>
      </c>
      <c r="AB1076" s="11" t="s">
        <v>448</v>
      </c>
    </row>
    <row r="1077">
      <c r="A1077" s="11" t="s">
        <v>46</v>
      </c>
      <c r="B1077" s="11" t="s">
        <v>47</v>
      </c>
      <c r="C1077" s="11" t="s">
        <v>48</v>
      </c>
      <c r="D1077" s="11" t="s">
        <v>651</v>
      </c>
      <c r="E1077" s="11" t="s">
        <v>447</v>
      </c>
      <c r="F1077" s="12" t="n">
        <v>27250.0</v>
      </c>
      <c r="G1077" s="13"/>
      <c r="H1077" s="14" t="s">
        <v>57</v>
      </c>
      <c r="I1077" s="13"/>
      <c r="J1077" s="14" t="s">
        <v>57</v>
      </c>
      <c r="K1077" s="13"/>
      <c r="L1077" s="14"/>
      <c r="M1077" s="13"/>
      <c r="N1077" s="14" t="s">
        <v>57</v>
      </c>
      <c r="O1077" s="13"/>
      <c r="P1077" s="14"/>
      <c r="Q1077" s="13"/>
      <c r="R1077" s="14" t="s">
        <v>57</v>
      </c>
      <c r="S1077" s="15" t="str">
        <f>"－"</f>
        <v>－</v>
      </c>
      <c r="T1077" s="16" t="str">
        <f>"－"</f>
        <v>－</v>
      </c>
      <c r="U1077" s="16"/>
      <c r="V1077" s="16" t="str">
        <f>"－"</f>
        <v>－</v>
      </c>
      <c r="W1077" s="16"/>
      <c r="X1077" s="16" t="str">
        <f>"－"</f>
        <v>－</v>
      </c>
      <c r="Y1077" s="13"/>
      <c r="Z1077" s="17" t="n">
        <f>626</f>
        <v>626.0</v>
      </c>
      <c r="AA1077" s="18" t="str">
        <f>"－"</f>
        <v>－</v>
      </c>
      <c r="AB1077" s="11" t="s">
        <v>448</v>
      </c>
    </row>
    <row r="1078">
      <c r="A1078" s="11" t="s">
        <v>46</v>
      </c>
      <c r="B1078" s="11" t="s">
        <v>47</v>
      </c>
      <c r="C1078" s="11" t="s">
        <v>48</v>
      </c>
      <c r="D1078" s="11" t="s">
        <v>651</v>
      </c>
      <c r="E1078" s="11" t="s">
        <v>447</v>
      </c>
      <c r="F1078" s="12" t="n">
        <v>27500.0</v>
      </c>
      <c r="G1078" s="13"/>
      <c r="H1078" s="14" t="s">
        <v>57</v>
      </c>
      <c r="I1078" s="13"/>
      <c r="J1078" s="14" t="s">
        <v>57</v>
      </c>
      <c r="K1078" s="13" t="s">
        <v>55</v>
      </c>
      <c r="L1078" s="14" t="s">
        <v>553</v>
      </c>
      <c r="M1078" s="13"/>
      <c r="N1078" s="14" t="s">
        <v>57</v>
      </c>
      <c r="O1078" s="13" t="s">
        <v>55</v>
      </c>
      <c r="P1078" s="14" t="s">
        <v>553</v>
      </c>
      <c r="Q1078" s="13"/>
      <c r="R1078" s="14" t="s">
        <v>57</v>
      </c>
      <c r="S1078" s="15" t="str">
        <f>"－"</f>
        <v>－</v>
      </c>
      <c r="T1078" s="16" t="n">
        <f>500</f>
        <v>500.0</v>
      </c>
      <c r="U1078" s="16" t="n">
        <v>500.0</v>
      </c>
      <c r="V1078" s="16" t="n">
        <f>870000000</f>
        <v>8.7E8</v>
      </c>
      <c r="W1078" s="16" t="n">
        <v>8.7E8</v>
      </c>
      <c r="X1078" s="16" t="str">
        <f>"－"</f>
        <v>－</v>
      </c>
      <c r="Y1078" s="13"/>
      <c r="Z1078" s="17" t="n">
        <f>1495</f>
        <v>1495.0</v>
      </c>
      <c r="AA1078" s="18" t="str">
        <f>"－"</f>
        <v>－</v>
      </c>
      <c r="AB1078" s="11" t="s">
        <v>448</v>
      </c>
    </row>
    <row r="1079">
      <c r="A1079" s="11" t="s">
        <v>46</v>
      </c>
      <c r="B1079" s="11" t="s">
        <v>47</v>
      </c>
      <c r="C1079" s="11" t="s">
        <v>48</v>
      </c>
      <c r="D1079" s="11" t="s">
        <v>651</v>
      </c>
      <c r="E1079" s="11" t="s">
        <v>447</v>
      </c>
      <c r="F1079" s="12" t="n">
        <v>27750.0</v>
      </c>
      <c r="G1079" s="13"/>
      <c r="H1079" s="14" t="s">
        <v>57</v>
      </c>
      <c r="I1079" s="13"/>
      <c r="J1079" s="14" t="s">
        <v>57</v>
      </c>
      <c r="K1079" s="13"/>
      <c r="L1079" s="14"/>
      <c r="M1079" s="13"/>
      <c r="N1079" s="14" t="s">
        <v>57</v>
      </c>
      <c r="O1079" s="13"/>
      <c r="P1079" s="14"/>
      <c r="Q1079" s="13"/>
      <c r="R1079" s="14" t="s">
        <v>57</v>
      </c>
      <c r="S1079" s="15" t="str">
        <f>"－"</f>
        <v>－</v>
      </c>
      <c r="T1079" s="16" t="str">
        <f>"－"</f>
        <v>－</v>
      </c>
      <c r="U1079" s="16"/>
      <c r="V1079" s="16" t="str">
        <f>"－"</f>
        <v>－</v>
      </c>
      <c r="W1079" s="16"/>
      <c r="X1079" s="16" t="str">
        <f>"－"</f>
        <v>－</v>
      </c>
      <c r="Y1079" s="13"/>
      <c r="Z1079" s="17" t="n">
        <f>5</f>
        <v>5.0</v>
      </c>
      <c r="AA1079" s="18" t="str">
        <f>"－"</f>
        <v>－</v>
      </c>
      <c r="AB1079" s="11" t="s">
        <v>448</v>
      </c>
    </row>
    <row r="1080">
      <c r="A1080" s="11" t="s">
        <v>46</v>
      </c>
      <c r="B1080" s="11" t="s">
        <v>47</v>
      </c>
      <c r="C1080" s="11" t="s">
        <v>48</v>
      </c>
      <c r="D1080" s="11" t="s">
        <v>651</v>
      </c>
      <c r="E1080" s="11" t="s">
        <v>447</v>
      </c>
      <c r="F1080" s="12" t="n">
        <v>28000.0</v>
      </c>
      <c r="G1080" s="13"/>
      <c r="H1080" s="14" t="s">
        <v>57</v>
      </c>
      <c r="I1080" s="13"/>
      <c r="J1080" s="14" t="s">
        <v>57</v>
      </c>
      <c r="K1080" s="13" t="s">
        <v>204</v>
      </c>
      <c r="L1080" s="14" t="s">
        <v>797</v>
      </c>
      <c r="M1080" s="13"/>
      <c r="N1080" s="14" t="s">
        <v>57</v>
      </c>
      <c r="O1080" s="13" t="s">
        <v>50</v>
      </c>
      <c r="P1080" s="14" t="s">
        <v>393</v>
      </c>
      <c r="Q1080" s="13"/>
      <c r="R1080" s="14" t="s">
        <v>57</v>
      </c>
      <c r="S1080" s="15" t="str">
        <f>"－"</f>
        <v>－</v>
      </c>
      <c r="T1080" s="16" t="n">
        <f>385</f>
        <v>385.0</v>
      </c>
      <c r="U1080" s="16" t="n">
        <v>385.0</v>
      </c>
      <c r="V1080" s="16" t="n">
        <f>750675000</f>
        <v>7.50675E8</v>
      </c>
      <c r="W1080" s="16" t="n">
        <v>7.50675E8</v>
      </c>
      <c r="X1080" s="16" t="str">
        <f>"－"</f>
        <v>－</v>
      </c>
      <c r="Y1080" s="13"/>
      <c r="Z1080" s="17" t="n">
        <f>4495</f>
        <v>4495.0</v>
      </c>
      <c r="AA1080" s="18" t="str">
        <f>"－"</f>
        <v>－</v>
      </c>
      <c r="AB1080" s="11" t="s">
        <v>448</v>
      </c>
    </row>
    <row r="1081">
      <c r="A1081" s="11" t="s">
        <v>46</v>
      </c>
      <c r="B1081" s="11" t="s">
        <v>47</v>
      </c>
      <c r="C1081" s="11" t="s">
        <v>48</v>
      </c>
      <c r="D1081" s="11" t="s">
        <v>651</v>
      </c>
      <c r="E1081" s="11" t="s">
        <v>447</v>
      </c>
      <c r="F1081" s="12" t="n">
        <v>28250.0</v>
      </c>
      <c r="G1081" s="13"/>
      <c r="H1081" s="14" t="s">
        <v>57</v>
      </c>
      <c r="I1081" s="13"/>
      <c r="J1081" s="14" t="s">
        <v>57</v>
      </c>
      <c r="K1081" s="13" t="s">
        <v>63</v>
      </c>
      <c r="L1081" s="14" t="s">
        <v>476</v>
      </c>
      <c r="M1081" s="13"/>
      <c r="N1081" s="14" t="s">
        <v>57</v>
      </c>
      <c r="O1081" s="13" t="s">
        <v>58</v>
      </c>
      <c r="P1081" s="14" t="s">
        <v>798</v>
      </c>
      <c r="Q1081" s="13"/>
      <c r="R1081" s="14" t="s">
        <v>57</v>
      </c>
      <c r="S1081" s="15" t="str">
        <f>"－"</f>
        <v>－</v>
      </c>
      <c r="T1081" s="16" t="n">
        <f>250</f>
        <v>250.0</v>
      </c>
      <c r="U1081" s="16" t="n">
        <v>250.0</v>
      </c>
      <c r="V1081" s="16" t="n">
        <f>336000000</f>
        <v>3.36E8</v>
      </c>
      <c r="W1081" s="16" t="n">
        <v>3.36E8</v>
      </c>
      <c r="X1081" s="16" t="str">
        <f>"－"</f>
        <v>－</v>
      </c>
      <c r="Y1081" s="13"/>
      <c r="Z1081" s="17" t="n">
        <f>413</f>
        <v>413.0</v>
      </c>
      <c r="AA1081" s="18" t="str">
        <f>"－"</f>
        <v>－</v>
      </c>
      <c r="AB1081" s="11" t="s">
        <v>448</v>
      </c>
    </row>
    <row r="1082">
      <c r="A1082" s="11" t="s">
        <v>46</v>
      </c>
      <c r="B1082" s="11" t="s">
        <v>47</v>
      </c>
      <c r="C1082" s="11" t="s">
        <v>48</v>
      </c>
      <c r="D1082" s="11" t="s">
        <v>651</v>
      </c>
      <c r="E1082" s="11" t="s">
        <v>447</v>
      </c>
      <c r="F1082" s="12" t="n">
        <v>28500.0</v>
      </c>
      <c r="G1082" s="13"/>
      <c r="H1082" s="14" t="s">
        <v>57</v>
      </c>
      <c r="I1082" s="13"/>
      <c r="J1082" s="14" t="s">
        <v>57</v>
      </c>
      <c r="K1082" s="13" t="s">
        <v>55</v>
      </c>
      <c r="L1082" s="14" t="s">
        <v>442</v>
      </c>
      <c r="M1082" s="13"/>
      <c r="N1082" s="14" t="s">
        <v>57</v>
      </c>
      <c r="O1082" s="13" t="s">
        <v>50</v>
      </c>
      <c r="P1082" s="14" t="s">
        <v>799</v>
      </c>
      <c r="Q1082" s="13"/>
      <c r="R1082" s="14" t="s">
        <v>57</v>
      </c>
      <c r="S1082" s="15" t="str">
        <f>"－"</f>
        <v>－</v>
      </c>
      <c r="T1082" s="16" t="n">
        <f>250</f>
        <v>250.0</v>
      </c>
      <c r="U1082" s="16" t="n">
        <v>250.0</v>
      </c>
      <c r="V1082" s="16" t="n">
        <f>271200000</f>
        <v>2.712E8</v>
      </c>
      <c r="W1082" s="16" t="n">
        <v>2.712E8</v>
      </c>
      <c r="X1082" s="16" t="str">
        <f>"－"</f>
        <v>－</v>
      </c>
      <c r="Y1082" s="13"/>
      <c r="Z1082" s="17" t="n">
        <f>650</f>
        <v>650.0</v>
      </c>
      <c r="AA1082" s="18" t="str">
        <f>"－"</f>
        <v>－</v>
      </c>
      <c r="AB1082" s="11" t="s">
        <v>448</v>
      </c>
    </row>
    <row r="1083">
      <c r="A1083" s="11" t="s">
        <v>46</v>
      </c>
      <c r="B1083" s="11" t="s">
        <v>47</v>
      </c>
      <c r="C1083" s="11" t="s">
        <v>48</v>
      </c>
      <c r="D1083" s="11" t="s">
        <v>651</v>
      </c>
      <c r="E1083" s="11" t="s">
        <v>447</v>
      </c>
      <c r="F1083" s="12" t="n">
        <v>28750.0</v>
      </c>
      <c r="G1083" s="13"/>
      <c r="H1083" s="14" t="s">
        <v>57</v>
      </c>
      <c r="I1083" s="13"/>
      <c r="J1083" s="14" t="s">
        <v>57</v>
      </c>
      <c r="K1083" s="13"/>
      <c r="L1083" s="14"/>
      <c r="M1083" s="13"/>
      <c r="N1083" s="14" t="s">
        <v>57</v>
      </c>
      <c r="O1083" s="13"/>
      <c r="P1083" s="14"/>
      <c r="Q1083" s="13"/>
      <c r="R1083" s="14" t="s">
        <v>57</v>
      </c>
      <c r="S1083" s="15" t="str">
        <f>"－"</f>
        <v>－</v>
      </c>
      <c r="T1083" s="16" t="str">
        <f>"－"</f>
        <v>－</v>
      </c>
      <c r="U1083" s="16"/>
      <c r="V1083" s="16" t="str">
        <f>"－"</f>
        <v>－</v>
      </c>
      <c r="W1083" s="16"/>
      <c r="X1083" s="16" t="str">
        <f>"－"</f>
        <v>－</v>
      </c>
      <c r="Y1083" s="13"/>
      <c r="Z1083" s="17" t="n">
        <f>491</f>
        <v>491.0</v>
      </c>
      <c r="AA1083" s="18" t="str">
        <f>"－"</f>
        <v>－</v>
      </c>
      <c r="AB1083" s="11" t="s">
        <v>448</v>
      </c>
    </row>
    <row r="1084">
      <c r="A1084" s="11" t="s">
        <v>46</v>
      </c>
      <c r="B1084" s="11" t="s">
        <v>47</v>
      </c>
      <c r="C1084" s="11" t="s">
        <v>48</v>
      </c>
      <c r="D1084" s="11" t="s">
        <v>651</v>
      </c>
      <c r="E1084" s="11" t="s">
        <v>447</v>
      </c>
      <c r="F1084" s="12" t="n">
        <v>29000.0</v>
      </c>
      <c r="G1084" s="13"/>
      <c r="H1084" s="14" t="s">
        <v>57</v>
      </c>
      <c r="I1084" s="13"/>
      <c r="J1084" s="14" t="s">
        <v>57</v>
      </c>
      <c r="K1084" s="13" t="s">
        <v>61</v>
      </c>
      <c r="L1084" s="14" t="s">
        <v>800</v>
      </c>
      <c r="M1084" s="13"/>
      <c r="N1084" s="14" t="s">
        <v>57</v>
      </c>
      <c r="O1084" s="13" t="s">
        <v>61</v>
      </c>
      <c r="P1084" s="14" t="s">
        <v>800</v>
      </c>
      <c r="Q1084" s="13"/>
      <c r="R1084" s="14" t="s">
        <v>57</v>
      </c>
      <c r="S1084" s="15" t="str">
        <f>"－"</f>
        <v>－</v>
      </c>
      <c r="T1084" s="16" t="n">
        <f>1000</f>
        <v>1000.0</v>
      </c>
      <c r="U1084" s="16" t="n">
        <v>1000.0</v>
      </c>
      <c r="V1084" s="16" t="n">
        <f>1454720000</f>
        <v>1.45472E9</v>
      </c>
      <c r="W1084" s="16" t="n">
        <v>1.45472E9</v>
      </c>
      <c r="X1084" s="16" t="str">
        <f>"－"</f>
        <v>－</v>
      </c>
      <c r="Y1084" s="13"/>
      <c r="Z1084" s="17" t="n">
        <f>3300</f>
        <v>3300.0</v>
      </c>
      <c r="AA1084" s="18" t="str">
        <f>"－"</f>
        <v>－</v>
      </c>
      <c r="AB1084" s="11" t="s">
        <v>448</v>
      </c>
    </row>
    <row r="1085">
      <c r="A1085" s="11" t="s">
        <v>46</v>
      </c>
      <c r="B1085" s="11" t="s">
        <v>47</v>
      </c>
      <c r="C1085" s="11" t="s">
        <v>48</v>
      </c>
      <c r="D1085" s="11" t="s">
        <v>651</v>
      </c>
      <c r="E1085" s="11" t="s">
        <v>447</v>
      </c>
      <c r="F1085" s="12" t="n">
        <v>29250.0</v>
      </c>
      <c r="G1085" s="13"/>
      <c r="H1085" s="14" t="s">
        <v>57</v>
      </c>
      <c r="I1085" s="13"/>
      <c r="J1085" s="14" t="s">
        <v>57</v>
      </c>
      <c r="K1085" s="13"/>
      <c r="L1085" s="14"/>
      <c r="M1085" s="13"/>
      <c r="N1085" s="14" t="s">
        <v>57</v>
      </c>
      <c r="O1085" s="13"/>
      <c r="P1085" s="14"/>
      <c r="Q1085" s="13"/>
      <c r="R1085" s="14" t="s">
        <v>57</v>
      </c>
      <c r="S1085" s="15" t="str">
        <f>"－"</f>
        <v>－</v>
      </c>
      <c r="T1085" s="16" t="str">
        <f>"－"</f>
        <v>－</v>
      </c>
      <c r="U1085" s="16"/>
      <c r="V1085" s="16" t="str">
        <f>"－"</f>
        <v>－</v>
      </c>
      <c r="W1085" s="16"/>
      <c r="X1085" s="16" t="str">
        <f>"－"</f>
        <v>－</v>
      </c>
      <c r="Y1085" s="13"/>
      <c r="Z1085" s="17" t="n">
        <f>20</f>
        <v>20.0</v>
      </c>
      <c r="AA1085" s="18" t="str">
        <f>"－"</f>
        <v>－</v>
      </c>
      <c r="AB1085" s="11" t="s">
        <v>448</v>
      </c>
    </row>
    <row r="1086">
      <c r="A1086" s="11" t="s">
        <v>46</v>
      </c>
      <c r="B1086" s="11" t="s">
        <v>47</v>
      </c>
      <c r="C1086" s="11" t="s">
        <v>48</v>
      </c>
      <c r="D1086" s="11" t="s">
        <v>651</v>
      </c>
      <c r="E1086" s="11" t="s">
        <v>447</v>
      </c>
      <c r="F1086" s="12" t="n">
        <v>29500.0</v>
      </c>
      <c r="G1086" s="13" t="s">
        <v>52</v>
      </c>
      <c r="H1086" s="14" t="s">
        <v>199</v>
      </c>
      <c r="I1086" s="13" t="s">
        <v>208</v>
      </c>
      <c r="J1086" s="14" t="s">
        <v>801</v>
      </c>
      <c r="K1086" s="13" t="s">
        <v>52</v>
      </c>
      <c r="L1086" s="14" t="s">
        <v>311</v>
      </c>
      <c r="M1086" s="13" t="s">
        <v>52</v>
      </c>
      <c r="N1086" s="14" t="s">
        <v>199</v>
      </c>
      <c r="O1086" s="13" t="s">
        <v>204</v>
      </c>
      <c r="P1086" s="14" t="s">
        <v>178</v>
      </c>
      <c r="Q1086" s="13" t="s">
        <v>208</v>
      </c>
      <c r="R1086" s="14" t="s">
        <v>801</v>
      </c>
      <c r="S1086" s="15" t="n">
        <f>1320</f>
        <v>1320.0</v>
      </c>
      <c r="T1086" s="16" t="n">
        <f>379</f>
        <v>379.0</v>
      </c>
      <c r="U1086" s="16" t="n">
        <v>350.0</v>
      </c>
      <c r="V1086" s="16" t="n">
        <f>449140000</f>
        <v>4.4914E8</v>
      </c>
      <c r="W1086" s="16" t="n">
        <v>4.06E8</v>
      </c>
      <c r="X1086" s="16" t="str">
        <f>"－"</f>
        <v>－</v>
      </c>
      <c r="Y1086" s="13"/>
      <c r="Z1086" s="17" t="n">
        <f>753</f>
        <v>753.0</v>
      </c>
      <c r="AA1086" s="18" t="n">
        <f>3</f>
        <v>3.0</v>
      </c>
      <c r="AB1086" s="11" t="s">
        <v>448</v>
      </c>
    </row>
    <row r="1087">
      <c r="A1087" s="11" t="s">
        <v>46</v>
      </c>
      <c r="B1087" s="11" t="s">
        <v>47</v>
      </c>
      <c r="C1087" s="11" t="s">
        <v>48</v>
      </c>
      <c r="D1087" s="11" t="s">
        <v>651</v>
      </c>
      <c r="E1087" s="11" t="s">
        <v>447</v>
      </c>
      <c r="F1087" s="12" t="n">
        <v>29750.0</v>
      </c>
      <c r="G1087" s="13" t="s">
        <v>204</v>
      </c>
      <c r="H1087" s="14" t="s">
        <v>425</v>
      </c>
      <c r="I1087" s="13" t="s">
        <v>204</v>
      </c>
      <c r="J1087" s="14" t="s">
        <v>425</v>
      </c>
      <c r="K1087" s="13" t="s">
        <v>288</v>
      </c>
      <c r="L1087" s="14" t="s">
        <v>802</v>
      </c>
      <c r="M1087" s="13" t="s">
        <v>204</v>
      </c>
      <c r="N1087" s="14" t="s">
        <v>425</v>
      </c>
      <c r="O1087" s="13" t="s">
        <v>208</v>
      </c>
      <c r="P1087" s="14" t="s">
        <v>803</v>
      </c>
      <c r="Q1087" s="13" t="s">
        <v>204</v>
      </c>
      <c r="R1087" s="14" t="s">
        <v>425</v>
      </c>
      <c r="S1087" s="15" t="n">
        <f>1150</f>
        <v>1150.0</v>
      </c>
      <c r="T1087" s="16" t="n">
        <f>451</f>
        <v>451.0</v>
      </c>
      <c r="U1087" s="16" t="n">
        <v>450.0</v>
      </c>
      <c r="V1087" s="16" t="n">
        <f>682923000</f>
        <v>6.82923E8</v>
      </c>
      <c r="W1087" s="16" t="n">
        <v>6.81773E8</v>
      </c>
      <c r="X1087" s="16" t="str">
        <f>"－"</f>
        <v>－</v>
      </c>
      <c r="Y1087" s="13"/>
      <c r="Z1087" s="17" t="n">
        <f>254</f>
        <v>254.0</v>
      </c>
      <c r="AA1087" s="18" t="n">
        <f>1</f>
        <v>1.0</v>
      </c>
      <c r="AB1087" s="11" t="s">
        <v>448</v>
      </c>
    </row>
    <row r="1088">
      <c r="A1088" s="11" t="s">
        <v>46</v>
      </c>
      <c r="B1088" s="11" t="s">
        <v>47</v>
      </c>
      <c r="C1088" s="11" t="s">
        <v>48</v>
      </c>
      <c r="D1088" s="11" t="s">
        <v>651</v>
      </c>
      <c r="E1088" s="11" t="s">
        <v>447</v>
      </c>
      <c r="F1088" s="12" t="n">
        <v>30000.0</v>
      </c>
      <c r="G1088" s="13" t="s">
        <v>63</v>
      </c>
      <c r="H1088" s="14" t="s">
        <v>162</v>
      </c>
      <c r="I1088" s="13" t="s">
        <v>202</v>
      </c>
      <c r="J1088" s="14" t="s">
        <v>486</v>
      </c>
      <c r="K1088" s="13" t="s">
        <v>288</v>
      </c>
      <c r="L1088" s="14" t="s">
        <v>518</v>
      </c>
      <c r="M1088" s="13" t="s">
        <v>63</v>
      </c>
      <c r="N1088" s="14" t="s">
        <v>162</v>
      </c>
      <c r="O1088" s="13" t="s">
        <v>55</v>
      </c>
      <c r="P1088" s="14" t="s">
        <v>153</v>
      </c>
      <c r="Q1088" s="13" t="s">
        <v>211</v>
      </c>
      <c r="R1088" s="14" t="s">
        <v>474</v>
      </c>
      <c r="S1088" s="15" t="n">
        <f>1151.67</f>
        <v>1151.67</v>
      </c>
      <c r="T1088" s="16" t="n">
        <f>1337</f>
        <v>1337.0</v>
      </c>
      <c r="U1088" s="16" t="n">
        <v>1118.0</v>
      </c>
      <c r="V1088" s="16" t="n">
        <f>1225605000</f>
        <v>1.225605E9</v>
      </c>
      <c r="W1088" s="16" t="n">
        <v>9.70495E8</v>
      </c>
      <c r="X1088" s="16" t="str">
        <f>"－"</f>
        <v>－</v>
      </c>
      <c r="Y1088" s="13"/>
      <c r="Z1088" s="17" t="n">
        <f>4948</f>
        <v>4948.0</v>
      </c>
      <c r="AA1088" s="18" t="n">
        <f>6</f>
        <v>6.0</v>
      </c>
      <c r="AB1088" s="11" t="s">
        <v>448</v>
      </c>
    </row>
    <row r="1089">
      <c r="A1089" s="11" t="s">
        <v>46</v>
      </c>
      <c r="B1089" s="11" t="s">
        <v>47</v>
      </c>
      <c r="C1089" s="11" t="s">
        <v>48</v>
      </c>
      <c r="D1089" s="11" t="s">
        <v>651</v>
      </c>
      <c r="E1089" s="11" t="s">
        <v>447</v>
      </c>
      <c r="F1089" s="12" t="n">
        <v>30250.0</v>
      </c>
      <c r="G1089" s="13" t="s">
        <v>202</v>
      </c>
      <c r="H1089" s="14" t="s">
        <v>319</v>
      </c>
      <c r="I1089" s="13" t="s">
        <v>202</v>
      </c>
      <c r="J1089" s="14" t="s">
        <v>314</v>
      </c>
      <c r="K1089" s="13" t="s">
        <v>58</v>
      </c>
      <c r="L1089" s="14" t="s">
        <v>363</v>
      </c>
      <c r="M1089" s="13" t="s">
        <v>215</v>
      </c>
      <c r="N1089" s="14" t="s">
        <v>366</v>
      </c>
      <c r="O1089" s="13" t="s">
        <v>58</v>
      </c>
      <c r="P1089" s="14" t="s">
        <v>363</v>
      </c>
      <c r="Q1089" s="13" t="s">
        <v>215</v>
      </c>
      <c r="R1089" s="14" t="s">
        <v>366</v>
      </c>
      <c r="S1089" s="15" t="n">
        <f>1277.5</f>
        <v>1277.5</v>
      </c>
      <c r="T1089" s="16" t="n">
        <f>291</f>
        <v>291.0</v>
      </c>
      <c r="U1089" s="16" t="n">
        <v>90.0</v>
      </c>
      <c r="V1089" s="16" t="n">
        <f>315600000</f>
        <v>3.156E8</v>
      </c>
      <c r="W1089" s="16" t="n">
        <v>5.517E7</v>
      </c>
      <c r="X1089" s="16" t="str">
        <f>"－"</f>
        <v>－</v>
      </c>
      <c r="Y1089" s="13"/>
      <c r="Z1089" s="17" t="n">
        <f>188</f>
        <v>188.0</v>
      </c>
      <c r="AA1089" s="18" t="n">
        <f>4</f>
        <v>4.0</v>
      </c>
      <c r="AB1089" s="11" t="s">
        <v>448</v>
      </c>
    </row>
    <row r="1090">
      <c r="A1090" s="11" t="s">
        <v>46</v>
      </c>
      <c r="B1090" s="11" t="s">
        <v>47</v>
      </c>
      <c r="C1090" s="11" t="s">
        <v>48</v>
      </c>
      <c r="D1090" s="11" t="s">
        <v>651</v>
      </c>
      <c r="E1090" s="11" t="s">
        <v>447</v>
      </c>
      <c r="F1090" s="12" t="n">
        <v>30500.0</v>
      </c>
      <c r="G1090" s="13" t="s">
        <v>56</v>
      </c>
      <c r="H1090" s="14" t="s">
        <v>284</v>
      </c>
      <c r="I1090" s="13" t="s">
        <v>288</v>
      </c>
      <c r="J1090" s="14" t="s">
        <v>776</v>
      </c>
      <c r="K1090" s="13" t="s">
        <v>288</v>
      </c>
      <c r="L1090" s="14" t="s">
        <v>400</v>
      </c>
      <c r="M1090" s="13" t="s">
        <v>56</v>
      </c>
      <c r="N1090" s="14" t="s">
        <v>284</v>
      </c>
      <c r="O1090" s="13" t="s">
        <v>204</v>
      </c>
      <c r="P1090" s="14" t="s">
        <v>279</v>
      </c>
      <c r="Q1090" s="13" t="s">
        <v>204</v>
      </c>
      <c r="R1090" s="14" t="s">
        <v>697</v>
      </c>
      <c r="S1090" s="15" t="n">
        <f>1050</f>
        <v>1050.0</v>
      </c>
      <c r="T1090" s="16" t="n">
        <f>1321</f>
        <v>1321.0</v>
      </c>
      <c r="U1090" s="16" t="n">
        <v>1300.0</v>
      </c>
      <c r="V1090" s="16" t="n">
        <f>1330020000</f>
        <v>1.33002E9</v>
      </c>
      <c r="W1090" s="16" t="n">
        <v>1.310125E9</v>
      </c>
      <c r="X1090" s="16" t="str">
        <f>"－"</f>
        <v>－</v>
      </c>
      <c r="Y1090" s="13"/>
      <c r="Z1090" s="17" t="n">
        <f>1852</f>
        <v>1852.0</v>
      </c>
      <c r="AA1090" s="18" t="n">
        <f>5</f>
        <v>5.0</v>
      </c>
      <c r="AB1090" s="11" t="s">
        <v>448</v>
      </c>
    </row>
    <row r="1091">
      <c r="A1091" s="11" t="s">
        <v>46</v>
      </c>
      <c r="B1091" s="11" t="s">
        <v>47</v>
      </c>
      <c r="C1091" s="11" t="s">
        <v>48</v>
      </c>
      <c r="D1091" s="11" t="s">
        <v>651</v>
      </c>
      <c r="E1091" s="11" t="s">
        <v>447</v>
      </c>
      <c r="F1091" s="12" t="n">
        <v>30750.0</v>
      </c>
      <c r="G1091" s="13" t="s">
        <v>205</v>
      </c>
      <c r="H1091" s="14" t="s">
        <v>299</v>
      </c>
      <c r="I1091" s="13" t="s">
        <v>207</v>
      </c>
      <c r="J1091" s="14" t="s">
        <v>425</v>
      </c>
      <c r="K1091" s="13" t="s">
        <v>204</v>
      </c>
      <c r="L1091" s="14" t="s">
        <v>252</v>
      </c>
      <c r="M1091" s="13" t="s">
        <v>205</v>
      </c>
      <c r="N1091" s="14" t="s">
        <v>299</v>
      </c>
      <c r="O1091" s="13" t="s">
        <v>204</v>
      </c>
      <c r="P1091" s="14" t="s">
        <v>252</v>
      </c>
      <c r="Q1091" s="13" t="s">
        <v>208</v>
      </c>
      <c r="R1091" s="14" t="s">
        <v>429</v>
      </c>
      <c r="S1091" s="15" t="n">
        <f>1002.5</f>
        <v>1002.5</v>
      </c>
      <c r="T1091" s="16" t="n">
        <f>358</f>
        <v>358.0</v>
      </c>
      <c r="U1091" s="16" t="n">
        <v>350.0</v>
      </c>
      <c r="V1091" s="16" t="n">
        <f>244145000</f>
        <v>2.44145E8</v>
      </c>
      <c r="W1091" s="16" t="n">
        <v>2.3625E8</v>
      </c>
      <c r="X1091" s="16" t="str">
        <f>"－"</f>
        <v>－</v>
      </c>
      <c r="Y1091" s="13"/>
      <c r="Z1091" s="17" t="n">
        <f>352</f>
        <v>352.0</v>
      </c>
      <c r="AA1091" s="18" t="n">
        <f>4</f>
        <v>4.0</v>
      </c>
      <c r="AB1091" s="11" t="s">
        <v>448</v>
      </c>
    </row>
    <row r="1092">
      <c r="A1092" s="11" t="s">
        <v>46</v>
      </c>
      <c r="B1092" s="11" t="s">
        <v>47</v>
      </c>
      <c r="C1092" s="11" t="s">
        <v>48</v>
      </c>
      <c r="D1092" s="11" t="s">
        <v>651</v>
      </c>
      <c r="E1092" s="11" t="s">
        <v>447</v>
      </c>
      <c r="F1092" s="12" t="n">
        <v>31000.0</v>
      </c>
      <c r="G1092" s="13" t="s">
        <v>50</v>
      </c>
      <c r="H1092" s="14" t="s">
        <v>237</v>
      </c>
      <c r="I1092" s="13" t="s">
        <v>207</v>
      </c>
      <c r="J1092" s="14" t="s">
        <v>366</v>
      </c>
      <c r="K1092" s="13" t="s">
        <v>211</v>
      </c>
      <c r="L1092" s="14" t="s">
        <v>428</v>
      </c>
      <c r="M1092" s="13" t="s">
        <v>50</v>
      </c>
      <c r="N1092" s="14" t="s">
        <v>237</v>
      </c>
      <c r="O1092" s="13" t="s">
        <v>55</v>
      </c>
      <c r="P1092" s="14" t="s">
        <v>241</v>
      </c>
      <c r="Q1092" s="13" t="s">
        <v>204</v>
      </c>
      <c r="R1092" s="14" t="s">
        <v>158</v>
      </c>
      <c r="S1092" s="15" t="n">
        <f>791.67</f>
        <v>791.67</v>
      </c>
      <c r="T1092" s="16" t="n">
        <f>2619</f>
        <v>2619.0</v>
      </c>
      <c r="U1092" s="16" t="n">
        <v>2527.0</v>
      </c>
      <c r="V1092" s="16" t="n">
        <f>1662520271</f>
        <v>1.662520271E9</v>
      </c>
      <c r="W1092" s="16" t="n">
        <v>1.610155271E9</v>
      </c>
      <c r="X1092" s="16" t="str">
        <f>"－"</f>
        <v>－</v>
      </c>
      <c r="Y1092" s="13"/>
      <c r="Z1092" s="17" t="n">
        <f>3908</f>
        <v>3908.0</v>
      </c>
      <c r="AA1092" s="18" t="n">
        <f>9</f>
        <v>9.0</v>
      </c>
      <c r="AB1092" s="11" t="s">
        <v>448</v>
      </c>
    </row>
    <row r="1093">
      <c r="A1093" s="11" t="s">
        <v>46</v>
      </c>
      <c r="B1093" s="11" t="s">
        <v>47</v>
      </c>
      <c r="C1093" s="11" t="s">
        <v>48</v>
      </c>
      <c r="D1093" s="11" t="s">
        <v>651</v>
      </c>
      <c r="E1093" s="11" t="s">
        <v>447</v>
      </c>
      <c r="F1093" s="12" t="n">
        <v>31250.0</v>
      </c>
      <c r="G1093" s="13" t="s">
        <v>52</v>
      </c>
      <c r="H1093" s="14" t="s">
        <v>255</v>
      </c>
      <c r="I1093" s="13" t="s">
        <v>207</v>
      </c>
      <c r="J1093" s="14" t="s">
        <v>365</v>
      </c>
      <c r="K1093" s="13"/>
      <c r="L1093" s="14"/>
      <c r="M1093" s="13" t="s">
        <v>52</v>
      </c>
      <c r="N1093" s="14" t="s">
        <v>255</v>
      </c>
      <c r="O1093" s="13"/>
      <c r="P1093" s="14"/>
      <c r="Q1093" s="13" t="s">
        <v>210</v>
      </c>
      <c r="R1093" s="14" t="s">
        <v>690</v>
      </c>
      <c r="S1093" s="15" t="n">
        <f>824</f>
        <v>824.0</v>
      </c>
      <c r="T1093" s="16" t="n">
        <f>55</f>
        <v>55.0</v>
      </c>
      <c r="U1093" s="16"/>
      <c r="V1093" s="16" t="n">
        <f>45135000</f>
        <v>4.5135E7</v>
      </c>
      <c r="W1093" s="16"/>
      <c r="X1093" s="16" t="str">
        <f>"－"</f>
        <v>－</v>
      </c>
      <c r="Y1093" s="13"/>
      <c r="Z1093" s="17" t="n">
        <f>14</f>
        <v>14.0</v>
      </c>
      <c r="AA1093" s="18" t="n">
        <f>5</f>
        <v>5.0</v>
      </c>
      <c r="AB1093" s="11" t="s">
        <v>448</v>
      </c>
    </row>
    <row r="1094">
      <c r="A1094" s="11" t="s">
        <v>46</v>
      </c>
      <c r="B1094" s="11" t="s">
        <v>47</v>
      </c>
      <c r="C1094" s="11" t="s">
        <v>48</v>
      </c>
      <c r="D1094" s="11" t="s">
        <v>651</v>
      </c>
      <c r="E1094" s="11" t="s">
        <v>447</v>
      </c>
      <c r="F1094" s="12" t="n">
        <v>31500.0</v>
      </c>
      <c r="G1094" s="13" t="s">
        <v>60</v>
      </c>
      <c r="H1094" s="14" t="s">
        <v>140</v>
      </c>
      <c r="I1094" s="13" t="s">
        <v>288</v>
      </c>
      <c r="J1094" s="14" t="s">
        <v>697</v>
      </c>
      <c r="K1094" s="13" t="s">
        <v>202</v>
      </c>
      <c r="L1094" s="14" t="s">
        <v>506</v>
      </c>
      <c r="M1094" s="13" t="s">
        <v>60</v>
      </c>
      <c r="N1094" s="14" t="s">
        <v>234</v>
      </c>
      <c r="O1094" s="13" t="s">
        <v>50</v>
      </c>
      <c r="P1094" s="14" t="s">
        <v>274</v>
      </c>
      <c r="Q1094" s="13" t="s">
        <v>204</v>
      </c>
      <c r="R1094" s="14" t="s">
        <v>243</v>
      </c>
      <c r="S1094" s="15" t="n">
        <f>646.11</f>
        <v>646.11</v>
      </c>
      <c r="T1094" s="16" t="n">
        <f>1577</f>
        <v>1577.0</v>
      </c>
      <c r="U1094" s="16" t="n">
        <v>1400.0</v>
      </c>
      <c r="V1094" s="16" t="n">
        <f>1070330000</f>
        <v>1.07033E9</v>
      </c>
      <c r="W1094" s="16" t="n">
        <v>9.805E8</v>
      </c>
      <c r="X1094" s="16" t="str">
        <f>"－"</f>
        <v>－</v>
      </c>
      <c r="Y1094" s="13"/>
      <c r="Z1094" s="17" t="n">
        <f>821</f>
        <v>821.0</v>
      </c>
      <c r="AA1094" s="18" t="n">
        <f>9</f>
        <v>9.0</v>
      </c>
      <c r="AB1094" s="11" t="s">
        <v>448</v>
      </c>
    </row>
    <row r="1095">
      <c r="A1095" s="11" t="s">
        <v>46</v>
      </c>
      <c r="B1095" s="11" t="s">
        <v>47</v>
      </c>
      <c r="C1095" s="11" t="s">
        <v>48</v>
      </c>
      <c r="D1095" s="11" t="s">
        <v>651</v>
      </c>
      <c r="E1095" s="11" t="s">
        <v>447</v>
      </c>
      <c r="F1095" s="12" t="n">
        <v>31750.0</v>
      </c>
      <c r="G1095" s="13" t="s">
        <v>60</v>
      </c>
      <c r="H1095" s="14" t="s">
        <v>136</v>
      </c>
      <c r="I1095" s="13" t="s">
        <v>288</v>
      </c>
      <c r="J1095" s="14" t="s">
        <v>306</v>
      </c>
      <c r="K1095" s="13"/>
      <c r="L1095" s="14"/>
      <c r="M1095" s="13" t="s">
        <v>60</v>
      </c>
      <c r="N1095" s="14" t="s">
        <v>136</v>
      </c>
      <c r="O1095" s="13"/>
      <c r="P1095" s="14"/>
      <c r="Q1095" s="13" t="s">
        <v>204</v>
      </c>
      <c r="R1095" s="14" t="s">
        <v>243</v>
      </c>
      <c r="S1095" s="15" t="n">
        <f>540</f>
        <v>540.0</v>
      </c>
      <c r="T1095" s="16" t="n">
        <f>47</f>
        <v>47.0</v>
      </c>
      <c r="U1095" s="16"/>
      <c r="V1095" s="16" t="n">
        <f>14810000</f>
        <v>1.481E7</v>
      </c>
      <c r="W1095" s="16"/>
      <c r="X1095" s="16" t="str">
        <f>"－"</f>
        <v>－</v>
      </c>
      <c r="Y1095" s="13"/>
      <c r="Z1095" s="17" t="n">
        <f>5</f>
        <v>5.0</v>
      </c>
      <c r="AA1095" s="18" t="n">
        <f>4</f>
        <v>4.0</v>
      </c>
      <c r="AB1095" s="11" t="s">
        <v>448</v>
      </c>
    </row>
    <row r="1096">
      <c r="A1096" s="11" t="s">
        <v>46</v>
      </c>
      <c r="B1096" s="11" t="s">
        <v>47</v>
      </c>
      <c r="C1096" s="11" t="s">
        <v>48</v>
      </c>
      <c r="D1096" s="11" t="s">
        <v>651</v>
      </c>
      <c r="E1096" s="11" t="s">
        <v>447</v>
      </c>
      <c r="F1096" s="12" t="n">
        <v>32000.0</v>
      </c>
      <c r="G1096" s="13" t="s">
        <v>52</v>
      </c>
      <c r="H1096" s="14" t="s">
        <v>257</v>
      </c>
      <c r="I1096" s="13" t="s">
        <v>207</v>
      </c>
      <c r="J1096" s="14" t="s">
        <v>252</v>
      </c>
      <c r="K1096" s="13" t="s">
        <v>288</v>
      </c>
      <c r="L1096" s="14" t="s">
        <v>804</v>
      </c>
      <c r="M1096" s="13" t="s">
        <v>204</v>
      </c>
      <c r="N1096" s="14" t="s">
        <v>190</v>
      </c>
      <c r="O1096" s="13" t="s">
        <v>55</v>
      </c>
      <c r="P1096" s="14" t="s">
        <v>805</v>
      </c>
      <c r="Q1096" s="13" t="s">
        <v>204</v>
      </c>
      <c r="R1096" s="14" t="s">
        <v>190</v>
      </c>
      <c r="S1096" s="15" t="n">
        <f>507</f>
        <v>507.0</v>
      </c>
      <c r="T1096" s="16" t="n">
        <f>1649</f>
        <v>1649.0</v>
      </c>
      <c r="U1096" s="16" t="n">
        <v>1591.0</v>
      </c>
      <c r="V1096" s="16" t="n">
        <f>621898000</f>
        <v>6.21898E8</v>
      </c>
      <c r="W1096" s="16" t="n">
        <v>5.89788E8</v>
      </c>
      <c r="X1096" s="16" t="str">
        <f>"－"</f>
        <v>－</v>
      </c>
      <c r="Y1096" s="13"/>
      <c r="Z1096" s="17" t="n">
        <f>2385</f>
        <v>2385.0</v>
      </c>
      <c r="AA1096" s="18" t="n">
        <f>10</f>
        <v>10.0</v>
      </c>
      <c r="AB1096" s="11" t="s">
        <v>448</v>
      </c>
    </row>
    <row r="1097">
      <c r="A1097" s="11" t="s">
        <v>46</v>
      </c>
      <c r="B1097" s="11" t="s">
        <v>47</v>
      </c>
      <c r="C1097" s="11" t="s">
        <v>48</v>
      </c>
      <c r="D1097" s="11" t="s">
        <v>651</v>
      </c>
      <c r="E1097" s="11" t="s">
        <v>447</v>
      </c>
      <c r="F1097" s="12" t="n">
        <v>32250.0</v>
      </c>
      <c r="G1097" s="13" t="s">
        <v>205</v>
      </c>
      <c r="H1097" s="14" t="s">
        <v>243</v>
      </c>
      <c r="I1097" s="13" t="s">
        <v>288</v>
      </c>
      <c r="J1097" s="14" t="s">
        <v>174</v>
      </c>
      <c r="K1097" s="13" t="s">
        <v>204</v>
      </c>
      <c r="L1097" s="14" t="s">
        <v>806</v>
      </c>
      <c r="M1097" s="13" t="s">
        <v>205</v>
      </c>
      <c r="N1097" s="14" t="s">
        <v>177</v>
      </c>
      <c r="O1097" s="13" t="s">
        <v>204</v>
      </c>
      <c r="P1097" s="14" t="s">
        <v>806</v>
      </c>
      <c r="Q1097" s="13" t="s">
        <v>215</v>
      </c>
      <c r="R1097" s="14" t="s">
        <v>154</v>
      </c>
      <c r="S1097" s="15" t="n">
        <f>518.13</f>
        <v>518.13</v>
      </c>
      <c r="T1097" s="16" t="n">
        <f>578</f>
        <v>578.0</v>
      </c>
      <c r="U1097" s="16" t="n">
        <v>500.0</v>
      </c>
      <c r="V1097" s="16" t="n">
        <f>209960000</f>
        <v>2.0996E8</v>
      </c>
      <c r="W1097" s="16" t="n">
        <v>1.71E8</v>
      </c>
      <c r="X1097" s="16" t="str">
        <f>"－"</f>
        <v>－</v>
      </c>
      <c r="Y1097" s="13"/>
      <c r="Z1097" s="17" t="n">
        <f>511</f>
        <v>511.0</v>
      </c>
      <c r="AA1097" s="18" t="n">
        <f>8</f>
        <v>8.0</v>
      </c>
      <c r="AB1097" s="11" t="s">
        <v>448</v>
      </c>
    </row>
    <row r="1098">
      <c r="A1098" s="11" t="s">
        <v>46</v>
      </c>
      <c r="B1098" s="11" t="s">
        <v>47</v>
      </c>
      <c r="C1098" s="11" t="s">
        <v>48</v>
      </c>
      <c r="D1098" s="11" t="s">
        <v>651</v>
      </c>
      <c r="E1098" s="11" t="s">
        <v>447</v>
      </c>
      <c r="F1098" s="12" t="n">
        <v>32500.0</v>
      </c>
      <c r="G1098" s="13" t="s">
        <v>207</v>
      </c>
      <c r="H1098" s="14" t="s">
        <v>354</v>
      </c>
      <c r="I1098" s="13" t="s">
        <v>207</v>
      </c>
      <c r="J1098" s="14" t="s">
        <v>354</v>
      </c>
      <c r="K1098" s="13" t="s">
        <v>208</v>
      </c>
      <c r="L1098" s="14" t="s">
        <v>149</v>
      </c>
      <c r="M1098" s="13" t="s">
        <v>204</v>
      </c>
      <c r="N1098" s="14" t="s">
        <v>237</v>
      </c>
      <c r="O1098" s="13" t="s">
        <v>63</v>
      </c>
      <c r="P1098" s="14" t="s">
        <v>124</v>
      </c>
      <c r="Q1098" s="13" t="s">
        <v>204</v>
      </c>
      <c r="R1098" s="14" t="s">
        <v>237</v>
      </c>
      <c r="S1098" s="15" t="n">
        <f>431.25</f>
        <v>431.25</v>
      </c>
      <c r="T1098" s="16" t="n">
        <f>2580</f>
        <v>2580.0</v>
      </c>
      <c r="U1098" s="16" t="n">
        <v>2550.0</v>
      </c>
      <c r="V1098" s="16" t="n">
        <f>876470000</f>
        <v>8.7647E8</v>
      </c>
      <c r="W1098" s="16" t="n">
        <v>8.635E8</v>
      </c>
      <c r="X1098" s="16" t="str">
        <f>"－"</f>
        <v>－</v>
      </c>
      <c r="Y1098" s="13"/>
      <c r="Z1098" s="17" t="n">
        <f>1851</f>
        <v>1851.0</v>
      </c>
      <c r="AA1098" s="18" t="n">
        <f>4</f>
        <v>4.0</v>
      </c>
      <c r="AB1098" s="11" t="s">
        <v>448</v>
      </c>
    </row>
    <row r="1099">
      <c r="A1099" s="11" t="s">
        <v>46</v>
      </c>
      <c r="B1099" s="11" t="s">
        <v>47</v>
      </c>
      <c r="C1099" s="11" t="s">
        <v>48</v>
      </c>
      <c r="D1099" s="11" t="s">
        <v>651</v>
      </c>
      <c r="E1099" s="11" t="s">
        <v>447</v>
      </c>
      <c r="F1099" s="12" t="n">
        <v>32750.0</v>
      </c>
      <c r="G1099" s="13" t="s">
        <v>60</v>
      </c>
      <c r="H1099" s="14" t="s">
        <v>123</v>
      </c>
      <c r="I1099" s="13" t="s">
        <v>288</v>
      </c>
      <c r="J1099" s="14" t="s">
        <v>312</v>
      </c>
      <c r="K1099" s="13"/>
      <c r="L1099" s="14"/>
      <c r="M1099" s="13" t="s">
        <v>60</v>
      </c>
      <c r="N1099" s="14" t="s">
        <v>286</v>
      </c>
      <c r="O1099" s="13"/>
      <c r="P1099" s="14"/>
      <c r="Q1099" s="13" t="s">
        <v>204</v>
      </c>
      <c r="R1099" s="14" t="s">
        <v>138</v>
      </c>
      <c r="S1099" s="15" t="n">
        <f>315</f>
        <v>315.0</v>
      </c>
      <c r="T1099" s="16" t="n">
        <f>74</f>
        <v>74.0</v>
      </c>
      <c r="U1099" s="16"/>
      <c r="V1099" s="16" t="n">
        <f>13745000</f>
        <v>1.3745E7</v>
      </c>
      <c r="W1099" s="16"/>
      <c r="X1099" s="16" t="str">
        <f>"－"</f>
        <v>－</v>
      </c>
      <c r="Y1099" s="13"/>
      <c r="Z1099" s="17" t="n">
        <f>11</f>
        <v>11.0</v>
      </c>
      <c r="AA1099" s="18" t="n">
        <f>6</f>
        <v>6.0</v>
      </c>
      <c r="AB1099" s="11" t="s">
        <v>448</v>
      </c>
    </row>
    <row r="1100">
      <c r="A1100" s="11" t="s">
        <v>46</v>
      </c>
      <c r="B1100" s="11" t="s">
        <v>47</v>
      </c>
      <c r="C1100" s="11" t="s">
        <v>48</v>
      </c>
      <c r="D1100" s="11" t="s">
        <v>651</v>
      </c>
      <c r="E1100" s="11" t="s">
        <v>447</v>
      </c>
      <c r="F1100" s="12" t="n">
        <v>33000.0</v>
      </c>
      <c r="G1100" s="13" t="s">
        <v>63</v>
      </c>
      <c r="H1100" s="14" t="s">
        <v>117</v>
      </c>
      <c r="I1100" s="13" t="s">
        <v>207</v>
      </c>
      <c r="J1100" s="14" t="s">
        <v>196</v>
      </c>
      <c r="K1100" s="13" t="s">
        <v>207</v>
      </c>
      <c r="L1100" s="14" t="s">
        <v>196</v>
      </c>
      <c r="M1100" s="13" t="s">
        <v>63</v>
      </c>
      <c r="N1100" s="14" t="s">
        <v>117</v>
      </c>
      <c r="O1100" s="13" t="s">
        <v>55</v>
      </c>
      <c r="P1100" s="14" t="s">
        <v>807</v>
      </c>
      <c r="Q1100" s="13" t="s">
        <v>204</v>
      </c>
      <c r="R1100" s="14" t="s">
        <v>265</v>
      </c>
      <c r="S1100" s="15" t="n">
        <f>305</f>
        <v>305.0</v>
      </c>
      <c r="T1100" s="16" t="n">
        <f>2765</f>
        <v>2765.0</v>
      </c>
      <c r="U1100" s="16" t="n">
        <v>2650.0</v>
      </c>
      <c r="V1100" s="16" t="n">
        <f>850130000</f>
        <v>8.5013E8</v>
      </c>
      <c r="W1100" s="16" t="n">
        <v>8.134E8</v>
      </c>
      <c r="X1100" s="16" t="str">
        <f>"－"</f>
        <v>－</v>
      </c>
      <c r="Y1100" s="13"/>
      <c r="Z1100" s="17" t="n">
        <f>1356</f>
        <v>1356.0</v>
      </c>
      <c r="AA1100" s="18" t="n">
        <f>8</f>
        <v>8.0</v>
      </c>
      <c r="AB1100" s="11" t="s">
        <v>448</v>
      </c>
    </row>
    <row r="1101">
      <c r="A1101" s="11" t="s">
        <v>46</v>
      </c>
      <c r="B1101" s="11" t="s">
        <v>47</v>
      </c>
      <c r="C1101" s="11" t="s">
        <v>48</v>
      </c>
      <c r="D1101" s="11" t="s">
        <v>651</v>
      </c>
      <c r="E1101" s="11" t="s">
        <v>447</v>
      </c>
      <c r="F1101" s="12" t="n">
        <v>33250.0</v>
      </c>
      <c r="G1101" s="13" t="s">
        <v>206</v>
      </c>
      <c r="H1101" s="14" t="s">
        <v>265</v>
      </c>
      <c r="I1101" s="13" t="s">
        <v>207</v>
      </c>
      <c r="J1101" s="14" t="s">
        <v>257</v>
      </c>
      <c r="K1101" s="13"/>
      <c r="L1101" s="14"/>
      <c r="M1101" s="13" t="s">
        <v>204</v>
      </c>
      <c r="N1101" s="14" t="s">
        <v>130</v>
      </c>
      <c r="O1101" s="13"/>
      <c r="P1101" s="14"/>
      <c r="Q1101" s="13" t="s">
        <v>204</v>
      </c>
      <c r="R1101" s="14" t="s">
        <v>130</v>
      </c>
      <c r="S1101" s="15" t="n">
        <f>278.57</f>
        <v>278.57</v>
      </c>
      <c r="T1101" s="16" t="n">
        <f>39</f>
        <v>39.0</v>
      </c>
      <c r="U1101" s="16"/>
      <c r="V1101" s="16" t="n">
        <f>12130000</f>
        <v>1.213E7</v>
      </c>
      <c r="W1101" s="16"/>
      <c r="X1101" s="16" t="str">
        <f>"－"</f>
        <v>－</v>
      </c>
      <c r="Y1101" s="13"/>
      <c r="Z1101" s="17" t="n">
        <f>13</f>
        <v>13.0</v>
      </c>
      <c r="AA1101" s="18" t="n">
        <f>7</f>
        <v>7.0</v>
      </c>
      <c r="AB1101" s="11" t="s">
        <v>448</v>
      </c>
    </row>
    <row r="1102">
      <c r="A1102" s="11" t="s">
        <v>46</v>
      </c>
      <c r="B1102" s="11" t="s">
        <v>47</v>
      </c>
      <c r="C1102" s="11" t="s">
        <v>48</v>
      </c>
      <c r="D1102" s="11" t="s">
        <v>651</v>
      </c>
      <c r="E1102" s="11" t="s">
        <v>447</v>
      </c>
      <c r="F1102" s="12" t="n">
        <v>33500.0</v>
      </c>
      <c r="G1102" s="13" t="s">
        <v>206</v>
      </c>
      <c r="H1102" s="14" t="s">
        <v>125</v>
      </c>
      <c r="I1102" s="13" t="s">
        <v>288</v>
      </c>
      <c r="J1102" s="14" t="s">
        <v>163</v>
      </c>
      <c r="K1102" s="13" t="s">
        <v>202</v>
      </c>
      <c r="L1102" s="14" t="s">
        <v>151</v>
      </c>
      <c r="M1102" s="13" t="s">
        <v>206</v>
      </c>
      <c r="N1102" s="14" t="s">
        <v>125</v>
      </c>
      <c r="O1102" s="13" t="s">
        <v>204</v>
      </c>
      <c r="P1102" s="14" t="s">
        <v>261</v>
      </c>
      <c r="Q1102" s="13" t="s">
        <v>215</v>
      </c>
      <c r="R1102" s="14" t="s">
        <v>137</v>
      </c>
      <c r="S1102" s="15" t="n">
        <f>283.75</f>
        <v>283.75</v>
      </c>
      <c r="T1102" s="16" t="n">
        <f>1526</f>
        <v>1526.0</v>
      </c>
      <c r="U1102" s="16" t="n">
        <v>1475.0</v>
      </c>
      <c r="V1102" s="16" t="n">
        <f>437810000</f>
        <v>4.3781E8</v>
      </c>
      <c r="W1102" s="16" t="n">
        <v>4.2175E8</v>
      </c>
      <c r="X1102" s="16" t="str">
        <f>"－"</f>
        <v>－</v>
      </c>
      <c r="Y1102" s="13"/>
      <c r="Z1102" s="17" t="n">
        <f>1476</f>
        <v>1476.0</v>
      </c>
      <c r="AA1102" s="18" t="n">
        <f>8</f>
        <v>8.0</v>
      </c>
      <c r="AB1102" s="11" t="s">
        <v>448</v>
      </c>
    </row>
    <row r="1103">
      <c r="A1103" s="11" t="s">
        <v>46</v>
      </c>
      <c r="B1103" s="11" t="s">
        <v>47</v>
      </c>
      <c r="C1103" s="11" t="s">
        <v>48</v>
      </c>
      <c r="D1103" s="11" t="s">
        <v>651</v>
      </c>
      <c r="E1103" s="11" t="s">
        <v>447</v>
      </c>
      <c r="F1103" s="12" t="n">
        <v>33750.0</v>
      </c>
      <c r="G1103" s="13" t="s">
        <v>211</v>
      </c>
      <c r="H1103" s="14" t="s">
        <v>185</v>
      </c>
      <c r="I1103" s="13" t="s">
        <v>211</v>
      </c>
      <c r="J1103" s="14" t="s">
        <v>185</v>
      </c>
      <c r="K1103" s="13"/>
      <c r="L1103" s="14"/>
      <c r="M1103" s="13" t="s">
        <v>210</v>
      </c>
      <c r="N1103" s="14" t="s">
        <v>293</v>
      </c>
      <c r="O1103" s="13"/>
      <c r="P1103" s="14"/>
      <c r="Q1103" s="13" t="s">
        <v>215</v>
      </c>
      <c r="R1103" s="14" t="s">
        <v>265</v>
      </c>
      <c r="S1103" s="15" t="n">
        <f>236.67</f>
        <v>236.67</v>
      </c>
      <c r="T1103" s="16" t="n">
        <f>26</f>
        <v>26.0</v>
      </c>
      <c r="U1103" s="16"/>
      <c r="V1103" s="16" t="n">
        <f>5515000</f>
        <v>5515000.0</v>
      </c>
      <c r="W1103" s="16"/>
      <c r="X1103" s="16" t="str">
        <f>"－"</f>
        <v>－</v>
      </c>
      <c r="Y1103" s="13"/>
      <c r="Z1103" s="17" t="n">
        <f>13</f>
        <v>13.0</v>
      </c>
      <c r="AA1103" s="18" t="n">
        <f>3</f>
        <v>3.0</v>
      </c>
      <c r="AB1103" s="11" t="s">
        <v>448</v>
      </c>
    </row>
    <row r="1104">
      <c r="A1104" s="11" t="s">
        <v>46</v>
      </c>
      <c r="B1104" s="11" t="s">
        <v>47</v>
      </c>
      <c r="C1104" s="11" t="s">
        <v>48</v>
      </c>
      <c r="D1104" s="11" t="s">
        <v>651</v>
      </c>
      <c r="E1104" s="11" t="s">
        <v>447</v>
      </c>
      <c r="F1104" s="12" t="n">
        <v>34000.0</v>
      </c>
      <c r="G1104" s="13" t="s">
        <v>55</v>
      </c>
      <c r="H1104" s="14" t="s">
        <v>264</v>
      </c>
      <c r="I1104" s="13" t="s">
        <v>288</v>
      </c>
      <c r="J1104" s="14" t="s">
        <v>237</v>
      </c>
      <c r="K1104" s="13"/>
      <c r="L1104" s="14"/>
      <c r="M1104" s="13" t="s">
        <v>55</v>
      </c>
      <c r="N1104" s="14" t="s">
        <v>264</v>
      </c>
      <c r="O1104" s="13"/>
      <c r="P1104" s="14"/>
      <c r="Q1104" s="13" t="s">
        <v>204</v>
      </c>
      <c r="R1104" s="14" t="s">
        <v>126</v>
      </c>
      <c r="S1104" s="15" t="n">
        <f>178.07</f>
        <v>178.07</v>
      </c>
      <c r="T1104" s="16" t="n">
        <f>2370</f>
        <v>2370.0</v>
      </c>
      <c r="U1104" s="16"/>
      <c r="V1104" s="16" t="n">
        <f>466124000</f>
        <v>4.66124E8</v>
      </c>
      <c r="W1104" s="16"/>
      <c r="X1104" s="16" t="str">
        <f>"－"</f>
        <v>－</v>
      </c>
      <c r="Y1104" s="13"/>
      <c r="Z1104" s="17" t="n">
        <f>2183</f>
        <v>2183.0</v>
      </c>
      <c r="AA1104" s="18" t="n">
        <f>14</f>
        <v>14.0</v>
      </c>
      <c r="AB1104" s="11" t="s">
        <v>448</v>
      </c>
    </row>
    <row r="1105">
      <c r="A1105" s="11" t="s">
        <v>46</v>
      </c>
      <c r="B1105" s="11" t="s">
        <v>47</v>
      </c>
      <c r="C1105" s="11" t="s">
        <v>48</v>
      </c>
      <c r="D1105" s="11" t="s">
        <v>651</v>
      </c>
      <c r="E1105" s="11" t="s">
        <v>447</v>
      </c>
      <c r="F1105" s="12" t="n">
        <v>34250.0</v>
      </c>
      <c r="G1105" s="13" t="s">
        <v>207</v>
      </c>
      <c r="H1105" s="14" t="s">
        <v>134</v>
      </c>
      <c r="I1105" s="13" t="s">
        <v>207</v>
      </c>
      <c r="J1105" s="14" t="s">
        <v>134</v>
      </c>
      <c r="K1105" s="13"/>
      <c r="L1105" s="14"/>
      <c r="M1105" s="13" t="s">
        <v>210</v>
      </c>
      <c r="N1105" s="14" t="s">
        <v>125</v>
      </c>
      <c r="O1105" s="13"/>
      <c r="P1105" s="14"/>
      <c r="Q1105" s="13" t="s">
        <v>210</v>
      </c>
      <c r="R1105" s="14" t="s">
        <v>125</v>
      </c>
      <c r="S1105" s="15" t="n">
        <f>205</f>
        <v>205.0</v>
      </c>
      <c r="T1105" s="16" t="n">
        <f>32</f>
        <v>32.0</v>
      </c>
      <c r="U1105" s="16"/>
      <c r="V1105" s="16" t="n">
        <f>6880000</f>
        <v>6880000.0</v>
      </c>
      <c r="W1105" s="16"/>
      <c r="X1105" s="16" t="str">
        <f>"－"</f>
        <v>－</v>
      </c>
      <c r="Y1105" s="13"/>
      <c r="Z1105" s="17" t="n">
        <f>12</f>
        <v>12.0</v>
      </c>
      <c r="AA1105" s="18" t="n">
        <f>2</f>
        <v>2.0</v>
      </c>
      <c r="AB1105" s="11" t="s">
        <v>448</v>
      </c>
    </row>
    <row r="1106">
      <c r="A1106" s="11" t="s">
        <v>46</v>
      </c>
      <c r="B1106" s="11" t="s">
        <v>47</v>
      </c>
      <c r="C1106" s="11" t="s">
        <v>48</v>
      </c>
      <c r="D1106" s="11" t="s">
        <v>651</v>
      </c>
      <c r="E1106" s="11" t="s">
        <v>447</v>
      </c>
      <c r="F1106" s="12" t="n">
        <v>34500.0</v>
      </c>
      <c r="G1106" s="13" t="s">
        <v>210</v>
      </c>
      <c r="H1106" s="14" t="s">
        <v>120</v>
      </c>
      <c r="I1106" s="13" t="s">
        <v>210</v>
      </c>
      <c r="J1106" s="14" t="s">
        <v>123</v>
      </c>
      <c r="K1106" s="13"/>
      <c r="L1106" s="14"/>
      <c r="M1106" s="13" t="s">
        <v>210</v>
      </c>
      <c r="N1106" s="14" t="s">
        <v>120</v>
      </c>
      <c r="O1106" s="13"/>
      <c r="P1106" s="14"/>
      <c r="Q1106" s="13" t="s">
        <v>210</v>
      </c>
      <c r="R1106" s="14" t="s">
        <v>123</v>
      </c>
      <c r="S1106" s="15" t="n">
        <f>150</f>
        <v>150.0</v>
      </c>
      <c r="T1106" s="16" t="n">
        <f>147</f>
        <v>147.0</v>
      </c>
      <c r="U1106" s="16"/>
      <c r="V1106" s="16" t="n">
        <f>21115000</f>
        <v>2.1115E7</v>
      </c>
      <c r="W1106" s="16"/>
      <c r="X1106" s="16" t="str">
        <f>"－"</f>
        <v>－</v>
      </c>
      <c r="Y1106" s="13"/>
      <c r="Z1106" s="17" t="n">
        <f>27</f>
        <v>27.0</v>
      </c>
      <c r="AA1106" s="18" t="n">
        <f>1</f>
        <v>1.0</v>
      </c>
      <c r="AB1106" s="11" t="s">
        <v>448</v>
      </c>
    </row>
    <row r="1107">
      <c r="A1107" s="11" t="s">
        <v>46</v>
      </c>
      <c r="B1107" s="11" t="s">
        <v>47</v>
      </c>
      <c r="C1107" s="11" t="s">
        <v>48</v>
      </c>
      <c r="D1107" s="11" t="s">
        <v>651</v>
      </c>
      <c r="E1107" s="11" t="s">
        <v>447</v>
      </c>
      <c r="F1107" s="12" t="n">
        <v>35000.0</v>
      </c>
      <c r="G1107" s="13" t="s">
        <v>63</v>
      </c>
      <c r="H1107" s="14" t="s">
        <v>86</v>
      </c>
      <c r="I1107" s="13" t="s">
        <v>202</v>
      </c>
      <c r="J1107" s="14" t="s">
        <v>131</v>
      </c>
      <c r="K1107" s="13" t="s">
        <v>202</v>
      </c>
      <c r="L1107" s="14" t="s">
        <v>808</v>
      </c>
      <c r="M1107" s="13" t="s">
        <v>58</v>
      </c>
      <c r="N1107" s="14" t="s">
        <v>92</v>
      </c>
      <c r="O1107" s="13" t="s">
        <v>204</v>
      </c>
      <c r="P1107" s="14" t="s">
        <v>114</v>
      </c>
      <c r="Q1107" s="13" t="s">
        <v>204</v>
      </c>
      <c r="R1107" s="14" t="s">
        <v>103</v>
      </c>
      <c r="S1107" s="15" t="n">
        <f>101.63</f>
        <v>101.63</v>
      </c>
      <c r="T1107" s="16" t="n">
        <f>2378</f>
        <v>2378.0</v>
      </c>
      <c r="U1107" s="16" t="n">
        <v>1900.0</v>
      </c>
      <c r="V1107" s="16" t="n">
        <f>334151000</f>
        <v>3.34151E8</v>
      </c>
      <c r="W1107" s="16" t="n">
        <v>2.846E8</v>
      </c>
      <c r="X1107" s="16" t="str">
        <f>"－"</f>
        <v>－</v>
      </c>
      <c r="Y1107" s="13"/>
      <c r="Z1107" s="17" t="n">
        <f>2011</f>
        <v>2011.0</v>
      </c>
      <c r="AA1107" s="18" t="n">
        <f>16</f>
        <v>16.0</v>
      </c>
      <c r="AB1107" s="11" t="s">
        <v>448</v>
      </c>
    </row>
    <row r="1108">
      <c r="A1108" s="11" t="s">
        <v>46</v>
      </c>
      <c r="B1108" s="11" t="s">
        <v>47</v>
      </c>
      <c r="C1108" s="11" t="s">
        <v>48</v>
      </c>
      <c r="D1108" s="11" t="s">
        <v>651</v>
      </c>
      <c r="E1108" s="11" t="s">
        <v>447</v>
      </c>
      <c r="F1108" s="12" t="n">
        <v>36000.0</v>
      </c>
      <c r="G1108" s="13" t="s">
        <v>202</v>
      </c>
      <c r="H1108" s="14" t="s">
        <v>119</v>
      </c>
      <c r="I1108" s="13" t="s">
        <v>202</v>
      </c>
      <c r="J1108" s="14" t="s">
        <v>122</v>
      </c>
      <c r="K1108" s="13" t="s">
        <v>208</v>
      </c>
      <c r="L1108" s="14" t="s">
        <v>222</v>
      </c>
      <c r="M1108" s="13" t="s">
        <v>215</v>
      </c>
      <c r="N1108" s="14" t="s">
        <v>103</v>
      </c>
      <c r="O1108" s="13" t="s">
        <v>208</v>
      </c>
      <c r="P1108" s="14" t="s">
        <v>222</v>
      </c>
      <c r="Q1108" s="13" t="s">
        <v>215</v>
      </c>
      <c r="R1108" s="14" t="s">
        <v>106</v>
      </c>
      <c r="S1108" s="15" t="n">
        <f>92.43</f>
        <v>92.43</v>
      </c>
      <c r="T1108" s="16" t="n">
        <f>819</f>
        <v>819.0</v>
      </c>
      <c r="U1108" s="16" t="n">
        <v>700.0</v>
      </c>
      <c r="V1108" s="16" t="n">
        <f>55685000</f>
        <v>5.5685E7</v>
      </c>
      <c r="W1108" s="16" t="n">
        <v>4.62E7</v>
      </c>
      <c r="X1108" s="16" t="str">
        <f>"－"</f>
        <v>－</v>
      </c>
      <c r="Y1108" s="13"/>
      <c r="Z1108" s="17" t="n">
        <f>707</f>
        <v>707.0</v>
      </c>
      <c r="AA1108" s="18" t="n">
        <f>7</f>
        <v>7.0</v>
      </c>
      <c r="AB1108" s="11" t="s">
        <v>448</v>
      </c>
    </row>
    <row r="1109">
      <c r="A1109" s="11" t="s">
        <v>46</v>
      </c>
      <c r="B1109" s="11" t="s">
        <v>47</v>
      </c>
      <c r="C1109" s="11" t="s">
        <v>48</v>
      </c>
      <c r="D1109" s="11" t="s">
        <v>651</v>
      </c>
      <c r="E1109" s="11" t="s">
        <v>489</v>
      </c>
      <c r="F1109" s="12" t="n">
        <v>27750.0</v>
      </c>
      <c r="G1109" s="13"/>
      <c r="H1109" s="14" t="s">
        <v>57</v>
      </c>
      <c r="I1109" s="13"/>
      <c r="J1109" s="14" t="s">
        <v>57</v>
      </c>
      <c r="K1109" s="13"/>
      <c r="L1109" s="14"/>
      <c r="M1109" s="13"/>
      <c r="N1109" s="14" t="s">
        <v>57</v>
      </c>
      <c r="O1109" s="13"/>
      <c r="P1109" s="14"/>
      <c r="Q1109" s="13"/>
      <c r="R1109" s="14" t="s">
        <v>57</v>
      </c>
      <c r="S1109" s="15" t="str">
        <f>"－"</f>
        <v>－</v>
      </c>
      <c r="T1109" s="16" t="str">
        <f>"－"</f>
        <v>－</v>
      </c>
      <c r="U1109" s="16"/>
      <c r="V1109" s="16" t="str">
        <f>"－"</f>
        <v>－</v>
      </c>
      <c r="W1109" s="16"/>
      <c r="X1109" s="16" t="str">
        <f>"－"</f>
        <v>－</v>
      </c>
      <c r="Y1109" s="13"/>
      <c r="Z1109" s="17" t="n">
        <f>400</f>
        <v>400.0</v>
      </c>
      <c r="AA1109" s="18" t="str">
        <f>"－"</f>
        <v>－</v>
      </c>
      <c r="AB1109" s="11" t="s">
        <v>490</v>
      </c>
    </row>
    <row r="1110">
      <c r="A1110" s="11" t="s">
        <v>46</v>
      </c>
      <c r="B1110" s="11" t="s">
        <v>47</v>
      </c>
      <c r="C1110" s="11" t="s">
        <v>48</v>
      </c>
      <c r="D1110" s="11" t="s">
        <v>651</v>
      </c>
      <c r="E1110" s="11" t="s">
        <v>489</v>
      </c>
      <c r="F1110" s="12" t="n">
        <v>28500.0</v>
      </c>
      <c r="G1110" s="13"/>
      <c r="H1110" s="14" t="s">
        <v>57</v>
      </c>
      <c r="I1110" s="13"/>
      <c r="J1110" s="14" t="s">
        <v>57</v>
      </c>
      <c r="K1110" s="13"/>
      <c r="L1110" s="14"/>
      <c r="M1110" s="13"/>
      <c r="N1110" s="14" t="s">
        <v>57</v>
      </c>
      <c r="O1110" s="13"/>
      <c r="P1110" s="14"/>
      <c r="Q1110" s="13"/>
      <c r="R1110" s="14" t="s">
        <v>57</v>
      </c>
      <c r="S1110" s="15" t="str">
        <f>"－"</f>
        <v>－</v>
      </c>
      <c r="T1110" s="16" t="str">
        <f>"－"</f>
        <v>－</v>
      </c>
      <c r="U1110" s="16"/>
      <c r="V1110" s="16" t="str">
        <f>"－"</f>
        <v>－</v>
      </c>
      <c r="W1110" s="16"/>
      <c r="X1110" s="16" t="str">
        <f>"－"</f>
        <v>－</v>
      </c>
      <c r="Y1110" s="13"/>
      <c r="Z1110" s="17" t="n">
        <f>800</f>
        <v>800.0</v>
      </c>
      <c r="AA1110" s="18" t="str">
        <f>"－"</f>
        <v>－</v>
      </c>
      <c r="AB1110" s="11" t="s">
        <v>490</v>
      </c>
    </row>
    <row r="1111">
      <c r="A1111" s="11" t="s">
        <v>46</v>
      </c>
      <c r="B1111" s="11" t="s">
        <v>47</v>
      </c>
      <c r="C1111" s="11" t="s">
        <v>48</v>
      </c>
      <c r="D1111" s="11" t="s">
        <v>651</v>
      </c>
      <c r="E1111" s="11" t="s">
        <v>489</v>
      </c>
      <c r="F1111" s="12" t="n">
        <v>29250.0</v>
      </c>
      <c r="G1111" s="13"/>
      <c r="H1111" s="14" t="s">
        <v>57</v>
      </c>
      <c r="I1111" s="13"/>
      <c r="J1111" s="14" t="s">
        <v>57</v>
      </c>
      <c r="K1111" s="13"/>
      <c r="L1111" s="14"/>
      <c r="M1111" s="13"/>
      <c r="N1111" s="14" t="s">
        <v>57</v>
      </c>
      <c r="O1111" s="13"/>
      <c r="P1111" s="14"/>
      <c r="Q1111" s="13"/>
      <c r="R1111" s="14" t="s">
        <v>57</v>
      </c>
      <c r="S1111" s="15" t="str">
        <f>"－"</f>
        <v>－</v>
      </c>
      <c r="T1111" s="16" t="str">
        <f>"－"</f>
        <v>－</v>
      </c>
      <c r="U1111" s="16"/>
      <c r="V1111" s="16" t="str">
        <f>"－"</f>
        <v>－</v>
      </c>
      <c r="W1111" s="16"/>
      <c r="X1111" s="16" t="str">
        <f>"－"</f>
        <v>－</v>
      </c>
      <c r="Y1111" s="13"/>
      <c r="Z1111" s="17" t="n">
        <f>400</f>
        <v>400.0</v>
      </c>
      <c r="AA1111" s="18" t="str">
        <f>"－"</f>
        <v>－</v>
      </c>
      <c r="AB1111" s="11" t="s">
        <v>490</v>
      </c>
    </row>
    <row r="1112">
      <c r="A1112" s="11" t="s">
        <v>46</v>
      </c>
      <c r="B1112" s="11" t="s">
        <v>47</v>
      </c>
      <c r="C1112" s="11" t="s">
        <v>48</v>
      </c>
      <c r="D1112" s="11" t="s">
        <v>651</v>
      </c>
      <c r="E1112" s="11" t="s">
        <v>489</v>
      </c>
      <c r="F1112" s="12" t="n">
        <v>31000.0</v>
      </c>
      <c r="G1112" s="13"/>
      <c r="H1112" s="14" t="s">
        <v>57</v>
      </c>
      <c r="I1112" s="13"/>
      <c r="J1112" s="14" t="s">
        <v>57</v>
      </c>
      <c r="K1112" s="13" t="s">
        <v>202</v>
      </c>
      <c r="L1112" s="14" t="s">
        <v>809</v>
      </c>
      <c r="M1112" s="13"/>
      <c r="N1112" s="14" t="s">
        <v>57</v>
      </c>
      <c r="O1112" s="13" t="s">
        <v>58</v>
      </c>
      <c r="P1112" s="14" t="s">
        <v>573</v>
      </c>
      <c r="Q1112" s="13"/>
      <c r="R1112" s="14" t="s">
        <v>57</v>
      </c>
      <c r="S1112" s="15" t="str">
        <f>"－"</f>
        <v>－</v>
      </c>
      <c r="T1112" s="16" t="n">
        <f>450</f>
        <v>450.0</v>
      </c>
      <c r="U1112" s="16" t="n">
        <v>450.0</v>
      </c>
      <c r="V1112" s="16" t="n">
        <f>346100000</f>
        <v>3.461E8</v>
      </c>
      <c r="W1112" s="16" t="n">
        <v>3.461E8</v>
      </c>
      <c r="X1112" s="16" t="str">
        <f>"－"</f>
        <v>－</v>
      </c>
      <c r="Y1112" s="13"/>
      <c r="Z1112" s="17" t="n">
        <f>350</f>
        <v>350.0</v>
      </c>
      <c r="AA1112" s="18" t="str">
        <f>"－"</f>
        <v>－</v>
      </c>
      <c r="AB1112" s="11" t="s">
        <v>490</v>
      </c>
    </row>
    <row r="1113">
      <c r="A1113" s="11" t="s">
        <v>46</v>
      </c>
      <c r="B1113" s="11" t="s">
        <v>47</v>
      </c>
      <c r="C1113" s="11" t="s">
        <v>48</v>
      </c>
      <c r="D1113" s="11" t="s">
        <v>651</v>
      </c>
      <c r="E1113" s="11" t="s">
        <v>489</v>
      </c>
      <c r="F1113" s="12" t="n">
        <v>33000.0</v>
      </c>
      <c r="G1113" s="13" t="s">
        <v>205</v>
      </c>
      <c r="H1113" s="14" t="s">
        <v>175</v>
      </c>
      <c r="I1113" s="13" t="s">
        <v>205</v>
      </c>
      <c r="J1113" s="14" t="s">
        <v>175</v>
      </c>
      <c r="K1113" s="13"/>
      <c r="L1113" s="14"/>
      <c r="M1113" s="13" t="s">
        <v>205</v>
      </c>
      <c r="N1113" s="14" t="s">
        <v>175</v>
      </c>
      <c r="O1113" s="13"/>
      <c r="P1113" s="14"/>
      <c r="Q1113" s="13" t="s">
        <v>205</v>
      </c>
      <c r="R1113" s="14" t="s">
        <v>175</v>
      </c>
      <c r="S1113" s="15" t="n">
        <f>460</f>
        <v>460.0</v>
      </c>
      <c r="T1113" s="16" t="n">
        <f>20</f>
        <v>20.0</v>
      </c>
      <c r="U1113" s="16"/>
      <c r="V1113" s="16" t="n">
        <f>9200000</f>
        <v>9200000.0</v>
      </c>
      <c r="W1113" s="16"/>
      <c r="X1113" s="16" t="str">
        <f>"－"</f>
        <v>－</v>
      </c>
      <c r="Y1113" s="13"/>
      <c r="Z1113" s="17" t="str">
        <f>"－"</f>
        <v>－</v>
      </c>
      <c r="AA1113" s="18" t="n">
        <f>1</f>
        <v>1.0</v>
      </c>
      <c r="AB1113" s="11" t="s">
        <v>490</v>
      </c>
    </row>
    <row r="1114">
      <c r="A1114" s="11" t="s">
        <v>46</v>
      </c>
      <c r="B1114" s="11" t="s">
        <v>47</v>
      </c>
      <c r="C1114" s="11" t="s">
        <v>48</v>
      </c>
      <c r="D1114" s="11" t="s">
        <v>651</v>
      </c>
      <c r="E1114" s="11" t="s">
        <v>489</v>
      </c>
      <c r="F1114" s="12" t="n">
        <v>33500.0</v>
      </c>
      <c r="G1114" s="13" t="s">
        <v>211</v>
      </c>
      <c r="H1114" s="14" t="s">
        <v>426</v>
      </c>
      <c r="I1114" s="13" t="s">
        <v>211</v>
      </c>
      <c r="J1114" s="14" t="s">
        <v>426</v>
      </c>
      <c r="K1114" s="13"/>
      <c r="L1114" s="14"/>
      <c r="M1114" s="13" t="s">
        <v>211</v>
      </c>
      <c r="N1114" s="14" t="s">
        <v>426</v>
      </c>
      <c r="O1114" s="13"/>
      <c r="P1114" s="14"/>
      <c r="Q1114" s="13" t="s">
        <v>211</v>
      </c>
      <c r="R1114" s="14" t="s">
        <v>426</v>
      </c>
      <c r="S1114" s="15" t="n">
        <f>415</f>
        <v>415.0</v>
      </c>
      <c r="T1114" s="16" t="n">
        <f>20</f>
        <v>20.0</v>
      </c>
      <c r="U1114" s="16"/>
      <c r="V1114" s="16" t="n">
        <f>8300000</f>
        <v>8300000.0</v>
      </c>
      <c r="W1114" s="16"/>
      <c r="X1114" s="16" t="str">
        <f>"－"</f>
        <v>－</v>
      </c>
      <c r="Y1114" s="13"/>
      <c r="Z1114" s="17" t="str">
        <f>"－"</f>
        <v>－</v>
      </c>
      <c r="AA1114" s="18" t="n">
        <f>1</f>
        <v>1.0</v>
      </c>
      <c r="AB1114" s="11" t="s">
        <v>490</v>
      </c>
    </row>
    <row r="1115">
      <c r="A1115" s="11" t="s">
        <v>46</v>
      </c>
      <c r="B1115" s="11" t="s">
        <v>47</v>
      </c>
      <c r="C1115" s="11" t="s">
        <v>48</v>
      </c>
      <c r="D1115" s="11" t="s">
        <v>651</v>
      </c>
      <c r="E1115" s="11" t="s">
        <v>494</v>
      </c>
      <c r="F1115" s="12" t="n">
        <v>28500.0</v>
      </c>
      <c r="G1115" s="13"/>
      <c r="H1115" s="14" t="s">
        <v>57</v>
      </c>
      <c r="I1115" s="13"/>
      <c r="J1115" s="14" t="s">
        <v>57</v>
      </c>
      <c r="K1115" s="13"/>
      <c r="L1115" s="14"/>
      <c r="M1115" s="13"/>
      <c r="N1115" s="14" t="s">
        <v>57</v>
      </c>
      <c r="O1115" s="13"/>
      <c r="P1115" s="14"/>
      <c r="Q1115" s="13"/>
      <c r="R1115" s="14" t="s">
        <v>57</v>
      </c>
      <c r="S1115" s="15" t="str">
        <f>"－"</f>
        <v>－</v>
      </c>
      <c r="T1115" s="16" t="str">
        <f>"－"</f>
        <v>－</v>
      </c>
      <c r="U1115" s="16"/>
      <c r="V1115" s="16" t="str">
        <f>"－"</f>
        <v>－</v>
      </c>
      <c r="W1115" s="16"/>
      <c r="X1115" s="16" t="str">
        <f>"－"</f>
        <v>－</v>
      </c>
      <c r="Y1115" s="13"/>
      <c r="Z1115" s="17" t="n">
        <f>30</f>
        <v>30.0</v>
      </c>
      <c r="AA1115" s="18" t="str">
        <f>"－"</f>
        <v>－</v>
      </c>
      <c r="AB1115" s="11" t="s">
        <v>495</v>
      </c>
    </row>
    <row r="1116">
      <c r="A1116" s="11" t="s">
        <v>46</v>
      </c>
      <c r="B1116" s="11" t="s">
        <v>47</v>
      </c>
      <c r="C1116" s="11" t="s">
        <v>48</v>
      </c>
      <c r="D1116" s="11" t="s">
        <v>651</v>
      </c>
      <c r="E1116" s="11" t="s">
        <v>494</v>
      </c>
      <c r="F1116" s="12" t="n">
        <v>29000.0</v>
      </c>
      <c r="G1116" s="13"/>
      <c r="H1116" s="14" t="s">
        <v>57</v>
      </c>
      <c r="I1116" s="13"/>
      <c r="J1116" s="14" t="s">
        <v>57</v>
      </c>
      <c r="K1116" s="13" t="s">
        <v>58</v>
      </c>
      <c r="L1116" s="14" t="s">
        <v>810</v>
      </c>
      <c r="M1116" s="13"/>
      <c r="N1116" s="14" t="s">
        <v>57</v>
      </c>
      <c r="O1116" s="13" t="s">
        <v>58</v>
      </c>
      <c r="P1116" s="14" t="s">
        <v>810</v>
      </c>
      <c r="Q1116" s="13"/>
      <c r="R1116" s="14" t="s">
        <v>57</v>
      </c>
      <c r="S1116" s="15" t="str">
        <f>"－"</f>
        <v>－</v>
      </c>
      <c r="T1116" s="16" t="n">
        <f>650</f>
        <v>650.0</v>
      </c>
      <c r="U1116" s="16" t="n">
        <v>650.0</v>
      </c>
      <c r="V1116" s="16" t="n">
        <f>820950000</f>
        <v>8.2095E8</v>
      </c>
      <c r="W1116" s="16" t="n">
        <v>8.2095E8</v>
      </c>
      <c r="X1116" s="16" t="str">
        <f>"－"</f>
        <v>－</v>
      </c>
      <c r="Y1116" s="13"/>
      <c r="Z1116" s="17" t="n">
        <f>650</f>
        <v>650.0</v>
      </c>
      <c r="AA1116" s="18" t="str">
        <f>"－"</f>
        <v>－</v>
      </c>
      <c r="AB1116" s="11" t="s">
        <v>495</v>
      </c>
    </row>
    <row r="1117">
      <c r="A1117" s="11" t="s">
        <v>46</v>
      </c>
      <c r="B1117" s="11" t="s">
        <v>47</v>
      </c>
      <c r="C1117" s="11" t="s">
        <v>48</v>
      </c>
      <c r="D1117" s="11" t="s">
        <v>651</v>
      </c>
      <c r="E1117" s="11" t="s">
        <v>494</v>
      </c>
      <c r="F1117" s="12" t="n">
        <v>29250.0</v>
      </c>
      <c r="G1117" s="13"/>
      <c r="H1117" s="14" t="s">
        <v>57</v>
      </c>
      <c r="I1117" s="13"/>
      <c r="J1117" s="14" t="s">
        <v>57</v>
      </c>
      <c r="K1117" s="13" t="s">
        <v>58</v>
      </c>
      <c r="L1117" s="14" t="s">
        <v>425</v>
      </c>
      <c r="M1117" s="13"/>
      <c r="N1117" s="14" t="s">
        <v>57</v>
      </c>
      <c r="O1117" s="13" t="s">
        <v>58</v>
      </c>
      <c r="P1117" s="14" t="s">
        <v>425</v>
      </c>
      <c r="Q1117" s="13"/>
      <c r="R1117" s="14" t="s">
        <v>57</v>
      </c>
      <c r="S1117" s="15" t="str">
        <f>"－"</f>
        <v>－</v>
      </c>
      <c r="T1117" s="16" t="n">
        <f>650</f>
        <v>650.0</v>
      </c>
      <c r="U1117" s="16" t="n">
        <v>650.0</v>
      </c>
      <c r="V1117" s="16" t="n">
        <f>747500000</f>
        <v>7.475E8</v>
      </c>
      <c r="W1117" s="16" t="n">
        <v>7.475E8</v>
      </c>
      <c r="X1117" s="16" t="str">
        <f>"－"</f>
        <v>－</v>
      </c>
      <c r="Y1117" s="13"/>
      <c r="Z1117" s="17" t="n">
        <f>650</f>
        <v>650.0</v>
      </c>
      <c r="AA1117" s="18" t="str">
        <f>"－"</f>
        <v>－</v>
      </c>
      <c r="AB1117" s="11" t="s">
        <v>495</v>
      </c>
    </row>
    <row r="1118">
      <c r="A1118" s="11" t="s">
        <v>46</v>
      </c>
      <c r="B1118" s="11" t="s">
        <v>47</v>
      </c>
      <c r="C1118" s="11" t="s">
        <v>48</v>
      </c>
      <c r="D1118" s="11" t="s">
        <v>651</v>
      </c>
      <c r="E1118" s="11" t="s">
        <v>494</v>
      </c>
      <c r="F1118" s="12" t="n">
        <v>30750.0</v>
      </c>
      <c r="G1118" s="13"/>
      <c r="H1118" s="14" t="s">
        <v>57</v>
      </c>
      <c r="I1118" s="13"/>
      <c r="J1118" s="14" t="s">
        <v>57</v>
      </c>
      <c r="K1118" s="13"/>
      <c r="L1118" s="14"/>
      <c r="M1118" s="13"/>
      <c r="N1118" s="14" t="s">
        <v>57</v>
      </c>
      <c r="O1118" s="13"/>
      <c r="P1118" s="14"/>
      <c r="Q1118" s="13"/>
      <c r="R1118" s="14" t="s">
        <v>57</v>
      </c>
      <c r="S1118" s="15" t="str">
        <f>"－"</f>
        <v>－</v>
      </c>
      <c r="T1118" s="16" t="str">
        <f>"－"</f>
        <v>－</v>
      </c>
      <c r="U1118" s="16"/>
      <c r="V1118" s="16" t="str">
        <f>"－"</f>
        <v>－</v>
      </c>
      <c r="W1118" s="16"/>
      <c r="X1118" s="16" t="str">
        <f>"－"</f>
        <v>－</v>
      </c>
      <c r="Y1118" s="13"/>
      <c r="Z1118" s="17" t="n">
        <f>100</f>
        <v>100.0</v>
      </c>
      <c r="AA1118" s="18" t="str">
        <f>"－"</f>
        <v>－</v>
      </c>
      <c r="AB1118" s="11" t="s">
        <v>495</v>
      </c>
    </row>
    <row r="1119">
      <c r="A1119" s="11" t="s">
        <v>46</v>
      </c>
      <c r="B1119" s="11" t="s">
        <v>47</v>
      </c>
      <c r="C1119" s="11" t="s">
        <v>48</v>
      </c>
      <c r="D1119" s="11" t="s">
        <v>651</v>
      </c>
      <c r="E1119" s="11" t="s">
        <v>494</v>
      </c>
      <c r="F1119" s="12" t="n">
        <v>31000.0</v>
      </c>
      <c r="G1119" s="13" t="s">
        <v>60</v>
      </c>
      <c r="H1119" s="14" t="s">
        <v>422</v>
      </c>
      <c r="I1119" s="13" t="s">
        <v>60</v>
      </c>
      <c r="J1119" s="14" t="s">
        <v>153</v>
      </c>
      <c r="K1119" s="13"/>
      <c r="L1119" s="14"/>
      <c r="M1119" s="13" t="s">
        <v>60</v>
      </c>
      <c r="N1119" s="14" t="s">
        <v>422</v>
      </c>
      <c r="O1119" s="13"/>
      <c r="P1119" s="14"/>
      <c r="Q1119" s="13" t="s">
        <v>60</v>
      </c>
      <c r="R1119" s="14" t="s">
        <v>422</v>
      </c>
      <c r="S1119" s="15" t="n">
        <f>560</f>
        <v>560.0</v>
      </c>
      <c r="T1119" s="16" t="n">
        <f>20</f>
        <v>20.0</v>
      </c>
      <c r="U1119" s="16"/>
      <c r="V1119" s="16" t="n">
        <f>11275000</f>
        <v>1.1275E7</v>
      </c>
      <c r="W1119" s="16"/>
      <c r="X1119" s="16" t="str">
        <f>"－"</f>
        <v>－</v>
      </c>
      <c r="Y1119" s="13"/>
      <c r="Z1119" s="17" t="n">
        <f>20</f>
        <v>20.0</v>
      </c>
      <c r="AA1119" s="18" t="n">
        <f>1</f>
        <v>1.0</v>
      </c>
      <c r="AB1119" s="11" t="s">
        <v>495</v>
      </c>
    </row>
    <row r="1120">
      <c r="A1120" s="11" t="s">
        <v>46</v>
      </c>
      <c r="B1120" s="11" t="s">
        <v>47</v>
      </c>
      <c r="C1120" s="11" t="s">
        <v>48</v>
      </c>
      <c r="D1120" s="11" t="s">
        <v>651</v>
      </c>
      <c r="E1120" s="11" t="s">
        <v>494</v>
      </c>
      <c r="F1120" s="12" t="n">
        <v>32000.0</v>
      </c>
      <c r="G1120" s="13"/>
      <c r="H1120" s="14" t="s">
        <v>57</v>
      </c>
      <c r="I1120" s="13"/>
      <c r="J1120" s="14" t="s">
        <v>57</v>
      </c>
      <c r="K1120" s="13" t="s">
        <v>206</v>
      </c>
      <c r="L1120" s="14" t="s">
        <v>160</v>
      </c>
      <c r="M1120" s="13"/>
      <c r="N1120" s="14" t="s">
        <v>57</v>
      </c>
      <c r="O1120" s="13" t="s">
        <v>206</v>
      </c>
      <c r="P1120" s="14" t="s">
        <v>160</v>
      </c>
      <c r="Q1120" s="13"/>
      <c r="R1120" s="14" t="s">
        <v>57</v>
      </c>
      <c r="S1120" s="15" t="str">
        <f>"－"</f>
        <v>－</v>
      </c>
      <c r="T1120" s="16" t="n">
        <f>100</f>
        <v>100.0</v>
      </c>
      <c r="U1120" s="16" t="n">
        <v>100.0</v>
      </c>
      <c r="V1120" s="16" t="n">
        <f>65000000</f>
        <v>6.5E7</v>
      </c>
      <c r="W1120" s="16" t="n">
        <v>6.5E7</v>
      </c>
      <c r="X1120" s="16" t="str">
        <f>"－"</f>
        <v>－</v>
      </c>
      <c r="Y1120" s="13"/>
      <c r="Z1120" s="17" t="n">
        <f>100</f>
        <v>100.0</v>
      </c>
      <c r="AA1120" s="18" t="str">
        <f>"－"</f>
        <v>－</v>
      </c>
      <c r="AB1120" s="11" t="s">
        <v>495</v>
      </c>
    </row>
    <row r="1121">
      <c r="A1121" s="11" t="s">
        <v>46</v>
      </c>
      <c r="B1121" s="11" t="s">
        <v>47</v>
      </c>
      <c r="C1121" s="11" t="s">
        <v>48</v>
      </c>
      <c r="D1121" s="11" t="s">
        <v>651</v>
      </c>
      <c r="E1121" s="11" t="s">
        <v>494</v>
      </c>
      <c r="F1121" s="12" t="n">
        <v>32250.0</v>
      </c>
      <c r="G1121" s="13"/>
      <c r="H1121" s="14" t="s">
        <v>57</v>
      </c>
      <c r="I1121" s="13"/>
      <c r="J1121" s="14" t="s">
        <v>57</v>
      </c>
      <c r="K1121" s="13" t="s">
        <v>215</v>
      </c>
      <c r="L1121" s="14" t="s">
        <v>811</v>
      </c>
      <c r="M1121" s="13"/>
      <c r="N1121" s="14" t="s">
        <v>57</v>
      </c>
      <c r="O1121" s="13" t="s">
        <v>215</v>
      </c>
      <c r="P1121" s="14" t="s">
        <v>811</v>
      </c>
      <c r="Q1121" s="13"/>
      <c r="R1121" s="14" t="s">
        <v>57</v>
      </c>
      <c r="S1121" s="15" t="str">
        <f>"－"</f>
        <v>－</v>
      </c>
      <c r="T1121" s="16" t="n">
        <f>430</f>
        <v>430.0</v>
      </c>
      <c r="U1121" s="16" t="n">
        <v>430.0</v>
      </c>
      <c r="V1121" s="16" t="n">
        <f>336260000</f>
        <v>3.3626E8</v>
      </c>
      <c r="W1121" s="16" t="n">
        <v>3.3626E8</v>
      </c>
      <c r="X1121" s="16" t="str">
        <f>"－"</f>
        <v>－</v>
      </c>
      <c r="Y1121" s="13"/>
      <c r="Z1121" s="17" t="n">
        <f>430</f>
        <v>430.0</v>
      </c>
      <c r="AA1121" s="18" t="str">
        <f>"－"</f>
        <v>－</v>
      </c>
      <c r="AB1121" s="11" t="s">
        <v>495</v>
      </c>
    </row>
    <row r="1122">
      <c r="A1122" s="11" t="s">
        <v>46</v>
      </c>
      <c r="B1122" s="11" t="s">
        <v>47</v>
      </c>
      <c r="C1122" s="11" t="s">
        <v>48</v>
      </c>
      <c r="D1122" s="11" t="s">
        <v>651</v>
      </c>
      <c r="E1122" s="11" t="s">
        <v>499</v>
      </c>
      <c r="F1122" s="12" t="n">
        <v>23000.0</v>
      </c>
      <c r="G1122" s="13"/>
      <c r="H1122" s="14" t="s">
        <v>57</v>
      </c>
      <c r="I1122" s="13"/>
      <c r="J1122" s="14" t="s">
        <v>57</v>
      </c>
      <c r="K1122" s="13"/>
      <c r="L1122" s="14"/>
      <c r="M1122" s="13"/>
      <c r="N1122" s="14" t="s">
        <v>57</v>
      </c>
      <c r="O1122" s="13"/>
      <c r="P1122" s="14"/>
      <c r="Q1122" s="13"/>
      <c r="R1122" s="14" t="s">
        <v>57</v>
      </c>
      <c r="S1122" s="15" t="str">
        <f>"－"</f>
        <v>－</v>
      </c>
      <c r="T1122" s="16" t="str">
        <f>"－"</f>
        <v>－</v>
      </c>
      <c r="U1122" s="16"/>
      <c r="V1122" s="16" t="str">
        <f>"－"</f>
        <v>－</v>
      </c>
      <c r="W1122" s="16"/>
      <c r="X1122" s="16" t="str">
        <f>"－"</f>
        <v>－</v>
      </c>
      <c r="Y1122" s="13"/>
      <c r="Z1122" s="17" t="n">
        <f>150</f>
        <v>150.0</v>
      </c>
      <c r="AA1122" s="18" t="str">
        <f>"－"</f>
        <v>－</v>
      </c>
      <c r="AB1122" s="11" t="s">
        <v>500</v>
      </c>
    </row>
    <row r="1123">
      <c r="A1123" s="11" t="s">
        <v>46</v>
      </c>
      <c r="B1123" s="11" t="s">
        <v>47</v>
      </c>
      <c r="C1123" s="11" t="s">
        <v>48</v>
      </c>
      <c r="D1123" s="11" t="s">
        <v>651</v>
      </c>
      <c r="E1123" s="11" t="s">
        <v>499</v>
      </c>
      <c r="F1123" s="12" t="n">
        <v>23500.0</v>
      </c>
      <c r="G1123" s="13"/>
      <c r="H1123" s="14" t="s">
        <v>57</v>
      </c>
      <c r="I1123" s="13"/>
      <c r="J1123" s="14" t="s">
        <v>57</v>
      </c>
      <c r="K1123" s="13"/>
      <c r="L1123" s="14"/>
      <c r="M1123" s="13"/>
      <c r="N1123" s="14" t="s">
        <v>57</v>
      </c>
      <c r="O1123" s="13"/>
      <c r="P1123" s="14"/>
      <c r="Q1123" s="13"/>
      <c r="R1123" s="14" t="s">
        <v>57</v>
      </c>
      <c r="S1123" s="15" t="str">
        <f>"－"</f>
        <v>－</v>
      </c>
      <c r="T1123" s="16" t="str">
        <f>"－"</f>
        <v>－</v>
      </c>
      <c r="U1123" s="16"/>
      <c r="V1123" s="16" t="str">
        <f>"－"</f>
        <v>－</v>
      </c>
      <c r="W1123" s="16"/>
      <c r="X1123" s="16" t="str">
        <f>"－"</f>
        <v>－</v>
      </c>
      <c r="Y1123" s="13"/>
      <c r="Z1123" s="17" t="n">
        <f>100</f>
        <v>100.0</v>
      </c>
      <c r="AA1123" s="18" t="str">
        <f>"－"</f>
        <v>－</v>
      </c>
      <c r="AB1123" s="11" t="s">
        <v>500</v>
      </c>
    </row>
    <row r="1124">
      <c r="A1124" s="11" t="s">
        <v>46</v>
      </c>
      <c r="B1124" s="11" t="s">
        <v>47</v>
      </c>
      <c r="C1124" s="11" t="s">
        <v>48</v>
      </c>
      <c r="D1124" s="11" t="s">
        <v>651</v>
      </c>
      <c r="E1124" s="11" t="s">
        <v>499</v>
      </c>
      <c r="F1124" s="12" t="n">
        <v>25000.0</v>
      </c>
      <c r="G1124" s="13"/>
      <c r="H1124" s="14" t="s">
        <v>57</v>
      </c>
      <c r="I1124" s="13"/>
      <c r="J1124" s="14" t="s">
        <v>57</v>
      </c>
      <c r="K1124" s="13"/>
      <c r="L1124" s="14"/>
      <c r="M1124" s="13"/>
      <c r="N1124" s="14" t="s">
        <v>57</v>
      </c>
      <c r="O1124" s="13"/>
      <c r="P1124" s="14"/>
      <c r="Q1124" s="13"/>
      <c r="R1124" s="14" t="s">
        <v>57</v>
      </c>
      <c r="S1124" s="15" t="str">
        <f>"－"</f>
        <v>－</v>
      </c>
      <c r="T1124" s="16" t="str">
        <f>"－"</f>
        <v>－</v>
      </c>
      <c r="U1124" s="16"/>
      <c r="V1124" s="16" t="str">
        <f>"－"</f>
        <v>－</v>
      </c>
      <c r="W1124" s="16"/>
      <c r="X1124" s="16" t="str">
        <f>"－"</f>
        <v>－</v>
      </c>
      <c r="Y1124" s="13"/>
      <c r="Z1124" s="17" t="n">
        <f>500</f>
        <v>500.0</v>
      </c>
      <c r="AA1124" s="18" t="str">
        <f>"－"</f>
        <v>－</v>
      </c>
      <c r="AB1124" s="11" t="s">
        <v>500</v>
      </c>
    </row>
    <row r="1125">
      <c r="A1125" s="11" t="s">
        <v>46</v>
      </c>
      <c r="B1125" s="11" t="s">
        <v>47</v>
      </c>
      <c r="C1125" s="11" t="s">
        <v>48</v>
      </c>
      <c r="D1125" s="11" t="s">
        <v>651</v>
      </c>
      <c r="E1125" s="11" t="s">
        <v>499</v>
      </c>
      <c r="F1125" s="12" t="n">
        <v>26000.0</v>
      </c>
      <c r="G1125" s="13"/>
      <c r="H1125" s="14" t="s">
        <v>57</v>
      </c>
      <c r="I1125" s="13"/>
      <c r="J1125" s="14" t="s">
        <v>57</v>
      </c>
      <c r="K1125" s="13"/>
      <c r="L1125" s="14"/>
      <c r="M1125" s="13"/>
      <c r="N1125" s="14" t="s">
        <v>57</v>
      </c>
      <c r="O1125" s="13"/>
      <c r="P1125" s="14"/>
      <c r="Q1125" s="13"/>
      <c r="R1125" s="14" t="s">
        <v>57</v>
      </c>
      <c r="S1125" s="15" t="str">
        <f>"－"</f>
        <v>－</v>
      </c>
      <c r="T1125" s="16" t="str">
        <f>"－"</f>
        <v>－</v>
      </c>
      <c r="U1125" s="16"/>
      <c r="V1125" s="16" t="str">
        <f>"－"</f>
        <v>－</v>
      </c>
      <c r="W1125" s="16"/>
      <c r="X1125" s="16" t="str">
        <f>"－"</f>
        <v>－</v>
      </c>
      <c r="Y1125" s="13"/>
      <c r="Z1125" s="17" t="n">
        <f>550</f>
        <v>550.0</v>
      </c>
      <c r="AA1125" s="18" t="str">
        <f>"－"</f>
        <v>－</v>
      </c>
      <c r="AB1125" s="11" t="s">
        <v>500</v>
      </c>
    </row>
    <row r="1126">
      <c r="A1126" s="11" t="s">
        <v>46</v>
      </c>
      <c r="B1126" s="11" t="s">
        <v>47</v>
      </c>
      <c r="C1126" s="11" t="s">
        <v>48</v>
      </c>
      <c r="D1126" s="11" t="s">
        <v>651</v>
      </c>
      <c r="E1126" s="11" t="s">
        <v>499</v>
      </c>
      <c r="F1126" s="12" t="n">
        <v>26750.0</v>
      </c>
      <c r="G1126" s="13"/>
      <c r="H1126" s="14" t="s">
        <v>57</v>
      </c>
      <c r="I1126" s="13"/>
      <c r="J1126" s="14" t="s">
        <v>57</v>
      </c>
      <c r="K1126" s="13"/>
      <c r="L1126" s="14"/>
      <c r="M1126" s="13"/>
      <c r="N1126" s="14" t="s">
        <v>57</v>
      </c>
      <c r="O1126" s="13"/>
      <c r="P1126" s="14"/>
      <c r="Q1126" s="13"/>
      <c r="R1126" s="14" t="s">
        <v>57</v>
      </c>
      <c r="S1126" s="15" t="str">
        <f>"－"</f>
        <v>－</v>
      </c>
      <c r="T1126" s="16" t="str">
        <f>"－"</f>
        <v>－</v>
      </c>
      <c r="U1126" s="16"/>
      <c r="V1126" s="16" t="str">
        <f>"－"</f>
        <v>－</v>
      </c>
      <c r="W1126" s="16"/>
      <c r="X1126" s="16" t="str">
        <f>"－"</f>
        <v>－</v>
      </c>
      <c r="Y1126" s="13"/>
      <c r="Z1126" s="17" t="n">
        <f>50</f>
        <v>50.0</v>
      </c>
      <c r="AA1126" s="18" t="str">
        <f>"－"</f>
        <v>－</v>
      </c>
      <c r="AB1126" s="11" t="s">
        <v>500</v>
      </c>
    </row>
    <row r="1127">
      <c r="A1127" s="11" t="s">
        <v>46</v>
      </c>
      <c r="B1127" s="11" t="s">
        <v>47</v>
      </c>
      <c r="C1127" s="11" t="s">
        <v>48</v>
      </c>
      <c r="D1127" s="11" t="s">
        <v>651</v>
      </c>
      <c r="E1127" s="11" t="s">
        <v>499</v>
      </c>
      <c r="F1127" s="12" t="n">
        <v>27000.0</v>
      </c>
      <c r="G1127" s="13"/>
      <c r="H1127" s="14" t="s">
        <v>57</v>
      </c>
      <c r="I1127" s="13"/>
      <c r="J1127" s="14" t="s">
        <v>57</v>
      </c>
      <c r="K1127" s="13"/>
      <c r="L1127" s="14"/>
      <c r="M1127" s="13"/>
      <c r="N1127" s="14" t="s">
        <v>57</v>
      </c>
      <c r="O1127" s="13"/>
      <c r="P1127" s="14"/>
      <c r="Q1127" s="13"/>
      <c r="R1127" s="14" t="s">
        <v>57</v>
      </c>
      <c r="S1127" s="15" t="str">
        <f>"－"</f>
        <v>－</v>
      </c>
      <c r="T1127" s="16" t="str">
        <f>"－"</f>
        <v>－</v>
      </c>
      <c r="U1127" s="16"/>
      <c r="V1127" s="16" t="str">
        <f>"－"</f>
        <v>－</v>
      </c>
      <c r="W1127" s="16"/>
      <c r="X1127" s="16" t="str">
        <f>"－"</f>
        <v>－</v>
      </c>
      <c r="Y1127" s="13"/>
      <c r="Z1127" s="17" t="n">
        <f>4481</f>
        <v>4481.0</v>
      </c>
      <c r="AA1127" s="18" t="str">
        <f>"－"</f>
        <v>－</v>
      </c>
      <c r="AB1127" s="11" t="s">
        <v>500</v>
      </c>
    </row>
    <row r="1128">
      <c r="A1128" s="11" t="s">
        <v>46</v>
      </c>
      <c r="B1128" s="11" t="s">
        <v>47</v>
      </c>
      <c r="C1128" s="11" t="s">
        <v>48</v>
      </c>
      <c r="D1128" s="11" t="s">
        <v>651</v>
      </c>
      <c r="E1128" s="11" t="s">
        <v>499</v>
      </c>
      <c r="F1128" s="12" t="n">
        <v>27500.0</v>
      </c>
      <c r="G1128" s="13"/>
      <c r="H1128" s="14" t="s">
        <v>57</v>
      </c>
      <c r="I1128" s="13"/>
      <c r="J1128" s="14" t="s">
        <v>57</v>
      </c>
      <c r="K1128" s="13"/>
      <c r="L1128" s="14"/>
      <c r="M1128" s="13"/>
      <c r="N1128" s="14" t="s">
        <v>57</v>
      </c>
      <c r="O1128" s="13"/>
      <c r="P1128" s="14"/>
      <c r="Q1128" s="13"/>
      <c r="R1128" s="14" t="s">
        <v>57</v>
      </c>
      <c r="S1128" s="15" t="str">
        <f>"－"</f>
        <v>－</v>
      </c>
      <c r="T1128" s="16" t="str">
        <f>"－"</f>
        <v>－</v>
      </c>
      <c r="U1128" s="16"/>
      <c r="V1128" s="16" t="str">
        <f>"－"</f>
        <v>－</v>
      </c>
      <c r="W1128" s="16"/>
      <c r="X1128" s="16" t="str">
        <f>"－"</f>
        <v>－</v>
      </c>
      <c r="Y1128" s="13"/>
      <c r="Z1128" s="17" t="n">
        <f>2</f>
        <v>2.0</v>
      </c>
      <c r="AA1128" s="18" t="str">
        <f>"－"</f>
        <v>－</v>
      </c>
      <c r="AB1128" s="11" t="s">
        <v>500</v>
      </c>
    </row>
    <row r="1129">
      <c r="A1129" s="11" t="s">
        <v>46</v>
      </c>
      <c r="B1129" s="11" t="s">
        <v>47</v>
      </c>
      <c r="C1129" s="11" t="s">
        <v>48</v>
      </c>
      <c r="D1129" s="11" t="s">
        <v>651</v>
      </c>
      <c r="E1129" s="11" t="s">
        <v>499</v>
      </c>
      <c r="F1129" s="12" t="n">
        <v>28000.0</v>
      </c>
      <c r="G1129" s="13"/>
      <c r="H1129" s="14" t="s">
        <v>57</v>
      </c>
      <c r="I1129" s="13"/>
      <c r="J1129" s="14" t="s">
        <v>57</v>
      </c>
      <c r="K1129" s="13" t="s">
        <v>50</v>
      </c>
      <c r="L1129" s="14" t="s">
        <v>321</v>
      </c>
      <c r="M1129" s="13"/>
      <c r="N1129" s="14" t="s">
        <v>57</v>
      </c>
      <c r="O1129" s="13" t="s">
        <v>50</v>
      </c>
      <c r="P1129" s="14" t="s">
        <v>321</v>
      </c>
      <c r="Q1129" s="13"/>
      <c r="R1129" s="14" t="s">
        <v>57</v>
      </c>
      <c r="S1129" s="15" t="str">
        <f>"－"</f>
        <v>－</v>
      </c>
      <c r="T1129" s="16" t="n">
        <f>100</f>
        <v>100.0</v>
      </c>
      <c r="U1129" s="16" t="n">
        <v>100.0</v>
      </c>
      <c r="V1129" s="16" t="n">
        <f>160000000</f>
        <v>1.6E8</v>
      </c>
      <c r="W1129" s="16" t="n">
        <v>1.6E8</v>
      </c>
      <c r="X1129" s="16" t="str">
        <f>"－"</f>
        <v>－</v>
      </c>
      <c r="Y1129" s="13"/>
      <c r="Z1129" s="17" t="n">
        <f>600</f>
        <v>600.0</v>
      </c>
      <c r="AA1129" s="18" t="str">
        <f>"－"</f>
        <v>－</v>
      </c>
      <c r="AB1129" s="11" t="s">
        <v>500</v>
      </c>
    </row>
    <row r="1130">
      <c r="A1130" s="11" t="s">
        <v>46</v>
      </c>
      <c r="B1130" s="11" t="s">
        <v>47</v>
      </c>
      <c r="C1130" s="11" t="s">
        <v>48</v>
      </c>
      <c r="D1130" s="11" t="s">
        <v>651</v>
      </c>
      <c r="E1130" s="11" t="s">
        <v>499</v>
      </c>
      <c r="F1130" s="12" t="n">
        <v>28250.0</v>
      </c>
      <c r="G1130" s="13"/>
      <c r="H1130" s="14" t="s">
        <v>57</v>
      </c>
      <c r="I1130" s="13"/>
      <c r="J1130" s="14" t="s">
        <v>57</v>
      </c>
      <c r="K1130" s="13"/>
      <c r="L1130" s="14"/>
      <c r="M1130" s="13"/>
      <c r="N1130" s="14" t="s">
        <v>57</v>
      </c>
      <c r="O1130" s="13"/>
      <c r="P1130" s="14"/>
      <c r="Q1130" s="13"/>
      <c r="R1130" s="14" t="s">
        <v>57</v>
      </c>
      <c r="S1130" s="15" t="str">
        <f>"－"</f>
        <v>－</v>
      </c>
      <c r="T1130" s="16" t="str">
        <f>"－"</f>
        <v>－</v>
      </c>
      <c r="U1130" s="16"/>
      <c r="V1130" s="16" t="str">
        <f>"－"</f>
        <v>－</v>
      </c>
      <c r="W1130" s="16"/>
      <c r="X1130" s="16" t="str">
        <f>"－"</f>
        <v>－</v>
      </c>
      <c r="Y1130" s="13"/>
      <c r="Z1130" s="17" t="n">
        <f>100</f>
        <v>100.0</v>
      </c>
      <c r="AA1130" s="18" t="str">
        <f>"－"</f>
        <v>－</v>
      </c>
      <c r="AB1130" s="11" t="s">
        <v>500</v>
      </c>
    </row>
    <row r="1131">
      <c r="A1131" s="11" t="s">
        <v>46</v>
      </c>
      <c r="B1131" s="11" t="s">
        <v>47</v>
      </c>
      <c r="C1131" s="11" t="s">
        <v>48</v>
      </c>
      <c r="D1131" s="11" t="s">
        <v>651</v>
      </c>
      <c r="E1131" s="11" t="s">
        <v>499</v>
      </c>
      <c r="F1131" s="12" t="n">
        <v>28500.0</v>
      </c>
      <c r="G1131" s="13"/>
      <c r="H1131" s="14" t="s">
        <v>57</v>
      </c>
      <c r="I1131" s="13"/>
      <c r="J1131" s="14" t="s">
        <v>57</v>
      </c>
      <c r="K1131" s="13"/>
      <c r="L1131" s="14"/>
      <c r="M1131" s="13"/>
      <c r="N1131" s="14" t="s">
        <v>57</v>
      </c>
      <c r="O1131" s="13"/>
      <c r="P1131" s="14"/>
      <c r="Q1131" s="13"/>
      <c r="R1131" s="14" t="s">
        <v>57</v>
      </c>
      <c r="S1131" s="15" t="str">
        <f>"－"</f>
        <v>－</v>
      </c>
      <c r="T1131" s="16" t="str">
        <f>"－"</f>
        <v>－</v>
      </c>
      <c r="U1131" s="16"/>
      <c r="V1131" s="16" t="str">
        <f>"－"</f>
        <v>－</v>
      </c>
      <c r="W1131" s="16"/>
      <c r="X1131" s="16" t="str">
        <f>"－"</f>
        <v>－</v>
      </c>
      <c r="Y1131" s="13"/>
      <c r="Z1131" s="17" t="n">
        <f>170</f>
        <v>170.0</v>
      </c>
      <c r="AA1131" s="18" t="str">
        <f>"－"</f>
        <v>－</v>
      </c>
      <c r="AB1131" s="11" t="s">
        <v>500</v>
      </c>
    </row>
    <row r="1132">
      <c r="A1132" s="11" t="s">
        <v>46</v>
      </c>
      <c r="B1132" s="11" t="s">
        <v>47</v>
      </c>
      <c r="C1132" s="11" t="s">
        <v>48</v>
      </c>
      <c r="D1132" s="11" t="s">
        <v>651</v>
      </c>
      <c r="E1132" s="11" t="s">
        <v>499</v>
      </c>
      <c r="F1132" s="12" t="n">
        <v>28750.0</v>
      </c>
      <c r="G1132" s="13"/>
      <c r="H1132" s="14" t="s">
        <v>57</v>
      </c>
      <c r="I1132" s="13"/>
      <c r="J1132" s="14" t="s">
        <v>57</v>
      </c>
      <c r="K1132" s="13"/>
      <c r="L1132" s="14"/>
      <c r="M1132" s="13"/>
      <c r="N1132" s="14" t="s">
        <v>57</v>
      </c>
      <c r="O1132" s="13"/>
      <c r="P1132" s="14"/>
      <c r="Q1132" s="13"/>
      <c r="R1132" s="14" t="s">
        <v>57</v>
      </c>
      <c r="S1132" s="15" t="str">
        <f>"－"</f>
        <v>－</v>
      </c>
      <c r="T1132" s="16" t="str">
        <f>"－"</f>
        <v>－</v>
      </c>
      <c r="U1132" s="16"/>
      <c r="V1132" s="16" t="str">
        <f>"－"</f>
        <v>－</v>
      </c>
      <c r="W1132" s="16"/>
      <c r="X1132" s="16" t="str">
        <f>"－"</f>
        <v>－</v>
      </c>
      <c r="Y1132" s="13"/>
      <c r="Z1132" s="17" t="n">
        <f>1500</f>
        <v>1500.0</v>
      </c>
      <c r="AA1132" s="18" t="str">
        <f>"－"</f>
        <v>－</v>
      </c>
      <c r="AB1132" s="11" t="s">
        <v>500</v>
      </c>
    </row>
    <row r="1133">
      <c r="A1133" s="11" t="s">
        <v>46</v>
      </c>
      <c r="B1133" s="11" t="s">
        <v>47</v>
      </c>
      <c r="C1133" s="11" t="s">
        <v>48</v>
      </c>
      <c r="D1133" s="11" t="s">
        <v>651</v>
      </c>
      <c r="E1133" s="11" t="s">
        <v>499</v>
      </c>
      <c r="F1133" s="12" t="n">
        <v>29000.0</v>
      </c>
      <c r="G1133" s="13"/>
      <c r="H1133" s="14" t="s">
        <v>57</v>
      </c>
      <c r="I1133" s="13"/>
      <c r="J1133" s="14" t="s">
        <v>57</v>
      </c>
      <c r="K1133" s="13" t="s">
        <v>56</v>
      </c>
      <c r="L1133" s="14" t="s">
        <v>812</v>
      </c>
      <c r="M1133" s="13"/>
      <c r="N1133" s="14" t="s">
        <v>57</v>
      </c>
      <c r="O1133" s="13" t="s">
        <v>56</v>
      </c>
      <c r="P1133" s="14" t="s">
        <v>812</v>
      </c>
      <c r="Q1133" s="13"/>
      <c r="R1133" s="14" t="s">
        <v>57</v>
      </c>
      <c r="S1133" s="15" t="str">
        <f>"－"</f>
        <v>－</v>
      </c>
      <c r="T1133" s="16" t="n">
        <f>60</f>
        <v>60.0</v>
      </c>
      <c r="U1133" s="16" t="n">
        <v>60.0</v>
      </c>
      <c r="V1133" s="16" t="n">
        <f>123300000</f>
        <v>1.233E8</v>
      </c>
      <c r="W1133" s="16" t="n">
        <v>1.233E8</v>
      </c>
      <c r="X1133" s="16" t="str">
        <f>"－"</f>
        <v>－</v>
      </c>
      <c r="Y1133" s="13"/>
      <c r="Z1133" s="17" t="n">
        <f>100</f>
        <v>100.0</v>
      </c>
      <c r="AA1133" s="18" t="str">
        <f>"－"</f>
        <v>－</v>
      </c>
      <c r="AB1133" s="11" t="s">
        <v>500</v>
      </c>
    </row>
    <row r="1134">
      <c r="A1134" s="11" t="s">
        <v>46</v>
      </c>
      <c r="B1134" s="11" t="s">
        <v>47</v>
      </c>
      <c r="C1134" s="11" t="s">
        <v>48</v>
      </c>
      <c r="D1134" s="11" t="s">
        <v>651</v>
      </c>
      <c r="E1134" s="11" t="s">
        <v>499</v>
      </c>
      <c r="F1134" s="12" t="n">
        <v>30000.0</v>
      </c>
      <c r="G1134" s="13"/>
      <c r="H1134" s="14" t="s">
        <v>57</v>
      </c>
      <c r="I1134" s="13"/>
      <c r="J1134" s="14" t="s">
        <v>57</v>
      </c>
      <c r="K1134" s="13" t="s">
        <v>210</v>
      </c>
      <c r="L1134" s="14" t="s">
        <v>813</v>
      </c>
      <c r="M1134" s="13"/>
      <c r="N1134" s="14" t="s">
        <v>57</v>
      </c>
      <c r="O1134" s="13" t="s">
        <v>55</v>
      </c>
      <c r="P1134" s="14" t="s">
        <v>773</v>
      </c>
      <c r="Q1134" s="13"/>
      <c r="R1134" s="14" t="s">
        <v>57</v>
      </c>
      <c r="S1134" s="15" t="str">
        <f>"－"</f>
        <v>－</v>
      </c>
      <c r="T1134" s="16" t="n">
        <f>1350</f>
        <v>1350.0</v>
      </c>
      <c r="U1134" s="16" t="n">
        <v>1350.0</v>
      </c>
      <c r="V1134" s="16" t="n">
        <f>1646550000</f>
        <v>1.64655E9</v>
      </c>
      <c r="W1134" s="16" t="n">
        <v>1.64655E9</v>
      </c>
      <c r="X1134" s="16" t="str">
        <f>"－"</f>
        <v>－</v>
      </c>
      <c r="Y1134" s="13"/>
      <c r="Z1134" s="17" t="n">
        <f>6150</f>
        <v>6150.0</v>
      </c>
      <c r="AA1134" s="18" t="str">
        <f>"－"</f>
        <v>－</v>
      </c>
      <c r="AB1134" s="11" t="s">
        <v>500</v>
      </c>
    </row>
    <row r="1135">
      <c r="A1135" s="11" t="s">
        <v>46</v>
      </c>
      <c r="B1135" s="11" t="s">
        <v>47</v>
      </c>
      <c r="C1135" s="11" t="s">
        <v>48</v>
      </c>
      <c r="D1135" s="11" t="s">
        <v>651</v>
      </c>
      <c r="E1135" s="11" t="s">
        <v>499</v>
      </c>
      <c r="F1135" s="12" t="n">
        <v>30250.0</v>
      </c>
      <c r="G1135" s="13" t="s">
        <v>211</v>
      </c>
      <c r="H1135" s="14" t="s">
        <v>445</v>
      </c>
      <c r="I1135" s="13" t="s">
        <v>211</v>
      </c>
      <c r="J1135" s="14" t="s">
        <v>445</v>
      </c>
      <c r="K1135" s="13"/>
      <c r="L1135" s="14"/>
      <c r="M1135" s="13" t="s">
        <v>211</v>
      </c>
      <c r="N1135" s="14" t="s">
        <v>553</v>
      </c>
      <c r="O1135" s="13"/>
      <c r="P1135" s="14"/>
      <c r="Q1135" s="13" t="s">
        <v>211</v>
      </c>
      <c r="R1135" s="14" t="s">
        <v>553</v>
      </c>
      <c r="S1135" s="15" t="n">
        <f>1740</f>
        <v>1740.0</v>
      </c>
      <c r="T1135" s="16" t="n">
        <f>40</f>
        <v>40.0</v>
      </c>
      <c r="U1135" s="16"/>
      <c r="V1135" s="16" t="n">
        <f>71400000</f>
        <v>7.14E7</v>
      </c>
      <c r="W1135" s="16"/>
      <c r="X1135" s="16" t="str">
        <f>"－"</f>
        <v>－</v>
      </c>
      <c r="Y1135" s="13"/>
      <c r="Z1135" s="17" t="n">
        <f>40</f>
        <v>40.0</v>
      </c>
      <c r="AA1135" s="18" t="n">
        <f>1</f>
        <v>1.0</v>
      </c>
      <c r="AB1135" s="11" t="s">
        <v>500</v>
      </c>
    </row>
    <row r="1136">
      <c r="A1136" s="11" t="s">
        <v>46</v>
      </c>
      <c r="B1136" s="11" t="s">
        <v>47</v>
      </c>
      <c r="C1136" s="11" t="s">
        <v>48</v>
      </c>
      <c r="D1136" s="11" t="s">
        <v>651</v>
      </c>
      <c r="E1136" s="11" t="s">
        <v>499</v>
      </c>
      <c r="F1136" s="12" t="n">
        <v>30500.0</v>
      </c>
      <c r="G1136" s="13"/>
      <c r="H1136" s="14" t="s">
        <v>57</v>
      </c>
      <c r="I1136" s="13"/>
      <c r="J1136" s="14" t="s">
        <v>57</v>
      </c>
      <c r="K1136" s="13" t="s">
        <v>204</v>
      </c>
      <c r="L1136" s="14" t="s">
        <v>604</v>
      </c>
      <c r="M1136" s="13"/>
      <c r="N1136" s="14" t="s">
        <v>57</v>
      </c>
      <c r="O1136" s="13" t="s">
        <v>204</v>
      </c>
      <c r="P1136" s="14" t="s">
        <v>604</v>
      </c>
      <c r="Q1136" s="13"/>
      <c r="R1136" s="14" t="s">
        <v>57</v>
      </c>
      <c r="S1136" s="15" t="str">
        <f>"－"</f>
        <v>－</v>
      </c>
      <c r="T1136" s="16" t="n">
        <f>250</f>
        <v>250.0</v>
      </c>
      <c r="U1136" s="16" t="n">
        <v>250.0</v>
      </c>
      <c r="V1136" s="16" t="n">
        <f>393750000</f>
        <v>3.9375E8</v>
      </c>
      <c r="W1136" s="16" t="n">
        <v>3.9375E8</v>
      </c>
      <c r="X1136" s="16" t="str">
        <f>"－"</f>
        <v>－</v>
      </c>
      <c r="Y1136" s="13"/>
      <c r="Z1136" s="17" t="n">
        <f>400</f>
        <v>400.0</v>
      </c>
      <c r="AA1136" s="18" t="str">
        <f>"－"</f>
        <v>－</v>
      </c>
      <c r="AB1136" s="11" t="s">
        <v>500</v>
      </c>
    </row>
    <row r="1137">
      <c r="A1137" s="11" t="s">
        <v>46</v>
      </c>
      <c r="B1137" s="11" t="s">
        <v>47</v>
      </c>
      <c r="C1137" s="11" t="s">
        <v>48</v>
      </c>
      <c r="D1137" s="11" t="s">
        <v>651</v>
      </c>
      <c r="E1137" s="11" t="s">
        <v>499</v>
      </c>
      <c r="F1137" s="12" t="n">
        <v>30750.0</v>
      </c>
      <c r="G1137" s="13"/>
      <c r="H1137" s="14" t="s">
        <v>57</v>
      </c>
      <c r="I1137" s="13"/>
      <c r="J1137" s="14" t="s">
        <v>57</v>
      </c>
      <c r="K1137" s="13"/>
      <c r="L1137" s="14"/>
      <c r="M1137" s="13"/>
      <c r="N1137" s="14" t="s">
        <v>57</v>
      </c>
      <c r="O1137" s="13"/>
      <c r="P1137" s="14"/>
      <c r="Q1137" s="13"/>
      <c r="R1137" s="14" t="s">
        <v>57</v>
      </c>
      <c r="S1137" s="15" t="str">
        <f>"－"</f>
        <v>－</v>
      </c>
      <c r="T1137" s="16" t="str">
        <f>"－"</f>
        <v>－</v>
      </c>
      <c r="U1137" s="16"/>
      <c r="V1137" s="16" t="str">
        <f>"－"</f>
        <v>－</v>
      </c>
      <c r="W1137" s="16"/>
      <c r="X1137" s="16" t="str">
        <f>"－"</f>
        <v>－</v>
      </c>
      <c r="Y1137" s="13"/>
      <c r="Z1137" s="17" t="n">
        <f>1035</f>
        <v>1035.0</v>
      </c>
      <c r="AA1137" s="18" t="str">
        <f>"－"</f>
        <v>－</v>
      </c>
      <c r="AB1137" s="11" t="s">
        <v>500</v>
      </c>
    </row>
    <row r="1138">
      <c r="A1138" s="11" t="s">
        <v>46</v>
      </c>
      <c r="B1138" s="11" t="s">
        <v>47</v>
      </c>
      <c r="C1138" s="11" t="s">
        <v>48</v>
      </c>
      <c r="D1138" s="11" t="s">
        <v>651</v>
      </c>
      <c r="E1138" s="11" t="s">
        <v>499</v>
      </c>
      <c r="F1138" s="12" t="n">
        <v>31000.0</v>
      </c>
      <c r="G1138" s="13"/>
      <c r="H1138" s="14" t="s">
        <v>57</v>
      </c>
      <c r="I1138" s="13"/>
      <c r="J1138" s="14" t="s">
        <v>57</v>
      </c>
      <c r="K1138" s="13" t="s">
        <v>215</v>
      </c>
      <c r="L1138" s="14" t="s">
        <v>814</v>
      </c>
      <c r="M1138" s="13"/>
      <c r="N1138" s="14" t="s">
        <v>57</v>
      </c>
      <c r="O1138" s="13" t="s">
        <v>60</v>
      </c>
      <c r="P1138" s="14" t="s">
        <v>297</v>
      </c>
      <c r="Q1138" s="13"/>
      <c r="R1138" s="14" t="s">
        <v>57</v>
      </c>
      <c r="S1138" s="15" t="str">
        <f>"－"</f>
        <v>－</v>
      </c>
      <c r="T1138" s="16" t="n">
        <f>2250</f>
        <v>2250.0</v>
      </c>
      <c r="U1138" s="16" t="n">
        <v>2250.0</v>
      </c>
      <c r="V1138" s="16" t="n">
        <f>2237370000</f>
        <v>2.23737E9</v>
      </c>
      <c r="W1138" s="16" t="n">
        <v>2.23737E9</v>
      </c>
      <c r="X1138" s="16" t="str">
        <f>"－"</f>
        <v>－</v>
      </c>
      <c r="Y1138" s="13"/>
      <c r="Z1138" s="17" t="n">
        <f>2275</f>
        <v>2275.0</v>
      </c>
      <c r="AA1138" s="18" t="str">
        <f>"－"</f>
        <v>－</v>
      </c>
      <c r="AB1138" s="11" t="s">
        <v>500</v>
      </c>
    </row>
    <row r="1139">
      <c r="A1139" s="11" t="s">
        <v>46</v>
      </c>
      <c r="B1139" s="11" t="s">
        <v>47</v>
      </c>
      <c r="C1139" s="11" t="s">
        <v>48</v>
      </c>
      <c r="D1139" s="11" t="s">
        <v>651</v>
      </c>
      <c r="E1139" s="11" t="s">
        <v>499</v>
      </c>
      <c r="F1139" s="12" t="n">
        <v>31250.0</v>
      </c>
      <c r="G1139" s="13" t="s">
        <v>288</v>
      </c>
      <c r="H1139" s="14" t="s">
        <v>515</v>
      </c>
      <c r="I1139" s="13" t="s">
        <v>288</v>
      </c>
      <c r="J1139" s="14" t="s">
        <v>515</v>
      </c>
      <c r="K1139" s="13"/>
      <c r="L1139" s="14"/>
      <c r="M1139" s="13" t="s">
        <v>208</v>
      </c>
      <c r="N1139" s="14" t="s">
        <v>438</v>
      </c>
      <c r="O1139" s="13"/>
      <c r="P1139" s="14"/>
      <c r="Q1139" s="13" t="s">
        <v>208</v>
      </c>
      <c r="R1139" s="14" t="s">
        <v>438</v>
      </c>
      <c r="S1139" s="15" t="n">
        <f>1355</f>
        <v>1355.0</v>
      </c>
      <c r="T1139" s="16" t="n">
        <f>40</f>
        <v>40.0</v>
      </c>
      <c r="U1139" s="16"/>
      <c r="V1139" s="16" t="n">
        <f>54200000</f>
        <v>5.42E7</v>
      </c>
      <c r="W1139" s="16"/>
      <c r="X1139" s="16" t="str">
        <f>"－"</f>
        <v>－</v>
      </c>
      <c r="Y1139" s="13"/>
      <c r="Z1139" s="17" t="str">
        <f>"－"</f>
        <v>－</v>
      </c>
      <c r="AA1139" s="18" t="n">
        <f>2</f>
        <v>2.0</v>
      </c>
      <c r="AB1139" s="11" t="s">
        <v>500</v>
      </c>
    </row>
    <row r="1140">
      <c r="A1140" s="11" t="s">
        <v>46</v>
      </c>
      <c r="B1140" s="11" t="s">
        <v>47</v>
      </c>
      <c r="C1140" s="11" t="s">
        <v>48</v>
      </c>
      <c r="D1140" s="11" t="s">
        <v>651</v>
      </c>
      <c r="E1140" s="11" t="s">
        <v>499</v>
      </c>
      <c r="F1140" s="12" t="n">
        <v>31500.0</v>
      </c>
      <c r="G1140" s="13"/>
      <c r="H1140" s="14" t="s">
        <v>57</v>
      </c>
      <c r="I1140" s="13"/>
      <c r="J1140" s="14" t="s">
        <v>57</v>
      </c>
      <c r="K1140" s="13" t="s">
        <v>207</v>
      </c>
      <c r="L1140" s="14" t="s">
        <v>815</v>
      </c>
      <c r="M1140" s="13"/>
      <c r="N1140" s="14" t="s">
        <v>57</v>
      </c>
      <c r="O1140" s="13" t="s">
        <v>202</v>
      </c>
      <c r="P1140" s="14" t="s">
        <v>816</v>
      </c>
      <c r="Q1140" s="13"/>
      <c r="R1140" s="14" t="s">
        <v>57</v>
      </c>
      <c r="S1140" s="15" t="str">
        <f>"－"</f>
        <v>－</v>
      </c>
      <c r="T1140" s="16" t="n">
        <f>500</f>
        <v>500.0</v>
      </c>
      <c r="U1140" s="16" t="n">
        <v>500.0</v>
      </c>
      <c r="V1140" s="16" t="n">
        <f>599700000</f>
        <v>5.997E8</v>
      </c>
      <c r="W1140" s="16" t="n">
        <v>5.997E8</v>
      </c>
      <c r="X1140" s="16" t="str">
        <f>"－"</f>
        <v>－</v>
      </c>
      <c r="Y1140" s="13"/>
      <c r="Z1140" s="17" t="n">
        <f>1300</f>
        <v>1300.0</v>
      </c>
      <c r="AA1140" s="18" t="str">
        <f>"－"</f>
        <v>－</v>
      </c>
      <c r="AB1140" s="11" t="s">
        <v>500</v>
      </c>
    </row>
    <row r="1141">
      <c r="A1141" s="11" t="s">
        <v>46</v>
      </c>
      <c r="B1141" s="11" t="s">
        <v>47</v>
      </c>
      <c r="C1141" s="11" t="s">
        <v>48</v>
      </c>
      <c r="D1141" s="11" t="s">
        <v>651</v>
      </c>
      <c r="E1141" s="11" t="s">
        <v>499</v>
      </c>
      <c r="F1141" s="12" t="n">
        <v>31750.0</v>
      </c>
      <c r="G1141" s="13" t="s">
        <v>208</v>
      </c>
      <c r="H1141" s="14" t="s">
        <v>301</v>
      </c>
      <c r="I1141" s="13" t="s">
        <v>208</v>
      </c>
      <c r="J1141" s="14" t="s">
        <v>301</v>
      </c>
      <c r="K1141" s="13"/>
      <c r="L1141" s="14"/>
      <c r="M1141" s="13" t="s">
        <v>208</v>
      </c>
      <c r="N1141" s="14" t="s">
        <v>301</v>
      </c>
      <c r="O1141" s="13"/>
      <c r="P1141" s="14"/>
      <c r="Q1141" s="13" t="s">
        <v>208</v>
      </c>
      <c r="R1141" s="14" t="s">
        <v>301</v>
      </c>
      <c r="S1141" s="15" t="n">
        <f>1090</f>
        <v>1090.0</v>
      </c>
      <c r="T1141" s="16" t="n">
        <f>20</f>
        <v>20.0</v>
      </c>
      <c r="U1141" s="16"/>
      <c r="V1141" s="16" t="n">
        <f>21800000</f>
        <v>2.18E7</v>
      </c>
      <c r="W1141" s="16"/>
      <c r="X1141" s="16" t="str">
        <f>"－"</f>
        <v>－</v>
      </c>
      <c r="Y1141" s="13"/>
      <c r="Z1141" s="17" t="str">
        <f>"－"</f>
        <v>－</v>
      </c>
      <c r="AA1141" s="18" t="n">
        <f>1</f>
        <v>1.0</v>
      </c>
      <c r="AB1141" s="11" t="s">
        <v>500</v>
      </c>
    </row>
    <row r="1142">
      <c r="A1142" s="11" t="s">
        <v>46</v>
      </c>
      <c r="B1142" s="11" t="s">
        <v>47</v>
      </c>
      <c r="C1142" s="11" t="s">
        <v>48</v>
      </c>
      <c r="D1142" s="11" t="s">
        <v>651</v>
      </c>
      <c r="E1142" s="11" t="s">
        <v>499</v>
      </c>
      <c r="F1142" s="12" t="n">
        <v>32000.0</v>
      </c>
      <c r="G1142" s="13"/>
      <c r="H1142" s="14" t="s">
        <v>57</v>
      </c>
      <c r="I1142" s="13"/>
      <c r="J1142" s="14" t="s">
        <v>57</v>
      </c>
      <c r="K1142" s="13" t="s">
        <v>288</v>
      </c>
      <c r="L1142" s="14" t="s">
        <v>817</v>
      </c>
      <c r="M1142" s="13"/>
      <c r="N1142" s="14" t="s">
        <v>57</v>
      </c>
      <c r="O1142" s="13" t="s">
        <v>288</v>
      </c>
      <c r="P1142" s="14" t="s">
        <v>817</v>
      </c>
      <c r="Q1142" s="13"/>
      <c r="R1142" s="14" t="s">
        <v>57</v>
      </c>
      <c r="S1142" s="15" t="str">
        <f>"－"</f>
        <v>－</v>
      </c>
      <c r="T1142" s="16" t="n">
        <f>100</f>
        <v>100.0</v>
      </c>
      <c r="U1142" s="16" t="n">
        <v>100.0</v>
      </c>
      <c r="V1142" s="16" t="n">
        <f>118200000</f>
        <v>1.182E8</v>
      </c>
      <c r="W1142" s="16" t="n">
        <v>1.182E8</v>
      </c>
      <c r="X1142" s="16" t="str">
        <f>"－"</f>
        <v>－</v>
      </c>
      <c r="Y1142" s="13"/>
      <c r="Z1142" s="17" t="n">
        <f>100</f>
        <v>100.0</v>
      </c>
      <c r="AA1142" s="18" t="str">
        <f>"－"</f>
        <v>－</v>
      </c>
      <c r="AB1142" s="11" t="s">
        <v>500</v>
      </c>
    </row>
    <row r="1143">
      <c r="A1143" s="11" t="s">
        <v>46</v>
      </c>
      <c r="B1143" s="11" t="s">
        <v>47</v>
      </c>
      <c r="C1143" s="11" t="s">
        <v>48</v>
      </c>
      <c r="D1143" s="11" t="s">
        <v>651</v>
      </c>
      <c r="E1143" s="11" t="s">
        <v>499</v>
      </c>
      <c r="F1143" s="12" t="n">
        <v>32750.0</v>
      </c>
      <c r="G1143" s="13"/>
      <c r="H1143" s="14" t="s">
        <v>57</v>
      </c>
      <c r="I1143" s="13"/>
      <c r="J1143" s="14" t="s">
        <v>57</v>
      </c>
      <c r="K1143" s="13" t="s">
        <v>202</v>
      </c>
      <c r="L1143" s="14" t="s">
        <v>818</v>
      </c>
      <c r="M1143" s="13"/>
      <c r="N1143" s="14" t="s">
        <v>57</v>
      </c>
      <c r="O1143" s="13" t="s">
        <v>63</v>
      </c>
      <c r="P1143" s="14" t="s">
        <v>187</v>
      </c>
      <c r="Q1143" s="13"/>
      <c r="R1143" s="14" t="s">
        <v>57</v>
      </c>
      <c r="S1143" s="15" t="str">
        <f>"－"</f>
        <v>－</v>
      </c>
      <c r="T1143" s="16" t="n">
        <f>1500</f>
        <v>1500.0</v>
      </c>
      <c r="U1143" s="16" t="n">
        <v>1500.0</v>
      </c>
      <c r="V1143" s="16" t="n">
        <f>956125000</f>
        <v>9.56125E8</v>
      </c>
      <c r="W1143" s="16" t="n">
        <v>9.56125E8</v>
      </c>
      <c r="X1143" s="16" t="str">
        <f>"－"</f>
        <v>－</v>
      </c>
      <c r="Y1143" s="13"/>
      <c r="Z1143" s="17" t="n">
        <f>1500</f>
        <v>1500.0</v>
      </c>
      <c r="AA1143" s="18" t="str">
        <f>"－"</f>
        <v>－</v>
      </c>
      <c r="AB1143" s="11" t="s">
        <v>500</v>
      </c>
    </row>
    <row r="1144">
      <c r="A1144" s="11" t="s">
        <v>46</v>
      </c>
      <c r="B1144" s="11" t="s">
        <v>47</v>
      </c>
      <c r="C1144" s="11" t="s">
        <v>48</v>
      </c>
      <c r="D1144" s="11" t="s">
        <v>651</v>
      </c>
      <c r="E1144" s="11" t="s">
        <v>499</v>
      </c>
      <c r="F1144" s="12" t="n">
        <v>34000.0</v>
      </c>
      <c r="G1144" s="13"/>
      <c r="H1144" s="14" t="s">
        <v>57</v>
      </c>
      <c r="I1144" s="13"/>
      <c r="J1144" s="14" t="s">
        <v>57</v>
      </c>
      <c r="K1144" s="13" t="s">
        <v>207</v>
      </c>
      <c r="L1144" s="14" t="s">
        <v>790</v>
      </c>
      <c r="M1144" s="13"/>
      <c r="N1144" s="14" t="s">
        <v>57</v>
      </c>
      <c r="O1144" s="13" t="s">
        <v>208</v>
      </c>
      <c r="P1144" s="14" t="s">
        <v>819</v>
      </c>
      <c r="Q1144" s="13"/>
      <c r="R1144" s="14" t="s">
        <v>57</v>
      </c>
      <c r="S1144" s="15" t="str">
        <f>"－"</f>
        <v>－</v>
      </c>
      <c r="T1144" s="16" t="n">
        <f>400</f>
        <v>400.0</v>
      </c>
      <c r="U1144" s="16" t="n">
        <v>400.0</v>
      </c>
      <c r="V1144" s="16" t="n">
        <f>213900000</f>
        <v>2.139E8</v>
      </c>
      <c r="W1144" s="16" t="n">
        <v>2.139E8</v>
      </c>
      <c r="X1144" s="16" t="str">
        <f>"－"</f>
        <v>－</v>
      </c>
      <c r="Y1144" s="13"/>
      <c r="Z1144" s="17" t="n">
        <f>400</f>
        <v>400.0</v>
      </c>
      <c r="AA1144" s="18" t="str">
        <f>"－"</f>
        <v>－</v>
      </c>
      <c r="AB1144" s="11" t="s">
        <v>500</v>
      </c>
    </row>
    <row r="1145">
      <c r="A1145" s="11" t="s">
        <v>46</v>
      </c>
      <c r="B1145" s="11" t="s">
        <v>47</v>
      </c>
      <c r="C1145" s="11" t="s">
        <v>48</v>
      </c>
      <c r="D1145" s="11" t="s">
        <v>651</v>
      </c>
      <c r="E1145" s="11" t="s">
        <v>499</v>
      </c>
      <c r="F1145" s="12" t="n">
        <v>34250.0</v>
      </c>
      <c r="G1145" s="13" t="s">
        <v>210</v>
      </c>
      <c r="H1145" s="14" t="s">
        <v>426</v>
      </c>
      <c r="I1145" s="13" t="s">
        <v>210</v>
      </c>
      <c r="J1145" s="14" t="s">
        <v>426</v>
      </c>
      <c r="K1145" s="13"/>
      <c r="L1145" s="14"/>
      <c r="M1145" s="13" t="s">
        <v>210</v>
      </c>
      <c r="N1145" s="14" t="s">
        <v>426</v>
      </c>
      <c r="O1145" s="13"/>
      <c r="P1145" s="14"/>
      <c r="Q1145" s="13" t="s">
        <v>210</v>
      </c>
      <c r="R1145" s="14" t="s">
        <v>426</v>
      </c>
      <c r="S1145" s="15" t="n">
        <f>415</f>
        <v>415.0</v>
      </c>
      <c r="T1145" s="16" t="n">
        <f>5</f>
        <v>5.0</v>
      </c>
      <c r="U1145" s="16"/>
      <c r="V1145" s="16" t="n">
        <f>2075000</f>
        <v>2075000.0</v>
      </c>
      <c r="W1145" s="16"/>
      <c r="X1145" s="16" t="str">
        <f>"－"</f>
        <v>－</v>
      </c>
      <c r="Y1145" s="13"/>
      <c r="Z1145" s="17" t="str">
        <f>"－"</f>
        <v>－</v>
      </c>
      <c r="AA1145" s="18" t="n">
        <f>1</f>
        <v>1.0</v>
      </c>
      <c r="AB1145" s="11" t="s">
        <v>500</v>
      </c>
    </row>
    <row r="1146">
      <c r="A1146" s="11" t="s">
        <v>46</v>
      </c>
      <c r="B1146" s="11" t="s">
        <v>47</v>
      </c>
      <c r="C1146" s="11" t="s">
        <v>48</v>
      </c>
      <c r="D1146" s="11" t="s">
        <v>651</v>
      </c>
      <c r="E1146" s="11" t="s">
        <v>499</v>
      </c>
      <c r="F1146" s="12" t="n">
        <v>35000.0</v>
      </c>
      <c r="G1146" s="13" t="s">
        <v>52</v>
      </c>
      <c r="H1146" s="14" t="s">
        <v>133</v>
      </c>
      <c r="I1146" s="13" t="s">
        <v>207</v>
      </c>
      <c r="J1146" s="14" t="s">
        <v>309</v>
      </c>
      <c r="K1146" s="13" t="s">
        <v>202</v>
      </c>
      <c r="L1146" s="14" t="s">
        <v>820</v>
      </c>
      <c r="M1146" s="13" t="s">
        <v>52</v>
      </c>
      <c r="N1146" s="14" t="s">
        <v>133</v>
      </c>
      <c r="O1146" s="13" t="s">
        <v>56</v>
      </c>
      <c r="P1146" s="14" t="s">
        <v>821</v>
      </c>
      <c r="Q1146" s="13" t="s">
        <v>215</v>
      </c>
      <c r="R1146" s="14" t="s">
        <v>187</v>
      </c>
      <c r="S1146" s="15" t="n">
        <f>349.17</f>
        <v>349.17</v>
      </c>
      <c r="T1146" s="16" t="n">
        <f>2123</f>
        <v>2123.0</v>
      </c>
      <c r="U1146" s="16" t="n">
        <v>2075.0</v>
      </c>
      <c r="V1146" s="16" t="n">
        <f>767835000</f>
        <v>7.67835E8</v>
      </c>
      <c r="W1146" s="16" t="n">
        <v>7.47325E8</v>
      </c>
      <c r="X1146" s="16" t="str">
        <f>"－"</f>
        <v>－</v>
      </c>
      <c r="Y1146" s="13"/>
      <c r="Z1146" s="17" t="n">
        <f>2079</f>
        <v>2079.0</v>
      </c>
      <c r="AA1146" s="18" t="n">
        <f>6</f>
        <v>6.0</v>
      </c>
      <c r="AB1146" s="11" t="s">
        <v>500</v>
      </c>
    </row>
    <row r="1147">
      <c r="A1147" s="11" t="s">
        <v>46</v>
      </c>
      <c r="B1147" s="11" t="s">
        <v>47</v>
      </c>
      <c r="C1147" s="11" t="s">
        <v>48</v>
      </c>
      <c r="D1147" s="11" t="s">
        <v>651</v>
      </c>
      <c r="E1147" s="11" t="s">
        <v>524</v>
      </c>
      <c r="F1147" s="12" t="n">
        <v>28500.0</v>
      </c>
      <c r="G1147" s="13"/>
      <c r="H1147" s="14" t="s">
        <v>57</v>
      </c>
      <c r="I1147" s="13"/>
      <c r="J1147" s="14" t="s">
        <v>57</v>
      </c>
      <c r="K1147" s="13"/>
      <c r="L1147" s="14"/>
      <c r="M1147" s="13"/>
      <c r="N1147" s="14" t="s">
        <v>57</v>
      </c>
      <c r="O1147" s="13"/>
      <c r="P1147" s="14"/>
      <c r="Q1147" s="13"/>
      <c r="R1147" s="14" t="s">
        <v>57</v>
      </c>
      <c r="S1147" s="15" t="str">
        <f>"－"</f>
        <v>－</v>
      </c>
      <c r="T1147" s="16" t="str">
        <f>"－"</f>
        <v>－</v>
      </c>
      <c r="U1147" s="16"/>
      <c r="V1147" s="16" t="str">
        <f>"－"</f>
        <v>－</v>
      </c>
      <c r="W1147" s="16"/>
      <c r="X1147" s="16" t="str">
        <f>"－"</f>
        <v>－</v>
      </c>
      <c r="Y1147" s="13"/>
      <c r="Z1147" s="17" t="n">
        <f>19</f>
        <v>19.0</v>
      </c>
      <c r="AA1147" s="18" t="str">
        <f>"－"</f>
        <v>－</v>
      </c>
      <c r="AB1147" s="11" t="s">
        <v>525</v>
      </c>
    </row>
    <row r="1148">
      <c r="A1148" s="11" t="s">
        <v>46</v>
      </c>
      <c r="B1148" s="11" t="s">
        <v>47</v>
      </c>
      <c r="C1148" s="11" t="s">
        <v>48</v>
      </c>
      <c r="D1148" s="11" t="s">
        <v>651</v>
      </c>
      <c r="E1148" s="11" t="s">
        <v>526</v>
      </c>
      <c r="F1148" s="12" t="n">
        <v>11000.0</v>
      </c>
      <c r="G1148" s="13"/>
      <c r="H1148" s="14" t="s">
        <v>57</v>
      </c>
      <c r="I1148" s="13"/>
      <c r="J1148" s="14" t="s">
        <v>57</v>
      </c>
      <c r="K1148" s="13"/>
      <c r="L1148" s="14"/>
      <c r="M1148" s="13"/>
      <c r="N1148" s="14" t="s">
        <v>57</v>
      </c>
      <c r="O1148" s="13"/>
      <c r="P1148" s="14"/>
      <c r="Q1148" s="13"/>
      <c r="R1148" s="14" t="s">
        <v>57</v>
      </c>
      <c r="S1148" s="15" t="str">
        <f>"－"</f>
        <v>－</v>
      </c>
      <c r="T1148" s="16" t="str">
        <f>"－"</f>
        <v>－</v>
      </c>
      <c r="U1148" s="16"/>
      <c r="V1148" s="16" t="str">
        <f>"－"</f>
        <v>－</v>
      </c>
      <c r="W1148" s="16"/>
      <c r="X1148" s="16" t="str">
        <f>"－"</f>
        <v>－</v>
      </c>
      <c r="Y1148" s="13"/>
      <c r="Z1148" s="17" t="n">
        <f>800</f>
        <v>800.0</v>
      </c>
      <c r="AA1148" s="18" t="str">
        <f>"－"</f>
        <v>－</v>
      </c>
      <c r="AB1148" s="11" t="s">
        <v>527</v>
      </c>
    </row>
    <row r="1149">
      <c r="A1149" s="11" t="s">
        <v>46</v>
      </c>
      <c r="B1149" s="11" t="s">
        <v>47</v>
      </c>
      <c r="C1149" s="11" t="s">
        <v>48</v>
      </c>
      <c r="D1149" s="11" t="s">
        <v>651</v>
      </c>
      <c r="E1149" s="11" t="s">
        <v>526</v>
      </c>
      <c r="F1149" s="12" t="n">
        <v>13000.0</v>
      </c>
      <c r="G1149" s="13"/>
      <c r="H1149" s="14" t="s">
        <v>57</v>
      </c>
      <c r="I1149" s="13"/>
      <c r="J1149" s="14" t="s">
        <v>57</v>
      </c>
      <c r="K1149" s="13"/>
      <c r="L1149" s="14"/>
      <c r="M1149" s="13"/>
      <c r="N1149" s="14" t="s">
        <v>57</v>
      </c>
      <c r="O1149" s="13"/>
      <c r="P1149" s="14"/>
      <c r="Q1149" s="13"/>
      <c r="R1149" s="14" t="s">
        <v>57</v>
      </c>
      <c r="S1149" s="15" t="str">
        <f>"－"</f>
        <v>－</v>
      </c>
      <c r="T1149" s="16" t="str">
        <f>"－"</f>
        <v>－</v>
      </c>
      <c r="U1149" s="16"/>
      <c r="V1149" s="16" t="str">
        <f>"－"</f>
        <v>－</v>
      </c>
      <c r="W1149" s="16"/>
      <c r="X1149" s="16" t="str">
        <f>"－"</f>
        <v>－</v>
      </c>
      <c r="Y1149" s="13"/>
      <c r="Z1149" s="17" t="n">
        <f>500</f>
        <v>500.0</v>
      </c>
      <c r="AA1149" s="18" t="str">
        <f>"－"</f>
        <v>－</v>
      </c>
      <c r="AB1149" s="11" t="s">
        <v>527</v>
      </c>
    </row>
    <row r="1150">
      <c r="A1150" s="11" t="s">
        <v>46</v>
      </c>
      <c r="B1150" s="11" t="s">
        <v>47</v>
      </c>
      <c r="C1150" s="11" t="s">
        <v>48</v>
      </c>
      <c r="D1150" s="11" t="s">
        <v>651</v>
      </c>
      <c r="E1150" s="11" t="s">
        <v>526</v>
      </c>
      <c r="F1150" s="12" t="n">
        <v>15000.0</v>
      </c>
      <c r="G1150" s="13"/>
      <c r="H1150" s="14" t="s">
        <v>57</v>
      </c>
      <c r="I1150" s="13"/>
      <c r="J1150" s="14" t="s">
        <v>57</v>
      </c>
      <c r="K1150" s="13"/>
      <c r="L1150" s="14"/>
      <c r="M1150" s="13"/>
      <c r="N1150" s="14" t="s">
        <v>57</v>
      </c>
      <c r="O1150" s="13"/>
      <c r="P1150" s="14"/>
      <c r="Q1150" s="13"/>
      <c r="R1150" s="14" t="s">
        <v>57</v>
      </c>
      <c r="S1150" s="15" t="str">
        <f>"－"</f>
        <v>－</v>
      </c>
      <c r="T1150" s="16" t="str">
        <f>"－"</f>
        <v>－</v>
      </c>
      <c r="U1150" s="16"/>
      <c r="V1150" s="16" t="str">
        <f>"－"</f>
        <v>－</v>
      </c>
      <c r="W1150" s="16"/>
      <c r="X1150" s="16" t="str">
        <f>"－"</f>
        <v>－</v>
      </c>
      <c r="Y1150" s="13"/>
      <c r="Z1150" s="17" t="n">
        <f>2400</f>
        <v>2400.0</v>
      </c>
      <c r="AA1150" s="18" t="str">
        <f>"－"</f>
        <v>－</v>
      </c>
      <c r="AB1150" s="11" t="s">
        <v>527</v>
      </c>
    </row>
    <row r="1151">
      <c r="A1151" s="11" t="s">
        <v>46</v>
      </c>
      <c r="B1151" s="11" t="s">
        <v>47</v>
      </c>
      <c r="C1151" s="11" t="s">
        <v>48</v>
      </c>
      <c r="D1151" s="11" t="s">
        <v>651</v>
      </c>
      <c r="E1151" s="11" t="s">
        <v>526</v>
      </c>
      <c r="F1151" s="12" t="n">
        <v>16000.0</v>
      </c>
      <c r="G1151" s="13"/>
      <c r="H1151" s="14" t="s">
        <v>57</v>
      </c>
      <c r="I1151" s="13"/>
      <c r="J1151" s="14" t="s">
        <v>57</v>
      </c>
      <c r="K1151" s="13"/>
      <c r="L1151" s="14"/>
      <c r="M1151" s="13"/>
      <c r="N1151" s="14" t="s">
        <v>57</v>
      </c>
      <c r="O1151" s="13"/>
      <c r="P1151" s="14"/>
      <c r="Q1151" s="13"/>
      <c r="R1151" s="14" t="s">
        <v>57</v>
      </c>
      <c r="S1151" s="15" t="str">
        <f>"－"</f>
        <v>－</v>
      </c>
      <c r="T1151" s="16" t="str">
        <f>"－"</f>
        <v>－</v>
      </c>
      <c r="U1151" s="16"/>
      <c r="V1151" s="16" t="str">
        <f>"－"</f>
        <v>－</v>
      </c>
      <c r="W1151" s="16"/>
      <c r="X1151" s="16" t="str">
        <f>"－"</f>
        <v>－</v>
      </c>
      <c r="Y1151" s="13"/>
      <c r="Z1151" s="17" t="n">
        <f>2150</f>
        <v>2150.0</v>
      </c>
      <c r="AA1151" s="18" t="str">
        <f>"－"</f>
        <v>－</v>
      </c>
      <c r="AB1151" s="11" t="s">
        <v>527</v>
      </c>
    </row>
    <row r="1152">
      <c r="A1152" s="11" t="s">
        <v>46</v>
      </c>
      <c r="B1152" s="11" t="s">
        <v>47</v>
      </c>
      <c r="C1152" s="11" t="s">
        <v>48</v>
      </c>
      <c r="D1152" s="11" t="s">
        <v>651</v>
      </c>
      <c r="E1152" s="11" t="s">
        <v>526</v>
      </c>
      <c r="F1152" s="12" t="n">
        <v>16500.0</v>
      </c>
      <c r="G1152" s="13"/>
      <c r="H1152" s="14" t="s">
        <v>57</v>
      </c>
      <c r="I1152" s="13"/>
      <c r="J1152" s="14" t="s">
        <v>57</v>
      </c>
      <c r="K1152" s="13"/>
      <c r="L1152" s="14"/>
      <c r="M1152" s="13"/>
      <c r="N1152" s="14" t="s">
        <v>57</v>
      </c>
      <c r="O1152" s="13"/>
      <c r="P1152" s="14"/>
      <c r="Q1152" s="13"/>
      <c r="R1152" s="14" t="s">
        <v>57</v>
      </c>
      <c r="S1152" s="15" t="str">
        <f>"－"</f>
        <v>－</v>
      </c>
      <c r="T1152" s="16" t="str">
        <f>"－"</f>
        <v>－</v>
      </c>
      <c r="U1152" s="16"/>
      <c r="V1152" s="16" t="str">
        <f>"－"</f>
        <v>－</v>
      </c>
      <c r="W1152" s="16"/>
      <c r="X1152" s="16" t="str">
        <f>"－"</f>
        <v>－</v>
      </c>
      <c r="Y1152" s="13"/>
      <c r="Z1152" s="17" t="n">
        <f>300</f>
        <v>300.0</v>
      </c>
      <c r="AA1152" s="18" t="str">
        <f>"－"</f>
        <v>－</v>
      </c>
      <c r="AB1152" s="11" t="s">
        <v>527</v>
      </c>
    </row>
    <row r="1153">
      <c r="A1153" s="11" t="s">
        <v>46</v>
      </c>
      <c r="B1153" s="11" t="s">
        <v>47</v>
      </c>
      <c r="C1153" s="11" t="s">
        <v>48</v>
      </c>
      <c r="D1153" s="11" t="s">
        <v>651</v>
      </c>
      <c r="E1153" s="11" t="s">
        <v>526</v>
      </c>
      <c r="F1153" s="12" t="n">
        <v>17000.0</v>
      </c>
      <c r="G1153" s="13"/>
      <c r="H1153" s="14" t="s">
        <v>57</v>
      </c>
      <c r="I1153" s="13"/>
      <c r="J1153" s="14" t="s">
        <v>57</v>
      </c>
      <c r="K1153" s="13"/>
      <c r="L1153" s="14"/>
      <c r="M1153" s="13"/>
      <c r="N1153" s="14" t="s">
        <v>57</v>
      </c>
      <c r="O1153" s="13"/>
      <c r="P1153" s="14"/>
      <c r="Q1153" s="13"/>
      <c r="R1153" s="14" t="s">
        <v>57</v>
      </c>
      <c r="S1153" s="15" t="str">
        <f>"－"</f>
        <v>－</v>
      </c>
      <c r="T1153" s="16" t="str">
        <f>"－"</f>
        <v>－</v>
      </c>
      <c r="U1153" s="16"/>
      <c r="V1153" s="16" t="str">
        <f>"－"</f>
        <v>－</v>
      </c>
      <c r="W1153" s="16"/>
      <c r="X1153" s="16" t="str">
        <f>"－"</f>
        <v>－</v>
      </c>
      <c r="Y1153" s="13"/>
      <c r="Z1153" s="17" t="n">
        <f>2131</f>
        <v>2131.0</v>
      </c>
      <c r="AA1153" s="18" t="str">
        <f>"－"</f>
        <v>－</v>
      </c>
      <c r="AB1153" s="11" t="s">
        <v>527</v>
      </c>
    </row>
    <row r="1154">
      <c r="A1154" s="11" t="s">
        <v>46</v>
      </c>
      <c r="B1154" s="11" t="s">
        <v>47</v>
      </c>
      <c r="C1154" s="11" t="s">
        <v>48</v>
      </c>
      <c r="D1154" s="11" t="s">
        <v>651</v>
      </c>
      <c r="E1154" s="11" t="s">
        <v>526</v>
      </c>
      <c r="F1154" s="12" t="n">
        <v>17500.0</v>
      </c>
      <c r="G1154" s="13"/>
      <c r="H1154" s="14" t="s">
        <v>57</v>
      </c>
      <c r="I1154" s="13"/>
      <c r="J1154" s="14" t="s">
        <v>57</v>
      </c>
      <c r="K1154" s="13"/>
      <c r="L1154" s="14"/>
      <c r="M1154" s="13"/>
      <c r="N1154" s="14" t="s">
        <v>57</v>
      </c>
      <c r="O1154" s="13"/>
      <c r="P1154" s="14"/>
      <c r="Q1154" s="13"/>
      <c r="R1154" s="14" t="s">
        <v>57</v>
      </c>
      <c r="S1154" s="15" t="str">
        <f>"－"</f>
        <v>－</v>
      </c>
      <c r="T1154" s="16" t="str">
        <f>"－"</f>
        <v>－</v>
      </c>
      <c r="U1154" s="16"/>
      <c r="V1154" s="16" t="str">
        <f>"－"</f>
        <v>－</v>
      </c>
      <c r="W1154" s="16"/>
      <c r="X1154" s="16" t="str">
        <f>"－"</f>
        <v>－</v>
      </c>
      <c r="Y1154" s="13"/>
      <c r="Z1154" s="17" t="n">
        <f>2700</f>
        <v>2700.0</v>
      </c>
      <c r="AA1154" s="18" t="str">
        <f>"－"</f>
        <v>－</v>
      </c>
      <c r="AB1154" s="11" t="s">
        <v>527</v>
      </c>
    </row>
    <row r="1155">
      <c r="A1155" s="11" t="s">
        <v>46</v>
      </c>
      <c r="B1155" s="11" t="s">
        <v>47</v>
      </c>
      <c r="C1155" s="11" t="s">
        <v>48</v>
      </c>
      <c r="D1155" s="11" t="s">
        <v>651</v>
      </c>
      <c r="E1155" s="11" t="s">
        <v>526</v>
      </c>
      <c r="F1155" s="12" t="n">
        <v>17750.0</v>
      </c>
      <c r="G1155" s="13"/>
      <c r="H1155" s="14" t="s">
        <v>57</v>
      </c>
      <c r="I1155" s="13"/>
      <c r="J1155" s="14" t="s">
        <v>57</v>
      </c>
      <c r="K1155" s="13"/>
      <c r="L1155" s="14"/>
      <c r="M1155" s="13"/>
      <c r="N1155" s="14" t="s">
        <v>57</v>
      </c>
      <c r="O1155" s="13"/>
      <c r="P1155" s="14"/>
      <c r="Q1155" s="13"/>
      <c r="R1155" s="14" t="s">
        <v>57</v>
      </c>
      <c r="S1155" s="15" t="str">
        <f>"－"</f>
        <v>－</v>
      </c>
      <c r="T1155" s="16" t="str">
        <f>"－"</f>
        <v>－</v>
      </c>
      <c r="U1155" s="16"/>
      <c r="V1155" s="16" t="str">
        <f>"－"</f>
        <v>－</v>
      </c>
      <c r="W1155" s="16"/>
      <c r="X1155" s="16" t="str">
        <f>"－"</f>
        <v>－</v>
      </c>
      <c r="Y1155" s="13"/>
      <c r="Z1155" s="17" t="n">
        <f>3720</f>
        <v>3720.0</v>
      </c>
      <c r="AA1155" s="18" t="str">
        <f>"－"</f>
        <v>－</v>
      </c>
      <c r="AB1155" s="11" t="s">
        <v>527</v>
      </c>
    </row>
    <row r="1156">
      <c r="A1156" s="11" t="s">
        <v>46</v>
      </c>
      <c r="B1156" s="11" t="s">
        <v>47</v>
      </c>
      <c r="C1156" s="11" t="s">
        <v>48</v>
      </c>
      <c r="D1156" s="11" t="s">
        <v>651</v>
      </c>
      <c r="E1156" s="11" t="s">
        <v>526</v>
      </c>
      <c r="F1156" s="12" t="n">
        <v>18000.0</v>
      </c>
      <c r="G1156" s="13" t="s">
        <v>52</v>
      </c>
      <c r="H1156" s="14" t="s">
        <v>822</v>
      </c>
      <c r="I1156" s="13" t="s">
        <v>52</v>
      </c>
      <c r="J1156" s="14" t="s">
        <v>822</v>
      </c>
      <c r="K1156" s="13"/>
      <c r="L1156" s="14"/>
      <c r="M1156" s="13" t="s">
        <v>52</v>
      </c>
      <c r="N1156" s="14" t="s">
        <v>822</v>
      </c>
      <c r="O1156" s="13"/>
      <c r="P1156" s="14"/>
      <c r="Q1156" s="13" t="s">
        <v>52</v>
      </c>
      <c r="R1156" s="14" t="s">
        <v>822</v>
      </c>
      <c r="S1156" s="15" t="n">
        <f>11150</f>
        <v>11150.0</v>
      </c>
      <c r="T1156" s="16" t="n">
        <f>1</f>
        <v>1.0</v>
      </c>
      <c r="U1156" s="16"/>
      <c r="V1156" s="16" t="n">
        <f>11150000</f>
        <v>1.115E7</v>
      </c>
      <c r="W1156" s="16"/>
      <c r="X1156" s="16" t="str">
        <f>"－"</f>
        <v>－</v>
      </c>
      <c r="Y1156" s="13"/>
      <c r="Z1156" s="17" t="n">
        <f>3955</f>
        <v>3955.0</v>
      </c>
      <c r="AA1156" s="18" t="n">
        <f>1</f>
        <v>1.0</v>
      </c>
      <c r="AB1156" s="11" t="s">
        <v>527</v>
      </c>
    </row>
    <row r="1157">
      <c r="A1157" s="11" t="s">
        <v>46</v>
      </c>
      <c r="B1157" s="11" t="s">
        <v>47</v>
      </c>
      <c r="C1157" s="11" t="s">
        <v>48</v>
      </c>
      <c r="D1157" s="11" t="s">
        <v>651</v>
      </c>
      <c r="E1157" s="11" t="s">
        <v>526</v>
      </c>
      <c r="F1157" s="12" t="n">
        <v>18500.0</v>
      </c>
      <c r="G1157" s="13"/>
      <c r="H1157" s="14" t="s">
        <v>57</v>
      </c>
      <c r="I1157" s="13"/>
      <c r="J1157" s="14" t="s">
        <v>57</v>
      </c>
      <c r="K1157" s="13"/>
      <c r="L1157" s="14"/>
      <c r="M1157" s="13"/>
      <c r="N1157" s="14" t="s">
        <v>57</v>
      </c>
      <c r="O1157" s="13"/>
      <c r="P1157" s="14"/>
      <c r="Q1157" s="13"/>
      <c r="R1157" s="14" t="s">
        <v>57</v>
      </c>
      <c r="S1157" s="15" t="str">
        <f>"－"</f>
        <v>－</v>
      </c>
      <c r="T1157" s="16" t="str">
        <f>"－"</f>
        <v>－</v>
      </c>
      <c r="U1157" s="16"/>
      <c r="V1157" s="16" t="str">
        <f>"－"</f>
        <v>－</v>
      </c>
      <c r="W1157" s="16"/>
      <c r="X1157" s="16" t="str">
        <f>"－"</f>
        <v>－</v>
      </c>
      <c r="Y1157" s="13"/>
      <c r="Z1157" s="17" t="n">
        <f>2181</f>
        <v>2181.0</v>
      </c>
      <c r="AA1157" s="18" t="str">
        <f>"－"</f>
        <v>－</v>
      </c>
      <c r="AB1157" s="11" t="s">
        <v>527</v>
      </c>
    </row>
    <row r="1158">
      <c r="A1158" s="11" t="s">
        <v>46</v>
      </c>
      <c r="B1158" s="11" t="s">
        <v>47</v>
      </c>
      <c r="C1158" s="11" t="s">
        <v>48</v>
      </c>
      <c r="D1158" s="11" t="s">
        <v>651</v>
      </c>
      <c r="E1158" s="11" t="s">
        <v>526</v>
      </c>
      <c r="F1158" s="12" t="n">
        <v>18750.0</v>
      </c>
      <c r="G1158" s="13"/>
      <c r="H1158" s="14" t="s">
        <v>57</v>
      </c>
      <c r="I1158" s="13"/>
      <c r="J1158" s="14" t="s">
        <v>57</v>
      </c>
      <c r="K1158" s="13"/>
      <c r="L1158" s="14"/>
      <c r="M1158" s="13"/>
      <c r="N1158" s="14" t="s">
        <v>57</v>
      </c>
      <c r="O1158" s="13"/>
      <c r="P1158" s="14"/>
      <c r="Q1158" s="13"/>
      <c r="R1158" s="14" t="s">
        <v>57</v>
      </c>
      <c r="S1158" s="15" t="str">
        <f>"－"</f>
        <v>－</v>
      </c>
      <c r="T1158" s="16" t="str">
        <f>"－"</f>
        <v>－</v>
      </c>
      <c r="U1158" s="16"/>
      <c r="V1158" s="16" t="str">
        <f>"－"</f>
        <v>－</v>
      </c>
      <c r="W1158" s="16"/>
      <c r="X1158" s="16" t="str">
        <f>"－"</f>
        <v>－</v>
      </c>
      <c r="Y1158" s="13"/>
      <c r="Z1158" s="17" t="n">
        <f>750</f>
        <v>750.0</v>
      </c>
      <c r="AA1158" s="18" t="str">
        <f>"－"</f>
        <v>－</v>
      </c>
      <c r="AB1158" s="11" t="s">
        <v>527</v>
      </c>
    </row>
    <row r="1159">
      <c r="A1159" s="11" t="s">
        <v>46</v>
      </c>
      <c r="B1159" s="11" t="s">
        <v>47</v>
      </c>
      <c r="C1159" s="11" t="s">
        <v>48</v>
      </c>
      <c r="D1159" s="11" t="s">
        <v>651</v>
      </c>
      <c r="E1159" s="11" t="s">
        <v>526</v>
      </c>
      <c r="F1159" s="12" t="n">
        <v>19000.0</v>
      </c>
      <c r="G1159" s="13"/>
      <c r="H1159" s="14" t="s">
        <v>57</v>
      </c>
      <c r="I1159" s="13"/>
      <c r="J1159" s="14" t="s">
        <v>57</v>
      </c>
      <c r="K1159" s="13" t="s">
        <v>50</v>
      </c>
      <c r="L1159" s="14" t="s">
        <v>823</v>
      </c>
      <c r="M1159" s="13"/>
      <c r="N1159" s="14" t="s">
        <v>57</v>
      </c>
      <c r="O1159" s="13" t="s">
        <v>50</v>
      </c>
      <c r="P1159" s="14" t="s">
        <v>823</v>
      </c>
      <c r="Q1159" s="13"/>
      <c r="R1159" s="14" t="s">
        <v>57</v>
      </c>
      <c r="S1159" s="15" t="str">
        <f>"－"</f>
        <v>－</v>
      </c>
      <c r="T1159" s="16" t="n">
        <f>500</f>
        <v>500.0</v>
      </c>
      <c r="U1159" s="16" t="n">
        <v>500.0</v>
      </c>
      <c r="V1159" s="16" t="n">
        <f>4325000000</f>
        <v>4.325E9</v>
      </c>
      <c r="W1159" s="16" t="n">
        <v>4.325E9</v>
      </c>
      <c r="X1159" s="16" t="str">
        <f>"－"</f>
        <v>－</v>
      </c>
      <c r="Y1159" s="13"/>
      <c r="Z1159" s="17" t="n">
        <f>4470</f>
        <v>4470.0</v>
      </c>
      <c r="AA1159" s="18" t="str">
        <f>"－"</f>
        <v>－</v>
      </c>
      <c r="AB1159" s="11" t="s">
        <v>527</v>
      </c>
    </row>
    <row r="1160">
      <c r="A1160" s="11" t="s">
        <v>46</v>
      </c>
      <c r="B1160" s="11" t="s">
        <v>47</v>
      </c>
      <c r="C1160" s="11" t="s">
        <v>48</v>
      </c>
      <c r="D1160" s="11" t="s">
        <v>651</v>
      </c>
      <c r="E1160" s="11" t="s">
        <v>526</v>
      </c>
      <c r="F1160" s="12" t="n">
        <v>19250.0</v>
      </c>
      <c r="G1160" s="13"/>
      <c r="H1160" s="14" t="s">
        <v>57</v>
      </c>
      <c r="I1160" s="13"/>
      <c r="J1160" s="14" t="s">
        <v>57</v>
      </c>
      <c r="K1160" s="13"/>
      <c r="L1160" s="14"/>
      <c r="M1160" s="13"/>
      <c r="N1160" s="14" t="s">
        <v>57</v>
      </c>
      <c r="O1160" s="13"/>
      <c r="P1160" s="14"/>
      <c r="Q1160" s="13"/>
      <c r="R1160" s="14" t="s">
        <v>57</v>
      </c>
      <c r="S1160" s="15" t="str">
        <f>"－"</f>
        <v>－</v>
      </c>
      <c r="T1160" s="16" t="str">
        <f>"－"</f>
        <v>－</v>
      </c>
      <c r="U1160" s="16"/>
      <c r="V1160" s="16" t="str">
        <f>"－"</f>
        <v>－</v>
      </c>
      <c r="W1160" s="16"/>
      <c r="X1160" s="16" t="str">
        <f>"－"</f>
        <v>－</v>
      </c>
      <c r="Y1160" s="13"/>
      <c r="Z1160" s="17" t="n">
        <f>300</f>
        <v>300.0</v>
      </c>
      <c r="AA1160" s="18" t="str">
        <f>"－"</f>
        <v>－</v>
      </c>
      <c r="AB1160" s="11" t="s">
        <v>527</v>
      </c>
    </row>
    <row r="1161">
      <c r="A1161" s="11" t="s">
        <v>46</v>
      </c>
      <c r="B1161" s="11" t="s">
        <v>47</v>
      </c>
      <c r="C1161" s="11" t="s">
        <v>48</v>
      </c>
      <c r="D1161" s="11" t="s">
        <v>651</v>
      </c>
      <c r="E1161" s="11" t="s">
        <v>526</v>
      </c>
      <c r="F1161" s="12" t="n">
        <v>19500.0</v>
      </c>
      <c r="G1161" s="13"/>
      <c r="H1161" s="14" t="s">
        <v>57</v>
      </c>
      <c r="I1161" s="13"/>
      <c r="J1161" s="14" t="s">
        <v>57</v>
      </c>
      <c r="K1161" s="13"/>
      <c r="L1161" s="14"/>
      <c r="M1161" s="13"/>
      <c r="N1161" s="14" t="s">
        <v>57</v>
      </c>
      <c r="O1161" s="13"/>
      <c r="P1161" s="14"/>
      <c r="Q1161" s="13"/>
      <c r="R1161" s="14" t="s">
        <v>57</v>
      </c>
      <c r="S1161" s="15" t="str">
        <f>"－"</f>
        <v>－</v>
      </c>
      <c r="T1161" s="16" t="str">
        <f>"－"</f>
        <v>－</v>
      </c>
      <c r="U1161" s="16"/>
      <c r="V1161" s="16" t="str">
        <f>"－"</f>
        <v>－</v>
      </c>
      <c r="W1161" s="16"/>
      <c r="X1161" s="16" t="str">
        <f>"－"</f>
        <v>－</v>
      </c>
      <c r="Y1161" s="13"/>
      <c r="Z1161" s="17" t="n">
        <f>2925</f>
        <v>2925.0</v>
      </c>
      <c r="AA1161" s="18" t="str">
        <f>"－"</f>
        <v>－</v>
      </c>
      <c r="AB1161" s="11" t="s">
        <v>527</v>
      </c>
    </row>
    <row r="1162">
      <c r="A1162" s="11" t="s">
        <v>46</v>
      </c>
      <c r="B1162" s="11" t="s">
        <v>47</v>
      </c>
      <c r="C1162" s="11" t="s">
        <v>48</v>
      </c>
      <c r="D1162" s="11" t="s">
        <v>651</v>
      </c>
      <c r="E1162" s="11" t="s">
        <v>526</v>
      </c>
      <c r="F1162" s="12" t="n">
        <v>20000.0</v>
      </c>
      <c r="G1162" s="13"/>
      <c r="H1162" s="14" t="s">
        <v>57</v>
      </c>
      <c r="I1162" s="13"/>
      <c r="J1162" s="14" t="s">
        <v>57</v>
      </c>
      <c r="K1162" s="13"/>
      <c r="L1162" s="14"/>
      <c r="M1162" s="13"/>
      <c r="N1162" s="14" t="s">
        <v>57</v>
      </c>
      <c r="O1162" s="13"/>
      <c r="P1162" s="14"/>
      <c r="Q1162" s="13"/>
      <c r="R1162" s="14" t="s">
        <v>57</v>
      </c>
      <c r="S1162" s="15" t="str">
        <f>"－"</f>
        <v>－</v>
      </c>
      <c r="T1162" s="16" t="str">
        <f>"－"</f>
        <v>－</v>
      </c>
      <c r="U1162" s="16"/>
      <c r="V1162" s="16" t="str">
        <f>"－"</f>
        <v>－</v>
      </c>
      <c r="W1162" s="16"/>
      <c r="X1162" s="16" t="str">
        <f>"－"</f>
        <v>－</v>
      </c>
      <c r="Y1162" s="13"/>
      <c r="Z1162" s="17" t="n">
        <f>7360</f>
        <v>7360.0</v>
      </c>
      <c r="AA1162" s="18" t="str">
        <f>"－"</f>
        <v>－</v>
      </c>
      <c r="AB1162" s="11" t="s">
        <v>527</v>
      </c>
    </row>
    <row r="1163">
      <c r="A1163" s="11" t="s">
        <v>46</v>
      </c>
      <c r="B1163" s="11" t="s">
        <v>47</v>
      </c>
      <c r="C1163" s="11" t="s">
        <v>48</v>
      </c>
      <c r="D1163" s="11" t="s">
        <v>651</v>
      </c>
      <c r="E1163" s="11" t="s">
        <v>526</v>
      </c>
      <c r="F1163" s="12" t="n">
        <v>20250.0</v>
      </c>
      <c r="G1163" s="13"/>
      <c r="H1163" s="14" t="s">
        <v>57</v>
      </c>
      <c r="I1163" s="13"/>
      <c r="J1163" s="14" t="s">
        <v>57</v>
      </c>
      <c r="K1163" s="13"/>
      <c r="L1163" s="14"/>
      <c r="M1163" s="13"/>
      <c r="N1163" s="14" t="s">
        <v>57</v>
      </c>
      <c r="O1163" s="13"/>
      <c r="P1163" s="14"/>
      <c r="Q1163" s="13"/>
      <c r="R1163" s="14" t="s">
        <v>57</v>
      </c>
      <c r="S1163" s="15" t="str">
        <f>"－"</f>
        <v>－</v>
      </c>
      <c r="T1163" s="16" t="str">
        <f>"－"</f>
        <v>－</v>
      </c>
      <c r="U1163" s="16"/>
      <c r="V1163" s="16" t="str">
        <f>"－"</f>
        <v>－</v>
      </c>
      <c r="W1163" s="16"/>
      <c r="X1163" s="16" t="str">
        <f>"－"</f>
        <v>－</v>
      </c>
      <c r="Y1163" s="13"/>
      <c r="Z1163" s="17" t="n">
        <f>1150</f>
        <v>1150.0</v>
      </c>
      <c r="AA1163" s="18" t="str">
        <f>"－"</f>
        <v>－</v>
      </c>
      <c r="AB1163" s="11" t="s">
        <v>527</v>
      </c>
    </row>
    <row r="1164">
      <c r="A1164" s="11" t="s">
        <v>46</v>
      </c>
      <c r="B1164" s="11" t="s">
        <v>47</v>
      </c>
      <c r="C1164" s="11" t="s">
        <v>48</v>
      </c>
      <c r="D1164" s="11" t="s">
        <v>651</v>
      </c>
      <c r="E1164" s="11" t="s">
        <v>526</v>
      </c>
      <c r="F1164" s="12" t="n">
        <v>20500.0</v>
      </c>
      <c r="G1164" s="13"/>
      <c r="H1164" s="14" t="s">
        <v>57</v>
      </c>
      <c r="I1164" s="13"/>
      <c r="J1164" s="14" t="s">
        <v>57</v>
      </c>
      <c r="K1164" s="13"/>
      <c r="L1164" s="14"/>
      <c r="M1164" s="13"/>
      <c r="N1164" s="14" t="s">
        <v>57</v>
      </c>
      <c r="O1164" s="13"/>
      <c r="P1164" s="14"/>
      <c r="Q1164" s="13"/>
      <c r="R1164" s="14" t="s">
        <v>57</v>
      </c>
      <c r="S1164" s="15" t="str">
        <f>"－"</f>
        <v>－</v>
      </c>
      <c r="T1164" s="16" t="str">
        <f>"－"</f>
        <v>－</v>
      </c>
      <c r="U1164" s="16"/>
      <c r="V1164" s="16" t="str">
        <f>"－"</f>
        <v>－</v>
      </c>
      <c r="W1164" s="16"/>
      <c r="X1164" s="16" t="str">
        <f>"－"</f>
        <v>－</v>
      </c>
      <c r="Y1164" s="13"/>
      <c r="Z1164" s="17" t="n">
        <f>3565</f>
        <v>3565.0</v>
      </c>
      <c r="AA1164" s="18" t="str">
        <f>"－"</f>
        <v>－</v>
      </c>
      <c r="AB1164" s="11" t="s">
        <v>527</v>
      </c>
    </row>
    <row r="1165">
      <c r="A1165" s="11" t="s">
        <v>46</v>
      </c>
      <c r="B1165" s="11" t="s">
        <v>47</v>
      </c>
      <c r="C1165" s="11" t="s">
        <v>48</v>
      </c>
      <c r="D1165" s="11" t="s">
        <v>651</v>
      </c>
      <c r="E1165" s="11" t="s">
        <v>526</v>
      </c>
      <c r="F1165" s="12" t="n">
        <v>20750.0</v>
      </c>
      <c r="G1165" s="13"/>
      <c r="H1165" s="14" t="s">
        <v>57</v>
      </c>
      <c r="I1165" s="13"/>
      <c r="J1165" s="14" t="s">
        <v>57</v>
      </c>
      <c r="K1165" s="13"/>
      <c r="L1165" s="14"/>
      <c r="M1165" s="13"/>
      <c r="N1165" s="14" t="s">
        <v>57</v>
      </c>
      <c r="O1165" s="13"/>
      <c r="P1165" s="14"/>
      <c r="Q1165" s="13"/>
      <c r="R1165" s="14" t="s">
        <v>57</v>
      </c>
      <c r="S1165" s="15" t="str">
        <f>"－"</f>
        <v>－</v>
      </c>
      <c r="T1165" s="16" t="str">
        <f>"－"</f>
        <v>－</v>
      </c>
      <c r="U1165" s="16"/>
      <c r="V1165" s="16" t="str">
        <f>"－"</f>
        <v>－</v>
      </c>
      <c r="W1165" s="16"/>
      <c r="X1165" s="16" t="str">
        <f>"－"</f>
        <v>－</v>
      </c>
      <c r="Y1165" s="13"/>
      <c r="Z1165" s="17" t="n">
        <f>700</f>
        <v>700.0</v>
      </c>
      <c r="AA1165" s="18" t="str">
        <f>"－"</f>
        <v>－</v>
      </c>
      <c r="AB1165" s="11" t="s">
        <v>527</v>
      </c>
    </row>
    <row r="1166">
      <c r="A1166" s="11" t="s">
        <v>46</v>
      </c>
      <c r="B1166" s="11" t="s">
        <v>47</v>
      </c>
      <c r="C1166" s="11" t="s">
        <v>48</v>
      </c>
      <c r="D1166" s="11" t="s">
        <v>651</v>
      </c>
      <c r="E1166" s="11" t="s">
        <v>526</v>
      </c>
      <c r="F1166" s="12" t="n">
        <v>21000.0</v>
      </c>
      <c r="G1166" s="13"/>
      <c r="H1166" s="14" t="s">
        <v>57</v>
      </c>
      <c r="I1166" s="13"/>
      <c r="J1166" s="14" t="s">
        <v>57</v>
      </c>
      <c r="K1166" s="13"/>
      <c r="L1166" s="14"/>
      <c r="M1166" s="13"/>
      <c r="N1166" s="14" t="s">
        <v>57</v>
      </c>
      <c r="O1166" s="13"/>
      <c r="P1166" s="14"/>
      <c r="Q1166" s="13"/>
      <c r="R1166" s="14" t="s">
        <v>57</v>
      </c>
      <c r="S1166" s="15" t="str">
        <f>"－"</f>
        <v>－</v>
      </c>
      <c r="T1166" s="16" t="str">
        <f>"－"</f>
        <v>－</v>
      </c>
      <c r="U1166" s="16"/>
      <c r="V1166" s="16" t="str">
        <f>"－"</f>
        <v>－</v>
      </c>
      <c r="W1166" s="16"/>
      <c r="X1166" s="16" t="str">
        <f>"－"</f>
        <v>－</v>
      </c>
      <c r="Y1166" s="13"/>
      <c r="Z1166" s="17" t="n">
        <f>8043</f>
        <v>8043.0</v>
      </c>
      <c r="AA1166" s="18" t="str">
        <f>"－"</f>
        <v>－</v>
      </c>
      <c r="AB1166" s="11" t="s">
        <v>527</v>
      </c>
    </row>
    <row r="1167">
      <c r="A1167" s="11" t="s">
        <v>46</v>
      </c>
      <c r="B1167" s="11" t="s">
        <v>47</v>
      </c>
      <c r="C1167" s="11" t="s">
        <v>48</v>
      </c>
      <c r="D1167" s="11" t="s">
        <v>651</v>
      </c>
      <c r="E1167" s="11" t="s">
        <v>526</v>
      </c>
      <c r="F1167" s="12" t="n">
        <v>21250.0</v>
      </c>
      <c r="G1167" s="13"/>
      <c r="H1167" s="14" t="s">
        <v>57</v>
      </c>
      <c r="I1167" s="13"/>
      <c r="J1167" s="14" t="s">
        <v>57</v>
      </c>
      <c r="K1167" s="13"/>
      <c r="L1167" s="14"/>
      <c r="M1167" s="13"/>
      <c r="N1167" s="14" t="s">
        <v>57</v>
      </c>
      <c r="O1167" s="13"/>
      <c r="P1167" s="14"/>
      <c r="Q1167" s="13"/>
      <c r="R1167" s="14" t="s">
        <v>57</v>
      </c>
      <c r="S1167" s="15" t="str">
        <f>"－"</f>
        <v>－</v>
      </c>
      <c r="T1167" s="16" t="str">
        <f>"－"</f>
        <v>－</v>
      </c>
      <c r="U1167" s="16"/>
      <c r="V1167" s="16" t="str">
        <f>"－"</f>
        <v>－</v>
      </c>
      <c r="W1167" s="16"/>
      <c r="X1167" s="16" t="str">
        <f>"－"</f>
        <v>－</v>
      </c>
      <c r="Y1167" s="13"/>
      <c r="Z1167" s="17" t="n">
        <f>650</f>
        <v>650.0</v>
      </c>
      <c r="AA1167" s="18" t="str">
        <f>"－"</f>
        <v>－</v>
      </c>
      <c r="AB1167" s="11" t="s">
        <v>527</v>
      </c>
    </row>
    <row r="1168">
      <c r="A1168" s="11" t="s">
        <v>46</v>
      </c>
      <c r="B1168" s="11" t="s">
        <v>47</v>
      </c>
      <c r="C1168" s="11" t="s">
        <v>48</v>
      </c>
      <c r="D1168" s="11" t="s">
        <v>651</v>
      </c>
      <c r="E1168" s="11" t="s">
        <v>526</v>
      </c>
      <c r="F1168" s="12" t="n">
        <v>21500.0</v>
      </c>
      <c r="G1168" s="13"/>
      <c r="H1168" s="14" t="s">
        <v>57</v>
      </c>
      <c r="I1168" s="13"/>
      <c r="J1168" s="14" t="s">
        <v>57</v>
      </c>
      <c r="K1168" s="13"/>
      <c r="L1168" s="14"/>
      <c r="M1168" s="13"/>
      <c r="N1168" s="14" t="s">
        <v>57</v>
      </c>
      <c r="O1168" s="13"/>
      <c r="P1168" s="14"/>
      <c r="Q1168" s="13"/>
      <c r="R1168" s="14" t="s">
        <v>57</v>
      </c>
      <c r="S1168" s="15" t="str">
        <f>"－"</f>
        <v>－</v>
      </c>
      <c r="T1168" s="16" t="str">
        <f>"－"</f>
        <v>－</v>
      </c>
      <c r="U1168" s="16"/>
      <c r="V1168" s="16" t="str">
        <f>"－"</f>
        <v>－</v>
      </c>
      <c r="W1168" s="16"/>
      <c r="X1168" s="16" t="str">
        <f>"－"</f>
        <v>－</v>
      </c>
      <c r="Y1168" s="13"/>
      <c r="Z1168" s="17" t="n">
        <f>2645</f>
        <v>2645.0</v>
      </c>
      <c r="AA1168" s="18" t="str">
        <f>"－"</f>
        <v>－</v>
      </c>
      <c r="AB1168" s="11" t="s">
        <v>527</v>
      </c>
    </row>
    <row r="1169">
      <c r="A1169" s="11" t="s">
        <v>46</v>
      </c>
      <c r="B1169" s="11" t="s">
        <v>47</v>
      </c>
      <c r="C1169" s="11" t="s">
        <v>48</v>
      </c>
      <c r="D1169" s="11" t="s">
        <v>651</v>
      </c>
      <c r="E1169" s="11" t="s">
        <v>526</v>
      </c>
      <c r="F1169" s="12" t="n">
        <v>21750.0</v>
      </c>
      <c r="G1169" s="13"/>
      <c r="H1169" s="14" t="s">
        <v>57</v>
      </c>
      <c r="I1169" s="13"/>
      <c r="J1169" s="14" t="s">
        <v>57</v>
      </c>
      <c r="K1169" s="13"/>
      <c r="L1169" s="14"/>
      <c r="M1169" s="13"/>
      <c r="N1169" s="14" t="s">
        <v>57</v>
      </c>
      <c r="O1169" s="13"/>
      <c r="P1169" s="14"/>
      <c r="Q1169" s="13"/>
      <c r="R1169" s="14" t="s">
        <v>57</v>
      </c>
      <c r="S1169" s="15" t="str">
        <f>"－"</f>
        <v>－</v>
      </c>
      <c r="T1169" s="16" t="str">
        <f>"－"</f>
        <v>－</v>
      </c>
      <c r="U1169" s="16"/>
      <c r="V1169" s="16" t="str">
        <f>"－"</f>
        <v>－</v>
      </c>
      <c r="W1169" s="16"/>
      <c r="X1169" s="16" t="str">
        <f>"－"</f>
        <v>－</v>
      </c>
      <c r="Y1169" s="13"/>
      <c r="Z1169" s="17" t="n">
        <f>265</f>
        <v>265.0</v>
      </c>
      <c r="AA1169" s="18" t="str">
        <f>"－"</f>
        <v>－</v>
      </c>
      <c r="AB1169" s="11" t="s">
        <v>527</v>
      </c>
    </row>
    <row r="1170">
      <c r="A1170" s="11" t="s">
        <v>46</v>
      </c>
      <c r="B1170" s="11" t="s">
        <v>47</v>
      </c>
      <c r="C1170" s="11" t="s">
        <v>48</v>
      </c>
      <c r="D1170" s="11" t="s">
        <v>651</v>
      </c>
      <c r="E1170" s="11" t="s">
        <v>526</v>
      </c>
      <c r="F1170" s="12" t="n">
        <v>22000.0</v>
      </c>
      <c r="G1170" s="13"/>
      <c r="H1170" s="14" t="s">
        <v>57</v>
      </c>
      <c r="I1170" s="13"/>
      <c r="J1170" s="14" t="s">
        <v>57</v>
      </c>
      <c r="K1170" s="13" t="s">
        <v>56</v>
      </c>
      <c r="L1170" s="14" t="s">
        <v>824</v>
      </c>
      <c r="M1170" s="13"/>
      <c r="N1170" s="14" t="s">
        <v>57</v>
      </c>
      <c r="O1170" s="13" t="s">
        <v>56</v>
      </c>
      <c r="P1170" s="14" t="s">
        <v>824</v>
      </c>
      <c r="Q1170" s="13"/>
      <c r="R1170" s="14" t="s">
        <v>57</v>
      </c>
      <c r="S1170" s="15" t="str">
        <f>"－"</f>
        <v>－</v>
      </c>
      <c r="T1170" s="16" t="n">
        <f>450</f>
        <v>450.0</v>
      </c>
      <c r="U1170" s="16" t="n">
        <v>450.0</v>
      </c>
      <c r="V1170" s="16" t="n">
        <f>3421800000</f>
        <v>3.4218E9</v>
      </c>
      <c r="W1170" s="16" t="n">
        <v>3.4218E9</v>
      </c>
      <c r="X1170" s="16" t="str">
        <f>"－"</f>
        <v>－</v>
      </c>
      <c r="Y1170" s="13"/>
      <c r="Z1170" s="17" t="n">
        <f>5766</f>
        <v>5766.0</v>
      </c>
      <c r="AA1170" s="18" t="str">
        <f>"－"</f>
        <v>－</v>
      </c>
      <c r="AB1170" s="11" t="s">
        <v>527</v>
      </c>
    </row>
    <row r="1171">
      <c r="A1171" s="11" t="s">
        <v>46</v>
      </c>
      <c r="B1171" s="11" t="s">
        <v>47</v>
      </c>
      <c r="C1171" s="11" t="s">
        <v>48</v>
      </c>
      <c r="D1171" s="11" t="s">
        <v>651</v>
      </c>
      <c r="E1171" s="11" t="s">
        <v>526</v>
      </c>
      <c r="F1171" s="12" t="n">
        <v>22250.0</v>
      </c>
      <c r="G1171" s="13"/>
      <c r="H1171" s="14" t="s">
        <v>57</v>
      </c>
      <c r="I1171" s="13"/>
      <c r="J1171" s="14" t="s">
        <v>57</v>
      </c>
      <c r="K1171" s="13"/>
      <c r="L1171" s="14"/>
      <c r="M1171" s="13"/>
      <c r="N1171" s="14" t="s">
        <v>57</v>
      </c>
      <c r="O1171" s="13"/>
      <c r="P1171" s="14"/>
      <c r="Q1171" s="13"/>
      <c r="R1171" s="14" t="s">
        <v>57</v>
      </c>
      <c r="S1171" s="15" t="str">
        <f>"－"</f>
        <v>－</v>
      </c>
      <c r="T1171" s="16" t="str">
        <f>"－"</f>
        <v>－</v>
      </c>
      <c r="U1171" s="16"/>
      <c r="V1171" s="16" t="str">
        <f>"－"</f>
        <v>－</v>
      </c>
      <c r="W1171" s="16"/>
      <c r="X1171" s="16" t="str">
        <f>"－"</f>
        <v>－</v>
      </c>
      <c r="Y1171" s="13"/>
      <c r="Z1171" s="17" t="n">
        <f>1285</f>
        <v>1285.0</v>
      </c>
      <c r="AA1171" s="18" t="str">
        <f>"－"</f>
        <v>－</v>
      </c>
      <c r="AB1171" s="11" t="s">
        <v>527</v>
      </c>
    </row>
    <row r="1172">
      <c r="A1172" s="11" t="s">
        <v>46</v>
      </c>
      <c r="B1172" s="11" t="s">
        <v>47</v>
      </c>
      <c r="C1172" s="11" t="s">
        <v>48</v>
      </c>
      <c r="D1172" s="11" t="s">
        <v>651</v>
      </c>
      <c r="E1172" s="11" t="s">
        <v>526</v>
      </c>
      <c r="F1172" s="12" t="n">
        <v>22500.0</v>
      </c>
      <c r="G1172" s="13"/>
      <c r="H1172" s="14" t="s">
        <v>57</v>
      </c>
      <c r="I1172" s="13"/>
      <c r="J1172" s="14" t="s">
        <v>57</v>
      </c>
      <c r="K1172" s="13"/>
      <c r="L1172" s="14"/>
      <c r="M1172" s="13"/>
      <c r="N1172" s="14" t="s">
        <v>57</v>
      </c>
      <c r="O1172" s="13"/>
      <c r="P1172" s="14"/>
      <c r="Q1172" s="13"/>
      <c r="R1172" s="14" t="s">
        <v>57</v>
      </c>
      <c r="S1172" s="15" t="str">
        <f>"－"</f>
        <v>－</v>
      </c>
      <c r="T1172" s="16" t="str">
        <f>"－"</f>
        <v>－</v>
      </c>
      <c r="U1172" s="16"/>
      <c r="V1172" s="16" t="str">
        <f>"－"</f>
        <v>－</v>
      </c>
      <c r="W1172" s="16"/>
      <c r="X1172" s="16" t="str">
        <f>"－"</f>
        <v>－</v>
      </c>
      <c r="Y1172" s="13"/>
      <c r="Z1172" s="17" t="n">
        <f>8320</f>
        <v>8320.0</v>
      </c>
      <c r="AA1172" s="18" t="str">
        <f>"－"</f>
        <v>－</v>
      </c>
      <c r="AB1172" s="11" t="s">
        <v>527</v>
      </c>
    </row>
    <row r="1173">
      <c r="A1173" s="11" t="s">
        <v>46</v>
      </c>
      <c r="B1173" s="11" t="s">
        <v>47</v>
      </c>
      <c r="C1173" s="11" t="s">
        <v>48</v>
      </c>
      <c r="D1173" s="11" t="s">
        <v>651</v>
      </c>
      <c r="E1173" s="11" t="s">
        <v>526</v>
      </c>
      <c r="F1173" s="12" t="n">
        <v>22750.0</v>
      </c>
      <c r="G1173" s="13"/>
      <c r="H1173" s="14" t="s">
        <v>57</v>
      </c>
      <c r="I1173" s="13"/>
      <c r="J1173" s="14" t="s">
        <v>57</v>
      </c>
      <c r="K1173" s="13"/>
      <c r="L1173" s="14"/>
      <c r="M1173" s="13"/>
      <c r="N1173" s="14" t="s">
        <v>57</v>
      </c>
      <c r="O1173" s="13"/>
      <c r="P1173" s="14"/>
      <c r="Q1173" s="13"/>
      <c r="R1173" s="14" t="s">
        <v>57</v>
      </c>
      <c r="S1173" s="15" t="str">
        <f>"－"</f>
        <v>－</v>
      </c>
      <c r="T1173" s="16" t="str">
        <f>"－"</f>
        <v>－</v>
      </c>
      <c r="U1173" s="16"/>
      <c r="V1173" s="16" t="str">
        <f>"－"</f>
        <v>－</v>
      </c>
      <c r="W1173" s="16"/>
      <c r="X1173" s="16" t="str">
        <f>"－"</f>
        <v>－</v>
      </c>
      <c r="Y1173" s="13"/>
      <c r="Z1173" s="17" t="n">
        <f>580</f>
        <v>580.0</v>
      </c>
      <c r="AA1173" s="18" t="str">
        <f>"－"</f>
        <v>－</v>
      </c>
      <c r="AB1173" s="11" t="s">
        <v>527</v>
      </c>
    </row>
    <row r="1174">
      <c r="A1174" s="11" t="s">
        <v>46</v>
      </c>
      <c r="B1174" s="11" t="s">
        <v>47</v>
      </c>
      <c r="C1174" s="11" t="s">
        <v>48</v>
      </c>
      <c r="D1174" s="11" t="s">
        <v>651</v>
      </c>
      <c r="E1174" s="11" t="s">
        <v>526</v>
      </c>
      <c r="F1174" s="12" t="n">
        <v>23000.0</v>
      </c>
      <c r="G1174" s="13"/>
      <c r="H1174" s="14" t="s">
        <v>57</v>
      </c>
      <c r="I1174" s="13"/>
      <c r="J1174" s="14" t="s">
        <v>57</v>
      </c>
      <c r="K1174" s="13"/>
      <c r="L1174" s="14"/>
      <c r="M1174" s="13"/>
      <c r="N1174" s="14" t="s">
        <v>57</v>
      </c>
      <c r="O1174" s="13"/>
      <c r="P1174" s="14"/>
      <c r="Q1174" s="13"/>
      <c r="R1174" s="14" t="s">
        <v>57</v>
      </c>
      <c r="S1174" s="15" t="str">
        <f>"－"</f>
        <v>－</v>
      </c>
      <c r="T1174" s="16" t="str">
        <f>"－"</f>
        <v>－</v>
      </c>
      <c r="U1174" s="16"/>
      <c r="V1174" s="16" t="str">
        <f>"－"</f>
        <v>－</v>
      </c>
      <c r="W1174" s="16"/>
      <c r="X1174" s="16" t="str">
        <f>"－"</f>
        <v>－</v>
      </c>
      <c r="Y1174" s="13"/>
      <c r="Z1174" s="17" t="n">
        <f>7014</f>
        <v>7014.0</v>
      </c>
      <c r="AA1174" s="18" t="str">
        <f>"－"</f>
        <v>－</v>
      </c>
      <c r="AB1174" s="11" t="s">
        <v>527</v>
      </c>
    </row>
    <row r="1175">
      <c r="A1175" s="11" t="s">
        <v>46</v>
      </c>
      <c r="B1175" s="11" t="s">
        <v>47</v>
      </c>
      <c r="C1175" s="11" t="s">
        <v>48</v>
      </c>
      <c r="D1175" s="11" t="s">
        <v>651</v>
      </c>
      <c r="E1175" s="11" t="s">
        <v>526</v>
      </c>
      <c r="F1175" s="12" t="n">
        <v>23250.0</v>
      </c>
      <c r="G1175" s="13"/>
      <c r="H1175" s="14" t="s">
        <v>57</v>
      </c>
      <c r="I1175" s="13"/>
      <c r="J1175" s="14" t="s">
        <v>57</v>
      </c>
      <c r="K1175" s="13"/>
      <c r="L1175" s="14"/>
      <c r="M1175" s="13"/>
      <c r="N1175" s="14" t="s">
        <v>57</v>
      </c>
      <c r="O1175" s="13"/>
      <c r="P1175" s="14"/>
      <c r="Q1175" s="13"/>
      <c r="R1175" s="14" t="s">
        <v>57</v>
      </c>
      <c r="S1175" s="15" t="str">
        <f>"－"</f>
        <v>－</v>
      </c>
      <c r="T1175" s="16" t="str">
        <f>"－"</f>
        <v>－</v>
      </c>
      <c r="U1175" s="16"/>
      <c r="V1175" s="16" t="str">
        <f>"－"</f>
        <v>－</v>
      </c>
      <c r="W1175" s="16"/>
      <c r="X1175" s="16" t="str">
        <f>"－"</f>
        <v>－</v>
      </c>
      <c r="Y1175" s="13"/>
      <c r="Z1175" s="17" t="n">
        <f>665</f>
        <v>665.0</v>
      </c>
      <c r="AA1175" s="18" t="str">
        <f>"－"</f>
        <v>－</v>
      </c>
      <c r="AB1175" s="11" t="s">
        <v>527</v>
      </c>
    </row>
    <row r="1176">
      <c r="A1176" s="11" t="s">
        <v>46</v>
      </c>
      <c r="B1176" s="11" t="s">
        <v>47</v>
      </c>
      <c r="C1176" s="11" t="s">
        <v>48</v>
      </c>
      <c r="D1176" s="11" t="s">
        <v>651</v>
      </c>
      <c r="E1176" s="11" t="s">
        <v>526</v>
      </c>
      <c r="F1176" s="12" t="n">
        <v>23500.0</v>
      </c>
      <c r="G1176" s="13"/>
      <c r="H1176" s="14" t="s">
        <v>57</v>
      </c>
      <c r="I1176" s="13"/>
      <c r="J1176" s="14" t="s">
        <v>57</v>
      </c>
      <c r="K1176" s="13"/>
      <c r="L1176" s="14"/>
      <c r="M1176" s="13"/>
      <c r="N1176" s="14" t="s">
        <v>57</v>
      </c>
      <c r="O1176" s="13"/>
      <c r="P1176" s="14"/>
      <c r="Q1176" s="13"/>
      <c r="R1176" s="14" t="s">
        <v>57</v>
      </c>
      <c r="S1176" s="15" t="str">
        <f>"－"</f>
        <v>－</v>
      </c>
      <c r="T1176" s="16" t="str">
        <f>"－"</f>
        <v>－</v>
      </c>
      <c r="U1176" s="16"/>
      <c r="V1176" s="16" t="str">
        <f>"－"</f>
        <v>－</v>
      </c>
      <c r="W1176" s="16"/>
      <c r="X1176" s="16" t="str">
        <f>"－"</f>
        <v>－</v>
      </c>
      <c r="Y1176" s="13"/>
      <c r="Z1176" s="17" t="n">
        <f>3195</f>
        <v>3195.0</v>
      </c>
      <c r="AA1176" s="18" t="str">
        <f>"－"</f>
        <v>－</v>
      </c>
      <c r="AB1176" s="11" t="s">
        <v>527</v>
      </c>
    </row>
    <row r="1177">
      <c r="A1177" s="11" t="s">
        <v>46</v>
      </c>
      <c r="B1177" s="11" t="s">
        <v>47</v>
      </c>
      <c r="C1177" s="11" t="s">
        <v>48</v>
      </c>
      <c r="D1177" s="11" t="s">
        <v>651</v>
      </c>
      <c r="E1177" s="11" t="s">
        <v>526</v>
      </c>
      <c r="F1177" s="12" t="n">
        <v>23750.0</v>
      </c>
      <c r="G1177" s="13"/>
      <c r="H1177" s="14" t="s">
        <v>57</v>
      </c>
      <c r="I1177" s="13"/>
      <c r="J1177" s="14" t="s">
        <v>57</v>
      </c>
      <c r="K1177" s="13"/>
      <c r="L1177" s="14"/>
      <c r="M1177" s="13"/>
      <c r="N1177" s="14" t="s">
        <v>57</v>
      </c>
      <c r="O1177" s="13"/>
      <c r="P1177" s="14"/>
      <c r="Q1177" s="13"/>
      <c r="R1177" s="14" t="s">
        <v>57</v>
      </c>
      <c r="S1177" s="15" t="str">
        <f>"－"</f>
        <v>－</v>
      </c>
      <c r="T1177" s="16" t="str">
        <f>"－"</f>
        <v>－</v>
      </c>
      <c r="U1177" s="16"/>
      <c r="V1177" s="16" t="str">
        <f>"－"</f>
        <v>－</v>
      </c>
      <c r="W1177" s="16"/>
      <c r="X1177" s="16" t="str">
        <f>"－"</f>
        <v>－</v>
      </c>
      <c r="Y1177" s="13"/>
      <c r="Z1177" s="17" t="n">
        <f>602</f>
        <v>602.0</v>
      </c>
      <c r="AA1177" s="18" t="str">
        <f>"－"</f>
        <v>－</v>
      </c>
      <c r="AB1177" s="11" t="s">
        <v>527</v>
      </c>
    </row>
    <row r="1178">
      <c r="A1178" s="11" t="s">
        <v>46</v>
      </c>
      <c r="B1178" s="11" t="s">
        <v>47</v>
      </c>
      <c r="C1178" s="11" t="s">
        <v>48</v>
      </c>
      <c r="D1178" s="11" t="s">
        <v>651</v>
      </c>
      <c r="E1178" s="11" t="s">
        <v>526</v>
      </c>
      <c r="F1178" s="12" t="n">
        <v>24000.0</v>
      </c>
      <c r="G1178" s="13"/>
      <c r="H1178" s="14" t="s">
        <v>57</v>
      </c>
      <c r="I1178" s="13"/>
      <c r="J1178" s="14" t="s">
        <v>57</v>
      </c>
      <c r="K1178" s="13"/>
      <c r="L1178" s="14"/>
      <c r="M1178" s="13"/>
      <c r="N1178" s="14" t="s">
        <v>57</v>
      </c>
      <c r="O1178" s="13"/>
      <c r="P1178" s="14"/>
      <c r="Q1178" s="13"/>
      <c r="R1178" s="14" t="s">
        <v>57</v>
      </c>
      <c r="S1178" s="15" t="str">
        <f>"－"</f>
        <v>－</v>
      </c>
      <c r="T1178" s="16" t="str">
        <f>"－"</f>
        <v>－</v>
      </c>
      <c r="U1178" s="16"/>
      <c r="V1178" s="16" t="str">
        <f>"－"</f>
        <v>－</v>
      </c>
      <c r="W1178" s="16"/>
      <c r="X1178" s="16" t="str">
        <f>"－"</f>
        <v>－</v>
      </c>
      <c r="Y1178" s="13"/>
      <c r="Z1178" s="17" t="n">
        <f>7765</f>
        <v>7765.0</v>
      </c>
      <c r="AA1178" s="18" t="str">
        <f>"－"</f>
        <v>－</v>
      </c>
      <c r="AB1178" s="11" t="s">
        <v>527</v>
      </c>
    </row>
    <row r="1179">
      <c r="A1179" s="11" t="s">
        <v>46</v>
      </c>
      <c r="B1179" s="11" t="s">
        <v>47</v>
      </c>
      <c r="C1179" s="11" t="s">
        <v>48</v>
      </c>
      <c r="D1179" s="11" t="s">
        <v>651</v>
      </c>
      <c r="E1179" s="11" t="s">
        <v>526</v>
      </c>
      <c r="F1179" s="12" t="n">
        <v>24500.0</v>
      </c>
      <c r="G1179" s="13"/>
      <c r="H1179" s="14" t="s">
        <v>57</v>
      </c>
      <c r="I1179" s="13"/>
      <c r="J1179" s="14" t="s">
        <v>57</v>
      </c>
      <c r="K1179" s="13"/>
      <c r="L1179" s="14"/>
      <c r="M1179" s="13"/>
      <c r="N1179" s="14" t="s">
        <v>57</v>
      </c>
      <c r="O1179" s="13"/>
      <c r="P1179" s="14"/>
      <c r="Q1179" s="13"/>
      <c r="R1179" s="14" t="s">
        <v>57</v>
      </c>
      <c r="S1179" s="15" t="str">
        <f>"－"</f>
        <v>－</v>
      </c>
      <c r="T1179" s="16" t="str">
        <f>"－"</f>
        <v>－</v>
      </c>
      <c r="U1179" s="16"/>
      <c r="V1179" s="16" t="str">
        <f>"－"</f>
        <v>－</v>
      </c>
      <c r="W1179" s="16"/>
      <c r="X1179" s="16" t="str">
        <f>"－"</f>
        <v>－</v>
      </c>
      <c r="Y1179" s="13"/>
      <c r="Z1179" s="17" t="n">
        <f>2400</f>
        <v>2400.0</v>
      </c>
      <c r="AA1179" s="18" t="str">
        <f>"－"</f>
        <v>－</v>
      </c>
      <c r="AB1179" s="11" t="s">
        <v>527</v>
      </c>
    </row>
    <row r="1180">
      <c r="A1180" s="11" t="s">
        <v>46</v>
      </c>
      <c r="B1180" s="11" t="s">
        <v>47</v>
      </c>
      <c r="C1180" s="11" t="s">
        <v>48</v>
      </c>
      <c r="D1180" s="11" t="s">
        <v>651</v>
      </c>
      <c r="E1180" s="11" t="s">
        <v>526</v>
      </c>
      <c r="F1180" s="12" t="n">
        <v>25000.0</v>
      </c>
      <c r="G1180" s="13"/>
      <c r="H1180" s="14" t="s">
        <v>57</v>
      </c>
      <c r="I1180" s="13"/>
      <c r="J1180" s="14" t="s">
        <v>57</v>
      </c>
      <c r="K1180" s="13" t="s">
        <v>202</v>
      </c>
      <c r="L1180" s="14" t="s">
        <v>825</v>
      </c>
      <c r="M1180" s="13"/>
      <c r="N1180" s="14" t="s">
        <v>57</v>
      </c>
      <c r="O1180" s="13" t="s">
        <v>50</v>
      </c>
      <c r="P1180" s="14" t="s">
        <v>826</v>
      </c>
      <c r="Q1180" s="13"/>
      <c r="R1180" s="14" t="s">
        <v>57</v>
      </c>
      <c r="S1180" s="15" t="str">
        <f>"－"</f>
        <v>－</v>
      </c>
      <c r="T1180" s="16" t="n">
        <f>435</f>
        <v>435.0</v>
      </c>
      <c r="U1180" s="16" t="n">
        <v>435.0</v>
      </c>
      <c r="V1180" s="16" t="n">
        <f>1845390000</f>
        <v>1.84539E9</v>
      </c>
      <c r="W1180" s="16" t="n">
        <v>1.84539E9</v>
      </c>
      <c r="X1180" s="16" t="str">
        <f>"－"</f>
        <v>－</v>
      </c>
      <c r="Y1180" s="13"/>
      <c r="Z1180" s="17" t="n">
        <f>8530</f>
        <v>8530.0</v>
      </c>
      <c r="AA1180" s="18" t="str">
        <f>"－"</f>
        <v>－</v>
      </c>
      <c r="AB1180" s="11" t="s">
        <v>527</v>
      </c>
    </row>
    <row r="1181">
      <c r="A1181" s="11" t="s">
        <v>46</v>
      </c>
      <c r="B1181" s="11" t="s">
        <v>47</v>
      </c>
      <c r="C1181" s="11" t="s">
        <v>48</v>
      </c>
      <c r="D1181" s="11" t="s">
        <v>651</v>
      </c>
      <c r="E1181" s="11" t="s">
        <v>526</v>
      </c>
      <c r="F1181" s="12" t="n">
        <v>25250.0</v>
      </c>
      <c r="G1181" s="13"/>
      <c r="H1181" s="14" t="s">
        <v>57</v>
      </c>
      <c r="I1181" s="13"/>
      <c r="J1181" s="14" t="s">
        <v>57</v>
      </c>
      <c r="K1181" s="13"/>
      <c r="L1181" s="14"/>
      <c r="M1181" s="13"/>
      <c r="N1181" s="14" t="s">
        <v>57</v>
      </c>
      <c r="O1181" s="13"/>
      <c r="P1181" s="14"/>
      <c r="Q1181" s="13"/>
      <c r="R1181" s="14" t="s">
        <v>57</v>
      </c>
      <c r="S1181" s="15" t="str">
        <f>"－"</f>
        <v>－</v>
      </c>
      <c r="T1181" s="16" t="str">
        <f>"－"</f>
        <v>－</v>
      </c>
      <c r="U1181" s="16"/>
      <c r="V1181" s="16" t="str">
        <f>"－"</f>
        <v>－</v>
      </c>
      <c r="W1181" s="16"/>
      <c r="X1181" s="16" t="str">
        <f>"－"</f>
        <v>－</v>
      </c>
      <c r="Y1181" s="13"/>
      <c r="Z1181" s="17" t="n">
        <f>151</f>
        <v>151.0</v>
      </c>
      <c r="AA1181" s="18" t="str">
        <f>"－"</f>
        <v>－</v>
      </c>
      <c r="AB1181" s="11" t="s">
        <v>527</v>
      </c>
    </row>
    <row r="1182">
      <c r="A1182" s="11" t="s">
        <v>46</v>
      </c>
      <c r="B1182" s="11" t="s">
        <v>47</v>
      </c>
      <c r="C1182" s="11" t="s">
        <v>48</v>
      </c>
      <c r="D1182" s="11" t="s">
        <v>651</v>
      </c>
      <c r="E1182" s="11" t="s">
        <v>526</v>
      </c>
      <c r="F1182" s="12" t="n">
        <v>25500.0</v>
      </c>
      <c r="G1182" s="13"/>
      <c r="H1182" s="14" t="s">
        <v>57</v>
      </c>
      <c r="I1182" s="13"/>
      <c r="J1182" s="14" t="s">
        <v>57</v>
      </c>
      <c r="K1182" s="13"/>
      <c r="L1182" s="14"/>
      <c r="M1182" s="13"/>
      <c r="N1182" s="14" t="s">
        <v>57</v>
      </c>
      <c r="O1182" s="13"/>
      <c r="P1182" s="14"/>
      <c r="Q1182" s="13"/>
      <c r="R1182" s="14" t="s">
        <v>57</v>
      </c>
      <c r="S1182" s="15" t="str">
        <f>"－"</f>
        <v>－</v>
      </c>
      <c r="T1182" s="16" t="str">
        <f>"－"</f>
        <v>－</v>
      </c>
      <c r="U1182" s="16"/>
      <c r="V1182" s="16" t="str">
        <f>"－"</f>
        <v>－</v>
      </c>
      <c r="W1182" s="16"/>
      <c r="X1182" s="16" t="str">
        <f>"－"</f>
        <v>－</v>
      </c>
      <c r="Y1182" s="13"/>
      <c r="Z1182" s="17" t="n">
        <f>1839</f>
        <v>1839.0</v>
      </c>
      <c r="AA1182" s="18" t="str">
        <f>"－"</f>
        <v>－</v>
      </c>
      <c r="AB1182" s="11" t="s">
        <v>527</v>
      </c>
    </row>
    <row r="1183">
      <c r="A1183" s="11" t="s">
        <v>46</v>
      </c>
      <c r="B1183" s="11" t="s">
        <v>47</v>
      </c>
      <c r="C1183" s="11" t="s">
        <v>48</v>
      </c>
      <c r="D1183" s="11" t="s">
        <v>651</v>
      </c>
      <c r="E1183" s="11" t="s">
        <v>526</v>
      </c>
      <c r="F1183" s="12" t="n">
        <v>26000.0</v>
      </c>
      <c r="G1183" s="13"/>
      <c r="H1183" s="14" t="s">
        <v>57</v>
      </c>
      <c r="I1183" s="13"/>
      <c r="J1183" s="14" t="s">
        <v>57</v>
      </c>
      <c r="K1183" s="13"/>
      <c r="L1183" s="14"/>
      <c r="M1183" s="13"/>
      <c r="N1183" s="14" t="s">
        <v>57</v>
      </c>
      <c r="O1183" s="13"/>
      <c r="P1183" s="14"/>
      <c r="Q1183" s="13"/>
      <c r="R1183" s="14" t="s">
        <v>57</v>
      </c>
      <c r="S1183" s="15" t="str">
        <f>"－"</f>
        <v>－</v>
      </c>
      <c r="T1183" s="16" t="str">
        <f>"－"</f>
        <v>－</v>
      </c>
      <c r="U1183" s="16"/>
      <c r="V1183" s="16" t="str">
        <f>"－"</f>
        <v>－</v>
      </c>
      <c r="W1183" s="16"/>
      <c r="X1183" s="16" t="str">
        <f>"－"</f>
        <v>－</v>
      </c>
      <c r="Y1183" s="13"/>
      <c r="Z1183" s="17" t="n">
        <f>5020</f>
        <v>5020.0</v>
      </c>
      <c r="AA1183" s="18" t="str">
        <f>"－"</f>
        <v>－</v>
      </c>
      <c r="AB1183" s="11" t="s">
        <v>527</v>
      </c>
    </row>
    <row r="1184">
      <c r="A1184" s="11" t="s">
        <v>46</v>
      </c>
      <c r="B1184" s="11" t="s">
        <v>47</v>
      </c>
      <c r="C1184" s="11" t="s">
        <v>48</v>
      </c>
      <c r="D1184" s="11" t="s">
        <v>651</v>
      </c>
      <c r="E1184" s="11" t="s">
        <v>526</v>
      </c>
      <c r="F1184" s="12" t="n">
        <v>26500.0</v>
      </c>
      <c r="G1184" s="13"/>
      <c r="H1184" s="14" t="s">
        <v>57</v>
      </c>
      <c r="I1184" s="13"/>
      <c r="J1184" s="14" t="s">
        <v>57</v>
      </c>
      <c r="K1184" s="13" t="s">
        <v>52</v>
      </c>
      <c r="L1184" s="14" t="s">
        <v>827</v>
      </c>
      <c r="M1184" s="13"/>
      <c r="N1184" s="14" t="s">
        <v>57</v>
      </c>
      <c r="O1184" s="13" t="s">
        <v>52</v>
      </c>
      <c r="P1184" s="14" t="s">
        <v>827</v>
      </c>
      <c r="Q1184" s="13"/>
      <c r="R1184" s="14" t="s">
        <v>57</v>
      </c>
      <c r="S1184" s="15" t="str">
        <f>"－"</f>
        <v>－</v>
      </c>
      <c r="T1184" s="16" t="n">
        <f>100</f>
        <v>100.0</v>
      </c>
      <c r="U1184" s="16" t="n">
        <v>100.0</v>
      </c>
      <c r="V1184" s="16" t="n">
        <f>374400000</f>
        <v>3.744E8</v>
      </c>
      <c r="W1184" s="16" t="n">
        <v>3.744E8</v>
      </c>
      <c r="X1184" s="16" t="str">
        <f>"－"</f>
        <v>－</v>
      </c>
      <c r="Y1184" s="13"/>
      <c r="Z1184" s="17" t="n">
        <f>3206</f>
        <v>3206.0</v>
      </c>
      <c r="AA1184" s="18" t="str">
        <f>"－"</f>
        <v>－</v>
      </c>
      <c r="AB1184" s="11" t="s">
        <v>527</v>
      </c>
    </row>
    <row r="1185">
      <c r="A1185" s="11" t="s">
        <v>46</v>
      </c>
      <c r="B1185" s="11" t="s">
        <v>47</v>
      </c>
      <c r="C1185" s="11" t="s">
        <v>48</v>
      </c>
      <c r="D1185" s="11" t="s">
        <v>651</v>
      </c>
      <c r="E1185" s="11" t="s">
        <v>526</v>
      </c>
      <c r="F1185" s="12" t="n">
        <v>26750.0</v>
      </c>
      <c r="G1185" s="13"/>
      <c r="H1185" s="14" t="s">
        <v>57</v>
      </c>
      <c r="I1185" s="13"/>
      <c r="J1185" s="14" t="s">
        <v>57</v>
      </c>
      <c r="K1185" s="13"/>
      <c r="L1185" s="14"/>
      <c r="M1185" s="13"/>
      <c r="N1185" s="14" t="s">
        <v>57</v>
      </c>
      <c r="O1185" s="13"/>
      <c r="P1185" s="14"/>
      <c r="Q1185" s="13"/>
      <c r="R1185" s="14" t="s">
        <v>57</v>
      </c>
      <c r="S1185" s="15" t="str">
        <f>"－"</f>
        <v>－</v>
      </c>
      <c r="T1185" s="16" t="str">
        <f>"－"</f>
        <v>－</v>
      </c>
      <c r="U1185" s="16"/>
      <c r="V1185" s="16" t="str">
        <f>"－"</f>
        <v>－</v>
      </c>
      <c r="W1185" s="16"/>
      <c r="X1185" s="16" t="str">
        <f>"－"</f>
        <v>－</v>
      </c>
      <c r="Y1185" s="13"/>
      <c r="Z1185" s="17" t="n">
        <f>736</f>
        <v>736.0</v>
      </c>
      <c r="AA1185" s="18" t="str">
        <f>"－"</f>
        <v>－</v>
      </c>
      <c r="AB1185" s="11" t="s">
        <v>527</v>
      </c>
    </row>
    <row r="1186">
      <c r="A1186" s="11" t="s">
        <v>46</v>
      </c>
      <c r="B1186" s="11" t="s">
        <v>47</v>
      </c>
      <c r="C1186" s="11" t="s">
        <v>48</v>
      </c>
      <c r="D1186" s="11" t="s">
        <v>651</v>
      </c>
      <c r="E1186" s="11" t="s">
        <v>526</v>
      </c>
      <c r="F1186" s="12" t="n">
        <v>27000.0</v>
      </c>
      <c r="G1186" s="13" t="s">
        <v>52</v>
      </c>
      <c r="H1186" s="14" t="s">
        <v>828</v>
      </c>
      <c r="I1186" s="13" t="s">
        <v>52</v>
      </c>
      <c r="J1186" s="14" t="s">
        <v>828</v>
      </c>
      <c r="K1186" s="13"/>
      <c r="L1186" s="14"/>
      <c r="M1186" s="13" t="s">
        <v>52</v>
      </c>
      <c r="N1186" s="14" t="s">
        <v>828</v>
      </c>
      <c r="O1186" s="13"/>
      <c r="P1186" s="14"/>
      <c r="Q1186" s="13" t="s">
        <v>52</v>
      </c>
      <c r="R1186" s="14" t="s">
        <v>828</v>
      </c>
      <c r="S1186" s="15" t="n">
        <f>3430</f>
        <v>3430.0</v>
      </c>
      <c r="T1186" s="16" t="n">
        <f>1</f>
        <v>1.0</v>
      </c>
      <c r="U1186" s="16"/>
      <c r="V1186" s="16" t="n">
        <f>3430000</f>
        <v>3430000.0</v>
      </c>
      <c r="W1186" s="16"/>
      <c r="X1186" s="16" t="str">
        <f>"－"</f>
        <v>－</v>
      </c>
      <c r="Y1186" s="13"/>
      <c r="Z1186" s="17" t="n">
        <f>3256</f>
        <v>3256.0</v>
      </c>
      <c r="AA1186" s="18" t="n">
        <f>1</f>
        <v>1.0</v>
      </c>
      <c r="AB1186" s="11" t="s">
        <v>527</v>
      </c>
    </row>
    <row r="1187">
      <c r="A1187" s="11" t="s">
        <v>46</v>
      </c>
      <c r="B1187" s="11" t="s">
        <v>47</v>
      </c>
      <c r="C1187" s="11" t="s">
        <v>48</v>
      </c>
      <c r="D1187" s="11" t="s">
        <v>651</v>
      </c>
      <c r="E1187" s="11" t="s">
        <v>526</v>
      </c>
      <c r="F1187" s="12" t="n">
        <v>27500.0</v>
      </c>
      <c r="G1187" s="13"/>
      <c r="H1187" s="14" t="s">
        <v>57</v>
      </c>
      <c r="I1187" s="13"/>
      <c r="J1187" s="14" t="s">
        <v>57</v>
      </c>
      <c r="K1187" s="13" t="s">
        <v>50</v>
      </c>
      <c r="L1187" s="14" t="s">
        <v>522</v>
      </c>
      <c r="M1187" s="13"/>
      <c r="N1187" s="14" t="s">
        <v>57</v>
      </c>
      <c r="O1187" s="13" t="s">
        <v>50</v>
      </c>
      <c r="P1187" s="14" t="s">
        <v>522</v>
      </c>
      <c r="Q1187" s="13"/>
      <c r="R1187" s="14" t="s">
        <v>57</v>
      </c>
      <c r="S1187" s="15" t="str">
        <f>"－"</f>
        <v>－</v>
      </c>
      <c r="T1187" s="16" t="n">
        <f>75</f>
        <v>75.0</v>
      </c>
      <c r="U1187" s="16" t="n">
        <v>75.0</v>
      </c>
      <c r="V1187" s="16" t="n">
        <f>157500000</f>
        <v>1.575E8</v>
      </c>
      <c r="W1187" s="16" t="n">
        <v>1.575E8</v>
      </c>
      <c r="X1187" s="16" t="str">
        <f>"－"</f>
        <v>－</v>
      </c>
      <c r="Y1187" s="13"/>
      <c r="Z1187" s="17" t="n">
        <f>1725</f>
        <v>1725.0</v>
      </c>
      <c r="AA1187" s="18" t="str">
        <f>"－"</f>
        <v>－</v>
      </c>
      <c r="AB1187" s="11" t="s">
        <v>527</v>
      </c>
    </row>
    <row r="1188">
      <c r="A1188" s="11" t="s">
        <v>46</v>
      </c>
      <c r="B1188" s="11" t="s">
        <v>47</v>
      </c>
      <c r="C1188" s="11" t="s">
        <v>48</v>
      </c>
      <c r="D1188" s="11" t="s">
        <v>651</v>
      </c>
      <c r="E1188" s="11" t="s">
        <v>526</v>
      </c>
      <c r="F1188" s="12" t="n">
        <v>27750.0</v>
      </c>
      <c r="G1188" s="13"/>
      <c r="H1188" s="14" t="s">
        <v>57</v>
      </c>
      <c r="I1188" s="13"/>
      <c r="J1188" s="14" t="s">
        <v>57</v>
      </c>
      <c r="K1188" s="13" t="s">
        <v>50</v>
      </c>
      <c r="L1188" s="14" t="s">
        <v>610</v>
      </c>
      <c r="M1188" s="13"/>
      <c r="N1188" s="14" t="s">
        <v>57</v>
      </c>
      <c r="O1188" s="13" t="s">
        <v>50</v>
      </c>
      <c r="P1188" s="14" t="s">
        <v>610</v>
      </c>
      <c r="Q1188" s="13"/>
      <c r="R1188" s="14" t="s">
        <v>57</v>
      </c>
      <c r="S1188" s="15" t="str">
        <f>"－"</f>
        <v>－</v>
      </c>
      <c r="T1188" s="16" t="n">
        <f>50</f>
        <v>50.0</v>
      </c>
      <c r="U1188" s="16" t="n">
        <v>50.0</v>
      </c>
      <c r="V1188" s="16" t="n">
        <f>100000000</f>
        <v>1.0E8</v>
      </c>
      <c r="W1188" s="16" t="n">
        <v>1.0E8</v>
      </c>
      <c r="X1188" s="16" t="str">
        <f>"－"</f>
        <v>－</v>
      </c>
      <c r="Y1188" s="13"/>
      <c r="Z1188" s="17" t="n">
        <f>50</f>
        <v>50.0</v>
      </c>
      <c r="AA1188" s="18" t="str">
        <f>"－"</f>
        <v>－</v>
      </c>
      <c r="AB1188" s="11" t="s">
        <v>527</v>
      </c>
    </row>
    <row r="1189">
      <c r="A1189" s="11" t="s">
        <v>46</v>
      </c>
      <c r="B1189" s="11" t="s">
        <v>47</v>
      </c>
      <c r="C1189" s="11" t="s">
        <v>48</v>
      </c>
      <c r="D1189" s="11" t="s">
        <v>651</v>
      </c>
      <c r="E1189" s="11" t="s">
        <v>526</v>
      </c>
      <c r="F1189" s="12" t="n">
        <v>28000.0</v>
      </c>
      <c r="G1189" s="13"/>
      <c r="H1189" s="14" t="s">
        <v>57</v>
      </c>
      <c r="I1189" s="13"/>
      <c r="J1189" s="14" t="s">
        <v>57</v>
      </c>
      <c r="K1189" s="13" t="s">
        <v>50</v>
      </c>
      <c r="L1189" s="14" t="s">
        <v>829</v>
      </c>
      <c r="M1189" s="13"/>
      <c r="N1189" s="14" t="s">
        <v>57</v>
      </c>
      <c r="O1189" s="13" t="s">
        <v>50</v>
      </c>
      <c r="P1189" s="14" t="s">
        <v>51</v>
      </c>
      <c r="Q1189" s="13"/>
      <c r="R1189" s="14" t="s">
        <v>57</v>
      </c>
      <c r="S1189" s="15" t="str">
        <f>"－"</f>
        <v>－</v>
      </c>
      <c r="T1189" s="16" t="n">
        <f>150</f>
        <v>150.0</v>
      </c>
      <c r="U1189" s="16" t="n">
        <v>150.0</v>
      </c>
      <c r="V1189" s="16" t="n">
        <f>93850000</f>
        <v>9.385E7</v>
      </c>
      <c r="W1189" s="16" t="n">
        <v>9.385E7</v>
      </c>
      <c r="X1189" s="16" t="str">
        <f>"－"</f>
        <v>－</v>
      </c>
      <c r="Y1189" s="13"/>
      <c r="Z1189" s="17" t="n">
        <f>4124</f>
        <v>4124.0</v>
      </c>
      <c r="AA1189" s="18" t="str">
        <f>"－"</f>
        <v>－</v>
      </c>
      <c r="AB1189" s="11" t="s">
        <v>527</v>
      </c>
    </row>
    <row r="1190">
      <c r="A1190" s="11" t="s">
        <v>46</v>
      </c>
      <c r="B1190" s="11" t="s">
        <v>47</v>
      </c>
      <c r="C1190" s="11" t="s">
        <v>48</v>
      </c>
      <c r="D1190" s="11" t="s">
        <v>651</v>
      </c>
      <c r="E1190" s="11" t="s">
        <v>526</v>
      </c>
      <c r="F1190" s="12" t="n">
        <v>28250.0</v>
      </c>
      <c r="G1190" s="13"/>
      <c r="H1190" s="14" t="s">
        <v>57</v>
      </c>
      <c r="I1190" s="13"/>
      <c r="J1190" s="14" t="s">
        <v>57</v>
      </c>
      <c r="K1190" s="13"/>
      <c r="L1190" s="14"/>
      <c r="M1190" s="13"/>
      <c r="N1190" s="14" t="s">
        <v>57</v>
      </c>
      <c r="O1190" s="13"/>
      <c r="P1190" s="14"/>
      <c r="Q1190" s="13"/>
      <c r="R1190" s="14" t="s">
        <v>57</v>
      </c>
      <c r="S1190" s="15" t="str">
        <f>"－"</f>
        <v>－</v>
      </c>
      <c r="T1190" s="16" t="str">
        <f>"－"</f>
        <v>－</v>
      </c>
      <c r="U1190" s="16"/>
      <c r="V1190" s="16" t="str">
        <f>"－"</f>
        <v>－</v>
      </c>
      <c r="W1190" s="16"/>
      <c r="X1190" s="16" t="str">
        <f>"－"</f>
        <v>－</v>
      </c>
      <c r="Y1190" s="13"/>
      <c r="Z1190" s="17" t="n">
        <f>1</f>
        <v>1.0</v>
      </c>
      <c r="AA1190" s="18" t="str">
        <f>"－"</f>
        <v>－</v>
      </c>
      <c r="AB1190" s="11" t="s">
        <v>527</v>
      </c>
    </row>
    <row r="1191">
      <c r="A1191" s="11" t="s">
        <v>46</v>
      </c>
      <c r="B1191" s="11" t="s">
        <v>47</v>
      </c>
      <c r="C1191" s="11" t="s">
        <v>48</v>
      </c>
      <c r="D1191" s="11" t="s">
        <v>651</v>
      </c>
      <c r="E1191" s="11" t="s">
        <v>526</v>
      </c>
      <c r="F1191" s="12" t="n">
        <v>28500.0</v>
      </c>
      <c r="G1191" s="13"/>
      <c r="H1191" s="14" t="s">
        <v>57</v>
      </c>
      <c r="I1191" s="13"/>
      <c r="J1191" s="14" t="s">
        <v>57</v>
      </c>
      <c r="K1191" s="13" t="s">
        <v>202</v>
      </c>
      <c r="L1191" s="14" t="s">
        <v>830</v>
      </c>
      <c r="M1191" s="13"/>
      <c r="N1191" s="14" t="s">
        <v>57</v>
      </c>
      <c r="O1191" s="13" t="s">
        <v>52</v>
      </c>
      <c r="P1191" s="14" t="s">
        <v>831</v>
      </c>
      <c r="Q1191" s="13"/>
      <c r="R1191" s="14" t="s">
        <v>57</v>
      </c>
      <c r="S1191" s="15" t="str">
        <f>"－"</f>
        <v>－</v>
      </c>
      <c r="T1191" s="16" t="n">
        <f>238</f>
        <v>238.0</v>
      </c>
      <c r="U1191" s="16" t="n">
        <v>238.0</v>
      </c>
      <c r="V1191" s="16" t="n">
        <f>599700000</f>
        <v>5.997E8</v>
      </c>
      <c r="W1191" s="16" t="n">
        <v>5.997E8</v>
      </c>
      <c r="X1191" s="16" t="str">
        <f>"－"</f>
        <v>－</v>
      </c>
      <c r="Y1191" s="13"/>
      <c r="Z1191" s="17" t="n">
        <f>768</f>
        <v>768.0</v>
      </c>
      <c r="AA1191" s="18" t="str">
        <f>"－"</f>
        <v>－</v>
      </c>
      <c r="AB1191" s="11" t="s">
        <v>527</v>
      </c>
    </row>
    <row r="1192">
      <c r="A1192" s="11" t="s">
        <v>46</v>
      </c>
      <c r="B1192" s="11" t="s">
        <v>47</v>
      </c>
      <c r="C1192" s="11" t="s">
        <v>48</v>
      </c>
      <c r="D1192" s="11" t="s">
        <v>651</v>
      </c>
      <c r="E1192" s="11" t="s">
        <v>526</v>
      </c>
      <c r="F1192" s="12" t="n">
        <v>28750.0</v>
      </c>
      <c r="G1192" s="13"/>
      <c r="H1192" s="14" t="s">
        <v>57</v>
      </c>
      <c r="I1192" s="13"/>
      <c r="J1192" s="14" t="s">
        <v>57</v>
      </c>
      <c r="K1192" s="13"/>
      <c r="L1192" s="14"/>
      <c r="M1192" s="13"/>
      <c r="N1192" s="14" t="s">
        <v>57</v>
      </c>
      <c r="O1192" s="13"/>
      <c r="P1192" s="14"/>
      <c r="Q1192" s="13"/>
      <c r="R1192" s="14" t="s">
        <v>57</v>
      </c>
      <c r="S1192" s="15" t="str">
        <f>"－"</f>
        <v>－</v>
      </c>
      <c r="T1192" s="16" t="str">
        <f>"－"</f>
        <v>－</v>
      </c>
      <c r="U1192" s="16"/>
      <c r="V1192" s="16" t="str">
        <f>"－"</f>
        <v>－</v>
      </c>
      <c r="W1192" s="16"/>
      <c r="X1192" s="16" t="str">
        <f>"－"</f>
        <v>－</v>
      </c>
      <c r="Y1192" s="13"/>
      <c r="Z1192" s="17" t="n">
        <f>255</f>
        <v>255.0</v>
      </c>
      <c r="AA1192" s="18" t="str">
        <f>"－"</f>
        <v>－</v>
      </c>
      <c r="AB1192" s="11" t="s">
        <v>527</v>
      </c>
    </row>
    <row r="1193">
      <c r="A1193" s="11" t="s">
        <v>46</v>
      </c>
      <c r="B1193" s="11" t="s">
        <v>47</v>
      </c>
      <c r="C1193" s="11" t="s">
        <v>48</v>
      </c>
      <c r="D1193" s="11" t="s">
        <v>651</v>
      </c>
      <c r="E1193" s="11" t="s">
        <v>526</v>
      </c>
      <c r="F1193" s="12" t="n">
        <v>29000.0</v>
      </c>
      <c r="G1193" s="13" t="s">
        <v>288</v>
      </c>
      <c r="H1193" s="14" t="s">
        <v>830</v>
      </c>
      <c r="I1193" s="13" t="s">
        <v>288</v>
      </c>
      <c r="J1193" s="14" t="s">
        <v>830</v>
      </c>
      <c r="K1193" s="13" t="s">
        <v>56</v>
      </c>
      <c r="L1193" s="14" t="s">
        <v>770</v>
      </c>
      <c r="M1193" s="13" t="s">
        <v>288</v>
      </c>
      <c r="N1193" s="14" t="s">
        <v>830</v>
      </c>
      <c r="O1193" s="13" t="s">
        <v>58</v>
      </c>
      <c r="P1193" s="14" t="s">
        <v>832</v>
      </c>
      <c r="Q1193" s="13" t="s">
        <v>288</v>
      </c>
      <c r="R1193" s="14" t="s">
        <v>830</v>
      </c>
      <c r="S1193" s="15" t="n">
        <f>2950</f>
        <v>2950.0</v>
      </c>
      <c r="T1193" s="16" t="n">
        <f>1351</f>
        <v>1351.0</v>
      </c>
      <c r="U1193" s="16" t="n">
        <v>1350.0</v>
      </c>
      <c r="V1193" s="16" t="n">
        <f>2518700000</f>
        <v>2.5187E9</v>
      </c>
      <c r="W1193" s="16" t="n">
        <v>2.51575E9</v>
      </c>
      <c r="X1193" s="16" t="str">
        <f>"－"</f>
        <v>－</v>
      </c>
      <c r="Y1193" s="13"/>
      <c r="Z1193" s="17" t="n">
        <f>2351</f>
        <v>2351.0</v>
      </c>
      <c r="AA1193" s="18" t="n">
        <f>1</f>
        <v>1.0</v>
      </c>
      <c r="AB1193" s="11" t="s">
        <v>527</v>
      </c>
    </row>
    <row r="1194">
      <c r="A1194" s="11" t="s">
        <v>46</v>
      </c>
      <c r="B1194" s="11" t="s">
        <v>47</v>
      </c>
      <c r="C1194" s="11" t="s">
        <v>48</v>
      </c>
      <c r="D1194" s="11" t="s">
        <v>651</v>
      </c>
      <c r="E1194" s="11" t="s">
        <v>526</v>
      </c>
      <c r="F1194" s="12" t="n">
        <v>29250.0</v>
      </c>
      <c r="G1194" s="13"/>
      <c r="H1194" s="14" t="s">
        <v>57</v>
      </c>
      <c r="I1194" s="13"/>
      <c r="J1194" s="14" t="s">
        <v>57</v>
      </c>
      <c r="K1194" s="13"/>
      <c r="L1194" s="14"/>
      <c r="M1194" s="13"/>
      <c r="N1194" s="14" t="s">
        <v>57</v>
      </c>
      <c r="O1194" s="13"/>
      <c r="P1194" s="14"/>
      <c r="Q1194" s="13"/>
      <c r="R1194" s="14" t="s">
        <v>57</v>
      </c>
      <c r="S1194" s="15" t="str">
        <f>"－"</f>
        <v>－</v>
      </c>
      <c r="T1194" s="16" t="str">
        <f>"－"</f>
        <v>－</v>
      </c>
      <c r="U1194" s="16"/>
      <c r="V1194" s="16" t="str">
        <f>"－"</f>
        <v>－</v>
      </c>
      <c r="W1194" s="16"/>
      <c r="X1194" s="16" t="str">
        <f>"－"</f>
        <v>－</v>
      </c>
      <c r="Y1194" s="13"/>
      <c r="Z1194" s="17" t="n">
        <f>18</f>
        <v>18.0</v>
      </c>
      <c r="AA1194" s="18" t="str">
        <f>"－"</f>
        <v>－</v>
      </c>
      <c r="AB1194" s="11" t="s">
        <v>527</v>
      </c>
    </row>
    <row r="1195">
      <c r="A1195" s="11" t="s">
        <v>46</v>
      </c>
      <c r="B1195" s="11" t="s">
        <v>47</v>
      </c>
      <c r="C1195" s="11" t="s">
        <v>48</v>
      </c>
      <c r="D1195" s="11" t="s">
        <v>651</v>
      </c>
      <c r="E1195" s="11" t="s">
        <v>526</v>
      </c>
      <c r="F1195" s="12" t="n">
        <v>29500.0</v>
      </c>
      <c r="G1195" s="13"/>
      <c r="H1195" s="14" t="s">
        <v>57</v>
      </c>
      <c r="I1195" s="13"/>
      <c r="J1195" s="14" t="s">
        <v>57</v>
      </c>
      <c r="K1195" s="13" t="s">
        <v>56</v>
      </c>
      <c r="L1195" s="14" t="s">
        <v>115</v>
      </c>
      <c r="M1195" s="13"/>
      <c r="N1195" s="14" t="s">
        <v>57</v>
      </c>
      <c r="O1195" s="13" t="s">
        <v>56</v>
      </c>
      <c r="P1195" s="14" t="s">
        <v>115</v>
      </c>
      <c r="Q1195" s="13"/>
      <c r="R1195" s="14" t="s">
        <v>57</v>
      </c>
      <c r="S1195" s="15" t="str">
        <f>"－"</f>
        <v>－</v>
      </c>
      <c r="T1195" s="16" t="n">
        <f>200</f>
        <v>200.0</v>
      </c>
      <c r="U1195" s="16" t="n">
        <v>200.0</v>
      </c>
      <c r="V1195" s="16" t="n">
        <f>20000000</f>
        <v>2.0E7</v>
      </c>
      <c r="W1195" s="16" t="n">
        <v>2.0E7</v>
      </c>
      <c r="X1195" s="16" t="str">
        <f>"－"</f>
        <v>－</v>
      </c>
      <c r="Y1195" s="13"/>
      <c r="Z1195" s="17" t="n">
        <f>300</f>
        <v>300.0</v>
      </c>
      <c r="AA1195" s="18" t="str">
        <f>"－"</f>
        <v>－</v>
      </c>
      <c r="AB1195" s="11" t="s">
        <v>527</v>
      </c>
    </row>
    <row r="1196">
      <c r="A1196" s="11" t="s">
        <v>46</v>
      </c>
      <c r="B1196" s="11" t="s">
        <v>47</v>
      </c>
      <c r="C1196" s="11" t="s">
        <v>48</v>
      </c>
      <c r="D1196" s="11" t="s">
        <v>651</v>
      </c>
      <c r="E1196" s="11" t="s">
        <v>526</v>
      </c>
      <c r="F1196" s="12" t="n">
        <v>30000.0</v>
      </c>
      <c r="G1196" s="13" t="s">
        <v>56</v>
      </c>
      <c r="H1196" s="14" t="s">
        <v>695</v>
      </c>
      <c r="I1196" s="13" t="s">
        <v>56</v>
      </c>
      <c r="J1196" s="14" t="s">
        <v>833</v>
      </c>
      <c r="K1196" s="13" t="s">
        <v>207</v>
      </c>
      <c r="L1196" s="14" t="s">
        <v>834</v>
      </c>
      <c r="M1196" s="13" t="s">
        <v>56</v>
      </c>
      <c r="N1196" s="14" t="s">
        <v>695</v>
      </c>
      <c r="O1196" s="13" t="s">
        <v>205</v>
      </c>
      <c r="P1196" s="14" t="s">
        <v>833</v>
      </c>
      <c r="Q1196" s="13" t="s">
        <v>56</v>
      </c>
      <c r="R1196" s="14" t="s">
        <v>833</v>
      </c>
      <c r="S1196" s="15" t="n">
        <f>1700</f>
        <v>1700.0</v>
      </c>
      <c r="T1196" s="16" t="n">
        <f>603</f>
        <v>603.0</v>
      </c>
      <c r="U1196" s="16" t="n">
        <v>600.0</v>
      </c>
      <c r="V1196" s="16" t="n">
        <f>1157820000</f>
        <v>1.15782E9</v>
      </c>
      <c r="W1196" s="16" t="n">
        <v>1.1528E9</v>
      </c>
      <c r="X1196" s="16" t="str">
        <f>"－"</f>
        <v>－</v>
      </c>
      <c r="Y1196" s="13"/>
      <c r="Z1196" s="17" t="n">
        <f>3984</f>
        <v>3984.0</v>
      </c>
      <c r="AA1196" s="18" t="n">
        <f>1</f>
        <v>1.0</v>
      </c>
      <c r="AB1196" s="11" t="s">
        <v>527</v>
      </c>
    </row>
    <row r="1197">
      <c r="A1197" s="11" t="s">
        <v>46</v>
      </c>
      <c r="B1197" s="11" t="s">
        <v>47</v>
      </c>
      <c r="C1197" s="11" t="s">
        <v>48</v>
      </c>
      <c r="D1197" s="11" t="s">
        <v>651</v>
      </c>
      <c r="E1197" s="11" t="s">
        <v>526</v>
      </c>
      <c r="F1197" s="12" t="n">
        <v>30500.0</v>
      </c>
      <c r="G1197" s="13"/>
      <c r="H1197" s="14" t="s">
        <v>57</v>
      </c>
      <c r="I1197" s="13"/>
      <c r="J1197" s="14" t="s">
        <v>57</v>
      </c>
      <c r="K1197" s="13" t="s">
        <v>288</v>
      </c>
      <c r="L1197" s="14" t="s">
        <v>835</v>
      </c>
      <c r="M1197" s="13"/>
      <c r="N1197" s="14" t="s">
        <v>57</v>
      </c>
      <c r="O1197" s="13" t="s">
        <v>61</v>
      </c>
      <c r="P1197" s="14" t="s">
        <v>178</v>
      </c>
      <c r="Q1197" s="13"/>
      <c r="R1197" s="14" t="s">
        <v>57</v>
      </c>
      <c r="S1197" s="15" t="str">
        <f>"－"</f>
        <v>－</v>
      </c>
      <c r="T1197" s="16" t="n">
        <f>400</f>
        <v>400.0</v>
      </c>
      <c r="U1197" s="16" t="n">
        <v>400.0</v>
      </c>
      <c r="V1197" s="16" t="n">
        <f>596750000</f>
        <v>5.9675E8</v>
      </c>
      <c r="W1197" s="16" t="n">
        <v>5.9675E8</v>
      </c>
      <c r="X1197" s="16" t="str">
        <f>"－"</f>
        <v>－</v>
      </c>
      <c r="Y1197" s="13"/>
      <c r="Z1197" s="17" t="n">
        <f>450</f>
        <v>450.0</v>
      </c>
      <c r="AA1197" s="18" t="str">
        <f>"－"</f>
        <v>－</v>
      </c>
      <c r="AB1197" s="11" t="s">
        <v>527</v>
      </c>
    </row>
    <row r="1198">
      <c r="A1198" s="11" t="s">
        <v>46</v>
      </c>
      <c r="B1198" s="11" t="s">
        <v>47</v>
      </c>
      <c r="C1198" s="11" t="s">
        <v>48</v>
      </c>
      <c r="D1198" s="11" t="s">
        <v>651</v>
      </c>
      <c r="E1198" s="11" t="s">
        <v>526</v>
      </c>
      <c r="F1198" s="12" t="n">
        <v>30750.0</v>
      </c>
      <c r="G1198" s="13"/>
      <c r="H1198" s="14" t="s">
        <v>57</v>
      </c>
      <c r="I1198" s="13"/>
      <c r="J1198" s="14" t="s">
        <v>57</v>
      </c>
      <c r="K1198" s="13"/>
      <c r="L1198" s="14"/>
      <c r="M1198" s="13"/>
      <c r="N1198" s="14" t="s">
        <v>57</v>
      </c>
      <c r="O1198" s="13"/>
      <c r="P1198" s="14"/>
      <c r="Q1198" s="13"/>
      <c r="R1198" s="14" t="s">
        <v>57</v>
      </c>
      <c r="S1198" s="15" t="str">
        <f>"－"</f>
        <v>－</v>
      </c>
      <c r="T1198" s="16" t="str">
        <f>"－"</f>
        <v>－</v>
      </c>
      <c r="U1198" s="16"/>
      <c r="V1198" s="16" t="str">
        <f>"－"</f>
        <v>－</v>
      </c>
      <c r="W1198" s="16"/>
      <c r="X1198" s="16" t="str">
        <f>"－"</f>
        <v>－</v>
      </c>
      <c r="Y1198" s="13"/>
      <c r="Z1198" s="17" t="n">
        <f>2350</f>
        <v>2350.0</v>
      </c>
      <c r="AA1198" s="18" t="str">
        <f>"－"</f>
        <v>－</v>
      </c>
      <c r="AB1198" s="11" t="s">
        <v>527</v>
      </c>
    </row>
    <row r="1199">
      <c r="A1199" s="11" t="s">
        <v>46</v>
      </c>
      <c r="B1199" s="11" t="s">
        <v>47</v>
      </c>
      <c r="C1199" s="11" t="s">
        <v>48</v>
      </c>
      <c r="D1199" s="11" t="s">
        <v>651</v>
      </c>
      <c r="E1199" s="11" t="s">
        <v>526</v>
      </c>
      <c r="F1199" s="12" t="n">
        <v>31000.0</v>
      </c>
      <c r="G1199" s="13"/>
      <c r="H1199" s="14" t="s">
        <v>57</v>
      </c>
      <c r="I1199" s="13"/>
      <c r="J1199" s="14" t="s">
        <v>57</v>
      </c>
      <c r="K1199" s="13" t="s">
        <v>215</v>
      </c>
      <c r="L1199" s="14" t="s">
        <v>519</v>
      </c>
      <c r="M1199" s="13"/>
      <c r="N1199" s="14" t="s">
        <v>57</v>
      </c>
      <c r="O1199" s="13" t="s">
        <v>58</v>
      </c>
      <c r="P1199" s="14" t="s">
        <v>384</v>
      </c>
      <c r="Q1199" s="13"/>
      <c r="R1199" s="14" t="s">
        <v>57</v>
      </c>
      <c r="S1199" s="15" t="str">
        <f>"－"</f>
        <v>－</v>
      </c>
      <c r="T1199" s="16" t="n">
        <f>1650</f>
        <v>1650.0</v>
      </c>
      <c r="U1199" s="16" t="n">
        <v>1650.0</v>
      </c>
      <c r="V1199" s="16" t="n">
        <f>2129200000</f>
        <v>2.1292E9</v>
      </c>
      <c r="W1199" s="16" t="n">
        <v>2.1292E9</v>
      </c>
      <c r="X1199" s="16" t="str">
        <f>"－"</f>
        <v>－</v>
      </c>
      <c r="Y1199" s="13"/>
      <c r="Z1199" s="17" t="n">
        <f>1850</f>
        <v>1850.0</v>
      </c>
      <c r="AA1199" s="18" t="str">
        <f>"－"</f>
        <v>－</v>
      </c>
      <c r="AB1199" s="11" t="s">
        <v>527</v>
      </c>
    </row>
    <row r="1200">
      <c r="A1200" s="11" t="s">
        <v>46</v>
      </c>
      <c r="B1200" s="11" t="s">
        <v>47</v>
      </c>
      <c r="C1200" s="11" t="s">
        <v>48</v>
      </c>
      <c r="D1200" s="11" t="s">
        <v>651</v>
      </c>
      <c r="E1200" s="11" t="s">
        <v>526</v>
      </c>
      <c r="F1200" s="12" t="n">
        <v>31250.0</v>
      </c>
      <c r="G1200" s="13"/>
      <c r="H1200" s="14" t="s">
        <v>57</v>
      </c>
      <c r="I1200" s="13"/>
      <c r="J1200" s="14" t="s">
        <v>57</v>
      </c>
      <c r="K1200" s="13" t="s">
        <v>202</v>
      </c>
      <c r="L1200" s="14" t="s">
        <v>836</v>
      </c>
      <c r="M1200" s="13"/>
      <c r="N1200" s="14" t="s">
        <v>57</v>
      </c>
      <c r="O1200" s="13" t="s">
        <v>202</v>
      </c>
      <c r="P1200" s="14" t="s">
        <v>837</v>
      </c>
      <c r="Q1200" s="13"/>
      <c r="R1200" s="14" t="s">
        <v>57</v>
      </c>
      <c r="S1200" s="15" t="str">
        <f>"－"</f>
        <v>－</v>
      </c>
      <c r="T1200" s="16" t="n">
        <f>55</f>
        <v>55.0</v>
      </c>
      <c r="U1200" s="16" t="n">
        <v>55.0</v>
      </c>
      <c r="V1200" s="16" t="n">
        <f>85145000</f>
        <v>8.5145E7</v>
      </c>
      <c r="W1200" s="16" t="n">
        <v>8.5145E7</v>
      </c>
      <c r="X1200" s="16" t="str">
        <f>"－"</f>
        <v>－</v>
      </c>
      <c r="Y1200" s="13"/>
      <c r="Z1200" s="17" t="n">
        <f>55</f>
        <v>55.0</v>
      </c>
      <c r="AA1200" s="18" t="str">
        <f>"－"</f>
        <v>－</v>
      </c>
      <c r="AB1200" s="11" t="s">
        <v>527</v>
      </c>
    </row>
    <row r="1201">
      <c r="A1201" s="11" t="s">
        <v>46</v>
      </c>
      <c r="B1201" s="11" t="s">
        <v>47</v>
      </c>
      <c r="C1201" s="11" t="s">
        <v>48</v>
      </c>
      <c r="D1201" s="11" t="s">
        <v>651</v>
      </c>
      <c r="E1201" s="11" t="s">
        <v>526</v>
      </c>
      <c r="F1201" s="12" t="n">
        <v>31500.0</v>
      </c>
      <c r="G1201" s="13"/>
      <c r="H1201" s="14" t="s">
        <v>57</v>
      </c>
      <c r="I1201" s="13"/>
      <c r="J1201" s="14" t="s">
        <v>57</v>
      </c>
      <c r="K1201" s="13"/>
      <c r="L1201" s="14"/>
      <c r="M1201" s="13"/>
      <c r="N1201" s="14" t="s">
        <v>57</v>
      </c>
      <c r="O1201" s="13"/>
      <c r="P1201" s="14"/>
      <c r="Q1201" s="13"/>
      <c r="R1201" s="14" t="s">
        <v>57</v>
      </c>
      <c r="S1201" s="15" t="str">
        <f>"－"</f>
        <v>－</v>
      </c>
      <c r="T1201" s="16" t="str">
        <f>"－"</f>
        <v>－</v>
      </c>
      <c r="U1201" s="16"/>
      <c r="V1201" s="16" t="str">
        <f>"－"</f>
        <v>－</v>
      </c>
      <c r="W1201" s="16"/>
      <c r="X1201" s="16" t="str">
        <f>"－"</f>
        <v>－</v>
      </c>
      <c r="Y1201" s="13"/>
      <c r="Z1201" s="17" t="n">
        <f>9</f>
        <v>9.0</v>
      </c>
      <c r="AA1201" s="18" t="str">
        <f>"－"</f>
        <v>－</v>
      </c>
      <c r="AB1201" s="11" t="s">
        <v>527</v>
      </c>
    </row>
    <row r="1202">
      <c r="A1202" s="11" t="s">
        <v>46</v>
      </c>
      <c r="B1202" s="11" t="s">
        <v>47</v>
      </c>
      <c r="C1202" s="11" t="s">
        <v>48</v>
      </c>
      <c r="D1202" s="11" t="s">
        <v>651</v>
      </c>
      <c r="E1202" s="11" t="s">
        <v>526</v>
      </c>
      <c r="F1202" s="12" t="n">
        <v>32000.0</v>
      </c>
      <c r="G1202" s="13" t="s">
        <v>206</v>
      </c>
      <c r="H1202" s="14" t="s">
        <v>169</v>
      </c>
      <c r="I1202" s="13" t="s">
        <v>288</v>
      </c>
      <c r="J1202" s="14" t="s">
        <v>483</v>
      </c>
      <c r="K1202" s="13" t="s">
        <v>288</v>
      </c>
      <c r="L1202" s="14" t="s">
        <v>838</v>
      </c>
      <c r="M1202" s="13" t="s">
        <v>206</v>
      </c>
      <c r="N1202" s="14" t="s">
        <v>169</v>
      </c>
      <c r="O1202" s="13" t="s">
        <v>58</v>
      </c>
      <c r="P1202" s="14" t="s">
        <v>253</v>
      </c>
      <c r="Q1202" s="13" t="s">
        <v>288</v>
      </c>
      <c r="R1202" s="14" t="s">
        <v>478</v>
      </c>
      <c r="S1202" s="15" t="n">
        <f>1185</f>
        <v>1185.0</v>
      </c>
      <c r="T1202" s="16" t="n">
        <f>954</f>
        <v>954.0</v>
      </c>
      <c r="U1202" s="16" t="n">
        <v>900.0</v>
      </c>
      <c r="V1202" s="16" t="n">
        <f>847620000</f>
        <v>8.4762E8</v>
      </c>
      <c r="W1202" s="16" t="n">
        <v>7.876E8</v>
      </c>
      <c r="X1202" s="16" t="str">
        <f>"－"</f>
        <v>－</v>
      </c>
      <c r="Y1202" s="13"/>
      <c r="Z1202" s="17" t="n">
        <f>1624</f>
        <v>1624.0</v>
      </c>
      <c r="AA1202" s="18" t="n">
        <f>2</f>
        <v>2.0</v>
      </c>
      <c r="AB1202" s="11" t="s">
        <v>527</v>
      </c>
    </row>
    <row r="1203">
      <c r="A1203" s="11" t="s">
        <v>46</v>
      </c>
      <c r="B1203" s="11" t="s">
        <v>47</v>
      </c>
      <c r="C1203" s="11" t="s">
        <v>48</v>
      </c>
      <c r="D1203" s="11" t="s">
        <v>651</v>
      </c>
      <c r="E1203" s="11" t="s">
        <v>526</v>
      </c>
      <c r="F1203" s="12" t="n">
        <v>32500.0</v>
      </c>
      <c r="G1203" s="13"/>
      <c r="H1203" s="14" t="s">
        <v>57</v>
      </c>
      <c r="I1203" s="13"/>
      <c r="J1203" s="14" t="s">
        <v>57</v>
      </c>
      <c r="K1203" s="13" t="s">
        <v>204</v>
      </c>
      <c r="L1203" s="14" t="s">
        <v>434</v>
      </c>
      <c r="M1203" s="13"/>
      <c r="N1203" s="14" t="s">
        <v>57</v>
      </c>
      <c r="O1203" s="13" t="s">
        <v>63</v>
      </c>
      <c r="P1203" s="14" t="s">
        <v>152</v>
      </c>
      <c r="Q1203" s="13"/>
      <c r="R1203" s="14" t="s">
        <v>57</v>
      </c>
      <c r="S1203" s="15" t="str">
        <f>"－"</f>
        <v>－</v>
      </c>
      <c r="T1203" s="16" t="n">
        <f>1650</f>
        <v>1650.0</v>
      </c>
      <c r="U1203" s="16" t="n">
        <v>1650.0</v>
      </c>
      <c r="V1203" s="16" t="n">
        <f>1205500000</f>
        <v>1.2055E9</v>
      </c>
      <c r="W1203" s="16" t="n">
        <v>1.2055E9</v>
      </c>
      <c r="X1203" s="16" t="str">
        <f>"－"</f>
        <v>－</v>
      </c>
      <c r="Y1203" s="13"/>
      <c r="Z1203" s="17" t="n">
        <f>1450</f>
        <v>1450.0</v>
      </c>
      <c r="AA1203" s="18" t="str">
        <f>"－"</f>
        <v>－</v>
      </c>
      <c r="AB1203" s="11" t="s">
        <v>527</v>
      </c>
    </row>
    <row r="1204">
      <c r="A1204" s="11" t="s">
        <v>46</v>
      </c>
      <c r="B1204" s="11" t="s">
        <v>47</v>
      </c>
      <c r="C1204" s="11" t="s">
        <v>48</v>
      </c>
      <c r="D1204" s="11" t="s">
        <v>651</v>
      </c>
      <c r="E1204" s="11" t="s">
        <v>526</v>
      </c>
      <c r="F1204" s="12" t="n">
        <v>33000.0</v>
      </c>
      <c r="G1204" s="13"/>
      <c r="H1204" s="14" t="s">
        <v>57</v>
      </c>
      <c r="I1204" s="13"/>
      <c r="J1204" s="14" t="s">
        <v>57</v>
      </c>
      <c r="K1204" s="13" t="s">
        <v>207</v>
      </c>
      <c r="L1204" s="14" t="s">
        <v>839</v>
      </c>
      <c r="M1204" s="13"/>
      <c r="N1204" s="14" t="s">
        <v>57</v>
      </c>
      <c r="O1204" s="13" t="s">
        <v>204</v>
      </c>
      <c r="P1204" s="14" t="s">
        <v>840</v>
      </c>
      <c r="Q1204" s="13"/>
      <c r="R1204" s="14" t="s">
        <v>57</v>
      </c>
      <c r="S1204" s="15" t="str">
        <f>"－"</f>
        <v>－</v>
      </c>
      <c r="T1204" s="16" t="n">
        <f>2700</f>
        <v>2700.0</v>
      </c>
      <c r="U1204" s="16" t="n">
        <v>2700.0</v>
      </c>
      <c r="V1204" s="16" t="n">
        <f>1971620000</f>
        <v>1.97162E9</v>
      </c>
      <c r="W1204" s="16" t="n">
        <v>1.97162E9</v>
      </c>
      <c r="X1204" s="16" t="str">
        <f>"－"</f>
        <v>－</v>
      </c>
      <c r="Y1204" s="13"/>
      <c r="Z1204" s="17" t="n">
        <f>1800</f>
        <v>1800.0</v>
      </c>
      <c r="AA1204" s="18" t="str">
        <f>"－"</f>
        <v>－</v>
      </c>
      <c r="AB1204" s="11" t="s">
        <v>527</v>
      </c>
    </row>
    <row r="1205">
      <c r="A1205" s="11" t="s">
        <v>46</v>
      </c>
      <c r="B1205" s="11" t="s">
        <v>47</v>
      </c>
      <c r="C1205" s="11" t="s">
        <v>48</v>
      </c>
      <c r="D1205" s="11" t="s">
        <v>651</v>
      </c>
      <c r="E1205" s="11" t="s">
        <v>526</v>
      </c>
      <c r="F1205" s="12" t="n">
        <v>34000.0</v>
      </c>
      <c r="G1205" s="13" t="s">
        <v>55</v>
      </c>
      <c r="H1205" s="14" t="s">
        <v>139</v>
      </c>
      <c r="I1205" s="13" t="s">
        <v>288</v>
      </c>
      <c r="J1205" s="14" t="s">
        <v>263</v>
      </c>
      <c r="K1205" s="13" t="s">
        <v>207</v>
      </c>
      <c r="L1205" s="14" t="s">
        <v>164</v>
      </c>
      <c r="M1205" s="13" t="s">
        <v>55</v>
      </c>
      <c r="N1205" s="14" t="s">
        <v>139</v>
      </c>
      <c r="O1205" s="13" t="s">
        <v>206</v>
      </c>
      <c r="P1205" s="14" t="s">
        <v>315</v>
      </c>
      <c r="Q1205" s="13" t="s">
        <v>288</v>
      </c>
      <c r="R1205" s="14" t="s">
        <v>263</v>
      </c>
      <c r="S1205" s="15" t="n">
        <f>560</f>
        <v>560.0</v>
      </c>
      <c r="T1205" s="16" t="n">
        <f>1102</f>
        <v>1102.0</v>
      </c>
      <c r="U1205" s="16" t="n">
        <v>1100.0</v>
      </c>
      <c r="V1205" s="16" t="n">
        <f>669420000</f>
        <v>6.6942E8</v>
      </c>
      <c r="W1205" s="16" t="n">
        <v>6.683E8</v>
      </c>
      <c r="X1205" s="16" t="str">
        <f>"－"</f>
        <v>－</v>
      </c>
      <c r="Y1205" s="13"/>
      <c r="Z1205" s="17" t="n">
        <f>1500</f>
        <v>1500.0</v>
      </c>
      <c r="AA1205" s="18" t="n">
        <f>2</f>
        <v>2.0</v>
      </c>
      <c r="AB1205" s="11" t="s">
        <v>527</v>
      </c>
    </row>
    <row r="1206">
      <c r="A1206" s="11" t="s">
        <v>46</v>
      </c>
      <c r="B1206" s="11" t="s">
        <v>47</v>
      </c>
      <c r="C1206" s="11" t="s">
        <v>48</v>
      </c>
      <c r="D1206" s="11" t="s">
        <v>651</v>
      </c>
      <c r="E1206" s="11" t="s">
        <v>526</v>
      </c>
      <c r="F1206" s="12" t="n">
        <v>35000.0</v>
      </c>
      <c r="G1206" s="13" t="s">
        <v>61</v>
      </c>
      <c r="H1206" s="14" t="s">
        <v>145</v>
      </c>
      <c r="I1206" s="13" t="s">
        <v>215</v>
      </c>
      <c r="J1206" s="14" t="s">
        <v>460</v>
      </c>
      <c r="K1206" s="13" t="s">
        <v>288</v>
      </c>
      <c r="L1206" s="14" t="s">
        <v>841</v>
      </c>
      <c r="M1206" s="13" t="s">
        <v>61</v>
      </c>
      <c r="N1206" s="14" t="s">
        <v>145</v>
      </c>
      <c r="O1206" s="13" t="s">
        <v>61</v>
      </c>
      <c r="P1206" s="14" t="s">
        <v>842</v>
      </c>
      <c r="Q1206" s="13" t="s">
        <v>215</v>
      </c>
      <c r="R1206" s="14" t="s">
        <v>460</v>
      </c>
      <c r="S1206" s="15" t="n">
        <f>467.5</f>
        <v>467.5</v>
      </c>
      <c r="T1206" s="16" t="n">
        <f>2652</f>
        <v>2652.0</v>
      </c>
      <c r="U1206" s="16" t="n">
        <v>2650.0</v>
      </c>
      <c r="V1206" s="16" t="n">
        <f>1074935000</f>
        <v>1.074935E9</v>
      </c>
      <c r="W1206" s="16" t="n">
        <v>1.074E9</v>
      </c>
      <c r="X1206" s="16" t="str">
        <f>"－"</f>
        <v>－</v>
      </c>
      <c r="Y1206" s="13"/>
      <c r="Z1206" s="17" t="n">
        <f>5850</f>
        <v>5850.0</v>
      </c>
      <c r="AA1206" s="18" t="n">
        <f>2</f>
        <v>2.0</v>
      </c>
      <c r="AB1206" s="11" t="s">
        <v>527</v>
      </c>
    </row>
    <row r="1207">
      <c r="A1207" s="11" t="s">
        <v>46</v>
      </c>
      <c r="B1207" s="11" t="s">
        <v>47</v>
      </c>
      <c r="C1207" s="11" t="s">
        <v>48</v>
      </c>
      <c r="D1207" s="11" t="s">
        <v>651</v>
      </c>
      <c r="E1207" s="11" t="s">
        <v>526</v>
      </c>
      <c r="F1207" s="12" t="n">
        <v>37000.0</v>
      </c>
      <c r="G1207" s="13" t="s">
        <v>207</v>
      </c>
      <c r="H1207" s="14" t="s">
        <v>190</v>
      </c>
      <c r="I1207" s="13" t="s">
        <v>207</v>
      </c>
      <c r="J1207" s="14" t="s">
        <v>190</v>
      </c>
      <c r="K1207" s="13"/>
      <c r="L1207" s="14"/>
      <c r="M1207" s="13" t="s">
        <v>215</v>
      </c>
      <c r="N1207" s="14" t="s">
        <v>142</v>
      </c>
      <c r="O1207" s="13"/>
      <c r="P1207" s="14"/>
      <c r="Q1207" s="13" t="s">
        <v>215</v>
      </c>
      <c r="R1207" s="14" t="s">
        <v>142</v>
      </c>
      <c r="S1207" s="15" t="n">
        <f>325</f>
        <v>325.0</v>
      </c>
      <c r="T1207" s="16" t="n">
        <f>2</f>
        <v>2.0</v>
      </c>
      <c r="U1207" s="16"/>
      <c r="V1207" s="16" t="n">
        <f>650000</f>
        <v>650000.0</v>
      </c>
      <c r="W1207" s="16"/>
      <c r="X1207" s="16" t="str">
        <f>"－"</f>
        <v>－</v>
      </c>
      <c r="Y1207" s="13"/>
      <c r="Z1207" s="17" t="str">
        <f>"－"</f>
        <v>－</v>
      </c>
      <c r="AA1207" s="18" t="n">
        <f>2</f>
        <v>2.0</v>
      </c>
      <c r="AB1207" s="11" t="s">
        <v>527</v>
      </c>
    </row>
    <row r="1208">
      <c r="A1208" s="11" t="s">
        <v>46</v>
      </c>
      <c r="B1208" s="11" t="s">
        <v>47</v>
      </c>
      <c r="C1208" s="11" t="s">
        <v>48</v>
      </c>
      <c r="D1208" s="11" t="s">
        <v>651</v>
      </c>
      <c r="E1208" s="11" t="s">
        <v>526</v>
      </c>
      <c r="F1208" s="12" t="n">
        <v>38000.0</v>
      </c>
      <c r="G1208" s="13" t="s">
        <v>202</v>
      </c>
      <c r="H1208" s="14" t="s">
        <v>232</v>
      </c>
      <c r="I1208" s="13" t="s">
        <v>288</v>
      </c>
      <c r="J1208" s="14" t="s">
        <v>137</v>
      </c>
      <c r="K1208" s="13" t="s">
        <v>206</v>
      </c>
      <c r="L1208" s="14" t="s">
        <v>124</v>
      </c>
      <c r="M1208" s="13" t="s">
        <v>202</v>
      </c>
      <c r="N1208" s="14" t="s">
        <v>232</v>
      </c>
      <c r="O1208" s="13" t="s">
        <v>206</v>
      </c>
      <c r="P1208" s="14" t="s">
        <v>286</v>
      </c>
      <c r="Q1208" s="13" t="s">
        <v>215</v>
      </c>
      <c r="R1208" s="14" t="s">
        <v>265</v>
      </c>
      <c r="S1208" s="15" t="n">
        <f>241.25</f>
        <v>241.25</v>
      </c>
      <c r="T1208" s="16" t="n">
        <f>506</f>
        <v>506.0</v>
      </c>
      <c r="U1208" s="16" t="n">
        <v>500.0</v>
      </c>
      <c r="V1208" s="16" t="n">
        <f>75435000</f>
        <v>7.5435E7</v>
      </c>
      <c r="W1208" s="16" t="n">
        <v>7.4E7</v>
      </c>
      <c r="X1208" s="16" t="str">
        <f>"－"</f>
        <v>－</v>
      </c>
      <c r="Y1208" s="13"/>
      <c r="Z1208" s="17" t="n">
        <f>300</f>
        <v>300.0</v>
      </c>
      <c r="AA1208" s="18" t="n">
        <f>4</f>
        <v>4.0</v>
      </c>
      <c r="AB1208" s="11" t="s">
        <v>527</v>
      </c>
    </row>
    <row r="1209">
      <c r="A1209" s="11" t="s">
        <v>46</v>
      </c>
      <c r="B1209" s="11" t="s">
        <v>47</v>
      </c>
      <c r="C1209" s="11" t="s">
        <v>48</v>
      </c>
      <c r="D1209" s="11" t="s">
        <v>651</v>
      </c>
      <c r="E1209" s="11" t="s">
        <v>572</v>
      </c>
      <c r="F1209" s="12" t="n">
        <v>26000.0</v>
      </c>
      <c r="G1209" s="13"/>
      <c r="H1209" s="14" t="s">
        <v>57</v>
      </c>
      <c r="I1209" s="13"/>
      <c r="J1209" s="14" t="s">
        <v>57</v>
      </c>
      <c r="K1209" s="13"/>
      <c r="L1209" s="14"/>
      <c r="M1209" s="13"/>
      <c r="N1209" s="14" t="s">
        <v>57</v>
      </c>
      <c r="O1209" s="13"/>
      <c r="P1209" s="14"/>
      <c r="Q1209" s="13"/>
      <c r="R1209" s="14" t="s">
        <v>57</v>
      </c>
      <c r="S1209" s="15" t="str">
        <f>"－"</f>
        <v>－</v>
      </c>
      <c r="T1209" s="16" t="str">
        <f>"－"</f>
        <v>－</v>
      </c>
      <c r="U1209" s="16"/>
      <c r="V1209" s="16" t="str">
        <f>"－"</f>
        <v>－</v>
      </c>
      <c r="W1209" s="16"/>
      <c r="X1209" s="16" t="str">
        <f>"－"</f>
        <v>－</v>
      </c>
      <c r="Y1209" s="13"/>
      <c r="Z1209" s="17" t="n">
        <f>100</f>
        <v>100.0</v>
      </c>
      <c r="AA1209" s="18" t="str">
        <f>"－"</f>
        <v>－</v>
      </c>
      <c r="AB1209" s="11" t="s">
        <v>574</v>
      </c>
    </row>
    <row r="1210">
      <c r="A1210" s="11" t="s">
        <v>46</v>
      </c>
      <c r="B1210" s="11" t="s">
        <v>47</v>
      </c>
      <c r="C1210" s="11" t="s">
        <v>48</v>
      </c>
      <c r="D1210" s="11" t="s">
        <v>651</v>
      </c>
      <c r="E1210" s="11" t="s">
        <v>572</v>
      </c>
      <c r="F1210" s="12" t="n">
        <v>29000.0</v>
      </c>
      <c r="G1210" s="13"/>
      <c r="H1210" s="14" t="s">
        <v>57</v>
      </c>
      <c r="I1210" s="13"/>
      <c r="J1210" s="14" t="s">
        <v>57</v>
      </c>
      <c r="K1210" s="13" t="s">
        <v>61</v>
      </c>
      <c r="L1210" s="14" t="s">
        <v>843</v>
      </c>
      <c r="M1210" s="13"/>
      <c r="N1210" s="14" t="s">
        <v>57</v>
      </c>
      <c r="O1210" s="13" t="s">
        <v>61</v>
      </c>
      <c r="P1210" s="14" t="s">
        <v>843</v>
      </c>
      <c r="Q1210" s="13"/>
      <c r="R1210" s="14" t="s">
        <v>57</v>
      </c>
      <c r="S1210" s="15" t="str">
        <f>"－"</f>
        <v>－</v>
      </c>
      <c r="T1210" s="16" t="n">
        <f>10</f>
        <v>10.0</v>
      </c>
      <c r="U1210" s="16" t="n">
        <v>10.0</v>
      </c>
      <c r="V1210" s="16" t="n">
        <f>23770000</f>
        <v>2.377E7</v>
      </c>
      <c r="W1210" s="16" t="n">
        <v>2.377E7</v>
      </c>
      <c r="X1210" s="16" t="str">
        <f>"－"</f>
        <v>－</v>
      </c>
      <c r="Y1210" s="13"/>
      <c r="Z1210" s="17" t="n">
        <f>10</f>
        <v>10.0</v>
      </c>
      <c r="AA1210" s="18" t="str">
        <f>"－"</f>
        <v>－</v>
      </c>
      <c r="AB1210" s="11" t="s">
        <v>574</v>
      </c>
    </row>
    <row r="1211">
      <c r="A1211" s="11" t="s">
        <v>46</v>
      </c>
      <c r="B1211" s="11" t="s">
        <v>47</v>
      </c>
      <c r="C1211" s="11" t="s">
        <v>48</v>
      </c>
      <c r="D1211" s="11" t="s">
        <v>651</v>
      </c>
      <c r="E1211" s="11" t="s">
        <v>572</v>
      </c>
      <c r="F1211" s="12" t="n">
        <v>32000.0</v>
      </c>
      <c r="G1211" s="13"/>
      <c r="H1211" s="14" t="s">
        <v>57</v>
      </c>
      <c r="I1211" s="13"/>
      <c r="J1211" s="14" t="s">
        <v>57</v>
      </c>
      <c r="K1211" s="13" t="s">
        <v>206</v>
      </c>
      <c r="L1211" s="14" t="s">
        <v>438</v>
      </c>
      <c r="M1211" s="13"/>
      <c r="N1211" s="14" t="s">
        <v>57</v>
      </c>
      <c r="O1211" s="13" t="s">
        <v>206</v>
      </c>
      <c r="P1211" s="14" t="s">
        <v>438</v>
      </c>
      <c r="Q1211" s="13"/>
      <c r="R1211" s="14" t="s">
        <v>57</v>
      </c>
      <c r="S1211" s="15" t="str">
        <f>"－"</f>
        <v>－</v>
      </c>
      <c r="T1211" s="16" t="n">
        <f>100</f>
        <v>100.0</v>
      </c>
      <c r="U1211" s="16" t="n">
        <v>100.0</v>
      </c>
      <c r="V1211" s="16" t="n">
        <f>125000000</f>
        <v>1.25E8</v>
      </c>
      <c r="W1211" s="16" t="n">
        <v>1.25E8</v>
      </c>
      <c r="X1211" s="16" t="str">
        <f>"－"</f>
        <v>－</v>
      </c>
      <c r="Y1211" s="13"/>
      <c r="Z1211" s="17" t="n">
        <f>100</f>
        <v>100.0</v>
      </c>
      <c r="AA1211" s="18" t="str">
        <f>"－"</f>
        <v>－</v>
      </c>
      <c r="AB1211" s="11" t="s">
        <v>574</v>
      </c>
    </row>
    <row r="1212">
      <c r="A1212" s="11" t="s">
        <v>46</v>
      </c>
      <c r="B1212" s="11" t="s">
        <v>47</v>
      </c>
      <c r="C1212" s="11" t="s">
        <v>48</v>
      </c>
      <c r="D1212" s="11" t="s">
        <v>651</v>
      </c>
      <c r="E1212" s="11" t="s">
        <v>572</v>
      </c>
      <c r="F1212" s="12" t="n">
        <v>34000.0</v>
      </c>
      <c r="G1212" s="13" t="s">
        <v>204</v>
      </c>
      <c r="H1212" s="14" t="s">
        <v>432</v>
      </c>
      <c r="I1212" s="13" t="s">
        <v>204</v>
      </c>
      <c r="J1212" s="14" t="s">
        <v>432</v>
      </c>
      <c r="K1212" s="13"/>
      <c r="L1212" s="14"/>
      <c r="M1212" s="13" t="s">
        <v>204</v>
      </c>
      <c r="N1212" s="14" t="s">
        <v>432</v>
      </c>
      <c r="O1212" s="13"/>
      <c r="P1212" s="14"/>
      <c r="Q1212" s="13" t="s">
        <v>204</v>
      </c>
      <c r="R1212" s="14" t="s">
        <v>432</v>
      </c>
      <c r="S1212" s="15" t="n">
        <f>915</f>
        <v>915.0</v>
      </c>
      <c r="T1212" s="16" t="n">
        <f>100</f>
        <v>100.0</v>
      </c>
      <c r="U1212" s="16"/>
      <c r="V1212" s="16" t="n">
        <f>91500000</f>
        <v>9.15E7</v>
      </c>
      <c r="W1212" s="16"/>
      <c r="X1212" s="16" t="str">
        <f>"－"</f>
        <v>－</v>
      </c>
      <c r="Y1212" s="13"/>
      <c r="Z1212" s="17" t="n">
        <f>100</f>
        <v>100.0</v>
      </c>
      <c r="AA1212" s="18" t="n">
        <f>1</f>
        <v>1.0</v>
      </c>
      <c r="AB1212" s="11" t="s">
        <v>574</v>
      </c>
    </row>
    <row r="1213">
      <c r="A1213" s="11" t="s">
        <v>46</v>
      </c>
      <c r="B1213" s="11" t="s">
        <v>47</v>
      </c>
      <c r="C1213" s="11" t="s">
        <v>48</v>
      </c>
      <c r="D1213" s="11" t="s">
        <v>651</v>
      </c>
      <c r="E1213" s="11" t="s">
        <v>580</v>
      </c>
      <c r="F1213" s="12" t="n">
        <v>17000.0</v>
      </c>
      <c r="G1213" s="13"/>
      <c r="H1213" s="14" t="s">
        <v>57</v>
      </c>
      <c r="I1213" s="13"/>
      <c r="J1213" s="14" t="s">
        <v>57</v>
      </c>
      <c r="K1213" s="13"/>
      <c r="L1213" s="14"/>
      <c r="M1213" s="13"/>
      <c r="N1213" s="14" t="s">
        <v>57</v>
      </c>
      <c r="O1213" s="13"/>
      <c r="P1213" s="14"/>
      <c r="Q1213" s="13"/>
      <c r="R1213" s="14" t="s">
        <v>57</v>
      </c>
      <c r="S1213" s="15" t="str">
        <f>"－"</f>
        <v>－</v>
      </c>
      <c r="T1213" s="16" t="str">
        <f>"－"</f>
        <v>－</v>
      </c>
      <c r="U1213" s="16"/>
      <c r="V1213" s="16" t="str">
        <f>"－"</f>
        <v>－</v>
      </c>
      <c r="W1213" s="16"/>
      <c r="X1213" s="16" t="str">
        <f>"－"</f>
        <v>－</v>
      </c>
      <c r="Y1213" s="13"/>
      <c r="Z1213" s="17" t="n">
        <f>50</f>
        <v>50.0</v>
      </c>
      <c r="AA1213" s="18" t="str">
        <f>"－"</f>
        <v>－</v>
      </c>
      <c r="AB1213" s="11" t="s">
        <v>581</v>
      </c>
    </row>
    <row r="1214">
      <c r="A1214" s="11" t="s">
        <v>46</v>
      </c>
      <c r="B1214" s="11" t="s">
        <v>47</v>
      </c>
      <c r="C1214" s="11" t="s">
        <v>48</v>
      </c>
      <c r="D1214" s="11" t="s">
        <v>651</v>
      </c>
      <c r="E1214" s="11" t="s">
        <v>580</v>
      </c>
      <c r="F1214" s="12" t="n">
        <v>18500.0</v>
      </c>
      <c r="G1214" s="13"/>
      <c r="H1214" s="14" t="s">
        <v>57</v>
      </c>
      <c r="I1214" s="13"/>
      <c r="J1214" s="14" t="s">
        <v>57</v>
      </c>
      <c r="K1214" s="13"/>
      <c r="L1214" s="14"/>
      <c r="M1214" s="13"/>
      <c r="N1214" s="14" t="s">
        <v>57</v>
      </c>
      <c r="O1214" s="13"/>
      <c r="P1214" s="14"/>
      <c r="Q1214" s="13"/>
      <c r="R1214" s="14" t="s">
        <v>57</v>
      </c>
      <c r="S1214" s="15" t="str">
        <f>"－"</f>
        <v>－</v>
      </c>
      <c r="T1214" s="16" t="str">
        <f>"－"</f>
        <v>－</v>
      </c>
      <c r="U1214" s="16"/>
      <c r="V1214" s="16" t="str">
        <f>"－"</f>
        <v>－</v>
      </c>
      <c r="W1214" s="16"/>
      <c r="X1214" s="16" t="str">
        <f>"－"</f>
        <v>－</v>
      </c>
      <c r="Y1214" s="13"/>
      <c r="Z1214" s="17" t="n">
        <f>715</f>
        <v>715.0</v>
      </c>
      <c r="AA1214" s="18" t="str">
        <f>"－"</f>
        <v>－</v>
      </c>
      <c r="AB1214" s="11" t="s">
        <v>581</v>
      </c>
    </row>
    <row r="1215">
      <c r="A1215" s="11" t="s">
        <v>46</v>
      </c>
      <c r="B1215" s="11" t="s">
        <v>47</v>
      </c>
      <c r="C1215" s="11" t="s">
        <v>48</v>
      </c>
      <c r="D1215" s="11" t="s">
        <v>651</v>
      </c>
      <c r="E1215" s="11" t="s">
        <v>580</v>
      </c>
      <c r="F1215" s="12" t="n">
        <v>19000.0</v>
      </c>
      <c r="G1215" s="13"/>
      <c r="H1215" s="14" t="s">
        <v>57</v>
      </c>
      <c r="I1215" s="13"/>
      <c r="J1215" s="14" t="s">
        <v>57</v>
      </c>
      <c r="K1215" s="13"/>
      <c r="L1215" s="14"/>
      <c r="M1215" s="13"/>
      <c r="N1215" s="14" t="s">
        <v>57</v>
      </c>
      <c r="O1215" s="13"/>
      <c r="P1215" s="14"/>
      <c r="Q1215" s="13"/>
      <c r="R1215" s="14" t="s">
        <v>57</v>
      </c>
      <c r="S1215" s="15" t="str">
        <f>"－"</f>
        <v>－</v>
      </c>
      <c r="T1215" s="16" t="str">
        <f>"－"</f>
        <v>－</v>
      </c>
      <c r="U1215" s="16"/>
      <c r="V1215" s="16" t="str">
        <f>"－"</f>
        <v>－</v>
      </c>
      <c r="W1215" s="16"/>
      <c r="X1215" s="16" t="str">
        <f>"－"</f>
        <v>－</v>
      </c>
      <c r="Y1215" s="13"/>
      <c r="Z1215" s="17" t="n">
        <f>540</f>
        <v>540.0</v>
      </c>
      <c r="AA1215" s="18" t="str">
        <f>"－"</f>
        <v>－</v>
      </c>
      <c r="AB1215" s="11" t="s">
        <v>581</v>
      </c>
    </row>
    <row r="1216">
      <c r="A1216" s="11" t="s">
        <v>46</v>
      </c>
      <c r="B1216" s="11" t="s">
        <v>47</v>
      </c>
      <c r="C1216" s="11" t="s">
        <v>48</v>
      </c>
      <c r="D1216" s="11" t="s">
        <v>651</v>
      </c>
      <c r="E1216" s="11" t="s">
        <v>580</v>
      </c>
      <c r="F1216" s="12" t="n">
        <v>19500.0</v>
      </c>
      <c r="G1216" s="13"/>
      <c r="H1216" s="14" t="s">
        <v>57</v>
      </c>
      <c r="I1216" s="13"/>
      <c r="J1216" s="14" t="s">
        <v>57</v>
      </c>
      <c r="K1216" s="13"/>
      <c r="L1216" s="14"/>
      <c r="M1216" s="13"/>
      <c r="N1216" s="14" t="s">
        <v>57</v>
      </c>
      <c r="O1216" s="13"/>
      <c r="P1216" s="14"/>
      <c r="Q1216" s="13"/>
      <c r="R1216" s="14" t="s">
        <v>57</v>
      </c>
      <c r="S1216" s="15" t="str">
        <f>"－"</f>
        <v>－</v>
      </c>
      <c r="T1216" s="16" t="str">
        <f>"－"</f>
        <v>－</v>
      </c>
      <c r="U1216" s="16"/>
      <c r="V1216" s="16" t="str">
        <f>"－"</f>
        <v>－</v>
      </c>
      <c r="W1216" s="16"/>
      <c r="X1216" s="16" t="str">
        <f>"－"</f>
        <v>－</v>
      </c>
      <c r="Y1216" s="13"/>
      <c r="Z1216" s="17" t="n">
        <f>400</f>
        <v>400.0</v>
      </c>
      <c r="AA1216" s="18" t="str">
        <f>"－"</f>
        <v>－</v>
      </c>
      <c r="AB1216" s="11" t="s">
        <v>581</v>
      </c>
    </row>
    <row r="1217">
      <c r="A1217" s="11" t="s">
        <v>46</v>
      </c>
      <c r="B1217" s="11" t="s">
        <v>47</v>
      </c>
      <c r="C1217" s="11" t="s">
        <v>48</v>
      </c>
      <c r="D1217" s="11" t="s">
        <v>651</v>
      </c>
      <c r="E1217" s="11" t="s">
        <v>580</v>
      </c>
      <c r="F1217" s="12" t="n">
        <v>19750.0</v>
      </c>
      <c r="G1217" s="13"/>
      <c r="H1217" s="14" t="s">
        <v>57</v>
      </c>
      <c r="I1217" s="13"/>
      <c r="J1217" s="14" t="s">
        <v>57</v>
      </c>
      <c r="K1217" s="13"/>
      <c r="L1217" s="14"/>
      <c r="M1217" s="13"/>
      <c r="N1217" s="14" t="s">
        <v>57</v>
      </c>
      <c r="O1217" s="13"/>
      <c r="P1217" s="14"/>
      <c r="Q1217" s="13"/>
      <c r="R1217" s="14" t="s">
        <v>57</v>
      </c>
      <c r="S1217" s="15" t="str">
        <f>"－"</f>
        <v>－</v>
      </c>
      <c r="T1217" s="16" t="str">
        <f>"－"</f>
        <v>－</v>
      </c>
      <c r="U1217" s="16"/>
      <c r="V1217" s="16" t="str">
        <f>"－"</f>
        <v>－</v>
      </c>
      <c r="W1217" s="16"/>
      <c r="X1217" s="16" t="str">
        <f>"－"</f>
        <v>－</v>
      </c>
      <c r="Y1217" s="13"/>
      <c r="Z1217" s="17" t="n">
        <f>125</f>
        <v>125.0</v>
      </c>
      <c r="AA1217" s="18" t="str">
        <f>"－"</f>
        <v>－</v>
      </c>
      <c r="AB1217" s="11" t="s">
        <v>581</v>
      </c>
    </row>
    <row r="1218">
      <c r="A1218" s="11" t="s">
        <v>46</v>
      </c>
      <c r="B1218" s="11" t="s">
        <v>47</v>
      </c>
      <c r="C1218" s="11" t="s">
        <v>48</v>
      </c>
      <c r="D1218" s="11" t="s">
        <v>651</v>
      </c>
      <c r="E1218" s="11" t="s">
        <v>580</v>
      </c>
      <c r="F1218" s="12" t="n">
        <v>20000.0</v>
      </c>
      <c r="G1218" s="13"/>
      <c r="H1218" s="14" t="s">
        <v>57</v>
      </c>
      <c r="I1218" s="13"/>
      <c r="J1218" s="14" t="s">
        <v>57</v>
      </c>
      <c r="K1218" s="13"/>
      <c r="L1218" s="14"/>
      <c r="M1218" s="13"/>
      <c r="N1218" s="14" t="s">
        <v>57</v>
      </c>
      <c r="O1218" s="13"/>
      <c r="P1218" s="14"/>
      <c r="Q1218" s="13"/>
      <c r="R1218" s="14" t="s">
        <v>57</v>
      </c>
      <c r="S1218" s="15" t="str">
        <f>"－"</f>
        <v>－</v>
      </c>
      <c r="T1218" s="16" t="str">
        <f>"－"</f>
        <v>－</v>
      </c>
      <c r="U1218" s="16"/>
      <c r="V1218" s="16" t="str">
        <f>"－"</f>
        <v>－</v>
      </c>
      <c r="W1218" s="16"/>
      <c r="X1218" s="16" t="str">
        <f>"－"</f>
        <v>－</v>
      </c>
      <c r="Y1218" s="13"/>
      <c r="Z1218" s="17" t="n">
        <f>325</f>
        <v>325.0</v>
      </c>
      <c r="AA1218" s="18" t="str">
        <f>"－"</f>
        <v>－</v>
      </c>
      <c r="AB1218" s="11" t="s">
        <v>581</v>
      </c>
    </row>
    <row r="1219">
      <c r="A1219" s="11" t="s">
        <v>46</v>
      </c>
      <c r="B1219" s="11" t="s">
        <v>47</v>
      </c>
      <c r="C1219" s="11" t="s">
        <v>48</v>
      </c>
      <c r="D1219" s="11" t="s">
        <v>651</v>
      </c>
      <c r="E1219" s="11" t="s">
        <v>580</v>
      </c>
      <c r="F1219" s="12" t="n">
        <v>20500.0</v>
      </c>
      <c r="G1219" s="13"/>
      <c r="H1219" s="14" t="s">
        <v>57</v>
      </c>
      <c r="I1219" s="13"/>
      <c r="J1219" s="14" t="s">
        <v>57</v>
      </c>
      <c r="K1219" s="13"/>
      <c r="L1219" s="14"/>
      <c r="M1219" s="13"/>
      <c r="N1219" s="14" t="s">
        <v>57</v>
      </c>
      <c r="O1219" s="13"/>
      <c r="P1219" s="14"/>
      <c r="Q1219" s="13"/>
      <c r="R1219" s="14" t="s">
        <v>57</v>
      </c>
      <c r="S1219" s="15" t="str">
        <f>"－"</f>
        <v>－</v>
      </c>
      <c r="T1219" s="16" t="str">
        <f>"－"</f>
        <v>－</v>
      </c>
      <c r="U1219" s="16"/>
      <c r="V1219" s="16" t="str">
        <f>"－"</f>
        <v>－</v>
      </c>
      <c r="W1219" s="16"/>
      <c r="X1219" s="16" t="str">
        <f>"－"</f>
        <v>－</v>
      </c>
      <c r="Y1219" s="13"/>
      <c r="Z1219" s="17" t="n">
        <f>200</f>
        <v>200.0</v>
      </c>
      <c r="AA1219" s="18" t="str">
        <f>"－"</f>
        <v>－</v>
      </c>
      <c r="AB1219" s="11" t="s">
        <v>581</v>
      </c>
    </row>
    <row r="1220">
      <c r="A1220" s="11" t="s">
        <v>46</v>
      </c>
      <c r="B1220" s="11" t="s">
        <v>47</v>
      </c>
      <c r="C1220" s="11" t="s">
        <v>48</v>
      </c>
      <c r="D1220" s="11" t="s">
        <v>651</v>
      </c>
      <c r="E1220" s="11" t="s">
        <v>580</v>
      </c>
      <c r="F1220" s="12" t="n">
        <v>21000.0</v>
      </c>
      <c r="G1220" s="13"/>
      <c r="H1220" s="14" t="s">
        <v>57</v>
      </c>
      <c r="I1220" s="13"/>
      <c r="J1220" s="14" t="s">
        <v>57</v>
      </c>
      <c r="K1220" s="13" t="s">
        <v>50</v>
      </c>
      <c r="L1220" s="14" t="s">
        <v>844</v>
      </c>
      <c r="M1220" s="13"/>
      <c r="N1220" s="14" t="s">
        <v>57</v>
      </c>
      <c r="O1220" s="13" t="s">
        <v>50</v>
      </c>
      <c r="P1220" s="14" t="s">
        <v>844</v>
      </c>
      <c r="Q1220" s="13"/>
      <c r="R1220" s="14" t="s">
        <v>57</v>
      </c>
      <c r="S1220" s="15" t="str">
        <f>"－"</f>
        <v>－</v>
      </c>
      <c r="T1220" s="16" t="n">
        <f>500</f>
        <v>500.0</v>
      </c>
      <c r="U1220" s="16" t="n">
        <v>500.0</v>
      </c>
      <c r="V1220" s="16" t="n">
        <f>3473500000</f>
        <v>3.4735E9</v>
      </c>
      <c r="W1220" s="16" t="n">
        <v>3.4735E9</v>
      </c>
      <c r="X1220" s="16" t="str">
        <f>"－"</f>
        <v>－</v>
      </c>
      <c r="Y1220" s="13"/>
      <c r="Z1220" s="17" t="n">
        <f>1030</f>
        <v>1030.0</v>
      </c>
      <c r="AA1220" s="18" t="str">
        <f>"－"</f>
        <v>－</v>
      </c>
      <c r="AB1220" s="11" t="s">
        <v>581</v>
      </c>
    </row>
    <row r="1221">
      <c r="A1221" s="11" t="s">
        <v>46</v>
      </c>
      <c r="B1221" s="11" t="s">
        <v>47</v>
      </c>
      <c r="C1221" s="11" t="s">
        <v>48</v>
      </c>
      <c r="D1221" s="11" t="s">
        <v>651</v>
      </c>
      <c r="E1221" s="11" t="s">
        <v>580</v>
      </c>
      <c r="F1221" s="12" t="n">
        <v>21500.0</v>
      </c>
      <c r="G1221" s="13"/>
      <c r="H1221" s="14" t="s">
        <v>57</v>
      </c>
      <c r="I1221" s="13"/>
      <c r="J1221" s="14" t="s">
        <v>57</v>
      </c>
      <c r="K1221" s="13"/>
      <c r="L1221" s="14"/>
      <c r="M1221" s="13"/>
      <c r="N1221" s="14" t="s">
        <v>57</v>
      </c>
      <c r="O1221" s="13"/>
      <c r="P1221" s="14"/>
      <c r="Q1221" s="13"/>
      <c r="R1221" s="14" t="s">
        <v>57</v>
      </c>
      <c r="S1221" s="15" t="str">
        <f>"－"</f>
        <v>－</v>
      </c>
      <c r="T1221" s="16" t="str">
        <f>"－"</f>
        <v>－</v>
      </c>
      <c r="U1221" s="16"/>
      <c r="V1221" s="16" t="str">
        <f>"－"</f>
        <v>－</v>
      </c>
      <c r="W1221" s="16"/>
      <c r="X1221" s="16" t="str">
        <f>"－"</f>
        <v>－</v>
      </c>
      <c r="Y1221" s="13"/>
      <c r="Z1221" s="17" t="n">
        <f>50</f>
        <v>50.0</v>
      </c>
      <c r="AA1221" s="18" t="str">
        <f>"－"</f>
        <v>－</v>
      </c>
      <c r="AB1221" s="11" t="s">
        <v>581</v>
      </c>
    </row>
    <row r="1222">
      <c r="A1222" s="11" t="s">
        <v>46</v>
      </c>
      <c r="B1222" s="11" t="s">
        <v>47</v>
      </c>
      <c r="C1222" s="11" t="s">
        <v>48</v>
      </c>
      <c r="D1222" s="11" t="s">
        <v>651</v>
      </c>
      <c r="E1222" s="11" t="s">
        <v>580</v>
      </c>
      <c r="F1222" s="12" t="n">
        <v>22000.0</v>
      </c>
      <c r="G1222" s="13"/>
      <c r="H1222" s="14" t="s">
        <v>57</v>
      </c>
      <c r="I1222" s="13"/>
      <c r="J1222" s="14" t="s">
        <v>57</v>
      </c>
      <c r="K1222" s="13"/>
      <c r="L1222" s="14"/>
      <c r="M1222" s="13"/>
      <c r="N1222" s="14" t="s">
        <v>57</v>
      </c>
      <c r="O1222" s="13"/>
      <c r="P1222" s="14"/>
      <c r="Q1222" s="13"/>
      <c r="R1222" s="14" t="s">
        <v>57</v>
      </c>
      <c r="S1222" s="15" t="str">
        <f>"－"</f>
        <v>－</v>
      </c>
      <c r="T1222" s="16" t="str">
        <f>"－"</f>
        <v>－</v>
      </c>
      <c r="U1222" s="16"/>
      <c r="V1222" s="16" t="str">
        <f>"－"</f>
        <v>－</v>
      </c>
      <c r="W1222" s="16"/>
      <c r="X1222" s="16" t="str">
        <f>"－"</f>
        <v>－</v>
      </c>
      <c r="Y1222" s="13"/>
      <c r="Z1222" s="17" t="n">
        <f>2375</f>
        <v>2375.0</v>
      </c>
      <c r="AA1222" s="18" t="str">
        <f>"－"</f>
        <v>－</v>
      </c>
      <c r="AB1222" s="11" t="s">
        <v>581</v>
      </c>
    </row>
    <row r="1223">
      <c r="A1223" s="11" t="s">
        <v>46</v>
      </c>
      <c r="B1223" s="11" t="s">
        <v>47</v>
      </c>
      <c r="C1223" s="11" t="s">
        <v>48</v>
      </c>
      <c r="D1223" s="11" t="s">
        <v>651</v>
      </c>
      <c r="E1223" s="11" t="s">
        <v>580</v>
      </c>
      <c r="F1223" s="12" t="n">
        <v>22250.0</v>
      </c>
      <c r="G1223" s="13"/>
      <c r="H1223" s="14" t="s">
        <v>57</v>
      </c>
      <c r="I1223" s="13"/>
      <c r="J1223" s="14" t="s">
        <v>57</v>
      </c>
      <c r="K1223" s="13"/>
      <c r="L1223" s="14"/>
      <c r="M1223" s="13"/>
      <c r="N1223" s="14" t="s">
        <v>57</v>
      </c>
      <c r="O1223" s="13"/>
      <c r="P1223" s="14"/>
      <c r="Q1223" s="13"/>
      <c r="R1223" s="14" t="s">
        <v>57</v>
      </c>
      <c r="S1223" s="15" t="str">
        <f>"－"</f>
        <v>－</v>
      </c>
      <c r="T1223" s="16" t="str">
        <f>"－"</f>
        <v>－</v>
      </c>
      <c r="U1223" s="16"/>
      <c r="V1223" s="16" t="str">
        <f>"－"</f>
        <v>－</v>
      </c>
      <c r="W1223" s="16"/>
      <c r="X1223" s="16" t="str">
        <f>"－"</f>
        <v>－</v>
      </c>
      <c r="Y1223" s="13"/>
      <c r="Z1223" s="17" t="n">
        <f>50</f>
        <v>50.0</v>
      </c>
      <c r="AA1223" s="18" t="str">
        <f>"－"</f>
        <v>－</v>
      </c>
      <c r="AB1223" s="11" t="s">
        <v>581</v>
      </c>
    </row>
    <row r="1224">
      <c r="A1224" s="11" t="s">
        <v>46</v>
      </c>
      <c r="B1224" s="11" t="s">
        <v>47</v>
      </c>
      <c r="C1224" s="11" t="s">
        <v>48</v>
      </c>
      <c r="D1224" s="11" t="s">
        <v>651</v>
      </c>
      <c r="E1224" s="11" t="s">
        <v>580</v>
      </c>
      <c r="F1224" s="12" t="n">
        <v>22500.0</v>
      </c>
      <c r="G1224" s="13"/>
      <c r="H1224" s="14" t="s">
        <v>57</v>
      </c>
      <c r="I1224" s="13"/>
      <c r="J1224" s="14" t="s">
        <v>57</v>
      </c>
      <c r="K1224" s="13"/>
      <c r="L1224" s="14"/>
      <c r="M1224" s="13"/>
      <c r="N1224" s="14" t="s">
        <v>57</v>
      </c>
      <c r="O1224" s="13"/>
      <c r="P1224" s="14"/>
      <c r="Q1224" s="13"/>
      <c r="R1224" s="14" t="s">
        <v>57</v>
      </c>
      <c r="S1224" s="15" t="str">
        <f>"－"</f>
        <v>－</v>
      </c>
      <c r="T1224" s="16" t="str">
        <f>"－"</f>
        <v>－</v>
      </c>
      <c r="U1224" s="16"/>
      <c r="V1224" s="16" t="str">
        <f>"－"</f>
        <v>－</v>
      </c>
      <c r="W1224" s="16"/>
      <c r="X1224" s="16" t="str">
        <f>"－"</f>
        <v>－</v>
      </c>
      <c r="Y1224" s="13"/>
      <c r="Z1224" s="17" t="n">
        <f>150</f>
        <v>150.0</v>
      </c>
      <c r="AA1224" s="18" t="str">
        <f>"－"</f>
        <v>－</v>
      </c>
      <c r="AB1224" s="11" t="s">
        <v>581</v>
      </c>
    </row>
    <row r="1225">
      <c r="A1225" s="11" t="s">
        <v>46</v>
      </c>
      <c r="B1225" s="11" t="s">
        <v>47</v>
      </c>
      <c r="C1225" s="11" t="s">
        <v>48</v>
      </c>
      <c r="D1225" s="11" t="s">
        <v>651</v>
      </c>
      <c r="E1225" s="11" t="s">
        <v>580</v>
      </c>
      <c r="F1225" s="12" t="n">
        <v>22750.0</v>
      </c>
      <c r="G1225" s="13"/>
      <c r="H1225" s="14" t="s">
        <v>57</v>
      </c>
      <c r="I1225" s="13"/>
      <c r="J1225" s="14" t="s">
        <v>57</v>
      </c>
      <c r="K1225" s="13"/>
      <c r="L1225" s="14"/>
      <c r="M1225" s="13"/>
      <c r="N1225" s="14" t="s">
        <v>57</v>
      </c>
      <c r="O1225" s="13"/>
      <c r="P1225" s="14"/>
      <c r="Q1225" s="13"/>
      <c r="R1225" s="14" t="s">
        <v>57</v>
      </c>
      <c r="S1225" s="15" t="str">
        <f>"－"</f>
        <v>－</v>
      </c>
      <c r="T1225" s="16" t="str">
        <f>"－"</f>
        <v>－</v>
      </c>
      <c r="U1225" s="16"/>
      <c r="V1225" s="16" t="str">
        <f>"－"</f>
        <v>－</v>
      </c>
      <c r="W1225" s="16"/>
      <c r="X1225" s="16" t="str">
        <f>"－"</f>
        <v>－</v>
      </c>
      <c r="Y1225" s="13"/>
      <c r="Z1225" s="17" t="n">
        <f>1500</f>
        <v>1500.0</v>
      </c>
      <c r="AA1225" s="18" t="str">
        <f>"－"</f>
        <v>－</v>
      </c>
      <c r="AB1225" s="11" t="s">
        <v>581</v>
      </c>
    </row>
    <row r="1226">
      <c r="A1226" s="11" t="s">
        <v>46</v>
      </c>
      <c r="B1226" s="11" t="s">
        <v>47</v>
      </c>
      <c r="C1226" s="11" t="s">
        <v>48</v>
      </c>
      <c r="D1226" s="11" t="s">
        <v>651</v>
      </c>
      <c r="E1226" s="11" t="s">
        <v>580</v>
      </c>
      <c r="F1226" s="12" t="n">
        <v>23000.0</v>
      </c>
      <c r="G1226" s="13"/>
      <c r="H1226" s="14" t="s">
        <v>57</v>
      </c>
      <c r="I1226" s="13"/>
      <c r="J1226" s="14" t="s">
        <v>57</v>
      </c>
      <c r="K1226" s="13"/>
      <c r="L1226" s="14"/>
      <c r="M1226" s="13"/>
      <c r="N1226" s="14" t="s">
        <v>57</v>
      </c>
      <c r="O1226" s="13"/>
      <c r="P1226" s="14"/>
      <c r="Q1226" s="13"/>
      <c r="R1226" s="14" t="s">
        <v>57</v>
      </c>
      <c r="S1226" s="15" t="str">
        <f>"－"</f>
        <v>－</v>
      </c>
      <c r="T1226" s="16" t="str">
        <f>"－"</f>
        <v>－</v>
      </c>
      <c r="U1226" s="16"/>
      <c r="V1226" s="16" t="str">
        <f>"－"</f>
        <v>－</v>
      </c>
      <c r="W1226" s="16"/>
      <c r="X1226" s="16" t="str">
        <f>"－"</f>
        <v>－</v>
      </c>
      <c r="Y1226" s="13"/>
      <c r="Z1226" s="17" t="n">
        <f>400</f>
        <v>400.0</v>
      </c>
      <c r="AA1226" s="18" t="str">
        <f>"－"</f>
        <v>－</v>
      </c>
      <c r="AB1226" s="11" t="s">
        <v>581</v>
      </c>
    </row>
    <row r="1227">
      <c r="A1227" s="11" t="s">
        <v>46</v>
      </c>
      <c r="B1227" s="11" t="s">
        <v>47</v>
      </c>
      <c r="C1227" s="11" t="s">
        <v>48</v>
      </c>
      <c r="D1227" s="11" t="s">
        <v>651</v>
      </c>
      <c r="E1227" s="11" t="s">
        <v>580</v>
      </c>
      <c r="F1227" s="12" t="n">
        <v>24000.0</v>
      </c>
      <c r="G1227" s="13"/>
      <c r="H1227" s="14" t="s">
        <v>57</v>
      </c>
      <c r="I1227" s="13"/>
      <c r="J1227" s="14" t="s">
        <v>57</v>
      </c>
      <c r="K1227" s="13"/>
      <c r="L1227" s="14"/>
      <c r="M1227" s="13"/>
      <c r="N1227" s="14" t="s">
        <v>57</v>
      </c>
      <c r="O1227" s="13"/>
      <c r="P1227" s="14"/>
      <c r="Q1227" s="13"/>
      <c r="R1227" s="14" t="s">
        <v>57</v>
      </c>
      <c r="S1227" s="15" t="str">
        <f>"－"</f>
        <v>－</v>
      </c>
      <c r="T1227" s="16" t="str">
        <f>"－"</f>
        <v>－</v>
      </c>
      <c r="U1227" s="16"/>
      <c r="V1227" s="16" t="str">
        <f>"－"</f>
        <v>－</v>
      </c>
      <c r="W1227" s="16"/>
      <c r="X1227" s="16" t="str">
        <f>"－"</f>
        <v>－</v>
      </c>
      <c r="Y1227" s="13"/>
      <c r="Z1227" s="17" t="n">
        <f>1200</f>
        <v>1200.0</v>
      </c>
      <c r="AA1227" s="18" t="str">
        <f>"－"</f>
        <v>－</v>
      </c>
      <c r="AB1227" s="11" t="s">
        <v>581</v>
      </c>
    </row>
    <row r="1228">
      <c r="A1228" s="11" t="s">
        <v>46</v>
      </c>
      <c r="B1228" s="11" t="s">
        <v>47</v>
      </c>
      <c r="C1228" s="11" t="s">
        <v>48</v>
      </c>
      <c r="D1228" s="11" t="s">
        <v>651</v>
      </c>
      <c r="E1228" s="11" t="s">
        <v>580</v>
      </c>
      <c r="F1228" s="12" t="n">
        <v>25000.0</v>
      </c>
      <c r="G1228" s="13"/>
      <c r="H1228" s="14" t="s">
        <v>57</v>
      </c>
      <c r="I1228" s="13"/>
      <c r="J1228" s="14" t="s">
        <v>57</v>
      </c>
      <c r="K1228" s="13"/>
      <c r="L1228" s="14"/>
      <c r="M1228" s="13"/>
      <c r="N1228" s="14" t="s">
        <v>57</v>
      </c>
      <c r="O1228" s="13"/>
      <c r="P1228" s="14"/>
      <c r="Q1228" s="13"/>
      <c r="R1228" s="14" t="s">
        <v>57</v>
      </c>
      <c r="S1228" s="15" t="str">
        <f>"－"</f>
        <v>－</v>
      </c>
      <c r="T1228" s="16" t="str">
        <f>"－"</f>
        <v>－</v>
      </c>
      <c r="U1228" s="16"/>
      <c r="V1228" s="16" t="str">
        <f>"－"</f>
        <v>－</v>
      </c>
      <c r="W1228" s="16"/>
      <c r="X1228" s="16" t="str">
        <f>"－"</f>
        <v>－</v>
      </c>
      <c r="Y1228" s="13"/>
      <c r="Z1228" s="17" t="n">
        <f>1300</f>
        <v>1300.0</v>
      </c>
      <c r="AA1228" s="18" t="str">
        <f>"－"</f>
        <v>－</v>
      </c>
      <c r="AB1228" s="11" t="s">
        <v>581</v>
      </c>
    </row>
    <row r="1229">
      <c r="A1229" s="11" t="s">
        <v>46</v>
      </c>
      <c r="B1229" s="11" t="s">
        <v>47</v>
      </c>
      <c r="C1229" s="11" t="s">
        <v>48</v>
      </c>
      <c r="D1229" s="11" t="s">
        <v>651</v>
      </c>
      <c r="E1229" s="11" t="s">
        <v>580</v>
      </c>
      <c r="F1229" s="12" t="n">
        <v>25500.0</v>
      </c>
      <c r="G1229" s="13"/>
      <c r="H1229" s="14" t="s">
        <v>57</v>
      </c>
      <c r="I1229" s="13"/>
      <c r="J1229" s="14" t="s">
        <v>57</v>
      </c>
      <c r="K1229" s="13"/>
      <c r="L1229" s="14"/>
      <c r="M1229" s="13"/>
      <c r="N1229" s="14" t="s">
        <v>57</v>
      </c>
      <c r="O1229" s="13"/>
      <c r="P1229" s="14"/>
      <c r="Q1229" s="13"/>
      <c r="R1229" s="14" t="s">
        <v>57</v>
      </c>
      <c r="S1229" s="15" t="str">
        <f>"－"</f>
        <v>－</v>
      </c>
      <c r="T1229" s="16" t="str">
        <f>"－"</f>
        <v>－</v>
      </c>
      <c r="U1229" s="16"/>
      <c r="V1229" s="16" t="str">
        <f>"－"</f>
        <v>－</v>
      </c>
      <c r="W1229" s="16"/>
      <c r="X1229" s="16" t="str">
        <f>"－"</f>
        <v>－</v>
      </c>
      <c r="Y1229" s="13"/>
      <c r="Z1229" s="17" t="n">
        <f>125</f>
        <v>125.0</v>
      </c>
      <c r="AA1229" s="18" t="str">
        <f>"－"</f>
        <v>－</v>
      </c>
      <c r="AB1229" s="11" t="s">
        <v>581</v>
      </c>
    </row>
    <row r="1230">
      <c r="A1230" s="11" t="s">
        <v>46</v>
      </c>
      <c r="B1230" s="11" t="s">
        <v>47</v>
      </c>
      <c r="C1230" s="11" t="s">
        <v>48</v>
      </c>
      <c r="D1230" s="11" t="s">
        <v>651</v>
      </c>
      <c r="E1230" s="11" t="s">
        <v>580</v>
      </c>
      <c r="F1230" s="12" t="n">
        <v>26000.0</v>
      </c>
      <c r="G1230" s="13"/>
      <c r="H1230" s="14" t="s">
        <v>57</v>
      </c>
      <c r="I1230" s="13"/>
      <c r="J1230" s="14" t="s">
        <v>57</v>
      </c>
      <c r="K1230" s="13" t="s">
        <v>50</v>
      </c>
      <c r="L1230" s="14" t="s">
        <v>845</v>
      </c>
      <c r="M1230" s="13"/>
      <c r="N1230" s="14" t="s">
        <v>57</v>
      </c>
      <c r="O1230" s="13" t="s">
        <v>50</v>
      </c>
      <c r="P1230" s="14" t="s">
        <v>846</v>
      </c>
      <c r="Q1230" s="13"/>
      <c r="R1230" s="14" t="s">
        <v>57</v>
      </c>
      <c r="S1230" s="15" t="str">
        <f>"－"</f>
        <v>－</v>
      </c>
      <c r="T1230" s="16" t="n">
        <f>750</f>
        <v>750.0</v>
      </c>
      <c r="U1230" s="16" t="n">
        <v>750.0</v>
      </c>
      <c r="V1230" s="16" t="n">
        <f>2483260000</f>
        <v>2.48326E9</v>
      </c>
      <c r="W1230" s="16" t="n">
        <v>2.48326E9</v>
      </c>
      <c r="X1230" s="16" t="str">
        <f>"－"</f>
        <v>－</v>
      </c>
      <c r="Y1230" s="13"/>
      <c r="Z1230" s="17" t="n">
        <f>3100</f>
        <v>3100.0</v>
      </c>
      <c r="AA1230" s="18" t="str">
        <f>"－"</f>
        <v>－</v>
      </c>
      <c r="AB1230" s="11" t="s">
        <v>581</v>
      </c>
    </row>
    <row r="1231">
      <c r="A1231" s="11" t="s">
        <v>46</v>
      </c>
      <c r="B1231" s="11" t="s">
        <v>47</v>
      </c>
      <c r="C1231" s="11" t="s">
        <v>48</v>
      </c>
      <c r="D1231" s="11" t="s">
        <v>651</v>
      </c>
      <c r="E1231" s="11" t="s">
        <v>580</v>
      </c>
      <c r="F1231" s="12" t="n">
        <v>26500.0</v>
      </c>
      <c r="G1231" s="13"/>
      <c r="H1231" s="14" t="s">
        <v>57</v>
      </c>
      <c r="I1231" s="13"/>
      <c r="J1231" s="14" t="s">
        <v>57</v>
      </c>
      <c r="K1231" s="13"/>
      <c r="L1231" s="14"/>
      <c r="M1231" s="13"/>
      <c r="N1231" s="14" t="s">
        <v>57</v>
      </c>
      <c r="O1231" s="13"/>
      <c r="P1231" s="14"/>
      <c r="Q1231" s="13"/>
      <c r="R1231" s="14" t="s">
        <v>57</v>
      </c>
      <c r="S1231" s="15" t="str">
        <f>"－"</f>
        <v>－</v>
      </c>
      <c r="T1231" s="16" t="str">
        <f>"－"</f>
        <v>－</v>
      </c>
      <c r="U1231" s="16"/>
      <c r="V1231" s="16" t="str">
        <f>"－"</f>
        <v>－</v>
      </c>
      <c r="W1231" s="16"/>
      <c r="X1231" s="16" t="str">
        <f>"－"</f>
        <v>－</v>
      </c>
      <c r="Y1231" s="13"/>
      <c r="Z1231" s="17" t="n">
        <f>50</f>
        <v>50.0</v>
      </c>
      <c r="AA1231" s="18" t="str">
        <f>"－"</f>
        <v>－</v>
      </c>
      <c r="AB1231" s="11" t="s">
        <v>581</v>
      </c>
    </row>
    <row r="1232">
      <c r="A1232" s="11" t="s">
        <v>46</v>
      </c>
      <c r="B1232" s="11" t="s">
        <v>47</v>
      </c>
      <c r="C1232" s="11" t="s">
        <v>48</v>
      </c>
      <c r="D1232" s="11" t="s">
        <v>651</v>
      </c>
      <c r="E1232" s="11" t="s">
        <v>580</v>
      </c>
      <c r="F1232" s="12" t="n">
        <v>27000.0</v>
      </c>
      <c r="G1232" s="13"/>
      <c r="H1232" s="14" t="s">
        <v>57</v>
      </c>
      <c r="I1232" s="13"/>
      <c r="J1232" s="14" t="s">
        <v>57</v>
      </c>
      <c r="K1232" s="13"/>
      <c r="L1232" s="14"/>
      <c r="M1232" s="13"/>
      <c r="N1232" s="14" t="s">
        <v>57</v>
      </c>
      <c r="O1232" s="13"/>
      <c r="P1232" s="14"/>
      <c r="Q1232" s="13"/>
      <c r="R1232" s="14" t="s">
        <v>57</v>
      </c>
      <c r="S1232" s="15" t="str">
        <f>"－"</f>
        <v>－</v>
      </c>
      <c r="T1232" s="16" t="str">
        <f>"－"</f>
        <v>－</v>
      </c>
      <c r="U1232" s="16"/>
      <c r="V1232" s="16" t="str">
        <f>"－"</f>
        <v>－</v>
      </c>
      <c r="W1232" s="16"/>
      <c r="X1232" s="16" t="str">
        <f>"－"</f>
        <v>－</v>
      </c>
      <c r="Y1232" s="13"/>
      <c r="Z1232" s="17" t="n">
        <f>475</f>
        <v>475.0</v>
      </c>
      <c r="AA1232" s="18" t="str">
        <f>"－"</f>
        <v>－</v>
      </c>
      <c r="AB1232" s="11" t="s">
        <v>581</v>
      </c>
    </row>
    <row r="1233">
      <c r="A1233" s="11" t="s">
        <v>46</v>
      </c>
      <c r="B1233" s="11" t="s">
        <v>47</v>
      </c>
      <c r="C1233" s="11" t="s">
        <v>48</v>
      </c>
      <c r="D1233" s="11" t="s">
        <v>651</v>
      </c>
      <c r="E1233" s="11" t="s">
        <v>580</v>
      </c>
      <c r="F1233" s="12" t="n">
        <v>27500.0</v>
      </c>
      <c r="G1233" s="13"/>
      <c r="H1233" s="14" t="s">
        <v>57</v>
      </c>
      <c r="I1233" s="13"/>
      <c r="J1233" s="14" t="s">
        <v>57</v>
      </c>
      <c r="K1233" s="13"/>
      <c r="L1233" s="14"/>
      <c r="M1233" s="13"/>
      <c r="N1233" s="14" t="s">
        <v>57</v>
      </c>
      <c r="O1233" s="13"/>
      <c r="P1233" s="14"/>
      <c r="Q1233" s="13"/>
      <c r="R1233" s="14" t="s">
        <v>57</v>
      </c>
      <c r="S1233" s="15" t="str">
        <f>"－"</f>
        <v>－</v>
      </c>
      <c r="T1233" s="16" t="str">
        <f>"－"</f>
        <v>－</v>
      </c>
      <c r="U1233" s="16"/>
      <c r="V1233" s="16" t="str">
        <f>"－"</f>
        <v>－</v>
      </c>
      <c r="W1233" s="16"/>
      <c r="X1233" s="16" t="str">
        <f>"－"</f>
        <v>－</v>
      </c>
      <c r="Y1233" s="13"/>
      <c r="Z1233" s="17" t="n">
        <f>50</f>
        <v>50.0</v>
      </c>
      <c r="AA1233" s="18" t="str">
        <f>"－"</f>
        <v>－</v>
      </c>
      <c r="AB1233" s="11" t="s">
        <v>581</v>
      </c>
    </row>
    <row r="1234">
      <c r="A1234" s="11" t="s">
        <v>46</v>
      </c>
      <c r="B1234" s="11" t="s">
        <v>47</v>
      </c>
      <c r="C1234" s="11" t="s">
        <v>48</v>
      </c>
      <c r="D1234" s="11" t="s">
        <v>651</v>
      </c>
      <c r="E1234" s="11" t="s">
        <v>580</v>
      </c>
      <c r="F1234" s="12" t="n">
        <v>28000.0</v>
      </c>
      <c r="G1234" s="13"/>
      <c r="H1234" s="14" t="s">
        <v>57</v>
      </c>
      <c r="I1234" s="13"/>
      <c r="J1234" s="14" t="s">
        <v>57</v>
      </c>
      <c r="K1234" s="13"/>
      <c r="L1234" s="14"/>
      <c r="M1234" s="13"/>
      <c r="N1234" s="14" t="s">
        <v>57</v>
      </c>
      <c r="O1234" s="13"/>
      <c r="P1234" s="14"/>
      <c r="Q1234" s="13"/>
      <c r="R1234" s="14" t="s">
        <v>57</v>
      </c>
      <c r="S1234" s="15" t="str">
        <f>"－"</f>
        <v>－</v>
      </c>
      <c r="T1234" s="16" t="str">
        <f>"－"</f>
        <v>－</v>
      </c>
      <c r="U1234" s="16"/>
      <c r="V1234" s="16" t="str">
        <f>"－"</f>
        <v>－</v>
      </c>
      <c r="W1234" s="16"/>
      <c r="X1234" s="16" t="str">
        <f>"－"</f>
        <v>－</v>
      </c>
      <c r="Y1234" s="13"/>
      <c r="Z1234" s="17" t="n">
        <f>670</f>
        <v>670.0</v>
      </c>
      <c r="AA1234" s="18" t="str">
        <f>"－"</f>
        <v>－</v>
      </c>
      <c r="AB1234" s="11" t="s">
        <v>581</v>
      </c>
    </row>
    <row r="1235">
      <c r="A1235" s="11" t="s">
        <v>46</v>
      </c>
      <c r="B1235" s="11" t="s">
        <v>47</v>
      </c>
      <c r="C1235" s="11" t="s">
        <v>48</v>
      </c>
      <c r="D1235" s="11" t="s">
        <v>651</v>
      </c>
      <c r="E1235" s="11" t="s">
        <v>580</v>
      </c>
      <c r="F1235" s="12" t="n">
        <v>28250.0</v>
      </c>
      <c r="G1235" s="13"/>
      <c r="H1235" s="14" t="s">
        <v>57</v>
      </c>
      <c r="I1235" s="13"/>
      <c r="J1235" s="14" t="s">
        <v>57</v>
      </c>
      <c r="K1235" s="13"/>
      <c r="L1235" s="14"/>
      <c r="M1235" s="13"/>
      <c r="N1235" s="14" t="s">
        <v>57</v>
      </c>
      <c r="O1235" s="13"/>
      <c r="P1235" s="14"/>
      <c r="Q1235" s="13"/>
      <c r="R1235" s="14" t="s">
        <v>57</v>
      </c>
      <c r="S1235" s="15" t="str">
        <f>"－"</f>
        <v>－</v>
      </c>
      <c r="T1235" s="16" t="str">
        <f>"－"</f>
        <v>－</v>
      </c>
      <c r="U1235" s="16"/>
      <c r="V1235" s="16" t="str">
        <f>"－"</f>
        <v>－</v>
      </c>
      <c r="W1235" s="16"/>
      <c r="X1235" s="16" t="str">
        <f>"－"</f>
        <v>－</v>
      </c>
      <c r="Y1235" s="13"/>
      <c r="Z1235" s="17" t="n">
        <f>300</f>
        <v>300.0</v>
      </c>
      <c r="AA1235" s="18" t="str">
        <f>"－"</f>
        <v>－</v>
      </c>
      <c r="AB1235" s="11" t="s">
        <v>581</v>
      </c>
    </row>
    <row r="1236">
      <c r="A1236" s="11" t="s">
        <v>46</v>
      </c>
      <c r="B1236" s="11" t="s">
        <v>47</v>
      </c>
      <c r="C1236" s="11" t="s">
        <v>48</v>
      </c>
      <c r="D1236" s="11" t="s">
        <v>651</v>
      </c>
      <c r="E1236" s="11" t="s">
        <v>580</v>
      </c>
      <c r="F1236" s="12" t="n">
        <v>28750.0</v>
      </c>
      <c r="G1236" s="13"/>
      <c r="H1236" s="14" t="s">
        <v>57</v>
      </c>
      <c r="I1236" s="13"/>
      <c r="J1236" s="14" t="s">
        <v>57</v>
      </c>
      <c r="K1236" s="13"/>
      <c r="L1236" s="14"/>
      <c r="M1236" s="13"/>
      <c r="N1236" s="14" t="s">
        <v>57</v>
      </c>
      <c r="O1236" s="13"/>
      <c r="P1236" s="14"/>
      <c r="Q1236" s="13"/>
      <c r="R1236" s="14" t="s">
        <v>57</v>
      </c>
      <c r="S1236" s="15" t="str">
        <f>"－"</f>
        <v>－</v>
      </c>
      <c r="T1236" s="16" t="str">
        <f>"－"</f>
        <v>－</v>
      </c>
      <c r="U1236" s="16"/>
      <c r="V1236" s="16" t="str">
        <f>"－"</f>
        <v>－</v>
      </c>
      <c r="W1236" s="16"/>
      <c r="X1236" s="16" t="str">
        <f>"－"</f>
        <v>－</v>
      </c>
      <c r="Y1236" s="13"/>
      <c r="Z1236" s="17" t="n">
        <f>300</f>
        <v>300.0</v>
      </c>
      <c r="AA1236" s="18" t="str">
        <f>"－"</f>
        <v>－</v>
      </c>
      <c r="AB1236" s="11" t="s">
        <v>581</v>
      </c>
    </row>
    <row r="1237">
      <c r="A1237" s="11" t="s">
        <v>46</v>
      </c>
      <c r="B1237" s="11" t="s">
        <v>47</v>
      </c>
      <c r="C1237" s="11" t="s">
        <v>48</v>
      </c>
      <c r="D1237" s="11" t="s">
        <v>651</v>
      </c>
      <c r="E1237" s="11" t="s">
        <v>580</v>
      </c>
      <c r="F1237" s="12" t="n">
        <v>29000.0</v>
      </c>
      <c r="G1237" s="13"/>
      <c r="H1237" s="14" t="s">
        <v>57</v>
      </c>
      <c r="I1237" s="13"/>
      <c r="J1237" s="14" t="s">
        <v>57</v>
      </c>
      <c r="K1237" s="13"/>
      <c r="L1237" s="14"/>
      <c r="M1237" s="13"/>
      <c r="N1237" s="14" t="s">
        <v>57</v>
      </c>
      <c r="O1237" s="13"/>
      <c r="P1237" s="14"/>
      <c r="Q1237" s="13"/>
      <c r="R1237" s="14" t="s">
        <v>57</v>
      </c>
      <c r="S1237" s="15" t="str">
        <f>"－"</f>
        <v>－</v>
      </c>
      <c r="T1237" s="16" t="str">
        <f>"－"</f>
        <v>－</v>
      </c>
      <c r="U1237" s="16"/>
      <c r="V1237" s="16" t="str">
        <f>"－"</f>
        <v>－</v>
      </c>
      <c r="W1237" s="16"/>
      <c r="X1237" s="16" t="str">
        <f>"－"</f>
        <v>－</v>
      </c>
      <c r="Y1237" s="13"/>
      <c r="Z1237" s="17" t="n">
        <f>700</f>
        <v>700.0</v>
      </c>
      <c r="AA1237" s="18" t="str">
        <f>"－"</f>
        <v>－</v>
      </c>
      <c r="AB1237" s="11" t="s">
        <v>581</v>
      </c>
    </row>
    <row r="1238">
      <c r="A1238" s="11" t="s">
        <v>46</v>
      </c>
      <c r="B1238" s="11" t="s">
        <v>47</v>
      </c>
      <c r="C1238" s="11" t="s">
        <v>48</v>
      </c>
      <c r="D1238" s="11" t="s">
        <v>651</v>
      </c>
      <c r="E1238" s="11" t="s">
        <v>580</v>
      </c>
      <c r="F1238" s="12" t="n">
        <v>30000.0</v>
      </c>
      <c r="G1238" s="13"/>
      <c r="H1238" s="14" t="s">
        <v>57</v>
      </c>
      <c r="I1238" s="13"/>
      <c r="J1238" s="14" t="s">
        <v>57</v>
      </c>
      <c r="K1238" s="13" t="s">
        <v>288</v>
      </c>
      <c r="L1238" s="14" t="s">
        <v>847</v>
      </c>
      <c r="M1238" s="13"/>
      <c r="N1238" s="14" t="s">
        <v>57</v>
      </c>
      <c r="O1238" s="13" t="s">
        <v>56</v>
      </c>
      <c r="P1238" s="14" t="s">
        <v>848</v>
      </c>
      <c r="Q1238" s="13"/>
      <c r="R1238" s="14" t="s">
        <v>57</v>
      </c>
      <c r="S1238" s="15" t="str">
        <f>"－"</f>
        <v>－</v>
      </c>
      <c r="T1238" s="16" t="n">
        <f>1225</f>
        <v>1225.0</v>
      </c>
      <c r="U1238" s="16" t="n">
        <v>1225.0</v>
      </c>
      <c r="V1238" s="16" t="n">
        <f>3136525000</f>
        <v>3.136525E9</v>
      </c>
      <c r="W1238" s="16" t="n">
        <v>3.136525E9</v>
      </c>
      <c r="X1238" s="16" t="str">
        <f>"－"</f>
        <v>－</v>
      </c>
      <c r="Y1238" s="13"/>
      <c r="Z1238" s="17" t="n">
        <f>1025</f>
        <v>1025.0</v>
      </c>
      <c r="AA1238" s="18" t="str">
        <f>"－"</f>
        <v>－</v>
      </c>
      <c r="AB1238" s="11" t="s">
        <v>581</v>
      </c>
    </row>
    <row r="1239">
      <c r="A1239" s="11" t="s">
        <v>46</v>
      </c>
      <c r="B1239" s="11" t="s">
        <v>47</v>
      </c>
      <c r="C1239" s="11" t="s">
        <v>48</v>
      </c>
      <c r="D1239" s="11" t="s">
        <v>651</v>
      </c>
      <c r="E1239" s="11" t="s">
        <v>580</v>
      </c>
      <c r="F1239" s="12" t="n">
        <v>30500.0</v>
      </c>
      <c r="G1239" s="13"/>
      <c r="H1239" s="14" t="s">
        <v>57</v>
      </c>
      <c r="I1239" s="13"/>
      <c r="J1239" s="14" t="s">
        <v>57</v>
      </c>
      <c r="K1239" s="13"/>
      <c r="L1239" s="14"/>
      <c r="M1239" s="13"/>
      <c r="N1239" s="14" t="s">
        <v>57</v>
      </c>
      <c r="O1239" s="13"/>
      <c r="P1239" s="14"/>
      <c r="Q1239" s="13"/>
      <c r="R1239" s="14" t="s">
        <v>57</v>
      </c>
      <c r="S1239" s="15" t="str">
        <f>"－"</f>
        <v>－</v>
      </c>
      <c r="T1239" s="16" t="str">
        <f>"－"</f>
        <v>－</v>
      </c>
      <c r="U1239" s="16"/>
      <c r="V1239" s="16" t="str">
        <f>"－"</f>
        <v>－</v>
      </c>
      <c r="W1239" s="16"/>
      <c r="X1239" s="16" t="str">
        <f>"－"</f>
        <v>－</v>
      </c>
      <c r="Y1239" s="13"/>
      <c r="Z1239" s="17" t="n">
        <f>150</f>
        <v>150.0</v>
      </c>
      <c r="AA1239" s="18" t="str">
        <f>"－"</f>
        <v>－</v>
      </c>
      <c r="AB1239" s="11" t="s">
        <v>581</v>
      </c>
    </row>
    <row r="1240">
      <c r="A1240" s="11" t="s">
        <v>46</v>
      </c>
      <c r="B1240" s="11" t="s">
        <v>47</v>
      </c>
      <c r="C1240" s="11" t="s">
        <v>48</v>
      </c>
      <c r="D1240" s="11" t="s">
        <v>651</v>
      </c>
      <c r="E1240" s="11" t="s">
        <v>580</v>
      </c>
      <c r="F1240" s="12" t="n">
        <v>31000.0</v>
      </c>
      <c r="G1240" s="13"/>
      <c r="H1240" s="14" t="s">
        <v>57</v>
      </c>
      <c r="I1240" s="13"/>
      <c r="J1240" s="14" t="s">
        <v>57</v>
      </c>
      <c r="K1240" s="13" t="s">
        <v>288</v>
      </c>
      <c r="L1240" s="14" t="s">
        <v>849</v>
      </c>
      <c r="M1240" s="13"/>
      <c r="N1240" s="14" t="s">
        <v>57</v>
      </c>
      <c r="O1240" s="13" t="s">
        <v>207</v>
      </c>
      <c r="P1240" s="14" t="s">
        <v>850</v>
      </c>
      <c r="Q1240" s="13"/>
      <c r="R1240" s="14" t="s">
        <v>57</v>
      </c>
      <c r="S1240" s="15" t="str">
        <f>"－"</f>
        <v>－</v>
      </c>
      <c r="T1240" s="16" t="n">
        <f>500</f>
        <v>500.0</v>
      </c>
      <c r="U1240" s="16" t="n">
        <v>500.0</v>
      </c>
      <c r="V1240" s="16" t="n">
        <f>1054100000</f>
        <v>1.0541E9</v>
      </c>
      <c r="W1240" s="16" t="n">
        <v>1.0541E9</v>
      </c>
      <c r="X1240" s="16" t="str">
        <f>"－"</f>
        <v>－</v>
      </c>
      <c r="Y1240" s="13"/>
      <c r="Z1240" s="17" t="n">
        <f>600</f>
        <v>600.0</v>
      </c>
      <c r="AA1240" s="18" t="str">
        <f>"－"</f>
        <v>－</v>
      </c>
      <c r="AB1240" s="11" t="s">
        <v>581</v>
      </c>
    </row>
    <row r="1241">
      <c r="A1241" s="11" t="s">
        <v>46</v>
      </c>
      <c r="B1241" s="11" t="s">
        <v>47</v>
      </c>
      <c r="C1241" s="11" t="s">
        <v>48</v>
      </c>
      <c r="D1241" s="11" t="s">
        <v>651</v>
      </c>
      <c r="E1241" s="11" t="s">
        <v>580</v>
      </c>
      <c r="F1241" s="12" t="n">
        <v>32250.0</v>
      </c>
      <c r="G1241" s="13"/>
      <c r="H1241" s="14" t="s">
        <v>57</v>
      </c>
      <c r="I1241" s="13"/>
      <c r="J1241" s="14" t="s">
        <v>57</v>
      </c>
      <c r="K1241" s="13"/>
      <c r="L1241" s="14"/>
      <c r="M1241" s="13"/>
      <c r="N1241" s="14" t="s">
        <v>57</v>
      </c>
      <c r="O1241" s="13"/>
      <c r="P1241" s="14"/>
      <c r="Q1241" s="13"/>
      <c r="R1241" s="14" t="s">
        <v>57</v>
      </c>
      <c r="S1241" s="15" t="str">
        <f>"－"</f>
        <v>－</v>
      </c>
      <c r="T1241" s="16" t="str">
        <f>"－"</f>
        <v>－</v>
      </c>
      <c r="U1241" s="16"/>
      <c r="V1241" s="16" t="str">
        <f>"－"</f>
        <v>－</v>
      </c>
      <c r="W1241" s="16"/>
      <c r="X1241" s="16" t="str">
        <f>"－"</f>
        <v>－</v>
      </c>
      <c r="Y1241" s="13"/>
      <c r="Z1241" s="17" t="n">
        <f>100</f>
        <v>100.0</v>
      </c>
      <c r="AA1241" s="18" t="str">
        <f>"－"</f>
        <v>－</v>
      </c>
      <c r="AB1241" s="11" t="s">
        <v>581</v>
      </c>
    </row>
    <row r="1242">
      <c r="A1242" s="11" t="s">
        <v>46</v>
      </c>
      <c r="B1242" s="11" t="s">
        <v>47</v>
      </c>
      <c r="C1242" s="11" t="s">
        <v>48</v>
      </c>
      <c r="D1242" s="11" t="s">
        <v>651</v>
      </c>
      <c r="E1242" s="11" t="s">
        <v>580</v>
      </c>
      <c r="F1242" s="12" t="n">
        <v>33750.0</v>
      </c>
      <c r="G1242" s="13"/>
      <c r="H1242" s="14" t="s">
        <v>57</v>
      </c>
      <c r="I1242" s="13"/>
      <c r="J1242" s="14" t="s">
        <v>57</v>
      </c>
      <c r="K1242" s="13" t="s">
        <v>215</v>
      </c>
      <c r="L1242" s="14" t="s">
        <v>199</v>
      </c>
      <c r="M1242" s="13"/>
      <c r="N1242" s="14" t="s">
        <v>57</v>
      </c>
      <c r="O1242" s="13" t="s">
        <v>215</v>
      </c>
      <c r="P1242" s="14" t="s">
        <v>199</v>
      </c>
      <c r="Q1242" s="13"/>
      <c r="R1242" s="14" t="s">
        <v>57</v>
      </c>
      <c r="S1242" s="15" t="str">
        <f>"－"</f>
        <v>－</v>
      </c>
      <c r="T1242" s="16" t="n">
        <f>400</f>
        <v>400.0</v>
      </c>
      <c r="U1242" s="16" t="n">
        <v>400.0</v>
      </c>
      <c r="V1242" s="16" t="n">
        <f>480000000</f>
        <v>4.8E8</v>
      </c>
      <c r="W1242" s="16" t="n">
        <v>4.8E8</v>
      </c>
      <c r="X1242" s="16" t="str">
        <f>"－"</f>
        <v>－</v>
      </c>
      <c r="Y1242" s="13"/>
      <c r="Z1242" s="17" t="n">
        <f>400</f>
        <v>400.0</v>
      </c>
      <c r="AA1242" s="18" t="str">
        <f>"－"</f>
        <v>－</v>
      </c>
      <c r="AB1242" s="11" t="s">
        <v>581</v>
      </c>
    </row>
    <row r="1243">
      <c r="A1243" s="11" t="s">
        <v>46</v>
      </c>
      <c r="B1243" s="11" t="s">
        <v>47</v>
      </c>
      <c r="C1243" s="11" t="s">
        <v>48</v>
      </c>
      <c r="D1243" s="11" t="s">
        <v>651</v>
      </c>
      <c r="E1243" s="11" t="s">
        <v>580</v>
      </c>
      <c r="F1243" s="12" t="n">
        <v>34500.0</v>
      </c>
      <c r="G1243" s="13"/>
      <c r="H1243" s="14" t="s">
        <v>57</v>
      </c>
      <c r="I1243" s="13"/>
      <c r="J1243" s="14" t="s">
        <v>57</v>
      </c>
      <c r="K1243" s="13" t="s">
        <v>288</v>
      </c>
      <c r="L1243" s="14" t="s">
        <v>851</v>
      </c>
      <c r="M1243" s="13"/>
      <c r="N1243" s="14" t="s">
        <v>57</v>
      </c>
      <c r="O1243" s="13" t="s">
        <v>207</v>
      </c>
      <c r="P1243" s="14" t="s">
        <v>852</v>
      </c>
      <c r="Q1243" s="13"/>
      <c r="R1243" s="14" t="s">
        <v>57</v>
      </c>
      <c r="S1243" s="15" t="str">
        <f>"－"</f>
        <v>－</v>
      </c>
      <c r="T1243" s="16" t="n">
        <f>400</f>
        <v>400.0</v>
      </c>
      <c r="U1243" s="16" t="n">
        <v>400.0</v>
      </c>
      <c r="V1243" s="16" t="n">
        <f>389800000</f>
        <v>3.898E8</v>
      </c>
      <c r="W1243" s="16" t="n">
        <v>3.898E8</v>
      </c>
      <c r="X1243" s="16" t="str">
        <f>"－"</f>
        <v>－</v>
      </c>
      <c r="Y1243" s="13"/>
      <c r="Z1243" s="17" t="n">
        <f>400</f>
        <v>400.0</v>
      </c>
      <c r="AA1243" s="18" t="str">
        <f>"－"</f>
        <v>－</v>
      </c>
      <c r="AB1243" s="11" t="s">
        <v>581</v>
      </c>
    </row>
    <row r="1244">
      <c r="A1244" s="11" t="s">
        <v>46</v>
      </c>
      <c r="B1244" s="11" t="s">
        <v>47</v>
      </c>
      <c r="C1244" s="11" t="s">
        <v>48</v>
      </c>
      <c r="D1244" s="11" t="s">
        <v>651</v>
      </c>
      <c r="E1244" s="11" t="s">
        <v>580</v>
      </c>
      <c r="F1244" s="12" t="n">
        <v>35000.0</v>
      </c>
      <c r="G1244" s="13"/>
      <c r="H1244" s="14" t="s">
        <v>57</v>
      </c>
      <c r="I1244" s="13"/>
      <c r="J1244" s="14" t="s">
        <v>57</v>
      </c>
      <c r="K1244" s="13" t="s">
        <v>288</v>
      </c>
      <c r="L1244" s="14" t="s">
        <v>428</v>
      </c>
      <c r="M1244" s="13"/>
      <c r="N1244" s="14" t="s">
        <v>57</v>
      </c>
      <c r="O1244" s="13" t="s">
        <v>208</v>
      </c>
      <c r="P1244" s="14" t="s">
        <v>434</v>
      </c>
      <c r="Q1244" s="13"/>
      <c r="R1244" s="14" t="s">
        <v>57</v>
      </c>
      <c r="S1244" s="15" t="str">
        <f>"－"</f>
        <v>－</v>
      </c>
      <c r="T1244" s="16" t="n">
        <f>1000</f>
        <v>1000.0</v>
      </c>
      <c r="U1244" s="16" t="n">
        <v>1000.0</v>
      </c>
      <c r="V1244" s="16" t="n">
        <f>943200000</f>
        <v>9.432E8</v>
      </c>
      <c r="W1244" s="16" t="n">
        <v>9.432E8</v>
      </c>
      <c r="X1244" s="16" t="str">
        <f>"－"</f>
        <v>－</v>
      </c>
      <c r="Y1244" s="13"/>
      <c r="Z1244" s="17" t="n">
        <f>1000</f>
        <v>1000.0</v>
      </c>
      <c r="AA1244" s="18" t="str">
        <f>"－"</f>
        <v>－</v>
      </c>
      <c r="AB1244" s="11" t="s">
        <v>581</v>
      </c>
    </row>
    <row r="1245">
      <c r="A1245" s="11" t="s">
        <v>46</v>
      </c>
      <c r="B1245" s="11" t="s">
        <v>47</v>
      </c>
      <c r="C1245" s="11" t="s">
        <v>48</v>
      </c>
      <c r="D1245" s="11" t="s">
        <v>651</v>
      </c>
      <c r="E1245" s="11" t="s">
        <v>593</v>
      </c>
      <c r="F1245" s="12" t="n">
        <v>16000.0</v>
      </c>
      <c r="G1245" s="13"/>
      <c r="H1245" s="14" t="s">
        <v>57</v>
      </c>
      <c r="I1245" s="13"/>
      <c r="J1245" s="14" t="s">
        <v>57</v>
      </c>
      <c r="K1245" s="13"/>
      <c r="L1245" s="14"/>
      <c r="M1245" s="13"/>
      <c r="N1245" s="14" t="s">
        <v>57</v>
      </c>
      <c r="O1245" s="13"/>
      <c r="P1245" s="14"/>
      <c r="Q1245" s="13"/>
      <c r="R1245" s="14" t="s">
        <v>57</v>
      </c>
      <c r="S1245" s="15" t="str">
        <f>"－"</f>
        <v>－</v>
      </c>
      <c r="T1245" s="16" t="str">
        <f>"－"</f>
        <v>－</v>
      </c>
      <c r="U1245" s="16"/>
      <c r="V1245" s="16" t="str">
        <f>"－"</f>
        <v>－</v>
      </c>
      <c r="W1245" s="16"/>
      <c r="X1245" s="16" t="str">
        <f>"－"</f>
        <v>－</v>
      </c>
      <c r="Y1245" s="13"/>
      <c r="Z1245" s="17" t="n">
        <f>285</f>
        <v>285.0</v>
      </c>
      <c r="AA1245" s="18" t="str">
        <f>"－"</f>
        <v>－</v>
      </c>
      <c r="AB1245" s="11" t="s">
        <v>594</v>
      </c>
    </row>
    <row r="1246">
      <c r="A1246" s="11" t="s">
        <v>46</v>
      </c>
      <c r="B1246" s="11" t="s">
        <v>47</v>
      </c>
      <c r="C1246" s="11" t="s">
        <v>48</v>
      </c>
      <c r="D1246" s="11" t="s">
        <v>651</v>
      </c>
      <c r="E1246" s="11" t="s">
        <v>593</v>
      </c>
      <c r="F1246" s="12" t="n">
        <v>17000.0</v>
      </c>
      <c r="G1246" s="13"/>
      <c r="H1246" s="14" t="s">
        <v>57</v>
      </c>
      <c r="I1246" s="13"/>
      <c r="J1246" s="14" t="s">
        <v>57</v>
      </c>
      <c r="K1246" s="13"/>
      <c r="L1246" s="14"/>
      <c r="M1246" s="13"/>
      <c r="N1246" s="14" t="s">
        <v>57</v>
      </c>
      <c r="O1246" s="13"/>
      <c r="P1246" s="14"/>
      <c r="Q1246" s="13"/>
      <c r="R1246" s="14" t="s">
        <v>57</v>
      </c>
      <c r="S1246" s="15" t="str">
        <f>"－"</f>
        <v>－</v>
      </c>
      <c r="T1246" s="16" t="str">
        <f>"－"</f>
        <v>－</v>
      </c>
      <c r="U1246" s="16"/>
      <c r="V1246" s="16" t="str">
        <f>"－"</f>
        <v>－</v>
      </c>
      <c r="W1246" s="16"/>
      <c r="X1246" s="16" t="str">
        <f>"－"</f>
        <v>－</v>
      </c>
      <c r="Y1246" s="13"/>
      <c r="Z1246" s="17" t="n">
        <f>700</f>
        <v>700.0</v>
      </c>
      <c r="AA1246" s="18" t="str">
        <f>"－"</f>
        <v>－</v>
      </c>
      <c r="AB1246" s="11" t="s">
        <v>594</v>
      </c>
    </row>
    <row r="1247">
      <c r="A1247" s="11" t="s">
        <v>46</v>
      </c>
      <c r="B1247" s="11" t="s">
        <v>47</v>
      </c>
      <c r="C1247" s="11" t="s">
        <v>48</v>
      </c>
      <c r="D1247" s="11" t="s">
        <v>651</v>
      </c>
      <c r="E1247" s="11" t="s">
        <v>593</v>
      </c>
      <c r="F1247" s="12" t="n">
        <v>17500.0</v>
      </c>
      <c r="G1247" s="13"/>
      <c r="H1247" s="14" t="s">
        <v>57</v>
      </c>
      <c r="I1247" s="13"/>
      <c r="J1247" s="14" t="s">
        <v>57</v>
      </c>
      <c r="K1247" s="13"/>
      <c r="L1247" s="14"/>
      <c r="M1247" s="13"/>
      <c r="N1247" s="14" t="s">
        <v>57</v>
      </c>
      <c r="O1247" s="13"/>
      <c r="P1247" s="14"/>
      <c r="Q1247" s="13"/>
      <c r="R1247" s="14" t="s">
        <v>57</v>
      </c>
      <c r="S1247" s="15" t="str">
        <f>"－"</f>
        <v>－</v>
      </c>
      <c r="T1247" s="16" t="str">
        <f>"－"</f>
        <v>－</v>
      </c>
      <c r="U1247" s="16"/>
      <c r="V1247" s="16" t="str">
        <f>"－"</f>
        <v>－</v>
      </c>
      <c r="W1247" s="16"/>
      <c r="X1247" s="16" t="str">
        <f>"－"</f>
        <v>－</v>
      </c>
      <c r="Y1247" s="13"/>
      <c r="Z1247" s="17" t="n">
        <f>200</f>
        <v>200.0</v>
      </c>
      <c r="AA1247" s="18" t="str">
        <f>"－"</f>
        <v>－</v>
      </c>
      <c r="AB1247" s="11" t="s">
        <v>594</v>
      </c>
    </row>
    <row r="1248">
      <c r="A1248" s="11" t="s">
        <v>46</v>
      </c>
      <c r="B1248" s="11" t="s">
        <v>47</v>
      </c>
      <c r="C1248" s="11" t="s">
        <v>48</v>
      </c>
      <c r="D1248" s="11" t="s">
        <v>651</v>
      </c>
      <c r="E1248" s="11" t="s">
        <v>593</v>
      </c>
      <c r="F1248" s="12" t="n">
        <v>18000.0</v>
      </c>
      <c r="G1248" s="13"/>
      <c r="H1248" s="14" t="s">
        <v>57</v>
      </c>
      <c r="I1248" s="13"/>
      <c r="J1248" s="14" t="s">
        <v>57</v>
      </c>
      <c r="K1248" s="13"/>
      <c r="L1248" s="14"/>
      <c r="M1248" s="13"/>
      <c r="N1248" s="14" t="s">
        <v>57</v>
      </c>
      <c r="O1248" s="13"/>
      <c r="P1248" s="14"/>
      <c r="Q1248" s="13"/>
      <c r="R1248" s="14" t="s">
        <v>57</v>
      </c>
      <c r="S1248" s="15" t="str">
        <f>"－"</f>
        <v>－</v>
      </c>
      <c r="T1248" s="16" t="str">
        <f>"－"</f>
        <v>－</v>
      </c>
      <c r="U1248" s="16"/>
      <c r="V1248" s="16" t="str">
        <f>"－"</f>
        <v>－</v>
      </c>
      <c r="W1248" s="16"/>
      <c r="X1248" s="16" t="str">
        <f>"－"</f>
        <v>－</v>
      </c>
      <c r="Y1248" s="13"/>
      <c r="Z1248" s="17" t="n">
        <f>3865</f>
        <v>3865.0</v>
      </c>
      <c r="AA1248" s="18" t="str">
        <f>"－"</f>
        <v>－</v>
      </c>
      <c r="AB1248" s="11" t="s">
        <v>594</v>
      </c>
    </row>
    <row r="1249">
      <c r="A1249" s="11" t="s">
        <v>46</v>
      </c>
      <c r="B1249" s="11" t="s">
        <v>47</v>
      </c>
      <c r="C1249" s="11" t="s">
        <v>48</v>
      </c>
      <c r="D1249" s="11" t="s">
        <v>651</v>
      </c>
      <c r="E1249" s="11" t="s">
        <v>593</v>
      </c>
      <c r="F1249" s="12" t="n">
        <v>18750.0</v>
      </c>
      <c r="G1249" s="13"/>
      <c r="H1249" s="14" t="s">
        <v>57</v>
      </c>
      <c r="I1249" s="13"/>
      <c r="J1249" s="14" t="s">
        <v>57</v>
      </c>
      <c r="K1249" s="13"/>
      <c r="L1249" s="14"/>
      <c r="M1249" s="13"/>
      <c r="N1249" s="14" t="s">
        <v>57</v>
      </c>
      <c r="O1249" s="13"/>
      <c r="P1249" s="14"/>
      <c r="Q1249" s="13"/>
      <c r="R1249" s="14" t="s">
        <v>57</v>
      </c>
      <c r="S1249" s="15" t="str">
        <f>"－"</f>
        <v>－</v>
      </c>
      <c r="T1249" s="16" t="str">
        <f>"－"</f>
        <v>－</v>
      </c>
      <c r="U1249" s="16"/>
      <c r="V1249" s="16" t="str">
        <f>"－"</f>
        <v>－</v>
      </c>
      <c r="W1249" s="16"/>
      <c r="X1249" s="16" t="str">
        <f>"－"</f>
        <v>－</v>
      </c>
      <c r="Y1249" s="13"/>
      <c r="Z1249" s="17" t="n">
        <f>100</f>
        <v>100.0</v>
      </c>
      <c r="AA1249" s="18" t="str">
        <f>"－"</f>
        <v>－</v>
      </c>
      <c r="AB1249" s="11" t="s">
        <v>594</v>
      </c>
    </row>
    <row r="1250">
      <c r="A1250" s="11" t="s">
        <v>46</v>
      </c>
      <c r="B1250" s="11" t="s">
        <v>47</v>
      </c>
      <c r="C1250" s="11" t="s">
        <v>48</v>
      </c>
      <c r="D1250" s="11" t="s">
        <v>651</v>
      </c>
      <c r="E1250" s="11" t="s">
        <v>593</v>
      </c>
      <c r="F1250" s="12" t="n">
        <v>19000.0</v>
      </c>
      <c r="G1250" s="13"/>
      <c r="H1250" s="14" t="s">
        <v>57</v>
      </c>
      <c r="I1250" s="13"/>
      <c r="J1250" s="14" t="s">
        <v>57</v>
      </c>
      <c r="K1250" s="13"/>
      <c r="L1250" s="14"/>
      <c r="M1250" s="13"/>
      <c r="N1250" s="14" t="s">
        <v>57</v>
      </c>
      <c r="O1250" s="13"/>
      <c r="P1250" s="14"/>
      <c r="Q1250" s="13"/>
      <c r="R1250" s="14" t="s">
        <v>57</v>
      </c>
      <c r="S1250" s="15" t="str">
        <f>"－"</f>
        <v>－</v>
      </c>
      <c r="T1250" s="16" t="str">
        <f>"－"</f>
        <v>－</v>
      </c>
      <c r="U1250" s="16"/>
      <c r="V1250" s="16" t="str">
        <f>"－"</f>
        <v>－</v>
      </c>
      <c r="W1250" s="16"/>
      <c r="X1250" s="16" t="str">
        <f>"－"</f>
        <v>－</v>
      </c>
      <c r="Y1250" s="13"/>
      <c r="Z1250" s="17" t="n">
        <f>1975</f>
        <v>1975.0</v>
      </c>
      <c r="AA1250" s="18" t="str">
        <f>"－"</f>
        <v>－</v>
      </c>
      <c r="AB1250" s="11" t="s">
        <v>594</v>
      </c>
    </row>
    <row r="1251">
      <c r="A1251" s="11" t="s">
        <v>46</v>
      </c>
      <c r="B1251" s="11" t="s">
        <v>47</v>
      </c>
      <c r="C1251" s="11" t="s">
        <v>48</v>
      </c>
      <c r="D1251" s="11" t="s">
        <v>651</v>
      </c>
      <c r="E1251" s="11" t="s">
        <v>593</v>
      </c>
      <c r="F1251" s="12" t="n">
        <v>19250.0</v>
      </c>
      <c r="G1251" s="13"/>
      <c r="H1251" s="14" t="s">
        <v>57</v>
      </c>
      <c r="I1251" s="13"/>
      <c r="J1251" s="14" t="s">
        <v>57</v>
      </c>
      <c r="K1251" s="13"/>
      <c r="L1251" s="14"/>
      <c r="M1251" s="13"/>
      <c r="N1251" s="14" t="s">
        <v>57</v>
      </c>
      <c r="O1251" s="13"/>
      <c r="P1251" s="14"/>
      <c r="Q1251" s="13"/>
      <c r="R1251" s="14" t="s">
        <v>57</v>
      </c>
      <c r="S1251" s="15" t="str">
        <f>"－"</f>
        <v>－</v>
      </c>
      <c r="T1251" s="16" t="str">
        <f>"－"</f>
        <v>－</v>
      </c>
      <c r="U1251" s="16"/>
      <c r="V1251" s="16" t="str">
        <f>"－"</f>
        <v>－</v>
      </c>
      <c r="W1251" s="16"/>
      <c r="X1251" s="16" t="str">
        <f>"－"</f>
        <v>－</v>
      </c>
      <c r="Y1251" s="13"/>
      <c r="Z1251" s="17" t="n">
        <f>18</f>
        <v>18.0</v>
      </c>
      <c r="AA1251" s="18" t="str">
        <f>"－"</f>
        <v>－</v>
      </c>
      <c r="AB1251" s="11" t="s">
        <v>594</v>
      </c>
    </row>
    <row r="1252">
      <c r="A1252" s="11" t="s">
        <v>46</v>
      </c>
      <c r="B1252" s="11" t="s">
        <v>47</v>
      </c>
      <c r="C1252" s="11" t="s">
        <v>48</v>
      </c>
      <c r="D1252" s="11" t="s">
        <v>651</v>
      </c>
      <c r="E1252" s="11" t="s">
        <v>593</v>
      </c>
      <c r="F1252" s="12" t="n">
        <v>19500.0</v>
      </c>
      <c r="G1252" s="13"/>
      <c r="H1252" s="14" t="s">
        <v>57</v>
      </c>
      <c r="I1252" s="13"/>
      <c r="J1252" s="14" t="s">
        <v>57</v>
      </c>
      <c r="K1252" s="13"/>
      <c r="L1252" s="14"/>
      <c r="M1252" s="13"/>
      <c r="N1252" s="14" t="s">
        <v>57</v>
      </c>
      <c r="O1252" s="13"/>
      <c r="P1252" s="14"/>
      <c r="Q1252" s="13"/>
      <c r="R1252" s="14" t="s">
        <v>57</v>
      </c>
      <c r="S1252" s="15" t="str">
        <f>"－"</f>
        <v>－</v>
      </c>
      <c r="T1252" s="16" t="str">
        <f>"－"</f>
        <v>－</v>
      </c>
      <c r="U1252" s="16"/>
      <c r="V1252" s="16" t="str">
        <f>"－"</f>
        <v>－</v>
      </c>
      <c r="W1252" s="16"/>
      <c r="X1252" s="16" t="str">
        <f>"－"</f>
        <v>－</v>
      </c>
      <c r="Y1252" s="13"/>
      <c r="Z1252" s="17" t="n">
        <f>825</f>
        <v>825.0</v>
      </c>
      <c r="AA1252" s="18" t="str">
        <f>"－"</f>
        <v>－</v>
      </c>
      <c r="AB1252" s="11" t="s">
        <v>594</v>
      </c>
    </row>
    <row r="1253">
      <c r="A1253" s="11" t="s">
        <v>46</v>
      </c>
      <c r="B1253" s="11" t="s">
        <v>47</v>
      </c>
      <c r="C1253" s="11" t="s">
        <v>48</v>
      </c>
      <c r="D1253" s="11" t="s">
        <v>651</v>
      </c>
      <c r="E1253" s="11" t="s">
        <v>593</v>
      </c>
      <c r="F1253" s="12" t="n">
        <v>20000.0</v>
      </c>
      <c r="G1253" s="13"/>
      <c r="H1253" s="14" t="s">
        <v>57</v>
      </c>
      <c r="I1253" s="13"/>
      <c r="J1253" s="14" t="s">
        <v>57</v>
      </c>
      <c r="K1253" s="13"/>
      <c r="L1253" s="14"/>
      <c r="M1253" s="13"/>
      <c r="N1253" s="14" t="s">
        <v>57</v>
      </c>
      <c r="O1253" s="13"/>
      <c r="P1253" s="14"/>
      <c r="Q1253" s="13"/>
      <c r="R1253" s="14" t="s">
        <v>57</v>
      </c>
      <c r="S1253" s="15" t="str">
        <f>"－"</f>
        <v>－</v>
      </c>
      <c r="T1253" s="16" t="str">
        <f>"－"</f>
        <v>－</v>
      </c>
      <c r="U1253" s="16"/>
      <c r="V1253" s="16" t="str">
        <f>"－"</f>
        <v>－</v>
      </c>
      <c r="W1253" s="16"/>
      <c r="X1253" s="16" t="str">
        <f>"－"</f>
        <v>－</v>
      </c>
      <c r="Y1253" s="13"/>
      <c r="Z1253" s="17" t="n">
        <f>1255</f>
        <v>1255.0</v>
      </c>
      <c r="AA1253" s="18" t="str">
        <f>"－"</f>
        <v>－</v>
      </c>
      <c r="AB1253" s="11" t="s">
        <v>594</v>
      </c>
    </row>
    <row r="1254">
      <c r="A1254" s="11" t="s">
        <v>46</v>
      </c>
      <c r="B1254" s="11" t="s">
        <v>47</v>
      </c>
      <c r="C1254" s="11" t="s">
        <v>48</v>
      </c>
      <c r="D1254" s="11" t="s">
        <v>651</v>
      </c>
      <c r="E1254" s="11" t="s">
        <v>593</v>
      </c>
      <c r="F1254" s="12" t="n">
        <v>20250.0</v>
      </c>
      <c r="G1254" s="13"/>
      <c r="H1254" s="14" t="s">
        <v>57</v>
      </c>
      <c r="I1254" s="13"/>
      <c r="J1254" s="14" t="s">
        <v>57</v>
      </c>
      <c r="K1254" s="13"/>
      <c r="L1254" s="14"/>
      <c r="M1254" s="13"/>
      <c r="N1254" s="14" t="s">
        <v>57</v>
      </c>
      <c r="O1254" s="13"/>
      <c r="P1254" s="14"/>
      <c r="Q1254" s="13"/>
      <c r="R1254" s="14" t="s">
        <v>57</v>
      </c>
      <c r="S1254" s="15" t="str">
        <f>"－"</f>
        <v>－</v>
      </c>
      <c r="T1254" s="16" t="str">
        <f>"－"</f>
        <v>－</v>
      </c>
      <c r="U1254" s="16"/>
      <c r="V1254" s="16" t="str">
        <f>"－"</f>
        <v>－</v>
      </c>
      <c r="W1254" s="16"/>
      <c r="X1254" s="16" t="str">
        <f>"－"</f>
        <v>－</v>
      </c>
      <c r="Y1254" s="13"/>
      <c r="Z1254" s="17" t="n">
        <f>525</f>
        <v>525.0</v>
      </c>
      <c r="AA1254" s="18" t="str">
        <f>"－"</f>
        <v>－</v>
      </c>
      <c r="AB1254" s="11" t="s">
        <v>594</v>
      </c>
    </row>
    <row r="1255">
      <c r="A1255" s="11" t="s">
        <v>46</v>
      </c>
      <c r="B1255" s="11" t="s">
        <v>47</v>
      </c>
      <c r="C1255" s="11" t="s">
        <v>48</v>
      </c>
      <c r="D1255" s="11" t="s">
        <v>651</v>
      </c>
      <c r="E1255" s="11" t="s">
        <v>593</v>
      </c>
      <c r="F1255" s="12" t="n">
        <v>20500.0</v>
      </c>
      <c r="G1255" s="13"/>
      <c r="H1255" s="14" t="s">
        <v>57</v>
      </c>
      <c r="I1255" s="13"/>
      <c r="J1255" s="14" t="s">
        <v>57</v>
      </c>
      <c r="K1255" s="13"/>
      <c r="L1255" s="14"/>
      <c r="M1255" s="13"/>
      <c r="N1255" s="14" t="s">
        <v>57</v>
      </c>
      <c r="O1255" s="13"/>
      <c r="P1255" s="14"/>
      <c r="Q1255" s="13"/>
      <c r="R1255" s="14" t="s">
        <v>57</v>
      </c>
      <c r="S1255" s="15" t="str">
        <f>"－"</f>
        <v>－</v>
      </c>
      <c r="T1255" s="16" t="str">
        <f>"－"</f>
        <v>－</v>
      </c>
      <c r="U1255" s="16"/>
      <c r="V1255" s="16" t="str">
        <f>"－"</f>
        <v>－</v>
      </c>
      <c r="W1255" s="16"/>
      <c r="X1255" s="16" t="str">
        <f>"－"</f>
        <v>－</v>
      </c>
      <c r="Y1255" s="13"/>
      <c r="Z1255" s="17" t="n">
        <f>1650</f>
        <v>1650.0</v>
      </c>
      <c r="AA1255" s="18" t="str">
        <f>"－"</f>
        <v>－</v>
      </c>
      <c r="AB1255" s="11" t="s">
        <v>594</v>
      </c>
    </row>
    <row r="1256">
      <c r="A1256" s="11" t="s">
        <v>46</v>
      </c>
      <c r="B1256" s="11" t="s">
        <v>47</v>
      </c>
      <c r="C1256" s="11" t="s">
        <v>48</v>
      </c>
      <c r="D1256" s="11" t="s">
        <v>651</v>
      </c>
      <c r="E1256" s="11" t="s">
        <v>593</v>
      </c>
      <c r="F1256" s="12" t="n">
        <v>20750.0</v>
      </c>
      <c r="G1256" s="13"/>
      <c r="H1256" s="14" t="s">
        <v>57</v>
      </c>
      <c r="I1256" s="13"/>
      <c r="J1256" s="14" t="s">
        <v>57</v>
      </c>
      <c r="K1256" s="13"/>
      <c r="L1256" s="14"/>
      <c r="M1256" s="13"/>
      <c r="N1256" s="14" t="s">
        <v>57</v>
      </c>
      <c r="O1256" s="13"/>
      <c r="P1256" s="14"/>
      <c r="Q1256" s="13"/>
      <c r="R1256" s="14" t="s">
        <v>57</v>
      </c>
      <c r="S1256" s="15" t="str">
        <f>"－"</f>
        <v>－</v>
      </c>
      <c r="T1256" s="16" t="str">
        <f>"－"</f>
        <v>－</v>
      </c>
      <c r="U1256" s="16"/>
      <c r="V1256" s="16" t="str">
        <f>"－"</f>
        <v>－</v>
      </c>
      <c r="W1256" s="16"/>
      <c r="X1256" s="16" t="str">
        <f>"－"</f>
        <v>－</v>
      </c>
      <c r="Y1256" s="13"/>
      <c r="Z1256" s="17" t="n">
        <f>400</f>
        <v>400.0</v>
      </c>
      <c r="AA1256" s="18" t="str">
        <f>"－"</f>
        <v>－</v>
      </c>
      <c r="AB1256" s="11" t="s">
        <v>594</v>
      </c>
    </row>
    <row r="1257">
      <c r="A1257" s="11" t="s">
        <v>46</v>
      </c>
      <c r="B1257" s="11" t="s">
        <v>47</v>
      </c>
      <c r="C1257" s="11" t="s">
        <v>48</v>
      </c>
      <c r="D1257" s="11" t="s">
        <v>651</v>
      </c>
      <c r="E1257" s="11" t="s">
        <v>593</v>
      </c>
      <c r="F1257" s="12" t="n">
        <v>21000.0</v>
      </c>
      <c r="G1257" s="13"/>
      <c r="H1257" s="14" t="s">
        <v>57</v>
      </c>
      <c r="I1257" s="13"/>
      <c r="J1257" s="14" t="s">
        <v>57</v>
      </c>
      <c r="K1257" s="13"/>
      <c r="L1257" s="14"/>
      <c r="M1257" s="13"/>
      <c r="N1257" s="14" t="s">
        <v>57</v>
      </c>
      <c r="O1257" s="13"/>
      <c r="P1257" s="14"/>
      <c r="Q1257" s="13"/>
      <c r="R1257" s="14" t="s">
        <v>57</v>
      </c>
      <c r="S1257" s="15" t="str">
        <f>"－"</f>
        <v>－</v>
      </c>
      <c r="T1257" s="16" t="str">
        <f>"－"</f>
        <v>－</v>
      </c>
      <c r="U1257" s="16"/>
      <c r="V1257" s="16" t="str">
        <f>"－"</f>
        <v>－</v>
      </c>
      <c r="W1257" s="16"/>
      <c r="X1257" s="16" t="str">
        <f>"－"</f>
        <v>－</v>
      </c>
      <c r="Y1257" s="13"/>
      <c r="Z1257" s="17" t="n">
        <f>3290</f>
        <v>3290.0</v>
      </c>
      <c r="AA1257" s="18" t="str">
        <f>"－"</f>
        <v>－</v>
      </c>
      <c r="AB1257" s="11" t="s">
        <v>594</v>
      </c>
    </row>
    <row r="1258">
      <c r="A1258" s="11" t="s">
        <v>46</v>
      </c>
      <c r="B1258" s="11" t="s">
        <v>47</v>
      </c>
      <c r="C1258" s="11" t="s">
        <v>48</v>
      </c>
      <c r="D1258" s="11" t="s">
        <v>651</v>
      </c>
      <c r="E1258" s="11" t="s">
        <v>593</v>
      </c>
      <c r="F1258" s="12" t="n">
        <v>21250.0</v>
      </c>
      <c r="G1258" s="13"/>
      <c r="H1258" s="14" t="s">
        <v>57</v>
      </c>
      <c r="I1258" s="13"/>
      <c r="J1258" s="14" t="s">
        <v>57</v>
      </c>
      <c r="K1258" s="13"/>
      <c r="L1258" s="14"/>
      <c r="M1258" s="13"/>
      <c r="N1258" s="14" t="s">
        <v>57</v>
      </c>
      <c r="O1258" s="13"/>
      <c r="P1258" s="14"/>
      <c r="Q1258" s="13"/>
      <c r="R1258" s="14" t="s">
        <v>57</v>
      </c>
      <c r="S1258" s="15" t="str">
        <f>"－"</f>
        <v>－</v>
      </c>
      <c r="T1258" s="16" t="str">
        <f>"－"</f>
        <v>－</v>
      </c>
      <c r="U1258" s="16"/>
      <c r="V1258" s="16" t="str">
        <f>"－"</f>
        <v>－</v>
      </c>
      <c r="W1258" s="16"/>
      <c r="X1258" s="16" t="str">
        <f>"－"</f>
        <v>－</v>
      </c>
      <c r="Y1258" s="13"/>
      <c r="Z1258" s="17" t="n">
        <f>400</f>
        <v>400.0</v>
      </c>
      <c r="AA1258" s="18" t="str">
        <f>"－"</f>
        <v>－</v>
      </c>
      <c r="AB1258" s="11" t="s">
        <v>594</v>
      </c>
    </row>
    <row r="1259">
      <c r="A1259" s="11" t="s">
        <v>46</v>
      </c>
      <c r="B1259" s="11" t="s">
        <v>47</v>
      </c>
      <c r="C1259" s="11" t="s">
        <v>48</v>
      </c>
      <c r="D1259" s="11" t="s">
        <v>651</v>
      </c>
      <c r="E1259" s="11" t="s">
        <v>593</v>
      </c>
      <c r="F1259" s="12" t="n">
        <v>21500.0</v>
      </c>
      <c r="G1259" s="13"/>
      <c r="H1259" s="14" t="s">
        <v>57</v>
      </c>
      <c r="I1259" s="13"/>
      <c r="J1259" s="14" t="s">
        <v>57</v>
      </c>
      <c r="K1259" s="13"/>
      <c r="L1259" s="14"/>
      <c r="M1259" s="13"/>
      <c r="N1259" s="14" t="s">
        <v>57</v>
      </c>
      <c r="O1259" s="13"/>
      <c r="P1259" s="14"/>
      <c r="Q1259" s="13"/>
      <c r="R1259" s="14" t="s">
        <v>57</v>
      </c>
      <c r="S1259" s="15" t="str">
        <f>"－"</f>
        <v>－</v>
      </c>
      <c r="T1259" s="16" t="str">
        <f>"－"</f>
        <v>－</v>
      </c>
      <c r="U1259" s="16"/>
      <c r="V1259" s="16" t="str">
        <f>"－"</f>
        <v>－</v>
      </c>
      <c r="W1259" s="16"/>
      <c r="X1259" s="16" t="str">
        <f>"－"</f>
        <v>－</v>
      </c>
      <c r="Y1259" s="13"/>
      <c r="Z1259" s="17" t="n">
        <f>1550</f>
        <v>1550.0</v>
      </c>
      <c r="AA1259" s="18" t="str">
        <f>"－"</f>
        <v>－</v>
      </c>
      <c r="AB1259" s="11" t="s">
        <v>594</v>
      </c>
    </row>
    <row r="1260">
      <c r="A1260" s="11" t="s">
        <v>46</v>
      </c>
      <c r="B1260" s="11" t="s">
        <v>47</v>
      </c>
      <c r="C1260" s="11" t="s">
        <v>48</v>
      </c>
      <c r="D1260" s="11" t="s">
        <v>651</v>
      </c>
      <c r="E1260" s="11" t="s">
        <v>593</v>
      </c>
      <c r="F1260" s="12" t="n">
        <v>21750.0</v>
      </c>
      <c r="G1260" s="13"/>
      <c r="H1260" s="14" t="s">
        <v>57</v>
      </c>
      <c r="I1260" s="13"/>
      <c r="J1260" s="14" t="s">
        <v>57</v>
      </c>
      <c r="K1260" s="13"/>
      <c r="L1260" s="14"/>
      <c r="M1260" s="13"/>
      <c r="N1260" s="14" t="s">
        <v>57</v>
      </c>
      <c r="O1260" s="13"/>
      <c r="P1260" s="14"/>
      <c r="Q1260" s="13"/>
      <c r="R1260" s="14" t="s">
        <v>57</v>
      </c>
      <c r="S1260" s="15" t="str">
        <f>"－"</f>
        <v>－</v>
      </c>
      <c r="T1260" s="16" t="str">
        <f>"－"</f>
        <v>－</v>
      </c>
      <c r="U1260" s="16"/>
      <c r="V1260" s="16" t="str">
        <f>"－"</f>
        <v>－</v>
      </c>
      <c r="W1260" s="16"/>
      <c r="X1260" s="16" t="str">
        <f>"－"</f>
        <v>－</v>
      </c>
      <c r="Y1260" s="13"/>
      <c r="Z1260" s="17" t="n">
        <f>705</f>
        <v>705.0</v>
      </c>
      <c r="AA1260" s="18" t="str">
        <f>"－"</f>
        <v>－</v>
      </c>
      <c r="AB1260" s="11" t="s">
        <v>594</v>
      </c>
    </row>
    <row r="1261">
      <c r="A1261" s="11" t="s">
        <v>46</v>
      </c>
      <c r="B1261" s="11" t="s">
        <v>47</v>
      </c>
      <c r="C1261" s="11" t="s">
        <v>48</v>
      </c>
      <c r="D1261" s="11" t="s">
        <v>651</v>
      </c>
      <c r="E1261" s="11" t="s">
        <v>593</v>
      </c>
      <c r="F1261" s="12" t="n">
        <v>22000.0</v>
      </c>
      <c r="G1261" s="13"/>
      <c r="H1261" s="14" t="s">
        <v>57</v>
      </c>
      <c r="I1261" s="13"/>
      <c r="J1261" s="14" t="s">
        <v>57</v>
      </c>
      <c r="K1261" s="13"/>
      <c r="L1261" s="14"/>
      <c r="M1261" s="13"/>
      <c r="N1261" s="14" t="s">
        <v>57</v>
      </c>
      <c r="O1261" s="13"/>
      <c r="P1261" s="14"/>
      <c r="Q1261" s="13"/>
      <c r="R1261" s="14" t="s">
        <v>57</v>
      </c>
      <c r="S1261" s="15" t="str">
        <f>"－"</f>
        <v>－</v>
      </c>
      <c r="T1261" s="16" t="str">
        <f>"－"</f>
        <v>－</v>
      </c>
      <c r="U1261" s="16"/>
      <c r="V1261" s="16" t="str">
        <f>"－"</f>
        <v>－</v>
      </c>
      <c r="W1261" s="16"/>
      <c r="X1261" s="16" t="str">
        <f>"－"</f>
        <v>－</v>
      </c>
      <c r="Y1261" s="13"/>
      <c r="Z1261" s="17" t="n">
        <f>2305</f>
        <v>2305.0</v>
      </c>
      <c r="AA1261" s="18" t="str">
        <f>"－"</f>
        <v>－</v>
      </c>
      <c r="AB1261" s="11" t="s">
        <v>594</v>
      </c>
    </row>
    <row r="1262">
      <c r="A1262" s="11" t="s">
        <v>46</v>
      </c>
      <c r="B1262" s="11" t="s">
        <v>47</v>
      </c>
      <c r="C1262" s="11" t="s">
        <v>48</v>
      </c>
      <c r="D1262" s="11" t="s">
        <v>651</v>
      </c>
      <c r="E1262" s="11" t="s">
        <v>593</v>
      </c>
      <c r="F1262" s="12" t="n">
        <v>22250.0</v>
      </c>
      <c r="G1262" s="13"/>
      <c r="H1262" s="14" t="s">
        <v>57</v>
      </c>
      <c r="I1262" s="13"/>
      <c r="J1262" s="14" t="s">
        <v>57</v>
      </c>
      <c r="K1262" s="13"/>
      <c r="L1262" s="14"/>
      <c r="M1262" s="13"/>
      <c r="N1262" s="14" t="s">
        <v>57</v>
      </c>
      <c r="O1262" s="13"/>
      <c r="P1262" s="14"/>
      <c r="Q1262" s="13"/>
      <c r="R1262" s="14" t="s">
        <v>57</v>
      </c>
      <c r="S1262" s="15" t="str">
        <f>"－"</f>
        <v>－</v>
      </c>
      <c r="T1262" s="16" t="str">
        <f>"－"</f>
        <v>－</v>
      </c>
      <c r="U1262" s="16"/>
      <c r="V1262" s="16" t="str">
        <f>"－"</f>
        <v>－</v>
      </c>
      <c r="W1262" s="16"/>
      <c r="X1262" s="16" t="str">
        <f>"－"</f>
        <v>－</v>
      </c>
      <c r="Y1262" s="13"/>
      <c r="Z1262" s="17" t="n">
        <f>574</f>
        <v>574.0</v>
      </c>
      <c r="AA1262" s="18" t="str">
        <f>"－"</f>
        <v>－</v>
      </c>
      <c r="AB1262" s="11" t="s">
        <v>594</v>
      </c>
    </row>
    <row r="1263">
      <c r="A1263" s="11" t="s">
        <v>46</v>
      </c>
      <c r="B1263" s="11" t="s">
        <v>47</v>
      </c>
      <c r="C1263" s="11" t="s">
        <v>48</v>
      </c>
      <c r="D1263" s="11" t="s">
        <v>651</v>
      </c>
      <c r="E1263" s="11" t="s">
        <v>593</v>
      </c>
      <c r="F1263" s="12" t="n">
        <v>22500.0</v>
      </c>
      <c r="G1263" s="13"/>
      <c r="H1263" s="14" t="s">
        <v>57</v>
      </c>
      <c r="I1263" s="13"/>
      <c r="J1263" s="14" t="s">
        <v>57</v>
      </c>
      <c r="K1263" s="13"/>
      <c r="L1263" s="14"/>
      <c r="M1263" s="13"/>
      <c r="N1263" s="14" t="s">
        <v>57</v>
      </c>
      <c r="O1263" s="13"/>
      <c r="P1263" s="14"/>
      <c r="Q1263" s="13"/>
      <c r="R1263" s="14" t="s">
        <v>57</v>
      </c>
      <c r="S1263" s="15" t="str">
        <f>"－"</f>
        <v>－</v>
      </c>
      <c r="T1263" s="16" t="str">
        <f>"－"</f>
        <v>－</v>
      </c>
      <c r="U1263" s="16"/>
      <c r="V1263" s="16" t="str">
        <f>"－"</f>
        <v>－</v>
      </c>
      <c r="W1263" s="16"/>
      <c r="X1263" s="16" t="str">
        <f>"－"</f>
        <v>－</v>
      </c>
      <c r="Y1263" s="13"/>
      <c r="Z1263" s="17" t="n">
        <f>2995</f>
        <v>2995.0</v>
      </c>
      <c r="AA1263" s="18" t="str">
        <f>"－"</f>
        <v>－</v>
      </c>
      <c r="AB1263" s="11" t="s">
        <v>594</v>
      </c>
    </row>
    <row r="1264">
      <c r="A1264" s="11" t="s">
        <v>46</v>
      </c>
      <c r="B1264" s="11" t="s">
        <v>47</v>
      </c>
      <c r="C1264" s="11" t="s">
        <v>48</v>
      </c>
      <c r="D1264" s="11" t="s">
        <v>651</v>
      </c>
      <c r="E1264" s="11" t="s">
        <v>593</v>
      </c>
      <c r="F1264" s="12" t="n">
        <v>22750.0</v>
      </c>
      <c r="G1264" s="13"/>
      <c r="H1264" s="14" t="s">
        <v>57</v>
      </c>
      <c r="I1264" s="13"/>
      <c r="J1264" s="14" t="s">
        <v>57</v>
      </c>
      <c r="K1264" s="13"/>
      <c r="L1264" s="14"/>
      <c r="M1264" s="13"/>
      <c r="N1264" s="14" t="s">
        <v>57</v>
      </c>
      <c r="O1264" s="13"/>
      <c r="P1264" s="14"/>
      <c r="Q1264" s="13"/>
      <c r="R1264" s="14" t="s">
        <v>57</v>
      </c>
      <c r="S1264" s="15" t="str">
        <f>"－"</f>
        <v>－</v>
      </c>
      <c r="T1264" s="16" t="str">
        <f>"－"</f>
        <v>－</v>
      </c>
      <c r="U1264" s="16"/>
      <c r="V1264" s="16" t="str">
        <f>"－"</f>
        <v>－</v>
      </c>
      <c r="W1264" s="16"/>
      <c r="X1264" s="16" t="str">
        <f>"－"</f>
        <v>－</v>
      </c>
      <c r="Y1264" s="13"/>
      <c r="Z1264" s="17" t="n">
        <f>424</f>
        <v>424.0</v>
      </c>
      <c r="AA1264" s="18" t="str">
        <f>"－"</f>
        <v>－</v>
      </c>
      <c r="AB1264" s="11" t="s">
        <v>594</v>
      </c>
    </row>
    <row r="1265">
      <c r="A1265" s="11" t="s">
        <v>46</v>
      </c>
      <c r="B1265" s="11" t="s">
        <v>47</v>
      </c>
      <c r="C1265" s="11" t="s">
        <v>48</v>
      </c>
      <c r="D1265" s="11" t="s">
        <v>651</v>
      </c>
      <c r="E1265" s="11" t="s">
        <v>593</v>
      </c>
      <c r="F1265" s="12" t="n">
        <v>23000.0</v>
      </c>
      <c r="G1265" s="13"/>
      <c r="H1265" s="14" t="s">
        <v>57</v>
      </c>
      <c r="I1265" s="13"/>
      <c r="J1265" s="14" t="s">
        <v>57</v>
      </c>
      <c r="K1265" s="13"/>
      <c r="L1265" s="14"/>
      <c r="M1265" s="13"/>
      <c r="N1265" s="14" t="s">
        <v>57</v>
      </c>
      <c r="O1265" s="13"/>
      <c r="P1265" s="14"/>
      <c r="Q1265" s="13"/>
      <c r="R1265" s="14" t="s">
        <v>57</v>
      </c>
      <c r="S1265" s="15" t="str">
        <f>"－"</f>
        <v>－</v>
      </c>
      <c r="T1265" s="16" t="str">
        <f>"－"</f>
        <v>－</v>
      </c>
      <c r="U1265" s="16"/>
      <c r="V1265" s="16" t="str">
        <f>"－"</f>
        <v>－</v>
      </c>
      <c r="W1265" s="16"/>
      <c r="X1265" s="16" t="str">
        <f>"－"</f>
        <v>－</v>
      </c>
      <c r="Y1265" s="13"/>
      <c r="Z1265" s="17" t="n">
        <f>2495</f>
        <v>2495.0</v>
      </c>
      <c r="AA1265" s="18" t="str">
        <f>"－"</f>
        <v>－</v>
      </c>
      <c r="AB1265" s="11" t="s">
        <v>594</v>
      </c>
    </row>
    <row r="1266">
      <c r="A1266" s="11" t="s">
        <v>46</v>
      </c>
      <c r="B1266" s="11" t="s">
        <v>47</v>
      </c>
      <c r="C1266" s="11" t="s">
        <v>48</v>
      </c>
      <c r="D1266" s="11" t="s">
        <v>651</v>
      </c>
      <c r="E1266" s="11" t="s">
        <v>593</v>
      </c>
      <c r="F1266" s="12" t="n">
        <v>23250.0</v>
      </c>
      <c r="G1266" s="13"/>
      <c r="H1266" s="14" t="s">
        <v>57</v>
      </c>
      <c r="I1266" s="13"/>
      <c r="J1266" s="14" t="s">
        <v>57</v>
      </c>
      <c r="K1266" s="13"/>
      <c r="L1266" s="14"/>
      <c r="M1266" s="13"/>
      <c r="N1266" s="14" t="s">
        <v>57</v>
      </c>
      <c r="O1266" s="13"/>
      <c r="P1266" s="14"/>
      <c r="Q1266" s="13"/>
      <c r="R1266" s="14" t="s">
        <v>57</v>
      </c>
      <c r="S1266" s="15" t="str">
        <f>"－"</f>
        <v>－</v>
      </c>
      <c r="T1266" s="16" t="str">
        <f>"－"</f>
        <v>－</v>
      </c>
      <c r="U1266" s="16"/>
      <c r="V1266" s="16" t="str">
        <f>"－"</f>
        <v>－</v>
      </c>
      <c r="W1266" s="16"/>
      <c r="X1266" s="16" t="str">
        <f>"－"</f>
        <v>－</v>
      </c>
      <c r="Y1266" s="13"/>
      <c r="Z1266" s="17" t="n">
        <f>201</f>
        <v>201.0</v>
      </c>
      <c r="AA1266" s="18" t="str">
        <f>"－"</f>
        <v>－</v>
      </c>
      <c r="AB1266" s="11" t="s">
        <v>594</v>
      </c>
    </row>
    <row r="1267">
      <c r="A1267" s="11" t="s">
        <v>46</v>
      </c>
      <c r="B1267" s="11" t="s">
        <v>47</v>
      </c>
      <c r="C1267" s="11" t="s">
        <v>48</v>
      </c>
      <c r="D1267" s="11" t="s">
        <v>651</v>
      </c>
      <c r="E1267" s="11" t="s">
        <v>593</v>
      </c>
      <c r="F1267" s="12" t="n">
        <v>23500.0</v>
      </c>
      <c r="G1267" s="13"/>
      <c r="H1267" s="14" t="s">
        <v>57</v>
      </c>
      <c r="I1267" s="13"/>
      <c r="J1267" s="14" t="s">
        <v>57</v>
      </c>
      <c r="K1267" s="13"/>
      <c r="L1267" s="14"/>
      <c r="M1267" s="13"/>
      <c r="N1267" s="14" t="s">
        <v>57</v>
      </c>
      <c r="O1267" s="13"/>
      <c r="P1267" s="14"/>
      <c r="Q1267" s="13"/>
      <c r="R1267" s="14" t="s">
        <v>57</v>
      </c>
      <c r="S1267" s="15" t="str">
        <f>"－"</f>
        <v>－</v>
      </c>
      <c r="T1267" s="16" t="str">
        <f>"－"</f>
        <v>－</v>
      </c>
      <c r="U1267" s="16"/>
      <c r="V1267" s="16" t="str">
        <f>"－"</f>
        <v>－</v>
      </c>
      <c r="W1267" s="16"/>
      <c r="X1267" s="16" t="str">
        <f>"－"</f>
        <v>－</v>
      </c>
      <c r="Y1267" s="13"/>
      <c r="Z1267" s="17" t="n">
        <f>2250</f>
        <v>2250.0</v>
      </c>
      <c r="AA1267" s="18" t="str">
        <f>"－"</f>
        <v>－</v>
      </c>
      <c r="AB1267" s="11" t="s">
        <v>594</v>
      </c>
    </row>
    <row r="1268">
      <c r="A1268" s="11" t="s">
        <v>46</v>
      </c>
      <c r="B1268" s="11" t="s">
        <v>47</v>
      </c>
      <c r="C1268" s="11" t="s">
        <v>48</v>
      </c>
      <c r="D1268" s="11" t="s">
        <v>651</v>
      </c>
      <c r="E1268" s="11" t="s">
        <v>593</v>
      </c>
      <c r="F1268" s="12" t="n">
        <v>24000.0</v>
      </c>
      <c r="G1268" s="13"/>
      <c r="H1268" s="14" t="s">
        <v>57</v>
      </c>
      <c r="I1268" s="13"/>
      <c r="J1268" s="14" t="s">
        <v>57</v>
      </c>
      <c r="K1268" s="13"/>
      <c r="L1268" s="14"/>
      <c r="M1268" s="13"/>
      <c r="N1268" s="14" t="s">
        <v>57</v>
      </c>
      <c r="O1268" s="13"/>
      <c r="P1268" s="14"/>
      <c r="Q1268" s="13"/>
      <c r="R1268" s="14" t="s">
        <v>57</v>
      </c>
      <c r="S1268" s="15" t="str">
        <f>"－"</f>
        <v>－</v>
      </c>
      <c r="T1268" s="16" t="str">
        <f>"－"</f>
        <v>－</v>
      </c>
      <c r="U1268" s="16"/>
      <c r="V1268" s="16" t="str">
        <f>"－"</f>
        <v>－</v>
      </c>
      <c r="W1268" s="16"/>
      <c r="X1268" s="16" t="str">
        <f>"－"</f>
        <v>－</v>
      </c>
      <c r="Y1268" s="13"/>
      <c r="Z1268" s="17" t="n">
        <f>2475</f>
        <v>2475.0</v>
      </c>
      <c r="AA1268" s="18" t="str">
        <f>"－"</f>
        <v>－</v>
      </c>
      <c r="AB1268" s="11" t="s">
        <v>594</v>
      </c>
    </row>
    <row r="1269">
      <c r="A1269" s="11" t="s">
        <v>46</v>
      </c>
      <c r="B1269" s="11" t="s">
        <v>47</v>
      </c>
      <c r="C1269" s="11" t="s">
        <v>48</v>
      </c>
      <c r="D1269" s="11" t="s">
        <v>651</v>
      </c>
      <c r="E1269" s="11" t="s">
        <v>593</v>
      </c>
      <c r="F1269" s="12" t="n">
        <v>24500.0</v>
      </c>
      <c r="G1269" s="13"/>
      <c r="H1269" s="14" t="s">
        <v>57</v>
      </c>
      <c r="I1269" s="13"/>
      <c r="J1269" s="14" t="s">
        <v>57</v>
      </c>
      <c r="K1269" s="13"/>
      <c r="L1269" s="14"/>
      <c r="M1269" s="13"/>
      <c r="N1269" s="14" t="s">
        <v>57</v>
      </c>
      <c r="O1269" s="13"/>
      <c r="P1269" s="14"/>
      <c r="Q1269" s="13"/>
      <c r="R1269" s="14" t="s">
        <v>57</v>
      </c>
      <c r="S1269" s="15" t="str">
        <f>"－"</f>
        <v>－</v>
      </c>
      <c r="T1269" s="16" t="str">
        <f>"－"</f>
        <v>－</v>
      </c>
      <c r="U1269" s="16"/>
      <c r="V1269" s="16" t="str">
        <f>"－"</f>
        <v>－</v>
      </c>
      <c r="W1269" s="16"/>
      <c r="X1269" s="16" t="str">
        <f>"－"</f>
        <v>－</v>
      </c>
      <c r="Y1269" s="13"/>
      <c r="Z1269" s="17" t="n">
        <f>850</f>
        <v>850.0</v>
      </c>
      <c r="AA1269" s="18" t="str">
        <f>"－"</f>
        <v>－</v>
      </c>
      <c r="AB1269" s="11" t="s">
        <v>594</v>
      </c>
    </row>
    <row r="1270">
      <c r="A1270" s="11" t="s">
        <v>46</v>
      </c>
      <c r="B1270" s="11" t="s">
        <v>47</v>
      </c>
      <c r="C1270" s="11" t="s">
        <v>48</v>
      </c>
      <c r="D1270" s="11" t="s">
        <v>651</v>
      </c>
      <c r="E1270" s="11" t="s">
        <v>593</v>
      </c>
      <c r="F1270" s="12" t="n">
        <v>25000.0</v>
      </c>
      <c r="G1270" s="13"/>
      <c r="H1270" s="14" t="s">
        <v>57</v>
      </c>
      <c r="I1270" s="13"/>
      <c r="J1270" s="14" t="s">
        <v>57</v>
      </c>
      <c r="K1270" s="13"/>
      <c r="L1270" s="14"/>
      <c r="M1270" s="13"/>
      <c r="N1270" s="14" t="s">
        <v>57</v>
      </c>
      <c r="O1270" s="13"/>
      <c r="P1270" s="14"/>
      <c r="Q1270" s="13"/>
      <c r="R1270" s="14" t="s">
        <v>57</v>
      </c>
      <c r="S1270" s="15" t="str">
        <f>"－"</f>
        <v>－</v>
      </c>
      <c r="T1270" s="16" t="str">
        <f>"－"</f>
        <v>－</v>
      </c>
      <c r="U1270" s="16"/>
      <c r="V1270" s="16" t="str">
        <f>"－"</f>
        <v>－</v>
      </c>
      <c r="W1270" s="16"/>
      <c r="X1270" s="16" t="str">
        <f>"－"</f>
        <v>－</v>
      </c>
      <c r="Y1270" s="13"/>
      <c r="Z1270" s="17" t="n">
        <f>4475</f>
        <v>4475.0</v>
      </c>
      <c r="AA1270" s="18" t="str">
        <f>"－"</f>
        <v>－</v>
      </c>
      <c r="AB1270" s="11" t="s">
        <v>594</v>
      </c>
    </row>
    <row r="1271">
      <c r="A1271" s="11" t="s">
        <v>46</v>
      </c>
      <c r="B1271" s="11" t="s">
        <v>47</v>
      </c>
      <c r="C1271" s="11" t="s">
        <v>48</v>
      </c>
      <c r="D1271" s="11" t="s">
        <v>651</v>
      </c>
      <c r="E1271" s="11" t="s">
        <v>593</v>
      </c>
      <c r="F1271" s="12" t="n">
        <v>25500.0</v>
      </c>
      <c r="G1271" s="13"/>
      <c r="H1271" s="14" t="s">
        <v>57</v>
      </c>
      <c r="I1271" s="13"/>
      <c r="J1271" s="14" t="s">
        <v>57</v>
      </c>
      <c r="K1271" s="13"/>
      <c r="L1271" s="14"/>
      <c r="M1271" s="13"/>
      <c r="N1271" s="14" t="s">
        <v>57</v>
      </c>
      <c r="O1271" s="13"/>
      <c r="P1271" s="14"/>
      <c r="Q1271" s="13"/>
      <c r="R1271" s="14" t="s">
        <v>57</v>
      </c>
      <c r="S1271" s="15" t="str">
        <f>"－"</f>
        <v>－</v>
      </c>
      <c r="T1271" s="16" t="str">
        <f>"－"</f>
        <v>－</v>
      </c>
      <c r="U1271" s="16"/>
      <c r="V1271" s="16" t="str">
        <f>"－"</f>
        <v>－</v>
      </c>
      <c r="W1271" s="16"/>
      <c r="X1271" s="16" t="str">
        <f>"－"</f>
        <v>－</v>
      </c>
      <c r="Y1271" s="13"/>
      <c r="Z1271" s="17" t="n">
        <f>770</f>
        <v>770.0</v>
      </c>
      <c r="AA1271" s="18" t="str">
        <f>"－"</f>
        <v>－</v>
      </c>
      <c r="AB1271" s="11" t="s">
        <v>594</v>
      </c>
    </row>
    <row r="1272">
      <c r="A1272" s="11" t="s">
        <v>46</v>
      </c>
      <c r="B1272" s="11" t="s">
        <v>47</v>
      </c>
      <c r="C1272" s="11" t="s">
        <v>48</v>
      </c>
      <c r="D1272" s="11" t="s">
        <v>651</v>
      </c>
      <c r="E1272" s="11" t="s">
        <v>593</v>
      </c>
      <c r="F1272" s="12" t="n">
        <v>26000.0</v>
      </c>
      <c r="G1272" s="13"/>
      <c r="H1272" s="14" t="s">
        <v>57</v>
      </c>
      <c r="I1272" s="13"/>
      <c r="J1272" s="14" t="s">
        <v>57</v>
      </c>
      <c r="K1272" s="13"/>
      <c r="L1272" s="14"/>
      <c r="M1272" s="13"/>
      <c r="N1272" s="14" t="s">
        <v>57</v>
      </c>
      <c r="O1272" s="13"/>
      <c r="P1272" s="14"/>
      <c r="Q1272" s="13"/>
      <c r="R1272" s="14" t="s">
        <v>57</v>
      </c>
      <c r="S1272" s="15" t="str">
        <f>"－"</f>
        <v>－</v>
      </c>
      <c r="T1272" s="16" t="str">
        <f>"－"</f>
        <v>－</v>
      </c>
      <c r="U1272" s="16"/>
      <c r="V1272" s="16" t="str">
        <f>"－"</f>
        <v>－</v>
      </c>
      <c r="W1272" s="16"/>
      <c r="X1272" s="16" t="str">
        <f>"－"</f>
        <v>－</v>
      </c>
      <c r="Y1272" s="13"/>
      <c r="Z1272" s="17" t="n">
        <f>5125</f>
        <v>5125.0</v>
      </c>
      <c r="AA1272" s="18" t="str">
        <f>"－"</f>
        <v>－</v>
      </c>
      <c r="AB1272" s="11" t="s">
        <v>594</v>
      </c>
    </row>
    <row r="1273">
      <c r="A1273" s="11" t="s">
        <v>46</v>
      </c>
      <c r="B1273" s="11" t="s">
        <v>47</v>
      </c>
      <c r="C1273" s="11" t="s">
        <v>48</v>
      </c>
      <c r="D1273" s="11" t="s">
        <v>651</v>
      </c>
      <c r="E1273" s="11" t="s">
        <v>593</v>
      </c>
      <c r="F1273" s="12" t="n">
        <v>26500.0</v>
      </c>
      <c r="G1273" s="13"/>
      <c r="H1273" s="14" t="s">
        <v>57</v>
      </c>
      <c r="I1273" s="13"/>
      <c r="J1273" s="14" t="s">
        <v>57</v>
      </c>
      <c r="K1273" s="13"/>
      <c r="L1273" s="14"/>
      <c r="M1273" s="13"/>
      <c r="N1273" s="14" t="s">
        <v>57</v>
      </c>
      <c r="O1273" s="13"/>
      <c r="P1273" s="14"/>
      <c r="Q1273" s="13"/>
      <c r="R1273" s="14" t="s">
        <v>57</v>
      </c>
      <c r="S1273" s="15" t="str">
        <f>"－"</f>
        <v>－</v>
      </c>
      <c r="T1273" s="16" t="str">
        <f>"－"</f>
        <v>－</v>
      </c>
      <c r="U1273" s="16"/>
      <c r="V1273" s="16" t="str">
        <f>"－"</f>
        <v>－</v>
      </c>
      <c r="W1273" s="16"/>
      <c r="X1273" s="16" t="str">
        <f>"－"</f>
        <v>－</v>
      </c>
      <c r="Y1273" s="13"/>
      <c r="Z1273" s="17" t="n">
        <f>165</f>
        <v>165.0</v>
      </c>
      <c r="AA1273" s="18" t="str">
        <f>"－"</f>
        <v>－</v>
      </c>
      <c r="AB1273" s="11" t="s">
        <v>594</v>
      </c>
    </row>
    <row r="1274">
      <c r="A1274" s="11" t="s">
        <v>46</v>
      </c>
      <c r="B1274" s="11" t="s">
        <v>47</v>
      </c>
      <c r="C1274" s="11" t="s">
        <v>48</v>
      </c>
      <c r="D1274" s="11" t="s">
        <v>651</v>
      </c>
      <c r="E1274" s="11" t="s">
        <v>593</v>
      </c>
      <c r="F1274" s="12" t="n">
        <v>26750.0</v>
      </c>
      <c r="G1274" s="13"/>
      <c r="H1274" s="14" t="s">
        <v>57</v>
      </c>
      <c r="I1274" s="13"/>
      <c r="J1274" s="14" t="s">
        <v>57</v>
      </c>
      <c r="K1274" s="13"/>
      <c r="L1274" s="14"/>
      <c r="M1274" s="13"/>
      <c r="N1274" s="14" t="s">
        <v>57</v>
      </c>
      <c r="O1274" s="13"/>
      <c r="P1274" s="14"/>
      <c r="Q1274" s="13"/>
      <c r="R1274" s="14" t="s">
        <v>57</v>
      </c>
      <c r="S1274" s="15" t="str">
        <f>"－"</f>
        <v>－</v>
      </c>
      <c r="T1274" s="16" t="str">
        <f>"－"</f>
        <v>－</v>
      </c>
      <c r="U1274" s="16"/>
      <c r="V1274" s="16" t="str">
        <f>"－"</f>
        <v>－</v>
      </c>
      <c r="W1274" s="16"/>
      <c r="X1274" s="16" t="str">
        <f>"－"</f>
        <v>－</v>
      </c>
      <c r="Y1274" s="13"/>
      <c r="Z1274" s="17" t="n">
        <f>25</f>
        <v>25.0</v>
      </c>
      <c r="AA1274" s="18" t="str">
        <f>"－"</f>
        <v>－</v>
      </c>
      <c r="AB1274" s="11" t="s">
        <v>594</v>
      </c>
    </row>
    <row r="1275">
      <c r="A1275" s="11" t="s">
        <v>46</v>
      </c>
      <c r="B1275" s="11" t="s">
        <v>47</v>
      </c>
      <c r="C1275" s="11" t="s">
        <v>48</v>
      </c>
      <c r="D1275" s="11" t="s">
        <v>651</v>
      </c>
      <c r="E1275" s="11" t="s">
        <v>593</v>
      </c>
      <c r="F1275" s="12" t="n">
        <v>27000.0</v>
      </c>
      <c r="G1275" s="13"/>
      <c r="H1275" s="14" t="s">
        <v>57</v>
      </c>
      <c r="I1275" s="13"/>
      <c r="J1275" s="14" t="s">
        <v>57</v>
      </c>
      <c r="K1275" s="13"/>
      <c r="L1275" s="14"/>
      <c r="M1275" s="13"/>
      <c r="N1275" s="14" t="s">
        <v>57</v>
      </c>
      <c r="O1275" s="13"/>
      <c r="P1275" s="14"/>
      <c r="Q1275" s="13"/>
      <c r="R1275" s="14" t="s">
        <v>57</v>
      </c>
      <c r="S1275" s="15" t="str">
        <f>"－"</f>
        <v>－</v>
      </c>
      <c r="T1275" s="16" t="str">
        <f>"－"</f>
        <v>－</v>
      </c>
      <c r="U1275" s="16"/>
      <c r="V1275" s="16" t="str">
        <f>"－"</f>
        <v>－</v>
      </c>
      <c r="W1275" s="16"/>
      <c r="X1275" s="16" t="str">
        <f>"－"</f>
        <v>－</v>
      </c>
      <c r="Y1275" s="13"/>
      <c r="Z1275" s="17" t="n">
        <f>1750</f>
        <v>1750.0</v>
      </c>
      <c r="AA1275" s="18" t="str">
        <f>"－"</f>
        <v>－</v>
      </c>
      <c r="AB1275" s="11" t="s">
        <v>594</v>
      </c>
    </row>
    <row r="1276">
      <c r="A1276" s="11" t="s">
        <v>46</v>
      </c>
      <c r="B1276" s="11" t="s">
        <v>47</v>
      </c>
      <c r="C1276" s="11" t="s">
        <v>48</v>
      </c>
      <c r="D1276" s="11" t="s">
        <v>651</v>
      </c>
      <c r="E1276" s="11" t="s">
        <v>593</v>
      </c>
      <c r="F1276" s="12" t="n">
        <v>27250.0</v>
      </c>
      <c r="G1276" s="13"/>
      <c r="H1276" s="14" t="s">
        <v>57</v>
      </c>
      <c r="I1276" s="13"/>
      <c r="J1276" s="14" t="s">
        <v>57</v>
      </c>
      <c r="K1276" s="13"/>
      <c r="L1276" s="14"/>
      <c r="M1276" s="13"/>
      <c r="N1276" s="14" t="s">
        <v>57</v>
      </c>
      <c r="O1276" s="13"/>
      <c r="P1276" s="14"/>
      <c r="Q1276" s="13"/>
      <c r="R1276" s="14" t="s">
        <v>57</v>
      </c>
      <c r="S1276" s="15" t="str">
        <f>"－"</f>
        <v>－</v>
      </c>
      <c r="T1276" s="16" t="str">
        <f>"－"</f>
        <v>－</v>
      </c>
      <c r="U1276" s="16"/>
      <c r="V1276" s="16" t="str">
        <f>"－"</f>
        <v>－</v>
      </c>
      <c r="W1276" s="16"/>
      <c r="X1276" s="16" t="str">
        <f>"－"</f>
        <v>－</v>
      </c>
      <c r="Y1276" s="13"/>
      <c r="Z1276" s="17" t="n">
        <f>200</f>
        <v>200.0</v>
      </c>
      <c r="AA1276" s="18" t="str">
        <f>"－"</f>
        <v>－</v>
      </c>
      <c r="AB1276" s="11" t="s">
        <v>594</v>
      </c>
    </row>
    <row r="1277">
      <c r="A1277" s="11" t="s">
        <v>46</v>
      </c>
      <c r="B1277" s="11" t="s">
        <v>47</v>
      </c>
      <c r="C1277" s="11" t="s">
        <v>48</v>
      </c>
      <c r="D1277" s="11" t="s">
        <v>651</v>
      </c>
      <c r="E1277" s="11" t="s">
        <v>593</v>
      </c>
      <c r="F1277" s="12" t="n">
        <v>27500.0</v>
      </c>
      <c r="G1277" s="13"/>
      <c r="H1277" s="14" t="s">
        <v>57</v>
      </c>
      <c r="I1277" s="13"/>
      <c r="J1277" s="14" t="s">
        <v>57</v>
      </c>
      <c r="K1277" s="13"/>
      <c r="L1277" s="14"/>
      <c r="M1277" s="13"/>
      <c r="N1277" s="14" t="s">
        <v>57</v>
      </c>
      <c r="O1277" s="13"/>
      <c r="P1277" s="14"/>
      <c r="Q1277" s="13"/>
      <c r="R1277" s="14" t="s">
        <v>57</v>
      </c>
      <c r="S1277" s="15" t="str">
        <f>"－"</f>
        <v>－</v>
      </c>
      <c r="T1277" s="16" t="str">
        <f>"－"</f>
        <v>－</v>
      </c>
      <c r="U1277" s="16"/>
      <c r="V1277" s="16" t="str">
        <f>"－"</f>
        <v>－</v>
      </c>
      <c r="W1277" s="16"/>
      <c r="X1277" s="16" t="str">
        <f>"－"</f>
        <v>－</v>
      </c>
      <c r="Y1277" s="13"/>
      <c r="Z1277" s="17" t="n">
        <f>500</f>
        <v>500.0</v>
      </c>
      <c r="AA1277" s="18" t="str">
        <f>"－"</f>
        <v>－</v>
      </c>
      <c r="AB1277" s="11" t="s">
        <v>594</v>
      </c>
    </row>
    <row r="1278">
      <c r="A1278" s="11" t="s">
        <v>46</v>
      </c>
      <c r="B1278" s="11" t="s">
        <v>47</v>
      </c>
      <c r="C1278" s="11" t="s">
        <v>48</v>
      </c>
      <c r="D1278" s="11" t="s">
        <v>651</v>
      </c>
      <c r="E1278" s="11" t="s">
        <v>593</v>
      </c>
      <c r="F1278" s="12" t="n">
        <v>28000.0</v>
      </c>
      <c r="G1278" s="13"/>
      <c r="H1278" s="14" t="s">
        <v>57</v>
      </c>
      <c r="I1278" s="13"/>
      <c r="J1278" s="14" t="s">
        <v>57</v>
      </c>
      <c r="K1278" s="13"/>
      <c r="L1278" s="14"/>
      <c r="M1278" s="13"/>
      <c r="N1278" s="14" t="s">
        <v>57</v>
      </c>
      <c r="O1278" s="13"/>
      <c r="P1278" s="14"/>
      <c r="Q1278" s="13"/>
      <c r="R1278" s="14" t="s">
        <v>57</v>
      </c>
      <c r="S1278" s="15" t="str">
        <f>"－"</f>
        <v>－</v>
      </c>
      <c r="T1278" s="16" t="str">
        <f>"－"</f>
        <v>－</v>
      </c>
      <c r="U1278" s="16"/>
      <c r="V1278" s="16" t="str">
        <f>"－"</f>
        <v>－</v>
      </c>
      <c r="W1278" s="16"/>
      <c r="X1278" s="16" t="str">
        <f>"－"</f>
        <v>－</v>
      </c>
      <c r="Y1278" s="13"/>
      <c r="Z1278" s="17" t="n">
        <f>4900</f>
        <v>4900.0</v>
      </c>
      <c r="AA1278" s="18" t="str">
        <f>"－"</f>
        <v>－</v>
      </c>
      <c r="AB1278" s="11" t="s">
        <v>594</v>
      </c>
    </row>
    <row r="1279">
      <c r="A1279" s="11" t="s">
        <v>46</v>
      </c>
      <c r="B1279" s="11" t="s">
        <v>47</v>
      </c>
      <c r="C1279" s="11" t="s">
        <v>48</v>
      </c>
      <c r="D1279" s="11" t="s">
        <v>651</v>
      </c>
      <c r="E1279" s="11" t="s">
        <v>593</v>
      </c>
      <c r="F1279" s="12" t="n">
        <v>28250.0</v>
      </c>
      <c r="G1279" s="13"/>
      <c r="H1279" s="14" t="s">
        <v>57</v>
      </c>
      <c r="I1279" s="13"/>
      <c r="J1279" s="14" t="s">
        <v>57</v>
      </c>
      <c r="K1279" s="13"/>
      <c r="L1279" s="14"/>
      <c r="M1279" s="13"/>
      <c r="N1279" s="14" t="s">
        <v>57</v>
      </c>
      <c r="O1279" s="13"/>
      <c r="P1279" s="14"/>
      <c r="Q1279" s="13"/>
      <c r="R1279" s="14" t="s">
        <v>57</v>
      </c>
      <c r="S1279" s="15" t="str">
        <f>"－"</f>
        <v>－</v>
      </c>
      <c r="T1279" s="16" t="str">
        <f>"－"</f>
        <v>－</v>
      </c>
      <c r="U1279" s="16"/>
      <c r="V1279" s="16" t="str">
        <f>"－"</f>
        <v>－</v>
      </c>
      <c r="W1279" s="16"/>
      <c r="X1279" s="16" t="str">
        <f>"－"</f>
        <v>－</v>
      </c>
      <c r="Y1279" s="13"/>
      <c r="Z1279" s="17" t="n">
        <f>350</f>
        <v>350.0</v>
      </c>
      <c r="AA1279" s="18" t="str">
        <f>"－"</f>
        <v>－</v>
      </c>
      <c r="AB1279" s="11" t="s">
        <v>594</v>
      </c>
    </row>
    <row r="1280">
      <c r="A1280" s="11" t="s">
        <v>46</v>
      </c>
      <c r="B1280" s="11" t="s">
        <v>47</v>
      </c>
      <c r="C1280" s="11" t="s">
        <v>48</v>
      </c>
      <c r="D1280" s="11" t="s">
        <v>651</v>
      </c>
      <c r="E1280" s="11" t="s">
        <v>593</v>
      </c>
      <c r="F1280" s="12" t="n">
        <v>28500.0</v>
      </c>
      <c r="G1280" s="13"/>
      <c r="H1280" s="14" t="s">
        <v>57</v>
      </c>
      <c r="I1280" s="13"/>
      <c r="J1280" s="14" t="s">
        <v>57</v>
      </c>
      <c r="K1280" s="13"/>
      <c r="L1280" s="14"/>
      <c r="M1280" s="13"/>
      <c r="N1280" s="14" t="s">
        <v>57</v>
      </c>
      <c r="O1280" s="13"/>
      <c r="P1280" s="14"/>
      <c r="Q1280" s="13"/>
      <c r="R1280" s="14" t="s">
        <v>57</v>
      </c>
      <c r="S1280" s="15" t="str">
        <f>"－"</f>
        <v>－</v>
      </c>
      <c r="T1280" s="16" t="str">
        <f>"－"</f>
        <v>－</v>
      </c>
      <c r="U1280" s="16"/>
      <c r="V1280" s="16" t="str">
        <f>"－"</f>
        <v>－</v>
      </c>
      <c r="W1280" s="16"/>
      <c r="X1280" s="16" t="str">
        <f>"－"</f>
        <v>－</v>
      </c>
      <c r="Y1280" s="13"/>
      <c r="Z1280" s="17" t="n">
        <f>50</f>
        <v>50.0</v>
      </c>
      <c r="AA1280" s="18" t="str">
        <f>"－"</f>
        <v>－</v>
      </c>
      <c r="AB1280" s="11" t="s">
        <v>594</v>
      </c>
    </row>
    <row r="1281">
      <c r="A1281" s="11" t="s">
        <v>46</v>
      </c>
      <c r="B1281" s="11" t="s">
        <v>47</v>
      </c>
      <c r="C1281" s="11" t="s">
        <v>48</v>
      </c>
      <c r="D1281" s="11" t="s">
        <v>651</v>
      </c>
      <c r="E1281" s="11" t="s">
        <v>593</v>
      </c>
      <c r="F1281" s="12" t="n">
        <v>29000.0</v>
      </c>
      <c r="G1281" s="13"/>
      <c r="H1281" s="14" t="s">
        <v>57</v>
      </c>
      <c r="I1281" s="13"/>
      <c r="J1281" s="14" t="s">
        <v>57</v>
      </c>
      <c r="K1281" s="13" t="s">
        <v>52</v>
      </c>
      <c r="L1281" s="14" t="s">
        <v>853</v>
      </c>
      <c r="M1281" s="13"/>
      <c r="N1281" s="14" t="s">
        <v>57</v>
      </c>
      <c r="O1281" s="13" t="s">
        <v>58</v>
      </c>
      <c r="P1281" s="14" t="s">
        <v>854</v>
      </c>
      <c r="Q1281" s="13"/>
      <c r="R1281" s="14" t="s">
        <v>57</v>
      </c>
      <c r="S1281" s="15" t="str">
        <f>"－"</f>
        <v>－</v>
      </c>
      <c r="T1281" s="16" t="n">
        <f>400</f>
        <v>400.0</v>
      </c>
      <c r="U1281" s="16" t="n">
        <v>400.0</v>
      </c>
      <c r="V1281" s="16" t="n">
        <f>1026780800</f>
        <v>1.0267808E9</v>
      </c>
      <c r="W1281" s="16" t="n">
        <v>1.0267808E9</v>
      </c>
      <c r="X1281" s="16" t="str">
        <f>"－"</f>
        <v>－</v>
      </c>
      <c r="Y1281" s="13"/>
      <c r="Z1281" s="17" t="n">
        <f>850</f>
        <v>850.0</v>
      </c>
      <c r="AA1281" s="18" t="str">
        <f>"－"</f>
        <v>－</v>
      </c>
      <c r="AB1281" s="11" t="s">
        <v>594</v>
      </c>
    </row>
    <row r="1282">
      <c r="A1282" s="11" t="s">
        <v>46</v>
      </c>
      <c r="B1282" s="11" t="s">
        <v>47</v>
      </c>
      <c r="C1282" s="11" t="s">
        <v>48</v>
      </c>
      <c r="D1282" s="11" t="s">
        <v>651</v>
      </c>
      <c r="E1282" s="11" t="s">
        <v>593</v>
      </c>
      <c r="F1282" s="12" t="n">
        <v>29500.0</v>
      </c>
      <c r="G1282" s="13"/>
      <c r="H1282" s="14" t="s">
        <v>57</v>
      </c>
      <c r="I1282" s="13"/>
      <c r="J1282" s="14" t="s">
        <v>57</v>
      </c>
      <c r="K1282" s="13" t="s">
        <v>204</v>
      </c>
      <c r="L1282" s="14" t="s">
        <v>615</v>
      </c>
      <c r="M1282" s="13"/>
      <c r="N1282" s="14" t="s">
        <v>57</v>
      </c>
      <c r="O1282" s="13" t="s">
        <v>204</v>
      </c>
      <c r="P1282" s="14" t="s">
        <v>855</v>
      </c>
      <c r="Q1282" s="13"/>
      <c r="R1282" s="14" t="s">
        <v>57</v>
      </c>
      <c r="S1282" s="15" t="str">
        <f>"－"</f>
        <v>－</v>
      </c>
      <c r="T1282" s="16" t="n">
        <f>57</f>
        <v>57.0</v>
      </c>
      <c r="U1282" s="16" t="n">
        <v>57.0</v>
      </c>
      <c r="V1282" s="16" t="n">
        <f>194285000</f>
        <v>1.94285E8</v>
      </c>
      <c r="W1282" s="16" t="n">
        <v>1.94285E8</v>
      </c>
      <c r="X1282" s="16" t="str">
        <f>"－"</f>
        <v>－</v>
      </c>
      <c r="Y1282" s="13"/>
      <c r="Z1282" s="17" t="n">
        <f>50</f>
        <v>50.0</v>
      </c>
      <c r="AA1282" s="18" t="str">
        <f>"－"</f>
        <v>－</v>
      </c>
      <c r="AB1282" s="11" t="s">
        <v>594</v>
      </c>
    </row>
    <row r="1283">
      <c r="A1283" s="11" t="s">
        <v>46</v>
      </c>
      <c r="B1283" s="11" t="s">
        <v>47</v>
      </c>
      <c r="C1283" s="11" t="s">
        <v>48</v>
      </c>
      <c r="D1283" s="11" t="s">
        <v>651</v>
      </c>
      <c r="E1283" s="11" t="s">
        <v>593</v>
      </c>
      <c r="F1283" s="12" t="n">
        <v>30000.0</v>
      </c>
      <c r="G1283" s="13"/>
      <c r="H1283" s="14" t="s">
        <v>57</v>
      </c>
      <c r="I1283" s="13"/>
      <c r="J1283" s="14" t="s">
        <v>57</v>
      </c>
      <c r="K1283" s="13" t="s">
        <v>210</v>
      </c>
      <c r="L1283" s="14" t="s">
        <v>856</v>
      </c>
      <c r="M1283" s="13"/>
      <c r="N1283" s="14" t="s">
        <v>57</v>
      </c>
      <c r="O1283" s="13" t="s">
        <v>204</v>
      </c>
      <c r="P1283" s="14" t="s">
        <v>857</v>
      </c>
      <c r="Q1283" s="13"/>
      <c r="R1283" s="14" t="s">
        <v>57</v>
      </c>
      <c r="S1283" s="15" t="str">
        <f>"－"</f>
        <v>－</v>
      </c>
      <c r="T1283" s="16" t="n">
        <f>450</f>
        <v>450.0</v>
      </c>
      <c r="U1283" s="16" t="n">
        <v>450.0</v>
      </c>
      <c r="V1283" s="16" t="n">
        <f>1284750000</f>
        <v>1.28475E9</v>
      </c>
      <c r="W1283" s="16" t="n">
        <v>1.28475E9</v>
      </c>
      <c r="X1283" s="16" t="str">
        <f>"－"</f>
        <v>－</v>
      </c>
      <c r="Y1283" s="13"/>
      <c r="Z1283" s="17" t="n">
        <f>1550</f>
        <v>1550.0</v>
      </c>
      <c r="AA1283" s="18" t="str">
        <f>"－"</f>
        <v>－</v>
      </c>
      <c r="AB1283" s="11" t="s">
        <v>594</v>
      </c>
    </row>
    <row r="1284">
      <c r="A1284" s="11" t="s">
        <v>46</v>
      </c>
      <c r="B1284" s="11" t="s">
        <v>47</v>
      </c>
      <c r="C1284" s="11" t="s">
        <v>48</v>
      </c>
      <c r="D1284" s="11" t="s">
        <v>651</v>
      </c>
      <c r="E1284" s="11" t="s">
        <v>593</v>
      </c>
      <c r="F1284" s="12" t="n">
        <v>30250.0</v>
      </c>
      <c r="G1284" s="13"/>
      <c r="H1284" s="14" t="s">
        <v>57</v>
      </c>
      <c r="I1284" s="13"/>
      <c r="J1284" s="14" t="s">
        <v>57</v>
      </c>
      <c r="K1284" s="13" t="s">
        <v>288</v>
      </c>
      <c r="L1284" s="14" t="s">
        <v>643</v>
      </c>
      <c r="M1284" s="13"/>
      <c r="N1284" s="14" t="s">
        <v>57</v>
      </c>
      <c r="O1284" s="13" t="s">
        <v>288</v>
      </c>
      <c r="P1284" s="14" t="s">
        <v>643</v>
      </c>
      <c r="Q1284" s="13"/>
      <c r="R1284" s="14" t="s">
        <v>57</v>
      </c>
      <c r="S1284" s="15" t="str">
        <f>"－"</f>
        <v>－</v>
      </c>
      <c r="T1284" s="16" t="n">
        <f>150</f>
        <v>150.0</v>
      </c>
      <c r="U1284" s="16" t="n">
        <v>150.0</v>
      </c>
      <c r="V1284" s="16" t="n">
        <f>405000000</f>
        <v>4.05E8</v>
      </c>
      <c r="W1284" s="16" t="n">
        <v>4.05E8</v>
      </c>
      <c r="X1284" s="16" t="str">
        <f>"－"</f>
        <v>－</v>
      </c>
      <c r="Y1284" s="13"/>
      <c r="Z1284" s="17" t="n">
        <f>150</f>
        <v>150.0</v>
      </c>
      <c r="AA1284" s="18" t="str">
        <f>"－"</f>
        <v>－</v>
      </c>
      <c r="AB1284" s="11" t="s">
        <v>594</v>
      </c>
    </row>
    <row r="1285">
      <c r="A1285" s="11" t="s">
        <v>46</v>
      </c>
      <c r="B1285" s="11" t="s">
        <v>47</v>
      </c>
      <c r="C1285" s="11" t="s">
        <v>48</v>
      </c>
      <c r="D1285" s="11" t="s">
        <v>651</v>
      </c>
      <c r="E1285" s="11" t="s">
        <v>593</v>
      </c>
      <c r="F1285" s="12" t="n">
        <v>31000.0</v>
      </c>
      <c r="G1285" s="13"/>
      <c r="H1285" s="14" t="s">
        <v>57</v>
      </c>
      <c r="I1285" s="13"/>
      <c r="J1285" s="14" t="s">
        <v>57</v>
      </c>
      <c r="K1285" s="13" t="s">
        <v>56</v>
      </c>
      <c r="L1285" s="14" t="s">
        <v>746</v>
      </c>
      <c r="M1285" s="13"/>
      <c r="N1285" s="14" t="s">
        <v>57</v>
      </c>
      <c r="O1285" s="13" t="s">
        <v>56</v>
      </c>
      <c r="P1285" s="14" t="s">
        <v>746</v>
      </c>
      <c r="Q1285" s="13"/>
      <c r="R1285" s="14" t="s">
        <v>57</v>
      </c>
      <c r="S1285" s="15" t="str">
        <f>"－"</f>
        <v>－</v>
      </c>
      <c r="T1285" s="16" t="n">
        <f>100</f>
        <v>100.0</v>
      </c>
      <c r="U1285" s="16" t="n">
        <v>100.0</v>
      </c>
      <c r="V1285" s="16" t="n">
        <f>212000000</f>
        <v>2.12E8</v>
      </c>
      <c r="W1285" s="16" t="n">
        <v>2.12E8</v>
      </c>
      <c r="X1285" s="16" t="str">
        <f>"－"</f>
        <v>－</v>
      </c>
      <c r="Y1285" s="13"/>
      <c r="Z1285" s="17" t="n">
        <f>100</f>
        <v>100.0</v>
      </c>
      <c r="AA1285" s="18" t="str">
        <f>"－"</f>
        <v>－</v>
      </c>
      <c r="AB1285" s="11" t="s">
        <v>594</v>
      </c>
    </row>
    <row r="1286">
      <c r="A1286" s="11" t="s">
        <v>46</v>
      </c>
      <c r="B1286" s="11" t="s">
        <v>47</v>
      </c>
      <c r="C1286" s="11" t="s">
        <v>48</v>
      </c>
      <c r="D1286" s="11" t="s">
        <v>651</v>
      </c>
      <c r="E1286" s="11" t="s">
        <v>593</v>
      </c>
      <c r="F1286" s="12" t="n">
        <v>32000.0</v>
      </c>
      <c r="G1286" s="13"/>
      <c r="H1286" s="14" t="s">
        <v>57</v>
      </c>
      <c r="I1286" s="13"/>
      <c r="J1286" s="14" t="s">
        <v>57</v>
      </c>
      <c r="K1286" s="13" t="s">
        <v>211</v>
      </c>
      <c r="L1286" s="14" t="s">
        <v>858</v>
      </c>
      <c r="M1286" s="13"/>
      <c r="N1286" s="14" t="s">
        <v>57</v>
      </c>
      <c r="O1286" s="13" t="s">
        <v>58</v>
      </c>
      <c r="P1286" s="14" t="s">
        <v>859</v>
      </c>
      <c r="Q1286" s="13"/>
      <c r="R1286" s="14" t="s">
        <v>57</v>
      </c>
      <c r="S1286" s="15" t="str">
        <f>"－"</f>
        <v>－</v>
      </c>
      <c r="T1286" s="16" t="n">
        <f>400</f>
        <v>400.0</v>
      </c>
      <c r="U1286" s="16" t="n">
        <v>400.0</v>
      </c>
      <c r="V1286" s="16" t="n">
        <f>695962800</f>
        <v>6.959628E8</v>
      </c>
      <c r="W1286" s="16" t="n">
        <v>6.959628E8</v>
      </c>
      <c r="X1286" s="16" t="str">
        <f>"－"</f>
        <v>－</v>
      </c>
      <c r="Y1286" s="13"/>
      <c r="Z1286" s="17" t="n">
        <f>1150</f>
        <v>1150.0</v>
      </c>
      <c r="AA1286" s="18" t="str">
        <f>"－"</f>
        <v>－</v>
      </c>
      <c r="AB1286" s="11" t="s">
        <v>594</v>
      </c>
    </row>
    <row r="1287">
      <c r="A1287" s="11" t="s">
        <v>46</v>
      </c>
      <c r="B1287" s="11" t="s">
        <v>47</v>
      </c>
      <c r="C1287" s="11" t="s">
        <v>48</v>
      </c>
      <c r="D1287" s="11" t="s">
        <v>651</v>
      </c>
      <c r="E1287" s="11" t="s">
        <v>593</v>
      </c>
      <c r="F1287" s="12" t="n">
        <v>33000.0</v>
      </c>
      <c r="G1287" s="13"/>
      <c r="H1287" s="14" t="s">
        <v>57</v>
      </c>
      <c r="I1287" s="13"/>
      <c r="J1287" s="14" t="s">
        <v>57</v>
      </c>
      <c r="K1287" s="13" t="s">
        <v>61</v>
      </c>
      <c r="L1287" s="14" t="s">
        <v>860</v>
      </c>
      <c r="M1287" s="13"/>
      <c r="N1287" s="14" t="s">
        <v>57</v>
      </c>
      <c r="O1287" s="13" t="s">
        <v>58</v>
      </c>
      <c r="P1287" s="14" t="s">
        <v>169</v>
      </c>
      <c r="Q1287" s="13"/>
      <c r="R1287" s="14" t="s">
        <v>57</v>
      </c>
      <c r="S1287" s="15" t="str">
        <f>"－"</f>
        <v>－</v>
      </c>
      <c r="T1287" s="16" t="n">
        <f>800</f>
        <v>800.0</v>
      </c>
      <c r="U1287" s="16" t="n">
        <v>800.0</v>
      </c>
      <c r="V1287" s="16" t="n">
        <f>994750000</f>
        <v>9.9475E8</v>
      </c>
      <c r="W1287" s="16" t="n">
        <v>9.9475E8</v>
      </c>
      <c r="X1287" s="16" t="str">
        <f>"－"</f>
        <v>－</v>
      </c>
      <c r="Y1287" s="13"/>
      <c r="Z1287" s="17" t="n">
        <f>501</f>
        <v>501.0</v>
      </c>
      <c r="AA1287" s="18" t="str">
        <f>"－"</f>
        <v>－</v>
      </c>
      <c r="AB1287" s="11" t="s">
        <v>594</v>
      </c>
    </row>
    <row r="1288">
      <c r="A1288" s="11" t="s">
        <v>46</v>
      </c>
      <c r="B1288" s="11" t="s">
        <v>47</v>
      </c>
      <c r="C1288" s="11" t="s">
        <v>48</v>
      </c>
      <c r="D1288" s="11" t="s">
        <v>651</v>
      </c>
      <c r="E1288" s="11" t="s">
        <v>593</v>
      </c>
      <c r="F1288" s="12" t="n">
        <v>33500.0</v>
      </c>
      <c r="G1288" s="13"/>
      <c r="H1288" s="14" t="s">
        <v>57</v>
      </c>
      <c r="I1288" s="13"/>
      <c r="J1288" s="14" t="s">
        <v>57</v>
      </c>
      <c r="K1288" s="13" t="s">
        <v>52</v>
      </c>
      <c r="L1288" s="14" t="s">
        <v>393</v>
      </c>
      <c r="M1288" s="13"/>
      <c r="N1288" s="14" t="s">
        <v>57</v>
      </c>
      <c r="O1288" s="13" t="s">
        <v>52</v>
      </c>
      <c r="P1288" s="14" t="s">
        <v>393</v>
      </c>
      <c r="Q1288" s="13"/>
      <c r="R1288" s="14" t="s">
        <v>57</v>
      </c>
      <c r="S1288" s="15" t="str">
        <f>"－"</f>
        <v>－</v>
      </c>
      <c r="T1288" s="16" t="n">
        <f>300</f>
        <v>300.0</v>
      </c>
      <c r="U1288" s="16" t="n">
        <v>300.0</v>
      </c>
      <c r="V1288" s="16" t="n">
        <f>390000000</f>
        <v>3.9E8</v>
      </c>
      <c r="W1288" s="16" t="n">
        <v>3.9E8</v>
      </c>
      <c r="X1288" s="16" t="str">
        <f>"－"</f>
        <v>－</v>
      </c>
      <c r="Y1288" s="13"/>
      <c r="Z1288" s="17" t="n">
        <f>300</f>
        <v>300.0</v>
      </c>
      <c r="AA1288" s="18" t="str">
        <f>"－"</f>
        <v>－</v>
      </c>
      <c r="AB1288" s="11" t="s">
        <v>594</v>
      </c>
    </row>
    <row r="1289">
      <c r="A1289" s="11" t="s">
        <v>46</v>
      </c>
      <c r="B1289" s="11" t="s">
        <v>47</v>
      </c>
      <c r="C1289" s="11" t="s">
        <v>48</v>
      </c>
      <c r="D1289" s="11" t="s">
        <v>651</v>
      </c>
      <c r="E1289" s="11" t="s">
        <v>593</v>
      </c>
      <c r="F1289" s="12" t="n">
        <v>34000.0</v>
      </c>
      <c r="G1289" s="13"/>
      <c r="H1289" s="14" t="s">
        <v>57</v>
      </c>
      <c r="I1289" s="13"/>
      <c r="J1289" s="14" t="s">
        <v>57</v>
      </c>
      <c r="K1289" s="13"/>
      <c r="L1289" s="14"/>
      <c r="M1289" s="13"/>
      <c r="N1289" s="14" t="s">
        <v>57</v>
      </c>
      <c r="O1289" s="13"/>
      <c r="P1289" s="14"/>
      <c r="Q1289" s="13"/>
      <c r="R1289" s="14" t="s">
        <v>57</v>
      </c>
      <c r="S1289" s="15" t="str">
        <f>"－"</f>
        <v>－</v>
      </c>
      <c r="T1289" s="16" t="str">
        <f>"－"</f>
        <v>－</v>
      </c>
      <c r="U1289" s="16"/>
      <c r="V1289" s="16" t="str">
        <f>"－"</f>
        <v>－</v>
      </c>
      <c r="W1289" s="16"/>
      <c r="X1289" s="16" t="str">
        <f>"－"</f>
        <v>－</v>
      </c>
      <c r="Y1289" s="13"/>
      <c r="Z1289" s="17" t="n">
        <f>300</f>
        <v>300.0</v>
      </c>
      <c r="AA1289" s="18" t="str">
        <f>"－"</f>
        <v>－</v>
      </c>
      <c r="AB1289" s="11" t="s">
        <v>594</v>
      </c>
    </row>
    <row r="1290">
      <c r="A1290" s="11" t="s">
        <v>46</v>
      </c>
      <c r="B1290" s="11" t="s">
        <v>47</v>
      </c>
      <c r="C1290" s="11" t="s">
        <v>48</v>
      </c>
      <c r="D1290" s="11" t="s">
        <v>651</v>
      </c>
      <c r="E1290" s="11" t="s">
        <v>593</v>
      </c>
      <c r="F1290" s="12" t="n">
        <v>35000.0</v>
      </c>
      <c r="G1290" s="13"/>
      <c r="H1290" s="14" t="s">
        <v>57</v>
      </c>
      <c r="I1290" s="13"/>
      <c r="J1290" s="14" t="s">
        <v>57</v>
      </c>
      <c r="K1290" s="13" t="s">
        <v>288</v>
      </c>
      <c r="L1290" s="14" t="s">
        <v>393</v>
      </c>
      <c r="M1290" s="13"/>
      <c r="N1290" s="14" t="s">
        <v>57</v>
      </c>
      <c r="O1290" s="13" t="s">
        <v>60</v>
      </c>
      <c r="P1290" s="14" t="s">
        <v>420</v>
      </c>
      <c r="Q1290" s="13"/>
      <c r="R1290" s="14" t="s">
        <v>57</v>
      </c>
      <c r="S1290" s="15" t="str">
        <f>"－"</f>
        <v>－</v>
      </c>
      <c r="T1290" s="16" t="n">
        <f>750</f>
        <v>750.0</v>
      </c>
      <c r="U1290" s="16" t="n">
        <v>750.0</v>
      </c>
      <c r="V1290" s="16" t="n">
        <f>751500000</f>
        <v>7.515E8</v>
      </c>
      <c r="W1290" s="16" t="n">
        <v>7.515E8</v>
      </c>
      <c r="X1290" s="16" t="str">
        <f>"－"</f>
        <v>－</v>
      </c>
      <c r="Y1290" s="13"/>
      <c r="Z1290" s="17" t="n">
        <f>1050</f>
        <v>1050.0</v>
      </c>
      <c r="AA1290" s="18" t="str">
        <f>"－"</f>
        <v>－</v>
      </c>
      <c r="AB1290" s="11" t="s">
        <v>594</v>
      </c>
    </row>
    <row r="1291">
      <c r="A1291" s="11" t="s">
        <v>46</v>
      </c>
      <c r="B1291" s="11" t="s">
        <v>47</v>
      </c>
      <c r="C1291" s="11" t="s">
        <v>48</v>
      </c>
      <c r="D1291" s="11" t="s">
        <v>651</v>
      </c>
      <c r="E1291" s="11" t="s">
        <v>623</v>
      </c>
      <c r="F1291" s="12" t="n">
        <v>19000.0</v>
      </c>
      <c r="G1291" s="13"/>
      <c r="H1291" s="14" t="s">
        <v>57</v>
      </c>
      <c r="I1291" s="13"/>
      <c r="J1291" s="14" t="s">
        <v>57</v>
      </c>
      <c r="K1291" s="13"/>
      <c r="L1291" s="14"/>
      <c r="M1291" s="13"/>
      <c r="N1291" s="14" t="s">
        <v>57</v>
      </c>
      <c r="O1291" s="13"/>
      <c r="P1291" s="14"/>
      <c r="Q1291" s="13"/>
      <c r="R1291" s="14" t="s">
        <v>57</v>
      </c>
      <c r="S1291" s="15" t="str">
        <f>"－"</f>
        <v>－</v>
      </c>
      <c r="T1291" s="16" t="str">
        <f>"－"</f>
        <v>－</v>
      </c>
      <c r="U1291" s="16"/>
      <c r="V1291" s="16" t="str">
        <f>"－"</f>
        <v>－</v>
      </c>
      <c r="W1291" s="16"/>
      <c r="X1291" s="16" t="str">
        <f>"－"</f>
        <v>－</v>
      </c>
      <c r="Y1291" s="13"/>
      <c r="Z1291" s="17" t="n">
        <f>175</f>
        <v>175.0</v>
      </c>
      <c r="AA1291" s="18" t="str">
        <f>"－"</f>
        <v>－</v>
      </c>
      <c r="AB1291" s="11" t="s">
        <v>624</v>
      </c>
    </row>
    <row r="1292">
      <c r="A1292" s="11" t="s">
        <v>46</v>
      </c>
      <c r="B1292" s="11" t="s">
        <v>47</v>
      </c>
      <c r="C1292" s="11" t="s">
        <v>48</v>
      </c>
      <c r="D1292" s="11" t="s">
        <v>651</v>
      </c>
      <c r="E1292" s="11" t="s">
        <v>623</v>
      </c>
      <c r="F1292" s="12" t="n">
        <v>20500.0</v>
      </c>
      <c r="G1292" s="13"/>
      <c r="H1292" s="14" t="s">
        <v>57</v>
      </c>
      <c r="I1292" s="13"/>
      <c r="J1292" s="14" t="s">
        <v>57</v>
      </c>
      <c r="K1292" s="13"/>
      <c r="L1292" s="14"/>
      <c r="M1292" s="13"/>
      <c r="N1292" s="14" t="s">
        <v>57</v>
      </c>
      <c r="O1292" s="13"/>
      <c r="P1292" s="14"/>
      <c r="Q1292" s="13"/>
      <c r="R1292" s="14" t="s">
        <v>57</v>
      </c>
      <c r="S1292" s="15" t="str">
        <f>"－"</f>
        <v>－</v>
      </c>
      <c r="T1292" s="16" t="str">
        <f>"－"</f>
        <v>－</v>
      </c>
      <c r="U1292" s="16"/>
      <c r="V1292" s="16" t="str">
        <f>"－"</f>
        <v>－</v>
      </c>
      <c r="W1292" s="16"/>
      <c r="X1292" s="16" t="str">
        <f>"－"</f>
        <v>－</v>
      </c>
      <c r="Y1292" s="13"/>
      <c r="Z1292" s="17" t="n">
        <f>750</f>
        <v>750.0</v>
      </c>
      <c r="AA1292" s="18" t="str">
        <f>"－"</f>
        <v>－</v>
      </c>
      <c r="AB1292" s="11" t="s">
        <v>624</v>
      </c>
    </row>
    <row r="1293">
      <c r="A1293" s="11" t="s">
        <v>46</v>
      </c>
      <c r="B1293" s="11" t="s">
        <v>47</v>
      </c>
      <c r="C1293" s="11" t="s">
        <v>48</v>
      </c>
      <c r="D1293" s="11" t="s">
        <v>651</v>
      </c>
      <c r="E1293" s="11" t="s">
        <v>623</v>
      </c>
      <c r="F1293" s="12" t="n">
        <v>21000.0</v>
      </c>
      <c r="G1293" s="13"/>
      <c r="H1293" s="14" t="s">
        <v>57</v>
      </c>
      <c r="I1293" s="13"/>
      <c r="J1293" s="14" t="s">
        <v>57</v>
      </c>
      <c r="K1293" s="13"/>
      <c r="L1293" s="14"/>
      <c r="M1293" s="13"/>
      <c r="N1293" s="14" t="s">
        <v>57</v>
      </c>
      <c r="O1293" s="13"/>
      <c r="P1293" s="14"/>
      <c r="Q1293" s="13"/>
      <c r="R1293" s="14" t="s">
        <v>57</v>
      </c>
      <c r="S1293" s="15" t="str">
        <f>"－"</f>
        <v>－</v>
      </c>
      <c r="T1293" s="16" t="str">
        <f>"－"</f>
        <v>－</v>
      </c>
      <c r="U1293" s="16"/>
      <c r="V1293" s="16" t="str">
        <f>"－"</f>
        <v>－</v>
      </c>
      <c r="W1293" s="16"/>
      <c r="X1293" s="16" t="str">
        <f>"－"</f>
        <v>－</v>
      </c>
      <c r="Y1293" s="13"/>
      <c r="Z1293" s="17" t="n">
        <f>150</f>
        <v>150.0</v>
      </c>
      <c r="AA1293" s="18" t="str">
        <f>"－"</f>
        <v>－</v>
      </c>
      <c r="AB1293" s="11" t="s">
        <v>624</v>
      </c>
    </row>
    <row r="1294">
      <c r="A1294" s="11" t="s">
        <v>46</v>
      </c>
      <c r="B1294" s="11" t="s">
        <v>47</v>
      </c>
      <c r="C1294" s="11" t="s">
        <v>48</v>
      </c>
      <c r="D1294" s="11" t="s">
        <v>651</v>
      </c>
      <c r="E1294" s="11" t="s">
        <v>623</v>
      </c>
      <c r="F1294" s="12" t="n">
        <v>21500.0</v>
      </c>
      <c r="G1294" s="13"/>
      <c r="H1294" s="14" t="s">
        <v>57</v>
      </c>
      <c r="I1294" s="13"/>
      <c r="J1294" s="14" t="s">
        <v>57</v>
      </c>
      <c r="K1294" s="13"/>
      <c r="L1294" s="14"/>
      <c r="M1294" s="13"/>
      <c r="N1294" s="14" t="s">
        <v>57</v>
      </c>
      <c r="O1294" s="13"/>
      <c r="P1294" s="14"/>
      <c r="Q1294" s="13"/>
      <c r="R1294" s="14" t="s">
        <v>57</v>
      </c>
      <c r="S1294" s="15" t="str">
        <f>"－"</f>
        <v>－</v>
      </c>
      <c r="T1294" s="16" t="str">
        <f>"－"</f>
        <v>－</v>
      </c>
      <c r="U1294" s="16"/>
      <c r="V1294" s="16" t="str">
        <f>"－"</f>
        <v>－</v>
      </c>
      <c r="W1294" s="16"/>
      <c r="X1294" s="16" t="str">
        <f>"－"</f>
        <v>－</v>
      </c>
      <c r="Y1294" s="13"/>
      <c r="Z1294" s="17" t="n">
        <f>350</f>
        <v>350.0</v>
      </c>
      <c r="AA1294" s="18" t="str">
        <f>"－"</f>
        <v>－</v>
      </c>
      <c r="AB1294" s="11" t="s">
        <v>624</v>
      </c>
    </row>
    <row r="1295">
      <c r="A1295" s="11" t="s">
        <v>46</v>
      </c>
      <c r="B1295" s="11" t="s">
        <v>47</v>
      </c>
      <c r="C1295" s="11" t="s">
        <v>48</v>
      </c>
      <c r="D1295" s="11" t="s">
        <v>651</v>
      </c>
      <c r="E1295" s="11" t="s">
        <v>623</v>
      </c>
      <c r="F1295" s="12" t="n">
        <v>21750.0</v>
      </c>
      <c r="G1295" s="13"/>
      <c r="H1295" s="14" t="s">
        <v>57</v>
      </c>
      <c r="I1295" s="13"/>
      <c r="J1295" s="14" t="s">
        <v>57</v>
      </c>
      <c r="K1295" s="13"/>
      <c r="L1295" s="14"/>
      <c r="M1295" s="13"/>
      <c r="N1295" s="14" t="s">
        <v>57</v>
      </c>
      <c r="O1295" s="13"/>
      <c r="P1295" s="14"/>
      <c r="Q1295" s="13"/>
      <c r="R1295" s="14" t="s">
        <v>57</v>
      </c>
      <c r="S1295" s="15" t="str">
        <f>"－"</f>
        <v>－</v>
      </c>
      <c r="T1295" s="16" t="str">
        <f>"－"</f>
        <v>－</v>
      </c>
      <c r="U1295" s="16"/>
      <c r="V1295" s="16" t="str">
        <f>"－"</f>
        <v>－</v>
      </c>
      <c r="W1295" s="16"/>
      <c r="X1295" s="16" t="str">
        <f>"－"</f>
        <v>－</v>
      </c>
      <c r="Y1295" s="13"/>
      <c r="Z1295" s="17" t="n">
        <f>200</f>
        <v>200.0</v>
      </c>
      <c r="AA1295" s="18" t="str">
        <f>"－"</f>
        <v>－</v>
      </c>
      <c r="AB1295" s="11" t="s">
        <v>624</v>
      </c>
    </row>
    <row r="1296">
      <c r="A1296" s="11" t="s">
        <v>46</v>
      </c>
      <c r="B1296" s="11" t="s">
        <v>47</v>
      </c>
      <c r="C1296" s="11" t="s">
        <v>48</v>
      </c>
      <c r="D1296" s="11" t="s">
        <v>651</v>
      </c>
      <c r="E1296" s="11" t="s">
        <v>623</v>
      </c>
      <c r="F1296" s="12" t="n">
        <v>22000.0</v>
      </c>
      <c r="G1296" s="13"/>
      <c r="H1296" s="14" t="s">
        <v>57</v>
      </c>
      <c r="I1296" s="13"/>
      <c r="J1296" s="14" t="s">
        <v>57</v>
      </c>
      <c r="K1296" s="13"/>
      <c r="L1296" s="14"/>
      <c r="M1296" s="13"/>
      <c r="N1296" s="14" t="s">
        <v>57</v>
      </c>
      <c r="O1296" s="13"/>
      <c r="P1296" s="14"/>
      <c r="Q1296" s="13"/>
      <c r="R1296" s="14" t="s">
        <v>57</v>
      </c>
      <c r="S1296" s="15" t="str">
        <f>"－"</f>
        <v>－</v>
      </c>
      <c r="T1296" s="16" t="str">
        <f>"－"</f>
        <v>－</v>
      </c>
      <c r="U1296" s="16"/>
      <c r="V1296" s="16" t="str">
        <f>"－"</f>
        <v>－</v>
      </c>
      <c r="W1296" s="16"/>
      <c r="X1296" s="16" t="str">
        <f>"－"</f>
        <v>－</v>
      </c>
      <c r="Y1296" s="13"/>
      <c r="Z1296" s="17" t="n">
        <f>175</f>
        <v>175.0</v>
      </c>
      <c r="AA1296" s="18" t="str">
        <f>"－"</f>
        <v>－</v>
      </c>
      <c r="AB1296" s="11" t="s">
        <v>624</v>
      </c>
    </row>
    <row r="1297">
      <c r="A1297" s="11" t="s">
        <v>46</v>
      </c>
      <c r="B1297" s="11" t="s">
        <v>47</v>
      </c>
      <c r="C1297" s="11" t="s">
        <v>48</v>
      </c>
      <c r="D1297" s="11" t="s">
        <v>651</v>
      </c>
      <c r="E1297" s="11" t="s">
        <v>623</v>
      </c>
      <c r="F1297" s="12" t="n">
        <v>22250.0</v>
      </c>
      <c r="G1297" s="13"/>
      <c r="H1297" s="14" t="s">
        <v>57</v>
      </c>
      <c r="I1297" s="13"/>
      <c r="J1297" s="14" t="s">
        <v>57</v>
      </c>
      <c r="K1297" s="13"/>
      <c r="L1297" s="14"/>
      <c r="M1297" s="13"/>
      <c r="N1297" s="14" t="s">
        <v>57</v>
      </c>
      <c r="O1297" s="13"/>
      <c r="P1297" s="14"/>
      <c r="Q1297" s="13"/>
      <c r="R1297" s="14" t="s">
        <v>57</v>
      </c>
      <c r="S1297" s="15" t="str">
        <f>"－"</f>
        <v>－</v>
      </c>
      <c r="T1297" s="16" t="str">
        <f>"－"</f>
        <v>－</v>
      </c>
      <c r="U1297" s="16"/>
      <c r="V1297" s="16" t="str">
        <f>"－"</f>
        <v>－</v>
      </c>
      <c r="W1297" s="16"/>
      <c r="X1297" s="16" t="str">
        <f>"－"</f>
        <v>－</v>
      </c>
      <c r="Y1297" s="13"/>
      <c r="Z1297" s="17" t="n">
        <f>150</f>
        <v>150.0</v>
      </c>
      <c r="AA1297" s="18" t="str">
        <f>"－"</f>
        <v>－</v>
      </c>
      <c r="AB1297" s="11" t="s">
        <v>624</v>
      </c>
    </row>
    <row r="1298">
      <c r="A1298" s="11" t="s">
        <v>46</v>
      </c>
      <c r="B1298" s="11" t="s">
        <v>47</v>
      </c>
      <c r="C1298" s="11" t="s">
        <v>48</v>
      </c>
      <c r="D1298" s="11" t="s">
        <v>651</v>
      </c>
      <c r="E1298" s="11" t="s">
        <v>623</v>
      </c>
      <c r="F1298" s="12" t="n">
        <v>22500.0</v>
      </c>
      <c r="G1298" s="13"/>
      <c r="H1298" s="14" t="s">
        <v>57</v>
      </c>
      <c r="I1298" s="13"/>
      <c r="J1298" s="14" t="s">
        <v>57</v>
      </c>
      <c r="K1298" s="13"/>
      <c r="L1298" s="14"/>
      <c r="M1298" s="13"/>
      <c r="N1298" s="14" t="s">
        <v>57</v>
      </c>
      <c r="O1298" s="13"/>
      <c r="P1298" s="14"/>
      <c r="Q1298" s="13"/>
      <c r="R1298" s="14" t="s">
        <v>57</v>
      </c>
      <c r="S1298" s="15" t="str">
        <f>"－"</f>
        <v>－</v>
      </c>
      <c r="T1298" s="16" t="str">
        <f>"－"</f>
        <v>－</v>
      </c>
      <c r="U1298" s="16"/>
      <c r="V1298" s="16" t="str">
        <f>"－"</f>
        <v>－</v>
      </c>
      <c r="W1298" s="16"/>
      <c r="X1298" s="16" t="str">
        <f>"－"</f>
        <v>－</v>
      </c>
      <c r="Y1298" s="13"/>
      <c r="Z1298" s="17" t="n">
        <f>150</f>
        <v>150.0</v>
      </c>
      <c r="AA1298" s="18" t="str">
        <f>"－"</f>
        <v>－</v>
      </c>
      <c r="AB1298" s="11" t="s">
        <v>624</v>
      </c>
    </row>
    <row r="1299">
      <c r="A1299" s="11" t="s">
        <v>46</v>
      </c>
      <c r="B1299" s="11" t="s">
        <v>47</v>
      </c>
      <c r="C1299" s="11" t="s">
        <v>48</v>
      </c>
      <c r="D1299" s="11" t="s">
        <v>651</v>
      </c>
      <c r="E1299" s="11" t="s">
        <v>623</v>
      </c>
      <c r="F1299" s="12" t="n">
        <v>24000.0</v>
      </c>
      <c r="G1299" s="13"/>
      <c r="H1299" s="14" t="s">
        <v>57</v>
      </c>
      <c r="I1299" s="13"/>
      <c r="J1299" s="14" t="s">
        <v>57</v>
      </c>
      <c r="K1299" s="13"/>
      <c r="L1299" s="14"/>
      <c r="M1299" s="13"/>
      <c r="N1299" s="14" t="s">
        <v>57</v>
      </c>
      <c r="O1299" s="13"/>
      <c r="P1299" s="14"/>
      <c r="Q1299" s="13"/>
      <c r="R1299" s="14" t="s">
        <v>57</v>
      </c>
      <c r="S1299" s="15" t="str">
        <f>"－"</f>
        <v>－</v>
      </c>
      <c r="T1299" s="16" t="str">
        <f>"－"</f>
        <v>－</v>
      </c>
      <c r="U1299" s="16"/>
      <c r="V1299" s="16" t="str">
        <f>"－"</f>
        <v>－</v>
      </c>
      <c r="W1299" s="16"/>
      <c r="X1299" s="16" t="str">
        <f>"－"</f>
        <v>－</v>
      </c>
      <c r="Y1299" s="13"/>
      <c r="Z1299" s="17" t="n">
        <f>300</f>
        <v>300.0</v>
      </c>
      <c r="AA1299" s="18" t="str">
        <f>"－"</f>
        <v>－</v>
      </c>
      <c r="AB1299" s="11" t="s">
        <v>624</v>
      </c>
    </row>
    <row r="1300">
      <c r="A1300" s="11" t="s">
        <v>46</v>
      </c>
      <c r="B1300" s="11" t="s">
        <v>47</v>
      </c>
      <c r="C1300" s="11" t="s">
        <v>48</v>
      </c>
      <c r="D1300" s="11" t="s">
        <v>651</v>
      </c>
      <c r="E1300" s="11" t="s">
        <v>623</v>
      </c>
      <c r="F1300" s="12" t="n">
        <v>25000.0</v>
      </c>
      <c r="G1300" s="13"/>
      <c r="H1300" s="14" t="s">
        <v>57</v>
      </c>
      <c r="I1300" s="13"/>
      <c r="J1300" s="14" t="s">
        <v>57</v>
      </c>
      <c r="K1300" s="13"/>
      <c r="L1300" s="14"/>
      <c r="M1300" s="13"/>
      <c r="N1300" s="14" t="s">
        <v>57</v>
      </c>
      <c r="O1300" s="13"/>
      <c r="P1300" s="14"/>
      <c r="Q1300" s="13"/>
      <c r="R1300" s="14" t="s">
        <v>57</v>
      </c>
      <c r="S1300" s="15" t="str">
        <f>"－"</f>
        <v>－</v>
      </c>
      <c r="T1300" s="16" t="str">
        <f>"－"</f>
        <v>－</v>
      </c>
      <c r="U1300" s="16"/>
      <c r="V1300" s="16" t="str">
        <f>"－"</f>
        <v>－</v>
      </c>
      <c r="W1300" s="16"/>
      <c r="X1300" s="16" t="str">
        <f>"－"</f>
        <v>－</v>
      </c>
      <c r="Y1300" s="13"/>
      <c r="Z1300" s="17" t="n">
        <f>100</f>
        <v>100.0</v>
      </c>
      <c r="AA1300" s="18" t="str">
        <f>"－"</f>
        <v>－</v>
      </c>
      <c r="AB1300" s="11" t="s">
        <v>624</v>
      </c>
    </row>
    <row r="1301">
      <c r="A1301" s="11" t="s">
        <v>46</v>
      </c>
      <c r="B1301" s="11" t="s">
        <v>47</v>
      </c>
      <c r="C1301" s="11" t="s">
        <v>48</v>
      </c>
      <c r="D1301" s="11" t="s">
        <v>651</v>
      </c>
      <c r="E1301" s="11" t="s">
        <v>623</v>
      </c>
      <c r="F1301" s="12" t="n">
        <v>26000.0</v>
      </c>
      <c r="G1301" s="13"/>
      <c r="H1301" s="14" t="s">
        <v>57</v>
      </c>
      <c r="I1301" s="13"/>
      <c r="J1301" s="14" t="s">
        <v>57</v>
      </c>
      <c r="K1301" s="13"/>
      <c r="L1301" s="14"/>
      <c r="M1301" s="13"/>
      <c r="N1301" s="14" t="s">
        <v>57</v>
      </c>
      <c r="O1301" s="13"/>
      <c r="P1301" s="14"/>
      <c r="Q1301" s="13"/>
      <c r="R1301" s="14" t="s">
        <v>57</v>
      </c>
      <c r="S1301" s="15" t="str">
        <f>"－"</f>
        <v>－</v>
      </c>
      <c r="T1301" s="16" t="str">
        <f>"－"</f>
        <v>－</v>
      </c>
      <c r="U1301" s="16"/>
      <c r="V1301" s="16" t="str">
        <f>"－"</f>
        <v>－</v>
      </c>
      <c r="W1301" s="16"/>
      <c r="X1301" s="16" t="str">
        <f>"－"</f>
        <v>－</v>
      </c>
      <c r="Y1301" s="13"/>
      <c r="Z1301" s="17" t="n">
        <f>225</f>
        <v>225.0</v>
      </c>
      <c r="AA1301" s="18" t="str">
        <f>"－"</f>
        <v>－</v>
      </c>
      <c r="AB1301" s="11" t="s">
        <v>624</v>
      </c>
    </row>
    <row r="1302">
      <c r="A1302" s="11" t="s">
        <v>46</v>
      </c>
      <c r="B1302" s="11" t="s">
        <v>47</v>
      </c>
      <c r="C1302" s="11" t="s">
        <v>48</v>
      </c>
      <c r="D1302" s="11" t="s">
        <v>651</v>
      </c>
      <c r="E1302" s="11" t="s">
        <v>623</v>
      </c>
      <c r="F1302" s="12" t="n">
        <v>27000.0</v>
      </c>
      <c r="G1302" s="13"/>
      <c r="H1302" s="14" t="s">
        <v>57</v>
      </c>
      <c r="I1302" s="13"/>
      <c r="J1302" s="14" t="s">
        <v>57</v>
      </c>
      <c r="K1302" s="13"/>
      <c r="L1302" s="14"/>
      <c r="M1302" s="13"/>
      <c r="N1302" s="14" t="s">
        <v>57</v>
      </c>
      <c r="O1302" s="13"/>
      <c r="P1302" s="14"/>
      <c r="Q1302" s="13"/>
      <c r="R1302" s="14" t="s">
        <v>57</v>
      </c>
      <c r="S1302" s="15" t="str">
        <f>"－"</f>
        <v>－</v>
      </c>
      <c r="T1302" s="16" t="str">
        <f>"－"</f>
        <v>－</v>
      </c>
      <c r="U1302" s="16"/>
      <c r="V1302" s="16" t="str">
        <f>"－"</f>
        <v>－</v>
      </c>
      <c r="W1302" s="16"/>
      <c r="X1302" s="16" t="str">
        <f>"－"</f>
        <v>－</v>
      </c>
      <c r="Y1302" s="13"/>
      <c r="Z1302" s="17" t="n">
        <f>100</f>
        <v>100.0</v>
      </c>
      <c r="AA1302" s="18" t="str">
        <f>"－"</f>
        <v>－</v>
      </c>
      <c r="AB1302" s="11" t="s">
        <v>624</v>
      </c>
    </row>
    <row r="1303">
      <c r="A1303" s="11" t="s">
        <v>46</v>
      </c>
      <c r="B1303" s="11" t="s">
        <v>47</v>
      </c>
      <c r="C1303" s="11" t="s">
        <v>48</v>
      </c>
      <c r="D1303" s="11" t="s">
        <v>651</v>
      </c>
      <c r="E1303" s="11" t="s">
        <v>623</v>
      </c>
      <c r="F1303" s="12" t="n">
        <v>28000.0</v>
      </c>
      <c r="G1303" s="13"/>
      <c r="H1303" s="14" t="s">
        <v>57</v>
      </c>
      <c r="I1303" s="13"/>
      <c r="J1303" s="14" t="s">
        <v>57</v>
      </c>
      <c r="K1303" s="13"/>
      <c r="L1303" s="14"/>
      <c r="M1303" s="13"/>
      <c r="N1303" s="14" t="s">
        <v>57</v>
      </c>
      <c r="O1303" s="13"/>
      <c r="P1303" s="14"/>
      <c r="Q1303" s="13"/>
      <c r="R1303" s="14" t="s">
        <v>57</v>
      </c>
      <c r="S1303" s="15" t="str">
        <f>"－"</f>
        <v>－</v>
      </c>
      <c r="T1303" s="16" t="str">
        <f>"－"</f>
        <v>－</v>
      </c>
      <c r="U1303" s="16"/>
      <c r="V1303" s="16" t="str">
        <f>"－"</f>
        <v>－</v>
      </c>
      <c r="W1303" s="16"/>
      <c r="X1303" s="16" t="str">
        <f>"－"</f>
        <v>－</v>
      </c>
      <c r="Y1303" s="13"/>
      <c r="Z1303" s="17" t="n">
        <f>11</f>
        <v>11.0</v>
      </c>
      <c r="AA1303" s="18" t="str">
        <f>"－"</f>
        <v>－</v>
      </c>
      <c r="AB1303" s="11" t="s">
        <v>624</v>
      </c>
    </row>
    <row r="1304">
      <c r="A1304" s="11" t="s">
        <v>46</v>
      </c>
      <c r="B1304" s="11" t="s">
        <v>47</v>
      </c>
      <c r="C1304" s="11" t="s">
        <v>48</v>
      </c>
      <c r="D1304" s="11" t="s">
        <v>651</v>
      </c>
      <c r="E1304" s="11" t="s">
        <v>623</v>
      </c>
      <c r="F1304" s="12" t="n">
        <v>30000.0</v>
      </c>
      <c r="G1304" s="13"/>
      <c r="H1304" s="14" t="s">
        <v>57</v>
      </c>
      <c r="I1304" s="13"/>
      <c r="J1304" s="14" t="s">
        <v>57</v>
      </c>
      <c r="K1304" s="13" t="s">
        <v>215</v>
      </c>
      <c r="L1304" s="14" t="s">
        <v>592</v>
      </c>
      <c r="M1304" s="13"/>
      <c r="N1304" s="14" t="s">
        <v>57</v>
      </c>
      <c r="O1304" s="13" t="s">
        <v>215</v>
      </c>
      <c r="P1304" s="14" t="s">
        <v>592</v>
      </c>
      <c r="Q1304" s="13"/>
      <c r="R1304" s="14" t="s">
        <v>57</v>
      </c>
      <c r="S1304" s="15" t="str">
        <f>"－"</f>
        <v>－</v>
      </c>
      <c r="T1304" s="16" t="n">
        <f>10</f>
        <v>10.0</v>
      </c>
      <c r="U1304" s="16" t="n">
        <v>10.0</v>
      </c>
      <c r="V1304" s="16" t="n">
        <f>32000000</f>
        <v>3.2E7</v>
      </c>
      <c r="W1304" s="16" t="n">
        <v>3.2E7</v>
      </c>
      <c r="X1304" s="16" t="str">
        <f>"－"</f>
        <v>－</v>
      </c>
      <c r="Y1304" s="13"/>
      <c r="Z1304" s="17" t="n">
        <f>10</f>
        <v>10.0</v>
      </c>
      <c r="AA1304" s="18" t="str">
        <f>"－"</f>
        <v>－</v>
      </c>
      <c r="AB1304" s="11" t="s">
        <v>624</v>
      </c>
    </row>
    <row r="1305">
      <c r="A1305" s="11" t="s">
        <v>46</v>
      </c>
      <c r="B1305" s="11" t="s">
        <v>47</v>
      </c>
      <c r="C1305" s="11" t="s">
        <v>48</v>
      </c>
      <c r="D1305" s="11" t="s">
        <v>651</v>
      </c>
      <c r="E1305" s="11" t="s">
        <v>626</v>
      </c>
      <c r="F1305" s="12" t="n">
        <v>17000.0</v>
      </c>
      <c r="G1305" s="13"/>
      <c r="H1305" s="14" t="s">
        <v>57</v>
      </c>
      <c r="I1305" s="13"/>
      <c r="J1305" s="14" t="s">
        <v>57</v>
      </c>
      <c r="K1305" s="13"/>
      <c r="L1305" s="14"/>
      <c r="M1305" s="13"/>
      <c r="N1305" s="14" t="s">
        <v>57</v>
      </c>
      <c r="O1305" s="13"/>
      <c r="P1305" s="14"/>
      <c r="Q1305" s="13"/>
      <c r="R1305" s="14" t="s">
        <v>57</v>
      </c>
      <c r="S1305" s="15" t="str">
        <f>"－"</f>
        <v>－</v>
      </c>
      <c r="T1305" s="16" t="str">
        <f>"－"</f>
        <v>－</v>
      </c>
      <c r="U1305" s="16"/>
      <c r="V1305" s="16" t="str">
        <f>"－"</f>
        <v>－</v>
      </c>
      <c r="W1305" s="16"/>
      <c r="X1305" s="16" t="str">
        <f>"－"</f>
        <v>－</v>
      </c>
      <c r="Y1305" s="13"/>
      <c r="Z1305" s="17" t="n">
        <f>300</f>
        <v>300.0</v>
      </c>
      <c r="AA1305" s="18" t="str">
        <f>"－"</f>
        <v>－</v>
      </c>
      <c r="AB1305" s="11" t="s">
        <v>627</v>
      </c>
    </row>
    <row r="1306">
      <c r="A1306" s="11" t="s">
        <v>46</v>
      </c>
      <c r="B1306" s="11" t="s">
        <v>47</v>
      </c>
      <c r="C1306" s="11" t="s">
        <v>48</v>
      </c>
      <c r="D1306" s="11" t="s">
        <v>651</v>
      </c>
      <c r="E1306" s="11" t="s">
        <v>626</v>
      </c>
      <c r="F1306" s="12" t="n">
        <v>17500.0</v>
      </c>
      <c r="G1306" s="13"/>
      <c r="H1306" s="14" t="s">
        <v>57</v>
      </c>
      <c r="I1306" s="13"/>
      <c r="J1306" s="14" t="s">
        <v>57</v>
      </c>
      <c r="K1306" s="13"/>
      <c r="L1306" s="14"/>
      <c r="M1306" s="13"/>
      <c r="N1306" s="14" t="s">
        <v>57</v>
      </c>
      <c r="O1306" s="13"/>
      <c r="P1306" s="14"/>
      <c r="Q1306" s="13"/>
      <c r="R1306" s="14" t="s">
        <v>57</v>
      </c>
      <c r="S1306" s="15" t="str">
        <f>"－"</f>
        <v>－</v>
      </c>
      <c r="T1306" s="16" t="str">
        <f>"－"</f>
        <v>－</v>
      </c>
      <c r="U1306" s="16"/>
      <c r="V1306" s="16" t="str">
        <f>"－"</f>
        <v>－</v>
      </c>
      <c r="W1306" s="16"/>
      <c r="X1306" s="16" t="str">
        <f>"－"</f>
        <v>－</v>
      </c>
      <c r="Y1306" s="13"/>
      <c r="Z1306" s="17" t="n">
        <f>250</f>
        <v>250.0</v>
      </c>
      <c r="AA1306" s="18" t="str">
        <f>"－"</f>
        <v>－</v>
      </c>
      <c r="AB1306" s="11" t="s">
        <v>627</v>
      </c>
    </row>
    <row r="1307">
      <c r="A1307" s="11" t="s">
        <v>46</v>
      </c>
      <c r="B1307" s="11" t="s">
        <v>47</v>
      </c>
      <c r="C1307" s="11" t="s">
        <v>48</v>
      </c>
      <c r="D1307" s="11" t="s">
        <v>651</v>
      </c>
      <c r="E1307" s="11" t="s">
        <v>626</v>
      </c>
      <c r="F1307" s="12" t="n">
        <v>19000.0</v>
      </c>
      <c r="G1307" s="13"/>
      <c r="H1307" s="14" t="s">
        <v>57</v>
      </c>
      <c r="I1307" s="13"/>
      <c r="J1307" s="14" t="s">
        <v>57</v>
      </c>
      <c r="K1307" s="13"/>
      <c r="L1307" s="14"/>
      <c r="M1307" s="13"/>
      <c r="N1307" s="14" t="s">
        <v>57</v>
      </c>
      <c r="O1307" s="13"/>
      <c r="P1307" s="14"/>
      <c r="Q1307" s="13"/>
      <c r="R1307" s="14" t="s">
        <v>57</v>
      </c>
      <c r="S1307" s="15" t="str">
        <f>"－"</f>
        <v>－</v>
      </c>
      <c r="T1307" s="16" t="str">
        <f>"－"</f>
        <v>－</v>
      </c>
      <c r="U1307" s="16"/>
      <c r="V1307" s="16" t="str">
        <f>"－"</f>
        <v>－</v>
      </c>
      <c r="W1307" s="16"/>
      <c r="X1307" s="16" t="str">
        <f>"－"</f>
        <v>－</v>
      </c>
      <c r="Y1307" s="13"/>
      <c r="Z1307" s="17" t="n">
        <f>100</f>
        <v>100.0</v>
      </c>
      <c r="AA1307" s="18" t="str">
        <f>"－"</f>
        <v>－</v>
      </c>
      <c r="AB1307" s="11" t="s">
        <v>627</v>
      </c>
    </row>
    <row r="1308">
      <c r="A1308" s="11" t="s">
        <v>46</v>
      </c>
      <c r="B1308" s="11" t="s">
        <v>47</v>
      </c>
      <c r="C1308" s="11" t="s">
        <v>48</v>
      </c>
      <c r="D1308" s="11" t="s">
        <v>651</v>
      </c>
      <c r="E1308" s="11" t="s">
        <v>626</v>
      </c>
      <c r="F1308" s="12" t="n">
        <v>19500.0</v>
      </c>
      <c r="G1308" s="13"/>
      <c r="H1308" s="14" t="s">
        <v>57</v>
      </c>
      <c r="I1308" s="13"/>
      <c r="J1308" s="14" t="s">
        <v>57</v>
      </c>
      <c r="K1308" s="13"/>
      <c r="L1308" s="14"/>
      <c r="M1308" s="13"/>
      <c r="N1308" s="14" t="s">
        <v>57</v>
      </c>
      <c r="O1308" s="13"/>
      <c r="P1308" s="14"/>
      <c r="Q1308" s="13"/>
      <c r="R1308" s="14" t="s">
        <v>57</v>
      </c>
      <c r="S1308" s="15" t="str">
        <f>"－"</f>
        <v>－</v>
      </c>
      <c r="T1308" s="16" t="str">
        <f>"－"</f>
        <v>－</v>
      </c>
      <c r="U1308" s="16"/>
      <c r="V1308" s="16" t="str">
        <f>"－"</f>
        <v>－</v>
      </c>
      <c r="W1308" s="16"/>
      <c r="X1308" s="16" t="str">
        <f>"－"</f>
        <v>－</v>
      </c>
      <c r="Y1308" s="13"/>
      <c r="Z1308" s="17" t="n">
        <f>100</f>
        <v>100.0</v>
      </c>
      <c r="AA1308" s="18" t="str">
        <f>"－"</f>
        <v>－</v>
      </c>
      <c r="AB1308" s="11" t="s">
        <v>627</v>
      </c>
    </row>
    <row r="1309">
      <c r="A1309" s="11" t="s">
        <v>46</v>
      </c>
      <c r="B1309" s="11" t="s">
        <v>47</v>
      </c>
      <c r="C1309" s="11" t="s">
        <v>48</v>
      </c>
      <c r="D1309" s="11" t="s">
        <v>651</v>
      </c>
      <c r="E1309" s="11" t="s">
        <v>626</v>
      </c>
      <c r="F1309" s="12" t="n">
        <v>20000.0</v>
      </c>
      <c r="G1309" s="13"/>
      <c r="H1309" s="14" t="s">
        <v>57</v>
      </c>
      <c r="I1309" s="13"/>
      <c r="J1309" s="14" t="s">
        <v>57</v>
      </c>
      <c r="K1309" s="13"/>
      <c r="L1309" s="14"/>
      <c r="M1309" s="13"/>
      <c r="N1309" s="14" t="s">
        <v>57</v>
      </c>
      <c r="O1309" s="13"/>
      <c r="P1309" s="14"/>
      <c r="Q1309" s="13"/>
      <c r="R1309" s="14" t="s">
        <v>57</v>
      </c>
      <c r="S1309" s="15" t="str">
        <f>"－"</f>
        <v>－</v>
      </c>
      <c r="T1309" s="16" t="str">
        <f>"－"</f>
        <v>－</v>
      </c>
      <c r="U1309" s="16"/>
      <c r="V1309" s="16" t="str">
        <f>"－"</f>
        <v>－</v>
      </c>
      <c r="W1309" s="16"/>
      <c r="X1309" s="16" t="str">
        <f>"－"</f>
        <v>－</v>
      </c>
      <c r="Y1309" s="13"/>
      <c r="Z1309" s="17" t="n">
        <f>634</f>
        <v>634.0</v>
      </c>
      <c r="AA1309" s="18" t="str">
        <f>"－"</f>
        <v>－</v>
      </c>
      <c r="AB1309" s="11" t="s">
        <v>627</v>
      </c>
    </row>
    <row r="1310">
      <c r="A1310" s="11" t="s">
        <v>46</v>
      </c>
      <c r="B1310" s="11" t="s">
        <v>47</v>
      </c>
      <c r="C1310" s="11" t="s">
        <v>48</v>
      </c>
      <c r="D1310" s="11" t="s">
        <v>651</v>
      </c>
      <c r="E1310" s="11" t="s">
        <v>626</v>
      </c>
      <c r="F1310" s="12" t="n">
        <v>20500.0</v>
      </c>
      <c r="G1310" s="13"/>
      <c r="H1310" s="14" t="s">
        <v>57</v>
      </c>
      <c r="I1310" s="13"/>
      <c r="J1310" s="14" t="s">
        <v>57</v>
      </c>
      <c r="K1310" s="13"/>
      <c r="L1310" s="14"/>
      <c r="M1310" s="13"/>
      <c r="N1310" s="14" t="s">
        <v>57</v>
      </c>
      <c r="O1310" s="13"/>
      <c r="P1310" s="14"/>
      <c r="Q1310" s="13"/>
      <c r="R1310" s="14" t="s">
        <v>57</v>
      </c>
      <c r="S1310" s="15" t="str">
        <f>"－"</f>
        <v>－</v>
      </c>
      <c r="T1310" s="16" t="str">
        <f>"－"</f>
        <v>－</v>
      </c>
      <c r="U1310" s="16"/>
      <c r="V1310" s="16" t="str">
        <f>"－"</f>
        <v>－</v>
      </c>
      <c r="W1310" s="16"/>
      <c r="X1310" s="16" t="str">
        <f>"－"</f>
        <v>－</v>
      </c>
      <c r="Y1310" s="13"/>
      <c r="Z1310" s="17" t="n">
        <f>625</f>
        <v>625.0</v>
      </c>
      <c r="AA1310" s="18" t="str">
        <f>"－"</f>
        <v>－</v>
      </c>
      <c r="AB1310" s="11" t="s">
        <v>627</v>
      </c>
    </row>
    <row r="1311">
      <c r="A1311" s="11" t="s">
        <v>46</v>
      </c>
      <c r="B1311" s="11" t="s">
        <v>47</v>
      </c>
      <c r="C1311" s="11" t="s">
        <v>48</v>
      </c>
      <c r="D1311" s="11" t="s">
        <v>651</v>
      </c>
      <c r="E1311" s="11" t="s">
        <v>626</v>
      </c>
      <c r="F1311" s="12" t="n">
        <v>21000.0</v>
      </c>
      <c r="G1311" s="13"/>
      <c r="H1311" s="14" t="s">
        <v>57</v>
      </c>
      <c r="I1311" s="13"/>
      <c r="J1311" s="14" t="s">
        <v>57</v>
      </c>
      <c r="K1311" s="13"/>
      <c r="L1311" s="14"/>
      <c r="M1311" s="13"/>
      <c r="N1311" s="14" t="s">
        <v>57</v>
      </c>
      <c r="O1311" s="13"/>
      <c r="P1311" s="14"/>
      <c r="Q1311" s="13"/>
      <c r="R1311" s="14" t="s">
        <v>57</v>
      </c>
      <c r="S1311" s="15" t="str">
        <f>"－"</f>
        <v>－</v>
      </c>
      <c r="T1311" s="16" t="str">
        <f>"－"</f>
        <v>－</v>
      </c>
      <c r="U1311" s="16"/>
      <c r="V1311" s="16" t="str">
        <f>"－"</f>
        <v>－</v>
      </c>
      <c r="W1311" s="16"/>
      <c r="X1311" s="16" t="str">
        <f>"－"</f>
        <v>－</v>
      </c>
      <c r="Y1311" s="13"/>
      <c r="Z1311" s="17" t="n">
        <f>915</f>
        <v>915.0</v>
      </c>
      <c r="AA1311" s="18" t="str">
        <f>"－"</f>
        <v>－</v>
      </c>
      <c r="AB1311" s="11" t="s">
        <v>627</v>
      </c>
    </row>
    <row r="1312">
      <c r="A1312" s="11" t="s">
        <v>46</v>
      </c>
      <c r="B1312" s="11" t="s">
        <v>47</v>
      </c>
      <c r="C1312" s="11" t="s">
        <v>48</v>
      </c>
      <c r="D1312" s="11" t="s">
        <v>651</v>
      </c>
      <c r="E1312" s="11" t="s">
        <v>626</v>
      </c>
      <c r="F1312" s="12" t="n">
        <v>21250.0</v>
      </c>
      <c r="G1312" s="13"/>
      <c r="H1312" s="14" t="s">
        <v>57</v>
      </c>
      <c r="I1312" s="13"/>
      <c r="J1312" s="14" t="s">
        <v>57</v>
      </c>
      <c r="K1312" s="13"/>
      <c r="L1312" s="14"/>
      <c r="M1312" s="13"/>
      <c r="N1312" s="14" t="s">
        <v>57</v>
      </c>
      <c r="O1312" s="13"/>
      <c r="P1312" s="14"/>
      <c r="Q1312" s="13"/>
      <c r="R1312" s="14" t="s">
        <v>57</v>
      </c>
      <c r="S1312" s="15" t="str">
        <f>"－"</f>
        <v>－</v>
      </c>
      <c r="T1312" s="16" t="str">
        <f>"－"</f>
        <v>－</v>
      </c>
      <c r="U1312" s="16"/>
      <c r="V1312" s="16" t="str">
        <f>"－"</f>
        <v>－</v>
      </c>
      <c r="W1312" s="16"/>
      <c r="X1312" s="16" t="str">
        <f>"－"</f>
        <v>－</v>
      </c>
      <c r="Y1312" s="13"/>
      <c r="Z1312" s="17" t="n">
        <f>250</f>
        <v>250.0</v>
      </c>
      <c r="AA1312" s="18" t="str">
        <f>"－"</f>
        <v>－</v>
      </c>
      <c r="AB1312" s="11" t="s">
        <v>627</v>
      </c>
    </row>
    <row r="1313">
      <c r="A1313" s="11" t="s">
        <v>46</v>
      </c>
      <c r="B1313" s="11" t="s">
        <v>47</v>
      </c>
      <c r="C1313" s="11" t="s">
        <v>48</v>
      </c>
      <c r="D1313" s="11" t="s">
        <v>651</v>
      </c>
      <c r="E1313" s="11" t="s">
        <v>626</v>
      </c>
      <c r="F1313" s="12" t="n">
        <v>21500.0</v>
      </c>
      <c r="G1313" s="13"/>
      <c r="H1313" s="14" t="s">
        <v>57</v>
      </c>
      <c r="I1313" s="13"/>
      <c r="J1313" s="14" t="s">
        <v>57</v>
      </c>
      <c r="K1313" s="13"/>
      <c r="L1313" s="14"/>
      <c r="M1313" s="13"/>
      <c r="N1313" s="14" t="s">
        <v>57</v>
      </c>
      <c r="O1313" s="13"/>
      <c r="P1313" s="14"/>
      <c r="Q1313" s="13"/>
      <c r="R1313" s="14" t="s">
        <v>57</v>
      </c>
      <c r="S1313" s="15" t="str">
        <f>"－"</f>
        <v>－</v>
      </c>
      <c r="T1313" s="16" t="str">
        <f>"－"</f>
        <v>－</v>
      </c>
      <c r="U1313" s="16"/>
      <c r="V1313" s="16" t="str">
        <f>"－"</f>
        <v>－</v>
      </c>
      <c r="W1313" s="16"/>
      <c r="X1313" s="16" t="str">
        <f>"－"</f>
        <v>－</v>
      </c>
      <c r="Y1313" s="13"/>
      <c r="Z1313" s="17" t="n">
        <f>300</f>
        <v>300.0</v>
      </c>
      <c r="AA1313" s="18" t="str">
        <f>"－"</f>
        <v>－</v>
      </c>
      <c r="AB1313" s="11" t="s">
        <v>627</v>
      </c>
    </row>
    <row r="1314">
      <c r="A1314" s="11" t="s">
        <v>46</v>
      </c>
      <c r="B1314" s="11" t="s">
        <v>47</v>
      </c>
      <c r="C1314" s="11" t="s">
        <v>48</v>
      </c>
      <c r="D1314" s="11" t="s">
        <v>651</v>
      </c>
      <c r="E1314" s="11" t="s">
        <v>626</v>
      </c>
      <c r="F1314" s="12" t="n">
        <v>21750.0</v>
      </c>
      <c r="G1314" s="13"/>
      <c r="H1314" s="14" t="s">
        <v>57</v>
      </c>
      <c r="I1314" s="13"/>
      <c r="J1314" s="14" t="s">
        <v>57</v>
      </c>
      <c r="K1314" s="13"/>
      <c r="L1314" s="14"/>
      <c r="M1314" s="13"/>
      <c r="N1314" s="14" t="s">
        <v>57</v>
      </c>
      <c r="O1314" s="13"/>
      <c r="P1314" s="14"/>
      <c r="Q1314" s="13"/>
      <c r="R1314" s="14" t="s">
        <v>57</v>
      </c>
      <c r="S1314" s="15" t="str">
        <f>"－"</f>
        <v>－</v>
      </c>
      <c r="T1314" s="16" t="str">
        <f>"－"</f>
        <v>－</v>
      </c>
      <c r="U1314" s="16"/>
      <c r="V1314" s="16" t="str">
        <f>"－"</f>
        <v>－</v>
      </c>
      <c r="W1314" s="16"/>
      <c r="X1314" s="16" t="str">
        <f>"－"</f>
        <v>－</v>
      </c>
      <c r="Y1314" s="13"/>
      <c r="Z1314" s="17" t="n">
        <f>250</f>
        <v>250.0</v>
      </c>
      <c r="AA1314" s="18" t="str">
        <f>"－"</f>
        <v>－</v>
      </c>
      <c r="AB1314" s="11" t="s">
        <v>627</v>
      </c>
    </row>
    <row r="1315">
      <c r="A1315" s="11" t="s">
        <v>46</v>
      </c>
      <c r="B1315" s="11" t="s">
        <v>47</v>
      </c>
      <c r="C1315" s="11" t="s">
        <v>48</v>
      </c>
      <c r="D1315" s="11" t="s">
        <v>651</v>
      </c>
      <c r="E1315" s="11" t="s">
        <v>626</v>
      </c>
      <c r="F1315" s="12" t="n">
        <v>22000.0</v>
      </c>
      <c r="G1315" s="13"/>
      <c r="H1315" s="14" t="s">
        <v>57</v>
      </c>
      <c r="I1315" s="13"/>
      <c r="J1315" s="14" t="s">
        <v>57</v>
      </c>
      <c r="K1315" s="13"/>
      <c r="L1315" s="14"/>
      <c r="M1315" s="13"/>
      <c r="N1315" s="14" t="s">
        <v>57</v>
      </c>
      <c r="O1315" s="13"/>
      <c r="P1315" s="14"/>
      <c r="Q1315" s="13"/>
      <c r="R1315" s="14" t="s">
        <v>57</v>
      </c>
      <c r="S1315" s="15" t="str">
        <f>"－"</f>
        <v>－</v>
      </c>
      <c r="T1315" s="16" t="str">
        <f>"－"</f>
        <v>－</v>
      </c>
      <c r="U1315" s="16"/>
      <c r="V1315" s="16" t="str">
        <f>"－"</f>
        <v>－</v>
      </c>
      <c r="W1315" s="16"/>
      <c r="X1315" s="16" t="str">
        <f>"－"</f>
        <v>－</v>
      </c>
      <c r="Y1315" s="13"/>
      <c r="Z1315" s="17" t="n">
        <f>475</f>
        <v>475.0</v>
      </c>
      <c r="AA1315" s="18" t="str">
        <f>"－"</f>
        <v>－</v>
      </c>
      <c r="AB1315" s="11" t="s">
        <v>627</v>
      </c>
    </row>
    <row r="1316">
      <c r="A1316" s="11" t="s">
        <v>46</v>
      </c>
      <c r="B1316" s="11" t="s">
        <v>47</v>
      </c>
      <c r="C1316" s="11" t="s">
        <v>48</v>
      </c>
      <c r="D1316" s="11" t="s">
        <v>651</v>
      </c>
      <c r="E1316" s="11" t="s">
        <v>626</v>
      </c>
      <c r="F1316" s="12" t="n">
        <v>22250.0</v>
      </c>
      <c r="G1316" s="13"/>
      <c r="H1316" s="14" t="s">
        <v>57</v>
      </c>
      <c r="I1316" s="13"/>
      <c r="J1316" s="14" t="s">
        <v>57</v>
      </c>
      <c r="K1316" s="13"/>
      <c r="L1316" s="14"/>
      <c r="M1316" s="13"/>
      <c r="N1316" s="14" t="s">
        <v>57</v>
      </c>
      <c r="O1316" s="13"/>
      <c r="P1316" s="14"/>
      <c r="Q1316" s="13"/>
      <c r="R1316" s="14" t="s">
        <v>57</v>
      </c>
      <c r="S1316" s="15" t="str">
        <f>"－"</f>
        <v>－</v>
      </c>
      <c r="T1316" s="16" t="str">
        <f>"－"</f>
        <v>－</v>
      </c>
      <c r="U1316" s="16"/>
      <c r="V1316" s="16" t="str">
        <f>"－"</f>
        <v>－</v>
      </c>
      <c r="W1316" s="16"/>
      <c r="X1316" s="16" t="str">
        <f>"－"</f>
        <v>－</v>
      </c>
      <c r="Y1316" s="13"/>
      <c r="Z1316" s="17" t="n">
        <f>100</f>
        <v>100.0</v>
      </c>
      <c r="AA1316" s="18" t="str">
        <f>"－"</f>
        <v>－</v>
      </c>
      <c r="AB1316" s="11" t="s">
        <v>627</v>
      </c>
    </row>
    <row r="1317">
      <c r="A1317" s="11" t="s">
        <v>46</v>
      </c>
      <c r="B1317" s="11" t="s">
        <v>47</v>
      </c>
      <c r="C1317" s="11" t="s">
        <v>48</v>
      </c>
      <c r="D1317" s="11" t="s">
        <v>651</v>
      </c>
      <c r="E1317" s="11" t="s">
        <v>626</v>
      </c>
      <c r="F1317" s="12" t="n">
        <v>22500.0</v>
      </c>
      <c r="G1317" s="13"/>
      <c r="H1317" s="14" t="s">
        <v>57</v>
      </c>
      <c r="I1317" s="13"/>
      <c r="J1317" s="14" t="s">
        <v>57</v>
      </c>
      <c r="K1317" s="13"/>
      <c r="L1317" s="14"/>
      <c r="M1317" s="13"/>
      <c r="N1317" s="14" t="s">
        <v>57</v>
      </c>
      <c r="O1317" s="13"/>
      <c r="P1317" s="14"/>
      <c r="Q1317" s="13"/>
      <c r="R1317" s="14" t="s">
        <v>57</v>
      </c>
      <c r="S1317" s="15" t="str">
        <f>"－"</f>
        <v>－</v>
      </c>
      <c r="T1317" s="16" t="str">
        <f>"－"</f>
        <v>－</v>
      </c>
      <c r="U1317" s="16"/>
      <c r="V1317" s="16" t="str">
        <f>"－"</f>
        <v>－</v>
      </c>
      <c r="W1317" s="16"/>
      <c r="X1317" s="16" t="str">
        <f>"－"</f>
        <v>－</v>
      </c>
      <c r="Y1317" s="13"/>
      <c r="Z1317" s="17" t="n">
        <f>550</f>
        <v>550.0</v>
      </c>
      <c r="AA1317" s="18" t="str">
        <f>"－"</f>
        <v>－</v>
      </c>
      <c r="AB1317" s="11" t="s">
        <v>627</v>
      </c>
    </row>
    <row r="1318">
      <c r="A1318" s="11" t="s">
        <v>46</v>
      </c>
      <c r="B1318" s="11" t="s">
        <v>47</v>
      </c>
      <c r="C1318" s="11" t="s">
        <v>48</v>
      </c>
      <c r="D1318" s="11" t="s">
        <v>651</v>
      </c>
      <c r="E1318" s="11" t="s">
        <v>626</v>
      </c>
      <c r="F1318" s="12" t="n">
        <v>23000.0</v>
      </c>
      <c r="G1318" s="13"/>
      <c r="H1318" s="14" t="s">
        <v>57</v>
      </c>
      <c r="I1318" s="13"/>
      <c r="J1318" s="14" t="s">
        <v>57</v>
      </c>
      <c r="K1318" s="13"/>
      <c r="L1318" s="14"/>
      <c r="M1318" s="13"/>
      <c r="N1318" s="14" t="s">
        <v>57</v>
      </c>
      <c r="O1318" s="13"/>
      <c r="P1318" s="14"/>
      <c r="Q1318" s="13"/>
      <c r="R1318" s="14" t="s">
        <v>57</v>
      </c>
      <c r="S1318" s="15" t="str">
        <f>"－"</f>
        <v>－</v>
      </c>
      <c r="T1318" s="16" t="str">
        <f>"－"</f>
        <v>－</v>
      </c>
      <c r="U1318" s="16"/>
      <c r="V1318" s="16" t="str">
        <f>"－"</f>
        <v>－</v>
      </c>
      <c r="W1318" s="16"/>
      <c r="X1318" s="16" t="str">
        <f>"－"</f>
        <v>－</v>
      </c>
      <c r="Y1318" s="13"/>
      <c r="Z1318" s="17" t="n">
        <f>550</f>
        <v>550.0</v>
      </c>
      <c r="AA1318" s="18" t="str">
        <f>"－"</f>
        <v>－</v>
      </c>
      <c r="AB1318" s="11" t="s">
        <v>627</v>
      </c>
    </row>
    <row r="1319">
      <c r="A1319" s="11" t="s">
        <v>46</v>
      </c>
      <c r="B1319" s="11" t="s">
        <v>47</v>
      </c>
      <c r="C1319" s="11" t="s">
        <v>48</v>
      </c>
      <c r="D1319" s="11" t="s">
        <v>651</v>
      </c>
      <c r="E1319" s="11" t="s">
        <v>626</v>
      </c>
      <c r="F1319" s="12" t="n">
        <v>23500.0</v>
      </c>
      <c r="G1319" s="13"/>
      <c r="H1319" s="14" t="s">
        <v>57</v>
      </c>
      <c r="I1319" s="13"/>
      <c r="J1319" s="14" t="s">
        <v>57</v>
      </c>
      <c r="K1319" s="13"/>
      <c r="L1319" s="14"/>
      <c r="M1319" s="13"/>
      <c r="N1319" s="14" t="s">
        <v>57</v>
      </c>
      <c r="O1319" s="13"/>
      <c r="P1319" s="14"/>
      <c r="Q1319" s="13"/>
      <c r="R1319" s="14" t="s">
        <v>57</v>
      </c>
      <c r="S1319" s="15" t="str">
        <f>"－"</f>
        <v>－</v>
      </c>
      <c r="T1319" s="16" t="str">
        <f>"－"</f>
        <v>－</v>
      </c>
      <c r="U1319" s="16"/>
      <c r="V1319" s="16" t="str">
        <f>"－"</f>
        <v>－</v>
      </c>
      <c r="W1319" s="16"/>
      <c r="X1319" s="16" t="str">
        <f>"－"</f>
        <v>－</v>
      </c>
      <c r="Y1319" s="13"/>
      <c r="Z1319" s="17" t="n">
        <f>775</f>
        <v>775.0</v>
      </c>
      <c r="AA1319" s="18" t="str">
        <f>"－"</f>
        <v>－</v>
      </c>
      <c r="AB1319" s="11" t="s">
        <v>627</v>
      </c>
    </row>
    <row r="1320">
      <c r="A1320" s="11" t="s">
        <v>46</v>
      </c>
      <c r="B1320" s="11" t="s">
        <v>47</v>
      </c>
      <c r="C1320" s="11" t="s">
        <v>48</v>
      </c>
      <c r="D1320" s="11" t="s">
        <v>651</v>
      </c>
      <c r="E1320" s="11" t="s">
        <v>626</v>
      </c>
      <c r="F1320" s="12" t="n">
        <v>24000.0</v>
      </c>
      <c r="G1320" s="13"/>
      <c r="H1320" s="14" t="s">
        <v>57</v>
      </c>
      <c r="I1320" s="13"/>
      <c r="J1320" s="14" t="s">
        <v>57</v>
      </c>
      <c r="K1320" s="13"/>
      <c r="L1320" s="14"/>
      <c r="M1320" s="13"/>
      <c r="N1320" s="14" t="s">
        <v>57</v>
      </c>
      <c r="O1320" s="13"/>
      <c r="P1320" s="14"/>
      <c r="Q1320" s="13"/>
      <c r="R1320" s="14" t="s">
        <v>57</v>
      </c>
      <c r="S1320" s="15" t="str">
        <f>"－"</f>
        <v>－</v>
      </c>
      <c r="T1320" s="16" t="str">
        <f>"－"</f>
        <v>－</v>
      </c>
      <c r="U1320" s="16"/>
      <c r="V1320" s="16" t="str">
        <f>"－"</f>
        <v>－</v>
      </c>
      <c r="W1320" s="16"/>
      <c r="X1320" s="16" t="str">
        <f>"－"</f>
        <v>－</v>
      </c>
      <c r="Y1320" s="13"/>
      <c r="Z1320" s="17" t="n">
        <f>1300</f>
        <v>1300.0</v>
      </c>
      <c r="AA1320" s="18" t="str">
        <f>"－"</f>
        <v>－</v>
      </c>
      <c r="AB1320" s="11" t="s">
        <v>627</v>
      </c>
    </row>
    <row r="1321">
      <c r="A1321" s="11" t="s">
        <v>46</v>
      </c>
      <c r="B1321" s="11" t="s">
        <v>47</v>
      </c>
      <c r="C1321" s="11" t="s">
        <v>48</v>
      </c>
      <c r="D1321" s="11" t="s">
        <v>651</v>
      </c>
      <c r="E1321" s="11" t="s">
        <v>626</v>
      </c>
      <c r="F1321" s="12" t="n">
        <v>24500.0</v>
      </c>
      <c r="G1321" s="13"/>
      <c r="H1321" s="14" t="s">
        <v>57</v>
      </c>
      <c r="I1321" s="13"/>
      <c r="J1321" s="14" t="s">
        <v>57</v>
      </c>
      <c r="K1321" s="13"/>
      <c r="L1321" s="14"/>
      <c r="M1321" s="13"/>
      <c r="N1321" s="14" t="s">
        <v>57</v>
      </c>
      <c r="O1321" s="13"/>
      <c r="P1321" s="14"/>
      <c r="Q1321" s="13"/>
      <c r="R1321" s="14" t="s">
        <v>57</v>
      </c>
      <c r="S1321" s="15" t="str">
        <f>"－"</f>
        <v>－</v>
      </c>
      <c r="T1321" s="16" t="str">
        <f>"－"</f>
        <v>－</v>
      </c>
      <c r="U1321" s="16"/>
      <c r="V1321" s="16" t="str">
        <f>"－"</f>
        <v>－</v>
      </c>
      <c r="W1321" s="16"/>
      <c r="X1321" s="16" t="str">
        <f>"－"</f>
        <v>－</v>
      </c>
      <c r="Y1321" s="13"/>
      <c r="Z1321" s="17" t="n">
        <f>300</f>
        <v>300.0</v>
      </c>
      <c r="AA1321" s="18" t="str">
        <f>"－"</f>
        <v>－</v>
      </c>
      <c r="AB1321" s="11" t="s">
        <v>627</v>
      </c>
    </row>
    <row r="1322">
      <c r="A1322" s="11" t="s">
        <v>46</v>
      </c>
      <c r="B1322" s="11" t="s">
        <v>47</v>
      </c>
      <c r="C1322" s="11" t="s">
        <v>48</v>
      </c>
      <c r="D1322" s="11" t="s">
        <v>651</v>
      </c>
      <c r="E1322" s="11" t="s">
        <v>626</v>
      </c>
      <c r="F1322" s="12" t="n">
        <v>25000.0</v>
      </c>
      <c r="G1322" s="13"/>
      <c r="H1322" s="14" t="s">
        <v>57</v>
      </c>
      <c r="I1322" s="13"/>
      <c r="J1322" s="14" t="s">
        <v>57</v>
      </c>
      <c r="K1322" s="13"/>
      <c r="L1322" s="14"/>
      <c r="M1322" s="13"/>
      <c r="N1322" s="14" t="s">
        <v>57</v>
      </c>
      <c r="O1322" s="13"/>
      <c r="P1322" s="14"/>
      <c r="Q1322" s="13"/>
      <c r="R1322" s="14" t="s">
        <v>57</v>
      </c>
      <c r="S1322" s="15" t="str">
        <f>"－"</f>
        <v>－</v>
      </c>
      <c r="T1322" s="16" t="str">
        <f>"－"</f>
        <v>－</v>
      </c>
      <c r="U1322" s="16"/>
      <c r="V1322" s="16" t="str">
        <f>"－"</f>
        <v>－</v>
      </c>
      <c r="W1322" s="16"/>
      <c r="X1322" s="16" t="str">
        <f>"－"</f>
        <v>－</v>
      </c>
      <c r="Y1322" s="13"/>
      <c r="Z1322" s="17" t="n">
        <f>1945</f>
        <v>1945.0</v>
      </c>
      <c r="AA1322" s="18" t="str">
        <f>"－"</f>
        <v>－</v>
      </c>
      <c r="AB1322" s="11" t="s">
        <v>627</v>
      </c>
    </row>
    <row r="1323">
      <c r="A1323" s="11" t="s">
        <v>46</v>
      </c>
      <c r="B1323" s="11" t="s">
        <v>47</v>
      </c>
      <c r="C1323" s="11" t="s">
        <v>48</v>
      </c>
      <c r="D1323" s="11" t="s">
        <v>651</v>
      </c>
      <c r="E1323" s="11" t="s">
        <v>626</v>
      </c>
      <c r="F1323" s="12" t="n">
        <v>26000.0</v>
      </c>
      <c r="G1323" s="13"/>
      <c r="H1323" s="14" t="s">
        <v>57</v>
      </c>
      <c r="I1323" s="13"/>
      <c r="J1323" s="14" t="s">
        <v>57</v>
      </c>
      <c r="K1323" s="13"/>
      <c r="L1323" s="14"/>
      <c r="M1323" s="13"/>
      <c r="N1323" s="14" t="s">
        <v>57</v>
      </c>
      <c r="O1323" s="13"/>
      <c r="P1323" s="14"/>
      <c r="Q1323" s="13"/>
      <c r="R1323" s="14" t="s">
        <v>57</v>
      </c>
      <c r="S1323" s="15" t="str">
        <f>"－"</f>
        <v>－</v>
      </c>
      <c r="T1323" s="16" t="str">
        <f>"－"</f>
        <v>－</v>
      </c>
      <c r="U1323" s="16"/>
      <c r="V1323" s="16" t="str">
        <f>"－"</f>
        <v>－</v>
      </c>
      <c r="W1323" s="16"/>
      <c r="X1323" s="16" t="str">
        <f>"－"</f>
        <v>－</v>
      </c>
      <c r="Y1323" s="13"/>
      <c r="Z1323" s="17" t="n">
        <f>970</f>
        <v>970.0</v>
      </c>
      <c r="AA1323" s="18" t="str">
        <f>"－"</f>
        <v>－</v>
      </c>
      <c r="AB1323" s="11" t="s">
        <v>627</v>
      </c>
    </row>
    <row r="1324">
      <c r="A1324" s="11" t="s">
        <v>46</v>
      </c>
      <c r="B1324" s="11" t="s">
        <v>47</v>
      </c>
      <c r="C1324" s="11" t="s">
        <v>48</v>
      </c>
      <c r="D1324" s="11" t="s">
        <v>651</v>
      </c>
      <c r="E1324" s="11" t="s">
        <v>626</v>
      </c>
      <c r="F1324" s="12" t="n">
        <v>26500.0</v>
      </c>
      <c r="G1324" s="13"/>
      <c r="H1324" s="14" t="s">
        <v>57</v>
      </c>
      <c r="I1324" s="13"/>
      <c r="J1324" s="14" t="s">
        <v>57</v>
      </c>
      <c r="K1324" s="13"/>
      <c r="L1324" s="14"/>
      <c r="M1324" s="13"/>
      <c r="N1324" s="14" t="s">
        <v>57</v>
      </c>
      <c r="O1324" s="13"/>
      <c r="P1324" s="14"/>
      <c r="Q1324" s="13"/>
      <c r="R1324" s="14" t="s">
        <v>57</v>
      </c>
      <c r="S1324" s="15" t="str">
        <f>"－"</f>
        <v>－</v>
      </c>
      <c r="T1324" s="16" t="str">
        <f>"－"</f>
        <v>－</v>
      </c>
      <c r="U1324" s="16"/>
      <c r="V1324" s="16" t="str">
        <f>"－"</f>
        <v>－</v>
      </c>
      <c r="W1324" s="16"/>
      <c r="X1324" s="16" t="str">
        <f>"－"</f>
        <v>－</v>
      </c>
      <c r="Y1324" s="13"/>
      <c r="Z1324" s="17" t="n">
        <f>75</f>
        <v>75.0</v>
      </c>
      <c r="AA1324" s="18" t="str">
        <f>"－"</f>
        <v>－</v>
      </c>
      <c r="AB1324" s="11" t="s">
        <v>627</v>
      </c>
    </row>
    <row r="1325">
      <c r="A1325" s="11" t="s">
        <v>46</v>
      </c>
      <c r="B1325" s="11" t="s">
        <v>47</v>
      </c>
      <c r="C1325" s="11" t="s">
        <v>48</v>
      </c>
      <c r="D1325" s="11" t="s">
        <v>651</v>
      </c>
      <c r="E1325" s="11" t="s">
        <v>626</v>
      </c>
      <c r="F1325" s="12" t="n">
        <v>27000.0</v>
      </c>
      <c r="G1325" s="13"/>
      <c r="H1325" s="14" t="s">
        <v>57</v>
      </c>
      <c r="I1325" s="13"/>
      <c r="J1325" s="14" t="s">
        <v>57</v>
      </c>
      <c r="K1325" s="13"/>
      <c r="L1325" s="14"/>
      <c r="M1325" s="13"/>
      <c r="N1325" s="14" t="s">
        <v>57</v>
      </c>
      <c r="O1325" s="13"/>
      <c r="P1325" s="14"/>
      <c r="Q1325" s="13"/>
      <c r="R1325" s="14" t="s">
        <v>57</v>
      </c>
      <c r="S1325" s="15" t="str">
        <f>"－"</f>
        <v>－</v>
      </c>
      <c r="T1325" s="16" t="str">
        <f>"－"</f>
        <v>－</v>
      </c>
      <c r="U1325" s="16"/>
      <c r="V1325" s="16" t="str">
        <f>"－"</f>
        <v>－</v>
      </c>
      <c r="W1325" s="16"/>
      <c r="X1325" s="16" t="str">
        <f>"－"</f>
        <v>－</v>
      </c>
      <c r="Y1325" s="13"/>
      <c r="Z1325" s="17" t="n">
        <f>1150</f>
        <v>1150.0</v>
      </c>
      <c r="AA1325" s="18" t="str">
        <f>"－"</f>
        <v>－</v>
      </c>
      <c r="AB1325" s="11" t="s">
        <v>627</v>
      </c>
    </row>
    <row r="1326">
      <c r="A1326" s="11" t="s">
        <v>46</v>
      </c>
      <c r="B1326" s="11" t="s">
        <v>47</v>
      </c>
      <c r="C1326" s="11" t="s">
        <v>48</v>
      </c>
      <c r="D1326" s="11" t="s">
        <v>651</v>
      </c>
      <c r="E1326" s="11" t="s">
        <v>626</v>
      </c>
      <c r="F1326" s="12" t="n">
        <v>28000.0</v>
      </c>
      <c r="G1326" s="13"/>
      <c r="H1326" s="14" t="s">
        <v>57</v>
      </c>
      <c r="I1326" s="13"/>
      <c r="J1326" s="14" t="s">
        <v>57</v>
      </c>
      <c r="K1326" s="13" t="s">
        <v>58</v>
      </c>
      <c r="L1326" s="14" t="s">
        <v>592</v>
      </c>
      <c r="M1326" s="13"/>
      <c r="N1326" s="14" t="s">
        <v>57</v>
      </c>
      <c r="O1326" s="13" t="s">
        <v>58</v>
      </c>
      <c r="P1326" s="14" t="s">
        <v>592</v>
      </c>
      <c r="Q1326" s="13"/>
      <c r="R1326" s="14" t="s">
        <v>57</v>
      </c>
      <c r="S1326" s="15" t="str">
        <f>"－"</f>
        <v>－</v>
      </c>
      <c r="T1326" s="16" t="n">
        <f>25</f>
        <v>25.0</v>
      </c>
      <c r="U1326" s="16" t="n">
        <v>25.0</v>
      </c>
      <c r="V1326" s="16" t="n">
        <f>80000000</f>
        <v>8.0E7</v>
      </c>
      <c r="W1326" s="16" t="n">
        <v>8.0E7</v>
      </c>
      <c r="X1326" s="16" t="str">
        <f>"－"</f>
        <v>－</v>
      </c>
      <c r="Y1326" s="13"/>
      <c r="Z1326" s="17" t="n">
        <f>535</f>
        <v>535.0</v>
      </c>
      <c r="AA1326" s="18" t="str">
        <f>"－"</f>
        <v>－</v>
      </c>
      <c r="AB1326" s="11" t="s">
        <v>627</v>
      </c>
    </row>
    <row r="1327">
      <c r="A1327" s="11" t="s">
        <v>46</v>
      </c>
      <c r="B1327" s="11" t="s">
        <v>47</v>
      </c>
      <c r="C1327" s="11" t="s">
        <v>48</v>
      </c>
      <c r="D1327" s="11" t="s">
        <v>651</v>
      </c>
      <c r="E1327" s="11" t="s">
        <v>626</v>
      </c>
      <c r="F1327" s="12" t="n">
        <v>29000.0</v>
      </c>
      <c r="G1327" s="13"/>
      <c r="H1327" s="14" t="s">
        <v>57</v>
      </c>
      <c r="I1327" s="13"/>
      <c r="J1327" s="14" t="s">
        <v>57</v>
      </c>
      <c r="K1327" s="13"/>
      <c r="L1327" s="14"/>
      <c r="M1327" s="13"/>
      <c r="N1327" s="14" t="s">
        <v>57</v>
      </c>
      <c r="O1327" s="13"/>
      <c r="P1327" s="14"/>
      <c r="Q1327" s="13"/>
      <c r="R1327" s="14" t="s">
        <v>57</v>
      </c>
      <c r="S1327" s="15" t="str">
        <f>"－"</f>
        <v>－</v>
      </c>
      <c r="T1327" s="16" t="str">
        <f>"－"</f>
        <v>－</v>
      </c>
      <c r="U1327" s="16"/>
      <c r="V1327" s="16" t="str">
        <f>"－"</f>
        <v>－</v>
      </c>
      <c r="W1327" s="16"/>
      <c r="X1327" s="16" t="str">
        <f>"－"</f>
        <v>－</v>
      </c>
      <c r="Y1327" s="13"/>
      <c r="Z1327" s="17" t="n">
        <f>200</f>
        <v>200.0</v>
      </c>
      <c r="AA1327" s="18" t="str">
        <f>"－"</f>
        <v>－</v>
      </c>
      <c r="AB1327" s="11" t="s">
        <v>627</v>
      </c>
    </row>
    <row r="1328">
      <c r="A1328" s="11" t="s">
        <v>46</v>
      </c>
      <c r="B1328" s="11" t="s">
        <v>47</v>
      </c>
      <c r="C1328" s="11" t="s">
        <v>48</v>
      </c>
      <c r="D1328" s="11" t="s">
        <v>651</v>
      </c>
      <c r="E1328" s="11" t="s">
        <v>626</v>
      </c>
      <c r="F1328" s="12" t="n">
        <v>30000.0</v>
      </c>
      <c r="G1328" s="13"/>
      <c r="H1328" s="14" t="s">
        <v>57</v>
      </c>
      <c r="I1328" s="13"/>
      <c r="J1328" s="14" t="s">
        <v>57</v>
      </c>
      <c r="K1328" s="13" t="s">
        <v>63</v>
      </c>
      <c r="L1328" s="14" t="s">
        <v>770</v>
      </c>
      <c r="M1328" s="13"/>
      <c r="N1328" s="14" t="s">
        <v>57</v>
      </c>
      <c r="O1328" s="13" t="s">
        <v>63</v>
      </c>
      <c r="P1328" s="14" t="s">
        <v>770</v>
      </c>
      <c r="Q1328" s="13"/>
      <c r="R1328" s="14" t="s">
        <v>57</v>
      </c>
      <c r="S1328" s="15" t="str">
        <f>"－"</f>
        <v>－</v>
      </c>
      <c r="T1328" s="16" t="n">
        <f>100</f>
        <v>100.0</v>
      </c>
      <c r="U1328" s="16" t="n">
        <v>100.0</v>
      </c>
      <c r="V1328" s="16" t="n">
        <f>250000000</f>
        <v>2.5E8</v>
      </c>
      <c r="W1328" s="16" t="n">
        <v>2.5E8</v>
      </c>
      <c r="X1328" s="16" t="str">
        <f>"－"</f>
        <v>－</v>
      </c>
      <c r="Y1328" s="13"/>
      <c r="Z1328" s="17" t="n">
        <f>900</f>
        <v>900.0</v>
      </c>
      <c r="AA1328" s="18" t="str">
        <f>"－"</f>
        <v>－</v>
      </c>
      <c r="AB1328" s="11" t="s">
        <v>627</v>
      </c>
    </row>
    <row r="1329">
      <c r="A1329" s="11" t="s">
        <v>46</v>
      </c>
      <c r="B1329" s="11" t="s">
        <v>47</v>
      </c>
      <c r="C1329" s="11" t="s">
        <v>48</v>
      </c>
      <c r="D1329" s="11" t="s">
        <v>651</v>
      </c>
      <c r="E1329" s="11" t="s">
        <v>626</v>
      </c>
      <c r="F1329" s="12" t="n">
        <v>32000.0</v>
      </c>
      <c r="G1329" s="13"/>
      <c r="H1329" s="14" t="s">
        <v>57</v>
      </c>
      <c r="I1329" s="13"/>
      <c r="J1329" s="14" t="s">
        <v>57</v>
      </c>
      <c r="K1329" s="13"/>
      <c r="L1329" s="14"/>
      <c r="M1329" s="13"/>
      <c r="N1329" s="14" t="s">
        <v>57</v>
      </c>
      <c r="O1329" s="13"/>
      <c r="P1329" s="14"/>
      <c r="Q1329" s="13"/>
      <c r="R1329" s="14" t="s">
        <v>57</v>
      </c>
      <c r="S1329" s="15" t="str">
        <f>"－"</f>
        <v>－</v>
      </c>
      <c r="T1329" s="16" t="str">
        <f>"－"</f>
        <v>－</v>
      </c>
      <c r="U1329" s="16"/>
      <c r="V1329" s="16" t="str">
        <f>"－"</f>
        <v>－</v>
      </c>
      <c r="W1329" s="16"/>
      <c r="X1329" s="16" t="str">
        <f>"－"</f>
        <v>－</v>
      </c>
      <c r="Y1329" s="13"/>
      <c r="Z1329" s="17" t="n">
        <f>400</f>
        <v>400.0</v>
      </c>
      <c r="AA1329" s="18" t="str">
        <f>"－"</f>
        <v>－</v>
      </c>
      <c r="AB1329" s="11" t="s">
        <v>627</v>
      </c>
    </row>
    <row r="1330">
      <c r="A1330" s="11" t="s">
        <v>46</v>
      </c>
      <c r="B1330" s="11" t="s">
        <v>47</v>
      </c>
      <c r="C1330" s="11" t="s">
        <v>48</v>
      </c>
      <c r="D1330" s="11" t="s">
        <v>651</v>
      </c>
      <c r="E1330" s="11" t="s">
        <v>626</v>
      </c>
      <c r="F1330" s="12" t="n">
        <v>32750.0</v>
      </c>
      <c r="G1330" s="13"/>
      <c r="H1330" s="14" t="s">
        <v>57</v>
      </c>
      <c r="I1330" s="13"/>
      <c r="J1330" s="14" t="s">
        <v>57</v>
      </c>
      <c r="K1330" s="13" t="s">
        <v>63</v>
      </c>
      <c r="L1330" s="14" t="s">
        <v>861</v>
      </c>
      <c r="M1330" s="13"/>
      <c r="N1330" s="14" t="s">
        <v>57</v>
      </c>
      <c r="O1330" s="13" t="s">
        <v>63</v>
      </c>
      <c r="P1330" s="14" t="s">
        <v>861</v>
      </c>
      <c r="Q1330" s="13"/>
      <c r="R1330" s="14" t="s">
        <v>57</v>
      </c>
      <c r="S1330" s="15" t="str">
        <f>"－"</f>
        <v>－</v>
      </c>
      <c r="T1330" s="16" t="n">
        <f>200</f>
        <v>200.0</v>
      </c>
      <c r="U1330" s="16" t="n">
        <v>200.0</v>
      </c>
      <c r="V1330" s="16" t="n">
        <f>343000000</f>
        <v>3.43E8</v>
      </c>
      <c r="W1330" s="16" t="n">
        <v>3.43E8</v>
      </c>
      <c r="X1330" s="16" t="str">
        <f>"－"</f>
        <v>－</v>
      </c>
      <c r="Y1330" s="13"/>
      <c r="Z1330" s="17" t="n">
        <f>200</f>
        <v>200.0</v>
      </c>
      <c r="AA1330" s="18" t="str">
        <f>"－"</f>
        <v>－</v>
      </c>
      <c r="AB1330" s="11" t="s">
        <v>627</v>
      </c>
    </row>
    <row r="1331">
      <c r="A1331" s="11" t="s">
        <v>46</v>
      </c>
      <c r="B1331" s="11" t="s">
        <v>47</v>
      </c>
      <c r="C1331" s="11" t="s">
        <v>48</v>
      </c>
      <c r="D1331" s="11" t="s">
        <v>651</v>
      </c>
      <c r="E1331" s="11" t="s">
        <v>626</v>
      </c>
      <c r="F1331" s="12" t="n">
        <v>33000.0</v>
      </c>
      <c r="G1331" s="13"/>
      <c r="H1331" s="14" t="s">
        <v>57</v>
      </c>
      <c r="I1331" s="13"/>
      <c r="J1331" s="14" t="s">
        <v>57</v>
      </c>
      <c r="K1331" s="13" t="s">
        <v>56</v>
      </c>
      <c r="L1331" s="14" t="s">
        <v>862</v>
      </c>
      <c r="M1331" s="13"/>
      <c r="N1331" s="14" t="s">
        <v>57</v>
      </c>
      <c r="O1331" s="13" t="s">
        <v>56</v>
      </c>
      <c r="P1331" s="14" t="s">
        <v>862</v>
      </c>
      <c r="Q1331" s="13"/>
      <c r="R1331" s="14" t="s">
        <v>57</v>
      </c>
      <c r="S1331" s="15" t="str">
        <f>"－"</f>
        <v>－</v>
      </c>
      <c r="T1331" s="16" t="n">
        <f>100</f>
        <v>100.0</v>
      </c>
      <c r="U1331" s="16" t="n">
        <v>100.0</v>
      </c>
      <c r="V1331" s="16" t="n">
        <f>181700000</f>
        <v>1.817E8</v>
      </c>
      <c r="W1331" s="16" t="n">
        <v>1.817E8</v>
      </c>
      <c r="X1331" s="16" t="str">
        <f>"－"</f>
        <v>－</v>
      </c>
      <c r="Y1331" s="13"/>
      <c r="Z1331" s="17" t="n">
        <f>100</f>
        <v>100.0</v>
      </c>
      <c r="AA1331" s="18" t="str">
        <f>"－"</f>
        <v>－</v>
      </c>
      <c r="AB1331" s="11" t="s">
        <v>627</v>
      </c>
    </row>
    <row r="1332">
      <c r="A1332" s="11" t="s">
        <v>46</v>
      </c>
      <c r="B1332" s="11" t="s">
        <v>47</v>
      </c>
      <c r="C1332" s="11" t="s">
        <v>48</v>
      </c>
      <c r="D1332" s="11" t="s">
        <v>651</v>
      </c>
      <c r="E1332" s="11" t="s">
        <v>638</v>
      </c>
      <c r="F1332" s="12" t="n">
        <v>18000.0</v>
      </c>
      <c r="G1332" s="13"/>
      <c r="H1332" s="14" t="s">
        <v>57</v>
      </c>
      <c r="I1332" s="13"/>
      <c r="J1332" s="14" t="s">
        <v>57</v>
      </c>
      <c r="K1332" s="13"/>
      <c r="L1332" s="14"/>
      <c r="M1332" s="13"/>
      <c r="N1332" s="14" t="s">
        <v>57</v>
      </c>
      <c r="O1332" s="13"/>
      <c r="P1332" s="14"/>
      <c r="Q1332" s="13"/>
      <c r="R1332" s="14" t="s">
        <v>57</v>
      </c>
      <c r="S1332" s="15" t="str">
        <f>"－"</f>
        <v>－</v>
      </c>
      <c r="T1332" s="16" t="str">
        <f>"－"</f>
        <v>－</v>
      </c>
      <c r="U1332" s="16"/>
      <c r="V1332" s="16" t="str">
        <f>"－"</f>
        <v>－</v>
      </c>
      <c r="W1332" s="16"/>
      <c r="X1332" s="16" t="str">
        <f>"－"</f>
        <v>－</v>
      </c>
      <c r="Y1332" s="13"/>
      <c r="Z1332" s="17" t="n">
        <f>100</f>
        <v>100.0</v>
      </c>
      <c r="AA1332" s="18" t="str">
        <f>"－"</f>
        <v>－</v>
      </c>
      <c r="AB1332" s="11" t="s">
        <v>639</v>
      </c>
    </row>
    <row r="1333">
      <c r="A1333" s="11" t="s">
        <v>46</v>
      </c>
      <c r="B1333" s="11" t="s">
        <v>47</v>
      </c>
      <c r="C1333" s="11" t="s">
        <v>48</v>
      </c>
      <c r="D1333" s="11" t="s">
        <v>651</v>
      </c>
      <c r="E1333" s="11" t="s">
        <v>638</v>
      </c>
      <c r="F1333" s="12" t="n">
        <v>20250.0</v>
      </c>
      <c r="G1333" s="13"/>
      <c r="H1333" s="14" t="s">
        <v>57</v>
      </c>
      <c r="I1333" s="13"/>
      <c r="J1333" s="14" t="s">
        <v>57</v>
      </c>
      <c r="K1333" s="13"/>
      <c r="L1333" s="14"/>
      <c r="M1333" s="13"/>
      <c r="N1333" s="14" t="s">
        <v>57</v>
      </c>
      <c r="O1333" s="13"/>
      <c r="P1333" s="14"/>
      <c r="Q1333" s="13"/>
      <c r="R1333" s="14" t="s">
        <v>57</v>
      </c>
      <c r="S1333" s="15" t="str">
        <f>"－"</f>
        <v>－</v>
      </c>
      <c r="T1333" s="16" t="str">
        <f>"－"</f>
        <v>－</v>
      </c>
      <c r="U1333" s="16"/>
      <c r="V1333" s="16" t="str">
        <f>"－"</f>
        <v>－</v>
      </c>
      <c r="W1333" s="16"/>
      <c r="X1333" s="16" t="str">
        <f>"－"</f>
        <v>－</v>
      </c>
      <c r="Y1333" s="13"/>
      <c r="Z1333" s="17" t="n">
        <f>50</f>
        <v>50.0</v>
      </c>
      <c r="AA1333" s="18" t="str">
        <f>"－"</f>
        <v>－</v>
      </c>
      <c r="AB1333" s="11" t="s">
        <v>639</v>
      </c>
    </row>
    <row r="1334">
      <c r="A1334" s="11" t="s">
        <v>46</v>
      </c>
      <c r="B1334" s="11" t="s">
        <v>47</v>
      </c>
      <c r="C1334" s="11" t="s">
        <v>48</v>
      </c>
      <c r="D1334" s="11" t="s">
        <v>651</v>
      </c>
      <c r="E1334" s="11" t="s">
        <v>638</v>
      </c>
      <c r="F1334" s="12" t="n">
        <v>20500.0</v>
      </c>
      <c r="G1334" s="13"/>
      <c r="H1334" s="14" t="s">
        <v>57</v>
      </c>
      <c r="I1334" s="13"/>
      <c r="J1334" s="14" t="s">
        <v>57</v>
      </c>
      <c r="K1334" s="13"/>
      <c r="L1334" s="14"/>
      <c r="M1334" s="13"/>
      <c r="N1334" s="14" t="s">
        <v>57</v>
      </c>
      <c r="O1334" s="13"/>
      <c r="P1334" s="14"/>
      <c r="Q1334" s="13"/>
      <c r="R1334" s="14" t="s">
        <v>57</v>
      </c>
      <c r="S1334" s="15" t="str">
        <f>"－"</f>
        <v>－</v>
      </c>
      <c r="T1334" s="16" t="str">
        <f>"－"</f>
        <v>－</v>
      </c>
      <c r="U1334" s="16"/>
      <c r="V1334" s="16" t="str">
        <f>"－"</f>
        <v>－</v>
      </c>
      <c r="W1334" s="16"/>
      <c r="X1334" s="16" t="str">
        <f>"－"</f>
        <v>－</v>
      </c>
      <c r="Y1334" s="13"/>
      <c r="Z1334" s="17" t="n">
        <f>325</f>
        <v>325.0</v>
      </c>
      <c r="AA1334" s="18" t="str">
        <f>"－"</f>
        <v>－</v>
      </c>
      <c r="AB1334" s="11" t="s">
        <v>639</v>
      </c>
    </row>
    <row r="1335">
      <c r="A1335" s="11" t="s">
        <v>46</v>
      </c>
      <c r="B1335" s="11" t="s">
        <v>47</v>
      </c>
      <c r="C1335" s="11" t="s">
        <v>48</v>
      </c>
      <c r="D1335" s="11" t="s">
        <v>651</v>
      </c>
      <c r="E1335" s="11" t="s">
        <v>640</v>
      </c>
      <c r="F1335" s="12" t="n">
        <v>15000.0</v>
      </c>
      <c r="G1335" s="13"/>
      <c r="H1335" s="14" t="s">
        <v>57</v>
      </c>
      <c r="I1335" s="13"/>
      <c r="J1335" s="14" t="s">
        <v>57</v>
      </c>
      <c r="K1335" s="13"/>
      <c r="L1335" s="14"/>
      <c r="M1335" s="13"/>
      <c r="N1335" s="14" t="s">
        <v>57</v>
      </c>
      <c r="O1335" s="13"/>
      <c r="P1335" s="14"/>
      <c r="Q1335" s="13"/>
      <c r="R1335" s="14" t="s">
        <v>57</v>
      </c>
      <c r="S1335" s="15" t="str">
        <f>"－"</f>
        <v>－</v>
      </c>
      <c r="T1335" s="16" t="str">
        <f>"－"</f>
        <v>－</v>
      </c>
      <c r="U1335" s="16"/>
      <c r="V1335" s="16" t="str">
        <f>"－"</f>
        <v>－</v>
      </c>
      <c r="W1335" s="16"/>
      <c r="X1335" s="16" t="str">
        <f>"－"</f>
        <v>－</v>
      </c>
      <c r="Y1335" s="13"/>
      <c r="Z1335" s="17" t="n">
        <f>50</f>
        <v>50.0</v>
      </c>
      <c r="AA1335" s="18" t="str">
        <f>"－"</f>
        <v>－</v>
      </c>
      <c r="AB1335" s="11" t="s">
        <v>641</v>
      </c>
    </row>
    <row r="1336">
      <c r="A1336" s="11" t="s">
        <v>46</v>
      </c>
      <c r="B1336" s="11" t="s">
        <v>47</v>
      </c>
      <c r="C1336" s="11" t="s">
        <v>48</v>
      </c>
      <c r="D1336" s="11" t="s">
        <v>651</v>
      </c>
      <c r="E1336" s="11" t="s">
        <v>640</v>
      </c>
      <c r="F1336" s="12" t="n">
        <v>17000.0</v>
      </c>
      <c r="G1336" s="13"/>
      <c r="H1336" s="14" t="s">
        <v>57</v>
      </c>
      <c r="I1336" s="13"/>
      <c r="J1336" s="14" t="s">
        <v>57</v>
      </c>
      <c r="K1336" s="13"/>
      <c r="L1336" s="14"/>
      <c r="M1336" s="13"/>
      <c r="N1336" s="14" t="s">
        <v>57</v>
      </c>
      <c r="O1336" s="13"/>
      <c r="P1336" s="14"/>
      <c r="Q1336" s="13"/>
      <c r="R1336" s="14" t="s">
        <v>57</v>
      </c>
      <c r="S1336" s="15" t="str">
        <f>"－"</f>
        <v>－</v>
      </c>
      <c r="T1336" s="16" t="str">
        <f>"－"</f>
        <v>－</v>
      </c>
      <c r="U1336" s="16"/>
      <c r="V1336" s="16" t="str">
        <f>"－"</f>
        <v>－</v>
      </c>
      <c r="W1336" s="16"/>
      <c r="X1336" s="16" t="str">
        <f>"－"</f>
        <v>－</v>
      </c>
      <c r="Y1336" s="13"/>
      <c r="Z1336" s="17" t="n">
        <f>150</f>
        <v>150.0</v>
      </c>
      <c r="AA1336" s="18" t="str">
        <f>"－"</f>
        <v>－</v>
      </c>
      <c r="AB1336" s="11" t="s">
        <v>641</v>
      </c>
    </row>
    <row r="1337">
      <c r="A1337" s="11" t="s">
        <v>46</v>
      </c>
      <c r="B1337" s="11" t="s">
        <v>47</v>
      </c>
      <c r="C1337" s="11" t="s">
        <v>48</v>
      </c>
      <c r="D1337" s="11" t="s">
        <v>651</v>
      </c>
      <c r="E1337" s="11" t="s">
        <v>640</v>
      </c>
      <c r="F1337" s="12" t="n">
        <v>17500.0</v>
      </c>
      <c r="G1337" s="13"/>
      <c r="H1337" s="14" t="s">
        <v>57</v>
      </c>
      <c r="I1337" s="13"/>
      <c r="J1337" s="14" t="s">
        <v>57</v>
      </c>
      <c r="K1337" s="13"/>
      <c r="L1337" s="14"/>
      <c r="M1337" s="13"/>
      <c r="N1337" s="14" t="s">
        <v>57</v>
      </c>
      <c r="O1337" s="13"/>
      <c r="P1337" s="14"/>
      <c r="Q1337" s="13"/>
      <c r="R1337" s="14" t="s">
        <v>57</v>
      </c>
      <c r="S1337" s="15" t="str">
        <f>"－"</f>
        <v>－</v>
      </c>
      <c r="T1337" s="16" t="str">
        <f>"－"</f>
        <v>－</v>
      </c>
      <c r="U1337" s="16"/>
      <c r="V1337" s="16" t="str">
        <f>"－"</f>
        <v>－</v>
      </c>
      <c r="W1337" s="16"/>
      <c r="X1337" s="16" t="str">
        <f>"－"</f>
        <v>－</v>
      </c>
      <c r="Y1337" s="13"/>
      <c r="Z1337" s="17" t="n">
        <f>50</f>
        <v>50.0</v>
      </c>
      <c r="AA1337" s="18" t="str">
        <f>"－"</f>
        <v>－</v>
      </c>
      <c r="AB1337" s="11" t="s">
        <v>641</v>
      </c>
    </row>
    <row r="1338">
      <c r="A1338" s="11" t="s">
        <v>46</v>
      </c>
      <c r="B1338" s="11" t="s">
        <v>47</v>
      </c>
      <c r="C1338" s="11" t="s">
        <v>48</v>
      </c>
      <c r="D1338" s="11" t="s">
        <v>651</v>
      </c>
      <c r="E1338" s="11" t="s">
        <v>640</v>
      </c>
      <c r="F1338" s="12" t="n">
        <v>18000.0</v>
      </c>
      <c r="G1338" s="13"/>
      <c r="H1338" s="14" t="s">
        <v>57</v>
      </c>
      <c r="I1338" s="13"/>
      <c r="J1338" s="14" t="s">
        <v>57</v>
      </c>
      <c r="K1338" s="13"/>
      <c r="L1338" s="14"/>
      <c r="M1338" s="13"/>
      <c r="N1338" s="14" t="s">
        <v>57</v>
      </c>
      <c r="O1338" s="13"/>
      <c r="P1338" s="14"/>
      <c r="Q1338" s="13"/>
      <c r="R1338" s="14" t="s">
        <v>57</v>
      </c>
      <c r="S1338" s="15" t="str">
        <f>"－"</f>
        <v>－</v>
      </c>
      <c r="T1338" s="16" t="str">
        <f>"－"</f>
        <v>－</v>
      </c>
      <c r="U1338" s="16"/>
      <c r="V1338" s="16" t="str">
        <f>"－"</f>
        <v>－</v>
      </c>
      <c r="W1338" s="16"/>
      <c r="X1338" s="16" t="str">
        <f>"－"</f>
        <v>－</v>
      </c>
      <c r="Y1338" s="13"/>
      <c r="Z1338" s="17" t="n">
        <f>350</f>
        <v>350.0</v>
      </c>
      <c r="AA1338" s="18" t="str">
        <f>"－"</f>
        <v>－</v>
      </c>
      <c r="AB1338" s="11" t="s">
        <v>641</v>
      </c>
    </row>
    <row r="1339">
      <c r="A1339" s="11" t="s">
        <v>46</v>
      </c>
      <c r="B1339" s="11" t="s">
        <v>47</v>
      </c>
      <c r="C1339" s="11" t="s">
        <v>48</v>
      </c>
      <c r="D1339" s="11" t="s">
        <v>651</v>
      </c>
      <c r="E1339" s="11" t="s">
        <v>640</v>
      </c>
      <c r="F1339" s="12" t="n">
        <v>19000.0</v>
      </c>
      <c r="G1339" s="13"/>
      <c r="H1339" s="14" t="s">
        <v>57</v>
      </c>
      <c r="I1339" s="13"/>
      <c r="J1339" s="14" t="s">
        <v>57</v>
      </c>
      <c r="K1339" s="13"/>
      <c r="L1339" s="14"/>
      <c r="M1339" s="13"/>
      <c r="N1339" s="14" t="s">
        <v>57</v>
      </c>
      <c r="O1339" s="13"/>
      <c r="P1339" s="14"/>
      <c r="Q1339" s="13"/>
      <c r="R1339" s="14" t="s">
        <v>57</v>
      </c>
      <c r="S1339" s="15" t="str">
        <f>"－"</f>
        <v>－</v>
      </c>
      <c r="T1339" s="16" t="str">
        <f>"－"</f>
        <v>－</v>
      </c>
      <c r="U1339" s="16"/>
      <c r="V1339" s="16" t="str">
        <f>"－"</f>
        <v>－</v>
      </c>
      <c r="W1339" s="16"/>
      <c r="X1339" s="16" t="str">
        <f>"－"</f>
        <v>－</v>
      </c>
      <c r="Y1339" s="13"/>
      <c r="Z1339" s="17" t="n">
        <f>175</f>
        <v>175.0</v>
      </c>
      <c r="AA1339" s="18" t="str">
        <f>"－"</f>
        <v>－</v>
      </c>
      <c r="AB1339" s="11" t="s">
        <v>641</v>
      </c>
    </row>
    <row r="1340">
      <c r="A1340" s="11" t="s">
        <v>46</v>
      </c>
      <c r="B1340" s="11" t="s">
        <v>47</v>
      </c>
      <c r="C1340" s="11" t="s">
        <v>48</v>
      </c>
      <c r="D1340" s="11" t="s">
        <v>651</v>
      </c>
      <c r="E1340" s="11" t="s">
        <v>640</v>
      </c>
      <c r="F1340" s="12" t="n">
        <v>19500.0</v>
      </c>
      <c r="G1340" s="13"/>
      <c r="H1340" s="14" t="s">
        <v>57</v>
      </c>
      <c r="I1340" s="13"/>
      <c r="J1340" s="14" t="s">
        <v>57</v>
      </c>
      <c r="K1340" s="13"/>
      <c r="L1340" s="14"/>
      <c r="M1340" s="13"/>
      <c r="N1340" s="14" t="s">
        <v>57</v>
      </c>
      <c r="O1340" s="13"/>
      <c r="P1340" s="14"/>
      <c r="Q1340" s="13"/>
      <c r="R1340" s="14" t="s">
        <v>57</v>
      </c>
      <c r="S1340" s="15" t="str">
        <f>"－"</f>
        <v>－</v>
      </c>
      <c r="T1340" s="16" t="str">
        <f>"－"</f>
        <v>－</v>
      </c>
      <c r="U1340" s="16"/>
      <c r="V1340" s="16" t="str">
        <f>"－"</f>
        <v>－</v>
      </c>
      <c r="W1340" s="16"/>
      <c r="X1340" s="16" t="str">
        <f>"－"</f>
        <v>－</v>
      </c>
      <c r="Y1340" s="13"/>
      <c r="Z1340" s="17" t="n">
        <f>500</f>
        <v>500.0</v>
      </c>
      <c r="AA1340" s="18" t="str">
        <f>"－"</f>
        <v>－</v>
      </c>
      <c r="AB1340" s="11" t="s">
        <v>641</v>
      </c>
    </row>
    <row r="1341">
      <c r="A1341" s="11" t="s">
        <v>46</v>
      </c>
      <c r="B1341" s="11" t="s">
        <v>47</v>
      </c>
      <c r="C1341" s="11" t="s">
        <v>48</v>
      </c>
      <c r="D1341" s="11" t="s">
        <v>651</v>
      </c>
      <c r="E1341" s="11" t="s">
        <v>640</v>
      </c>
      <c r="F1341" s="12" t="n">
        <v>20000.0</v>
      </c>
      <c r="G1341" s="13"/>
      <c r="H1341" s="14" t="s">
        <v>57</v>
      </c>
      <c r="I1341" s="13"/>
      <c r="J1341" s="14" t="s">
        <v>57</v>
      </c>
      <c r="K1341" s="13"/>
      <c r="L1341" s="14"/>
      <c r="M1341" s="13"/>
      <c r="N1341" s="14" t="s">
        <v>57</v>
      </c>
      <c r="O1341" s="13"/>
      <c r="P1341" s="14"/>
      <c r="Q1341" s="13"/>
      <c r="R1341" s="14" t="s">
        <v>57</v>
      </c>
      <c r="S1341" s="15" t="str">
        <f>"－"</f>
        <v>－</v>
      </c>
      <c r="T1341" s="16" t="str">
        <f>"－"</f>
        <v>－</v>
      </c>
      <c r="U1341" s="16"/>
      <c r="V1341" s="16" t="str">
        <f>"－"</f>
        <v>－</v>
      </c>
      <c r="W1341" s="16"/>
      <c r="X1341" s="16" t="str">
        <f>"－"</f>
        <v>－</v>
      </c>
      <c r="Y1341" s="13"/>
      <c r="Z1341" s="17" t="n">
        <f>50</f>
        <v>50.0</v>
      </c>
      <c r="AA1341" s="18" t="str">
        <f>"－"</f>
        <v>－</v>
      </c>
      <c r="AB1341" s="11" t="s">
        <v>641</v>
      </c>
    </row>
    <row r="1342">
      <c r="A1342" s="11" t="s">
        <v>46</v>
      </c>
      <c r="B1342" s="11" t="s">
        <v>47</v>
      </c>
      <c r="C1342" s="11" t="s">
        <v>48</v>
      </c>
      <c r="D1342" s="11" t="s">
        <v>651</v>
      </c>
      <c r="E1342" s="11" t="s">
        <v>640</v>
      </c>
      <c r="F1342" s="12" t="n">
        <v>21000.0</v>
      </c>
      <c r="G1342" s="13"/>
      <c r="H1342" s="14" t="s">
        <v>57</v>
      </c>
      <c r="I1342" s="13"/>
      <c r="J1342" s="14" t="s">
        <v>57</v>
      </c>
      <c r="K1342" s="13"/>
      <c r="L1342" s="14"/>
      <c r="M1342" s="13"/>
      <c r="N1342" s="14" t="s">
        <v>57</v>
      </c>
      <c r="O1342" s="13"/>
      <c r="P1342" s="14"/>
      <c r="Q1342" s="13"/>
      <c r="R1342" s="14" t="s">
        <v>57</v>
      </c>
      <c r="S1342" s="15" t="str">
        <f>"－"</f>
        <v>－</v>
      </c>
      <c r="T1342" s="16" t="str">
        <f>"－"</f>
        <v>－</v>
      </c>
      <c r="U1342" s="16"/>
      <c r="V1342" s="16" t="str">
        <f>"－"</f>
        <v>－</v>
      </c>
      <c r="W1342" s="16"/>
      <c r="X1342" s="16" t="str">
        <f>"－"</f>
        <v>－</v>
      </c>
      <c r="Y1342" s="13"/>
      <c r="Z1342" s="17" t="n">
        <f>430</f>
        <v>430.0</v>
      </c>
      <c r="AA1342" s="18" t="str">
        <f>"－"</f>
        <v>－</v>
      </c>
      <c r="AB1342" s="11" t="s">
        <v>641</v>
      </c>
    </row>
    <row r="1343">
      <c r="A1343" s="11" t="s">
        <v>46</v>
      </c>
      <c r="B1343" s="11" t="s">
        <v>47</v>
      </c>
      <c r="C1343" s="11" t="s">
        <v>48</v>
      </c>
      <c r="D1343" s="11" t="s">
        <v>651</v>
      </c>
      <c r="E1343" s="11" t="s">
        <v>640</v>
      </c>
      <c r="F1343" s="12" t="n">
        <v>21500.0</v>
      </c>
      <c r="G1343" s="13"/>
      <c r="H1343" s="14" t="s">
        <v>57</v>
      </c>
      <c r="I1343" s="13"/>
      <c r="J1343" s="14" t="s">
        <v>57</v>
      </c>
      <c r="K1343" s="13"/>
      <c r="L1343" s="14"/>
      <c r="M1343" s="13"/>
      <c r="N1343" s="14" t="s">
        <v>57</v>
      </c>
      <c r="O1343" s="13"/>
      <c r="P1343" s="14"/>
      <c r="Q1343" s="13"/>
      <c r="R1343" s="14" t="s">
        <v>57</v>
      </c>
      <c r="S1343" s="15" t="str">
        <f>"－"</f>
        <v>－</v>
      </c>
      <c r="T1343" s="16" t="str">
        <f>"－"</f>
        <v>－</v>
      </c>
      <c r="U1343" s="16"/>
      <c r="V1343" s="16" t="str">
        <f>"－"</f>
        <v>－</v>
      </c>
      <c r="W1343" s="16"/>
      <c r="X1343" s="16" t="str">
        <f>"－"</f>
        <v>－</v>
      </c>
      <c r="Y1343" s="13"/>
      <c r="Z1343" s="17" t="n">
        <f>50</f>
        <v>50.0</v>
      </c>
      <c r="AA1343" s="18" t="str">
        <f>"－"</f>
        <v>－</v>
      </c>
      <c r="AB1343" s="11" t="s">
        <v>641</v>
      </c>
    </row>
    <row r="1344">
      <c r="A1344" s="11" t="s">
        <v>46</v>
      </c>
      <c r="B1344" s="11" t="s">
        <v>47</v>
      </c>
      <c r="C1344" s="11" t="s">
        <v>48</v>
      </c>
      <c r="D1344" s="11" t="s">
        <v>651</v>
      </c>
      <c r="E1344" s="11" t="s">
        <v>640</v>
      </c>
      <c r="F1344" s="12" t="n">
        <v>22000.0</v>
      </c>
      <c r="G1344" s="13"/>
      <c r="H1344" s="14" t="s">
        <v>57</v>
      </c>
      <c r="I1344" s="13"/>
      <c r="J1344" s="14" t="s">
        <v>57</v>
      </c>
      <c r="K1344" s="13"/>
      <c r="L1344" s="14"/>
      <c r="M1344" s="13"/>
      <c r="N1344" s="14" t="s">
        <v>57</v>
      </c>
      <c r="O1344" s="13"/>
      <c r="P1344" s="14"/>
      <c r="Q1344" s="13"/>
      <c r="R1344" s="14" t="s">
        <v>57</v>
      </c>
      <c r="S1344" s="15" t="str">
        <f>"－"</f>
        <v>－</v>
      </c>
      <c r="T1344" s="16" t="str">
        <f>"－"</f>
        <v>－</v>
      </c>
      <c r="U1344" s="16"/>
      <c r="V1344" s="16" t="str">
        <f>"－"</f>
        <v>－</v>
      </c>
      <c r="W1344" s="16"/>
      <c r="X1344" s="16" t="str">
        <f>"－"</f>
        <v>－</v>
      </c>
      <c r="Y1344" s="13"/>
      <c r="Z1344" s="17" t="n">
        <f>550</f>
        <v>550.0</v>
      </c>
      <c r="AA1344" s="18" t="str">
        <f>"－"</f>
        <v>－</v>
      </c>
      <c r="AB1344" s="11" t="s">
        <v>641</v>
      </c>
    </row>
    <row r="1345">
      <c r="A1345" s="11" t="s">
        <v>46</v>
      </c>
      <c r="B1345" s="11" t="s">
        <v>47</v>
      </c>
      <c r="C1345" s="11" t="s">
        <v>48</v>
      </c>
      <c r="D1345" s="11" t="s">
        <v>651</v>
      </c>
      <c r="E1345" s="11" t="s">
        <v>640</v>
      </c>
      <c r="F1345" s="12" t="n">
        <v>22250.0</v>
      </c>
      <c r="G1345" s="13"/>
      <c r="H1345" s="14" t="s">
        <v>57</v>
      </c>
      <c r="I1345" s="13"/>
      <c r="J1345" s="14" t="s">
        <v>57</v>
      </c>
      <c r="K1345" s="13"/>
      <c r="L1345" s="14"/>
      <c r="M1345" s="13"/>
      <c r="N1345" s="14" t="s">
        <v>57</v>
      </c>
      <c r="O1345" s="13"/>
      <c r="P1345" s="14"/>
      <c r="Q1345" s="13"/>
      <c r="R1345" s="14" t="s">
        <v>57</v>
      </c>
      <c r="S1345" s="15" t="str">
        <f>"－"</f>
        <v>－</v>
      </c>
      <c r="T1345" s="16" t="str">
        <f>"－"</f>
        <v>－</v>
      </c>
      <c r="U1345" s="16"/>
      <c r="V1345" s="16" t="str">
        <f>"－"</f>
        <v>－</v>
      </c>
      <c r="W1345" s="16"/>
      <c r="X1345" s="16" t="str">
        <f>"－"</f>
        <v>－</v>
      </c>
      <c r="Y1345" s="13"/>
      <c r="Z1345" s="17" t="n">
        <f>250</f>
        <v>250.0</v>
      </c>
      <c r="AA1345" s="18" t="str">
        <f>"－"</f>
        <v>－</v>
      </c>
      <c r="AB1345" s="11" t="s">
        <v>641</v>
      </c>
    </row>
    <row r="1346">
      <c r="A1346" s="11" t="s">
        <v>46</v>
      </c>
      <c r="B1346" s="11" t="s">
        <v>47</v>
      </c>
      <c r="C1346" s="11" t="s">
        <v>48</v>
      </c>
      <c r="D1346" s="11" t="s">
        <v>651</v>
      </c>
      <c r="E1346" s="11" t="s">
        <v>640</v>
      </c>
      <c r="F1346" s="12" t="n">
        <v>22500.0</v>
      </c>
      <c r="G1346" s="13"/>
      <c r="H1346" s="14" t="s">
        <v>57</v>
      </c>
      <c r="I1346" s="13"/>
      <c r="J1346" s="14" t="s">
        <v>57</v>
      </c>
      <c r="K1346" s="13"/>
      <c r="L1346" s="14"/>
      <c r="M1346" s="13"/>
      <c r="N1346" s="14" t="s">
        <v>57</v>
      </c>
      <c r="O1346" s="13"/>
      <c r="P1346" s="14"/>
      <c r="Q1346" s="13"/>
      <c r="R1346" s="14" t="s">
        <v>57</v>
      </c>
      <c r="S1346" s="15" t="str">
        <f>"－"</f>
        <v>－</v>
      </c>
      <c r="T1346" s="16" t="str">
        <f>"－"</f>
        <v>－</v>
      </c>
      <c r="U1346" s="16"/>
      <c r="V1346" s="16" t="str">
        <f>"－"</f>
        <v>－</v>
      </c>
      <c r="W1346" s="16"/>
      <c r="X1346" s="16" t="str">
        <f>"－"</f>
        <v>－</v>
      </c>
      <c r="Y1346" s="13"/>
      <c r="Z1346" s="17" t="n">
        <f>150</f>
        <v>150.0</v>
      </c>
      <c r="AA1346" s="18" t="str">
        <f>"－"</f>
        <v>－</v>
      </c>
      <c r="AB1346" s="11" t="s">
        <v>641</v>
      </c>
    </row>
    <row r="1347">
      <c r="A1347" s="11" t="s">
        <v>46</v>
      </c>
      <c r="B1347" s="11" t="s">
        <v>47</v>
      </c>
      <c r="C1347" s="11" t="s">
        <v>48</v>
      </c>
      <c r="D1347" s="11" t="s">
        <v>651</v>
      </c>
      <c r="E1347" s="11" t="s">
        <v>640</v>
      </c>
      <c r="F1347" s="12" t="n">
        <v>22750.0</v>
      </c>
      <c r="G1347" s="13"/>
      <c r="H1347" s="14" t="s">
        <v>57</v>
      </c>
      <c r="I1347" s="13"/>
      <c r="J1347" s="14" t="s">
        <v>57</v>
      </c>
      <c r="K1347" s="13"/>
      <c r="L1347" s="14"/>
      <c r="M1347" s="13"/>
      <c r="N1347" s="14" t="s">
        <v>57</v>
      </c>
      <c r="O1347" s="13"/>
      <c r="P1347" s="14"/>
      <c r="Q1347" s="13"/>
      <c r="R1347" s="14" t="s">
        <v>57</v>
      </c>
      <c r="S1347" s="15" t="str">
        <f>"－"</f>
        <v>－</v>
      </c>
      <c r="T1347" s="16" t="str">
        <f>"－"</f>
        <v>－</v>
      </c>
      <c r="U1347" s="16"/>
      <c r="V1347" s="16" t="str">
        <f>"－"</f>
        <v>－</v>
      </c>
      <c r="W1347" s="16"/>
      <c r="X1347" s="16" t="str">
        <f>"－"</f>
        <v>－</v>
      </c>
      <c r="Y1347" s="13"/>
      <c r="Z1347" s="17" t="n">
        <f>150</f>
        <v>150.0</v>
      </c>
      <c r="AA1347" s="18" t="str">
        <f>"－"</f>
        <v>－</v>
      </c>
      <c r="AB1347" s="11" t="s">
        <v>641</v>
      </c>
    </row>
    <row r="1348">
      <c r="A1348" s="11" t="s">
        <v>46</v>
      </c>
      <c r="B1348" s="11" t="s">
        <v>47</v>
      </c>
      <c r="C1348" s="11" t="s">
        <v>48</v>
      </c>
      <c r="D1348" s="11" t="s">
        <v>651</v>
      </c>
      <c r="E1348" s="11" t="s">
        <v>640</v>
      </c>
      <c r="F1348" s="12" t="n">
        <v>23000.0</v>
      </c>
      <c r="G1348" s="13"/>
      <c r="H1348" s="14" t="s">
        <v>57</v>
      </c>
      <c r="I1348" s="13"/>
      <c r="J1348" s="14" t="s">
        <v>57</v>
      </c>
      <c r="K1348" s="13"/>
      <c r="L1348" s="14"/>
      <c r="M1348" s="13"/>
      <c r="N1348" s="14" t="s">
        <v>57</v>
      </c>
      <c r="O1348" s="13"/>
      <c r="P1348" s="14"/>
      <c r="Q1348" s="13"/>
      <c r="R1348" s="14" t="s">
        <v>57</v>
      </c>
      <c r="S1348" s="15" t="str">
        <f>"－"</f>
        <v>－</v>
      </c>
      <c r="T1348" s="16" t="str">
        <f>"－"</f>
        <v>－</v>
      </c>
      <c r="U1348" s="16"/>
      <c r="V1348" s="16" t="str">
        <f>"－"</f>
        <v>－</v>
      </c>
      <c r="W1348" s="16"/>
      <c r="X1348" s="16" t="str">
        <f>"－"</f>
        <v>－</v>
      </c>
      <c r="Y1348" s="13"/>
      <c r="Z1348" s="17" t="n">
        <f>252</f>
        <v>252.0</v>
      </c>
      <c r="AA1348" s="18" t="str">
        <f>"－"</f>
        <v>－</v>
      </c>
      <c r="AB1348" s="11" t="s">
        <v>641</v>
      </c>
    </row>
    <row r="1349">
      <c r="A1349" s="11" t="s">
        <v>46</v>
      </c>
      <c r="B1349" s="11" t="s">
        <v>47</v>
      </c>
      <c r="C1349" s="11" t="s">
        <v>48</v>
      </c>
      <c r="D1349" s="11" t="s">
        <v>651</v>
      </c>
      <c r="E1349" s="11" t="s">
        <v>640</v>
      </c>
      <c r="F1349" s="12" t="n">
        <v>23250.0</v>
      </c>
      <c r="G1349" s="13"/>
      <c r="H1349" s="14" t="s">
        <v>57</v>
      </c>
      <c r="I1349" s="13"/>
      <c r="J1349" s="14" t="s">
        <v>57</v>
      </c>
      <c r="K1349" s="13"/>
      <c r="L1349" s="14"/>
      <c r="M1349" s="13"/>
      <c r="N1349" s="14" t="s">
        <v>57</v>
      </c>
      <c r="O1349" s="13"/>
      <c r="P1349" s="14"/>
      <c r="Q1349" s="13"/>
      <c r="R1349" s="14" t="s">
        <v>57</v>
      </c>
      <c r="S1349" s="15" t="str">
        <f>"－"</f>
        <v>－</v>
      </c>
      <c r="T1349" s="16" t="str">
        <f>"－"</f>
        <v>－</v>
      </c>
      <c r="U1349" s="16"/>
      <c r="V1349" s="16" t="str">
        <f>"－"</f>
        <v>－</v>
      </c>
      <c r="W1349" s="16"/>
      <c r="X1349" s="16" t="str">
        <f>"－"</f>
        <v>－</v>
      </c>
      <c r="Y1349" s="13"/>
      <c r="Z1349" s="17" t="n">
        <f>50</f>
        <v>50.0</v>
      </c>
      <c r="AA1349" s="18" t="str">
        <f>"－"</f>
        <v>－</v>
      </c>
      <c r="AB1349" s="11" t="s">
        <v>641</v>
      </c>
    </row>
    <row r="1350">
      <c r="A1350" s="11" t="s">
        <v>46</v>
      </c>
      <c r="B1350" s="11" t="s">
        <v>47</v>
      </c>
      <c r="C1350" s="11" t="s">
        <v>48</v>
      </c>
      <c r="D1350" s="11" t="s">
        <v>651</v>
      </c>
      <c r="E1350" s="11" t="s">
        <v>640</v>
      </c>
      <c r="F1350" s="12" t="n">
        <v>23500.0</v>
      </c>
      <c r="G1350" s="13"/>
      <c r="H1350" s="14" t="s">
        <v>57</v>
      </c>
      <c r="I1350" s="13"/>
      <c r="J1350" s="14" t="s">
        <v>57</v>
      </c>
      <c r="K1350" s="13"/>
      <c r="L1350" s="14"/>
      <c r="M1350" s="13"/>
      <c r="N1350" s="14" t="s">
        <v>57</v>
      </c>
      <c r="O1350" s="13"/>
      <c r="P1350" s="14"/>
      <c r="Q1350" s="13"/>
      <c r="R1350" s="14" t="s">
        <v>57</v>
      </c>
      <c r="S1350" s="15" t="str">
        <f>"－"</f>
        <v>－</v>
      </c>
      <c r="T1350" s="16" t="str">
        <f>"－"</f>
        <v>－</v>
      </c>
      <c r="U1350" s="16"/>
      <c r="V1350" s="16" t="str">
        <f>"－"</f>
        <v>－</v>
      </c>
      <c r="W1350" s="16"/>
      <c r="X1350" s="16" t="str">
        <f>"－"</f>
        <v>－</v>
      </c>
      <c r="Y1350" s="13"/>
      <c r="Z1350" s="17" t="n">
        <f>550</f>
        <v>550.0</v>
      </c>
      <c r="AA1350" s="18" t="str">
        <f>"－"</f>
        <v>－</v>
      </c>
      <c r="AB1350" s="11" t="s">
        <v>641</v>
      </c>
    </row>
    <row r="1351">
      <c r="A1351" s="11" t="s">
        <v>46</v>
      </c>
      <c r="B1351" s="11" t="s">
        <v>47</v>
      </c>
      <c r="C1351" s="11" t="s">
        <v>48</v>
      </c>
      <c r="D1351" s="11" t="s">
        <v>651</v>
      </c>
      <c r="E1351" s="11" t="s">
        <v>640</v>
      </c>
      <c r="F1351" s="12" t="n">
        <v>24000.0</v>
      </c>
      <c r="G1351" s="13"/>
      <c r="H1351" s="14" t="s">
        <v>57</v>
      </c>
      <c r="I1351" s="13"/>
      <c r="J1351" s="14" t="s">
        <v>57</v>
      </c>
      <c r="K1351" s="13"/>
      <c r="L1351" s="14"/>
      <c r="M1351" s="13"/>
      <c r="N1351" s="14" t="s">
        <v>57</v>
      </c>
      <c r="O1351" s="13"/>
      <c r="P1351" s="14"/>
      <c r="Q1351" s="13"/>
      <c r="R1351" s="14" t="s">
        <v>57</v>
      </c>
      <c r="S1351" s="15" t="str">
        <f>"－"</f>
        <v>－</v>
      </c>
      <c r="T1351" s="16" t="str">
        <f>"－"</f>
        <v>－</v>
      </c>
      <c r="U1351" s="16"/>
      <c r="V1351" s="16" t="str">
        <f>"－"</f>
        <v>－</v>
      </c>
      <c r="W1351" s="16"/>
      <c r="X1351" s="16" t="str">
        <f>"－"</f>
        <v>－</v>
      </c>
      <c r="Y1351" s="13"/>
      <c r="Z1351" s="17" t="n">
        <f>540</f>
        <v>540.0</v>
      </c>
      <c r="AA1351" s="18" t="str">
        <f>"－"</f>
        <v>－</v>
      </c>
      <c r="AB1351" s="11" t="s">
        <v>641</v>
      </c>
    </row>
    <row r="1352">
      <c r="A1352" s="11" t="s">
        <v>46</v>
      </c>
      <c r="B1352" s="11" t="s">
        <v>47</v>
      </c>
      <c r="C1352" s="11" t="s">
        <v>48</v>
      </c>
      <c r="D1352" s="11" t="s">
        <v>651</v>
      </c>
      <c r="E1352" s="11" t="s">
        <v>640</v>
      </c>
      <c r="F1352" s="12" t="n">
        <v>25000.0</v>
      </c>
      <c r="G1352" s="13"/>
      <c r="H1352" s="14" t="s">
        <v>57</v>
      </c>
      <c r="I1352" s="13"/>
      <c r="J1352" s="14" t="s">
        <v>57</v>
      </c>
      <c r="K1352" s="13"/>
      <c r="L1352" s="14"/>
      <c r="M1352" s="13"/>
      <c r="N1352" s="14" t="s">
        <v>57</v>
      </c>
      <c r="O1352" s="13"/>
      <c r="P1352" s="14"/>
      <c r="Q1352" s="13"/>
      <c r="R1352" s="14" t="s">
        <v>57</v>
      </c>
      <c r="S1352" s="15" t="str">
        <f>"－"</f>
        <v>－</v>
      </c>
      <c r="T1352" s="16" t="str">
        <f>"－"</f>
        <v>－</v>
      </c>
      <c r="U1352" s="16"/>
      <c r="V1352" s="16" t="str">
        <f>"－"</f>
        <v>－</v>
      </c>
      <c r="W1352" s="16"/>
      <c r="X1352" s="16" t="str">
        <f>"－"</f>
        <v>－</v>
      </c>
      <c r="Y1352" s="13"/>
      <c r="Z1352" s="17" t="n">
        <f>450</f>
        <v>450.0</v>
      </c>
      <c r="AA1352" s="18" t="str">
        <f>"－"</f>
        <v>－</v>
      </c>
      <c r="AB1352" s="11" t="s">
        <v>641</v>
      </c>
    </row>
    <row r="1353">
      <c r="A1353" s="11" t="s">
        <v>46</v>
      </c>
      <c r="B1353" s="11" t="s">
        <v>47</v>
      </c>
      <c r="C1353" s="11" t="s">
        <v>48</v>
      </c>
      <c r="D1353" s="11" t="s">
        <v>651</v>
      </c>
      <c r="E1353" s="11" t="s">
        <v>640</v>
      </c>
      <c r="F1353" s="12" t="n">
        <v>26000.0</v>
      </c>
      <c r="G1353" s="13"/>
      <c r="H1353" s="14" t="s">
        <v>57</v>
      </c>
      <c r="I1353" s="13"/>
      <c r="J1353" s="14" t="s">
        <v>57</v>
      </c>
      <c r="K1353" s="13"/>
      <c r="L1353" s="14"/>
      <c r="M1353" s="13"/>
      <c r="N1353" s="14" t="s">
        <v>57</v>
      </c>
      <c r="O1353" s="13"/>
      <c r="P1353" s="14"/>
      <c r="Q1353" s="13"/>
      <c r="R1353" s="14" t="s">
        <v>57</v>
      </c>
      <c r="S1353" s="15" t="str">
        <f>"－"</f>
        <v>－</v>
      </c>
      <c r="T1353" s="16" t="str">
        <f>"－"</f>
        <v>－</v>
      </c>
      <c r="U1353" s="16"/>
      <c r="V1353" s="16" t="str">
        <f>"－"</f>
        <v>－</v>
      </c>
      <c r="W1353" s="16"/>
      <c r="X1353" s="16" t="str">
        <f>"－"</f>
        <v>－</v>
      </c>
      <c r="Y1353" s="13"/>
      <c r="Z1353" s="17" t="n">
        <f>1200</f>
        <v>1200.0</v>
      </c>
      <c r="AA1353" s="18" t="str">
        <f>"－"</f>
        <v>－</v>
      </c>
      <c r="AB1353" s="11" t="s">
        <v>641</v>
      </c>
    </row>
    <row r="1354">
      <c r="A1354" s="11" t="s">
        <v>46</v>
      </c>
      <c r="B1354" s="11" t="s">
        <v>47</v>
      </c>
      <c r="C1354" s="11" t="s">
        <v>48</v>
      </c>
      <c r="D1354" s="11" t="s">
        <v>651</v>
      </c>
      <c r="E1354" s="11" t="s">
        <v>640</v>
      </c>
      <c r="F1354" s="12" t="n">
        <v>28000.0</v>
      </c>
      <c r="G1354" s="13"/>
      <c r="H1354" s="14" t="s">
        <v>57</v>
      </c>
      <c r="I1354" s="13"/>
      <c r="J1354" s="14" t="s">
        <v>57</v>
      </c>
      <c r="K1354" s="13"/>
      <c r="L1354" s="14"/>
      <c r="M1354" s="13"/>
      <c r="N1354" s="14" t="s">
        <v>57</v>
      </c>
      <c r="O1354" s="13"/>
      <c r="P1354" s="14"/>
      <c r="Q1354" s="13"/>
      <c r="R1354" s="14" t="s">
        <v>57</v>
      </c>
      <c r="S1354" s="15" t="str">
        <f>"－"</f>
        <v>－</v>
      </c>
      <c r="T1354" s="16" t="str">
        <f>"－"</f>
        <v>－</v>
      </c>
      <c r="U1354" s="16"/>
      <c r="V1354" s="16" t="str">
        <f>"－"</f>
        <v>－</v>
      </c>
      <c r="W1354" s="16"/>
      <c r="X1354" s="16" t="str">
        <f>"－"</f>
        <v>－</v>
      </c>
      <c r="Y1354" s="13"/>
      <c r="Z1354" s="17" t="n">
        <f>100</f>
        <v>100.0</v>
      </c>
      <c r="AA1354" s="18" t="str">
        <f>"－"</f>
        <v>－</v>
      </c>
      <c r="AB1354" s="11" t="s">
        <v>641</v>
      </c>
    </row>
    <row r="1355">
      <c r="A1355" s="11" t="s">
        <v>46</v>
      </c>
      <c r="B1355" s="11" t="s">
        <v>47</v>
      </c>
      <c r="C1355" s="11" t="s">
        <v>48</v>
      </c>
      <c r="D1355" s="11" t="s">
        <v>651</v>
      </c>
      <c r="E1355" s="11" t="s">
        <v>640</v>
      </c>
      <c r="F1355" s="12" t="n">
        <v>28250.0</v>
      </c>
      <c r="G1355" s="13"/>
      <c r="H1355" s="14" t="s">
        <v>57</v>
      </c>
      <c r="I1355" s="13"/>
      <c r="J1355" s="14" t="s">
        <v>57</v>
      </c>
      <c r="K1355" s="13"/>
      <c r="L1355" s="14"/>
      <c r="M1355" s="13"/>
      <c r="N1355" s="14" t="s">
        <v>57</v>
      </c>
      <c r="O1355" s="13"/>
      <c r="P1355" s="14"/>
      <c r="Q1355" s="13"/>
      <c r="R1355" s="14" t="s">
        <v>57</v>
      </c>
      <c r="S1355" s="15" t="str">
        <f>"－"</f>
        <v>－</v>
      </c>
      <c r="T1355" s="16" t="str">
        <f>"－"</f>
        <v>－</v>
      </c>
      <c r="U1355" s="16"/>
      <c r="V1355" s="16" t="str">
        <f>"－"</f>
        <v>－</v>
      </c>
      <c r="W1355" s="16"/>
      <c r="X1355" s="16" t="str">
        <f>"－"</f>
        <v>－</v>
      </c>
      <c r="Y1355" s="13"/>
      <c r="Z1355" s="17" t="n">
        <f>10</f>
        <v>10.0</v>
      </c>
      <c r="AA1355" s="18" t="str">
        <f>"－"</f>
        <v>－</v>
      </c>
      <c r="AB1355" s="11" t="s">
        <v>641</v>
      </c>
    </row>
    <row r="1356">
      <c r="A1356" s="11" t="s">
        <v>46</v>
      </c>
      <c r="B1356" s="11" t="s">
        <v>47</v>
      </c>
      <c r="C1356" s="11" t="s">
        <v>48</v>
      </c>
      <c r="D1356" s="11" t="s">
        <v>651</v>
      </c>
      <c r="E1356" s="11" t="s">
        <v>640</v>
      </c>
      <c r="F1356" s="12" t="n">
        <v>28500.0</v>
      </c>
      <c r="G1356" s="13"/>
      <c r="H1356" s="14" t="s">
        <v>57</v>
      </c>
      <c r="I1356" s="13"/>
      <c r="J1356" s="14" t="s">
        <v>57</v>
      </c>
      <c r="K1356" s="13"/>
      <c r="L1356" s="14"/>
      <c r="M1356" s="13"/>
      <c r="N1356" s="14" t="s">
        <v>57</v>
      </c>
      <c r="O1356" s="13"/>
      <c r="P1356" s="14"/>
      <c r="Q1356" s="13"/>
      <c r="R1356" s="14" t="s">
        <v>57</v>
      </c>
      <c r="S1356" s="15" t="str">
        <f>"－"</f>
        <v>－</v>
      </c>
      <c r="T1356" s="16" t="str">
        <f>"－"</f>
        <v>－</v>
      </c>
      <c r="U1356" s="16"/>
      <c r="V1356" s="16" t="str">
        <f>"－"</f>
        <v>－</v>
      </c>
      <c r="W1356" s="16"/>
      <c r="X1356" s="16" t="str">
        <f>"－"</f>
        <v>－</v>
      </c>
      <c r="Y1356" s="13"/>
      <c r="Z1356" s="17" t="n">
        <f>100</f>
        <v>100.0</v>
      </c>
      <c r="AA1356" s="18" t="str">
        <f>"－"</f>
        <v>－</v>
      </c>
      <c r="AB1356" s="11" t="s">
        <v>641</v>
      </c>
    </row>
    <row r="1357">
      <c r="A1357" s="11" t="s">
        <v>46</v>
      </c>
      <c r="B1357" s="11" t="s">
        <v>47</v>
      </c>
      <c r="C1357" s="11" t="s">
        <v>48</v>
      </c>
      <c r="D1357" s="11" t="s">
        <v>651</v>
      </c>
      <c r="E1357" s="11" t="s">
        <v>640</v>
      </c>
      <c r="F1357" s="12" t="n">
        <v>30000.0</v>
      </c>
      <c r="G1357" s="13"/>
      <c r="H1357" s="14" t="s">
        <v>57</v>
      </c>
      <c r="I1357" s="13"/>
      <c r="J1357" s="14" t="s">
        <v>57</v>
      </c>
      <c r="K1357" s="13"/>
      <c r="L1357" s="14"/>
      <c r="M1357" s="13"/>
      <c r="N1357" s="14" t="s">
        <v>57</v>
      </c>
      <c r="O1357" s="13"/>
      <c r="P1357" s="14"/>
      <c r="Q1357" s="13"/>
      <c r="R1357" s="14" t="s">
        <v>57</v>
      </c>
      <c r="S1357" s="15" t="str">
        <f>"－"</f>
        <v>－</v>
      </c>
      <c r="T1357" s="16" t="str">
        <f>"－"</f>
        <v>－</v>
      </c>
      <c r="U1357" s="16"/>
      <c r="V1357" s="16" t="str">
        <f>"－"</f>
        <v>－</v>
      </c>
      <c r="W1357" s="16"/>
      <c r="X1357" s="16" t="str">
        <f>"－"</f>
        <v>－</v>
      </c>
      <c r="Y1357" s="13"/>
      <c r="Z1357" s="17" t="n">
        <f>375</f>
        <v>375.0</v>
      </c>
      <c r="AA1357" s="18" t="str">
        <f>"－"</f>
        <v>－</v>
      </c>
      <c r="AB1357" s="11" t="s">
        <v>641</v>
      </c>
    </row>
    <row r="1358">
      <c r="A1358" s="11" t="s">
        <v>46</v>
      </c>
      <c r="B1358" s="11" t="s">
        <v>47</v>
      </c>
      <c r="C1358" s="11" t="s">
        <v>48</v>
      </c>
      <c r="D1358" s="11" t="s">
        <v>651</v>
      </c>
      <c r="E1358" s="11" t="s">
        <v>640</v>
      </c>
      <c r="F1358" s="12" t="n">
        <v>31000.0</v>
      </c>
      <c r="G1358" s="13"/>
      <c r="H1358" s="14" t="s">
        <v>57</v>
      </c>
      <c r="I1358" s="13"/>
      <c r="J1358" s="14" t="s">
        <v>57</v>
      </c>
      <c r="K1358" s="13"/>
      <c r="L1358" s="14"/>
      <c r="M1358" s="13"/>
      <c r="N1358" s="14" t="s">
        <v>57</v>
      </c>
      <c r="O1358" s="13"/>
      <c r="P1358" s="14"/>
      <c r="Q1358" s="13"/>
      <c r="R1358" s="14" t="s">
        <v>57</v>
      </c>
      <c r="S1358" s="15" t="str">
        <f>"－"</f>
        <v>－</v>
      </c>
      <c r="T1358" s="16" t="str">
        <f>"－"</f>
        <v>－</v>
      </c>
      <c r="U1358" s="16"/>
      <c r="V1358" s="16" t="str">
        <f>"－"</f>
        <v>－</v>
      </c>
      <c r="W1358" s="16"/>
      <c r="X1358" s="16" t="str">
        <f>"－"</f>
        <v>－</v>
      </c>
      <c r="Y1358" s="13"/>
      <c r="Z1358" s="17" t="n">
        <f>450</f>
        <v>450.0</v>
      </c>
      <c r="AA1358" s="18" t="str">
        <f>"－"</f>
        <v>－</v>
      </c>
      <c r="AB1358" s="11" t="s">
        <v>641</v>
      </c>
    </row>
    <row r="1359">
      <c r="A1359" s="11" t="s">
        <v>46</v>
      </c>
      <c r="B1359" s="11" t="s">
        <v>47</v>
      </c>
      <c r="C1359" s="11" t="s">
        <v>48</v>
      </c>
      <c r="D1359" s="11" t="s">
        <v>651</v>
      </c>
      <c r="E1359" s="11" t="s">
        <v>640</v>
      </c>
      <c r="F1359" s="12" t="n">
        <v>32500.0</v>
      </c>
      <c r="G1359" s="13"/>
      <c r="H1359" s="14" t="s">
        <v>57</v>
      </c>
      <c r="I1359" s="13"/>
      <c r="J1359" s="14" t="s">
        <v>57</v>
      </c>
      <c r="K1359" s="13" t="s">
        <v>58</v>
      </c>
      <c r="L1359" s="14" t="s">
        <v>522</v>
      </c>
      <c r="M1359" s="13"/>
      <c r="N1359" s="14" t="s">
        <v>57</v>
      </c>
      <c r="O1359" s="13" t="s">
        <v>58</v>
      </c>
      <c r="P1359" s="14" t="s">
        <v>522</v>
      </c>
      <c r="Q1359" s="13"/>
      <c r="R1359" s="14" t="s">
        <v>57</v>
      </c>
      <c r="S1359" s="15" t="str">
        <f>"－"</f>
        <v>－</v>
      </c>
      <c r="T1359" s="16" t="n">
        <f>300</f>
        <v>300.0</v>
      </c>
      <c r="U1359" s="16" t="n">
        <v>300.0</v>
      </c>
      <c r="V1359" s="16" t="n">
        <f>630000000</f>
        <v>6.3E8</v>
      </c>
      <c r="W1359" s="16" t="n">
        <v>6.3E8</v>
      </c>
      <c r="X1359" s="16" t="str">
        <f>"－"</f>
        <v>－</v>
      </c>
      <c r="Y1359" s="13"/>
      <c r="Z1359" s="17" t="n">
        <f>300</f>
        <v>300.0</v>
      </c>
      <c r="AA1359" s="18" t="str">
        <f>"－"</f>
        <v>－</v>
      </c>
      <c r="AB1359" s="11" t="s">
        <v>641</v>
      </c>
    </row>
    <row r="1360">
      <c r="A1360" s="11" t="s">
        <v>46</v>
      </c>
      <c r="B1360" s="11" t="s">
        <v>47</v>
      </c>
      <c r="C1360" s="11" t="s">
        <v>48</v>
      </c>
      <c r="D1360" s="11" t="s">
        <v>651</v>
      </c>
      <c r="E1360" s="11" t="s">
        <v>640</v>
      </c>
      <c r="F1360" s="12" t="n">
        <v>33000.0</v>
      </c>
      <c r="G1360" s="13"/>
      <c r="H1360" s="14" t="s">
        <v>57</v>
      </c>
      <c r="I1360" s="13"/>
      <c r="J1360" s="14" t="s">
        <v>57</v>
      </c>
      <c r="K1360" s="13" t="s">
        <v>56</v>
      </c>
      <c r="L1360" s="14" t="s">
        <v>863</v>
      </c>
      <c r="M1360" s="13"/>
      <c r="N1360" s="14" t="s">
        <v>57</v>
      </c>
      <c r="O1360" s="13" t="s">
        <v>56</v>
      </c>
      <c r="P1360" s="14" t="s">
        <v>863</v>
      </c>
      <c r="Q1360" s="13"/>
      <c r="R1360" s="14" t="s">
        <v>57</v>
      </c>
      <c r="S1360" s="15" t="str">
        <f>"－"</f>
        <v>－</v>
      </c>
      <c r="T1360" s="16" t="n">
        <f>100</f>
        <v>100.0</v>
      </c>
      <c r="U1360" s="16" t="n">
        <v>100.0</v>
      </c>
      <c r="V1360" s="16" t="n">
        <f>237000000</f>
        <v>2.37E8</v>
      </c>
      <c r="W1360" s="16" t="n">
        <v>2.37E8</v>
      </c>
      <c r="X1360" s="16" t="str">
        <f>"－"</f>
        <v>－</v>
      </c>
      <c r="Y1360" s="13"/>
      <c r="Z1360" s="17" t="n">
        <f>100</f>
        <v>100.0</v>
      </c>
      <c r="AA1360" s="18" t="str">
        <f>"－"</f>
        <v>－</v>
      </c>
      <c r="AB1360" s="11" t="s">
        <v>641</v>
      </c>
    </row>
    <row r="1361">
      <c r="A1361" s="11" t="s">
        <v>46</v>
      </c>
      <c r="B1361" s="11" t="s">
        <v>47</v>
      </c>
      <c r="C1361" s="11" t="s">
        <v>48</v>
      </c>
      <c r="D1361" s="11" t="s">
        <v>651</v>
      </c>
      <c r="E1361" s="11" t="s">
        <v>647</v>
      </c>
      <c r="F1361" s="12" t="n">
        <v>21000.0</v>
      </c>
      <c r="G1361" s="13"/>
      <c r="H1361" s="14" t="s">
        <v>57</v>
      </c>
      <c r="I1361" s="13"/>
      <c r="J1361" s="14" t="s">
        <v>57</v>
      </c>
      <c r="K1361" s="13"/>
      <c r="L1361" s="14"/>
      <c r="M1361" s="13"/>
      <c r="N1361" s="14" t="s">
        <v>57</v>
      </c>
      <c r="O1361" s="13"/>
      <c r="P1361" s="14"/>
      <c r="Q1361" s="13"/>
      <c r="R1361" s="14" t="s">
        <v>57</v>
      </c>
      <c r="S1361" s="15" t="str">
        <f>"－"</f>
        <v>－</v>
      </c>
      <c r="T1361" s="16" t="str">
        <f>"－"</f>
        <v>－</v>
      </c>
      <c r="U1361" s="16"/>
      <c r="V1361" s="16" t="str">
        <f>"－"</f>
        <v>－</v>
      </c>
      <c r="W1361" s="16"/>
      <c r="X1361" s="16" t="str">
        <f>"－"</f>
        <v>－</v>
      </c>
      <c r="Y1361" s="13"/>
      <c r="Z1361" s="17" t="n">
        <f>25</f>
        <v>25.0</v>
      </c>
      <c r="AA1361" s="18" t="str">
        <f>"－"</f>
        <v>－</v>
      </c>
      <c r="AB1361" s="11" t="s">
        <v>648</v>
      </c>
    </row>
    <row r="1362">
      <c r="A1362" s="11" t="s">
        <v>46</v>
      </c>
      <c r="B1362" s="11" t="s">
        <v>47</v>
      </c>
      <c r="C1362" s="11" t="s">
        <v>48</v>
      </c>
      <c r="D1362" s="11" t="s">
        <v>651</v>
      </c>
      <c r="E1362" s="11" t="s">
        <v>647</v>
      </c>
      <c r="F1362" s="12" t="n">
        <v>24000.0</v>
      </c>
      <c r="G1362" s="13"/>
      <c r="H1362" s="14" t="s">
        <v>57</v>
      </c>
      <c r="I1362" s="13"/>
      <c r="J1362" s="14" t="s">
        <v>57</v>
      </c>
      <c r="K1362" s="13"/>
      <c r="L1362" s="14"/>
      <c r="M1362" s="13"/>
      <c r="N1362" s="14" t="s">
        <v>57</v>
      </c>
      <c r="O1362" s="13"/>
      <c r="P1362" s="14"/>
      <c r="Q1362" s="13"/>
      <c r="R1362" s="14" t="s">
        <v>57</v>
      </c>
      <c r="S1362" s="15" t="str">
        <f>"－"</f>
        <v>－</v>
      </c>
      <c r="T1362" s="16" t="str">
        <f>"－"</f>
        <v>－</v>
      </c>
      <c r="U1362" s="16"/>
      <c r="V1362" s="16" t="str">
        <f>"－"</f>
        <v>－</v>
      </c>
      <c r="W1362" s="16"/>
      <c r="X1362" s="16" t="str">
        <f>"－"</f>
        <v>－</v>
      </c>
      <c r="Y1362" s="13"/>
      <c r="Z1362" s="17" t="n">
        <f>25</f>
        <v>25.0</v>
      </c>
      <c r="AA1362" s="18" t="str">
        <f>"－"</f>
        <v>－</v>
      </c>
      <c r="AB1362" s="11" t="s">
        <v>648</v>
      </c>
    </row>
    <row r="1363">
      <c r="A1363" s="11" t="s">
        <v>46</v>
      </c>
      <c r="B1363" s="11" t="s">
        <v>47</v>
      </c>
      <c r="C1363" s="11" t="s">
        <v>48</v>
      </c>
      <c r="D1363" s="11" t="s">
        <v>651</v>
      </c>
      <c r="E1363" s="11" t="s">
        <v>647</v>
      </c>
      <c r="F1363" s="12" t="n">
        <v>25000.0</v>
      </c>
      <c r="G1363" s="13"/>
      <c r="H1363" s="14" t="s">
        <v>57</v>
      </c>
      <c r="I1363" s="13"/>
      <c r="J1363" s="14" t="s">
        <v>57</v>
      </c>
      <c r="K1363" s="13"/>
      <c r="L1363" s="14"/>
      <c r="M1363" s="13"/>
      <c r="N1363" s="14" t="s">
        <v>57</v>
      </c>
      <c r="O1363" s="13"/>
      <c r="P1363" s="14"/>
      <c r="Q1363" s="13"/>
      <c r="R1363" s="14" t="s">
        <v>57</v>
      </c>
      <c r="S1363" s="15" t="str">
        <f>"－"</f>
        <v>－</v>
      </c>
      <c r="T1363" s="16" t="str">
        <f>"－"</f>
        <v>－</v>
      </c>
      <c r="U1363" s="16"/>
      <c r="V1363" s="16" t="str">
        <f>"－"</f>
        <v>－</v>
      </c>
      <c r="W1363" s="16"/>
      <c r="X1363" s="16" t="str">
        <f>"－"</f>
        <v>－</v>
      </c>
      <c r="Y1363" s="13"/>
      <c r="Z1363" s="17" t="n">
        <f>150</f>
        <v>150.0</v>
      </c>
      <c r="AA1363" s="18" t="str">
        <f>"－"</f>
        <v>－</v>
      </c>
      <c r="AB1363" s="11" t="s">
        <v>648</v>
      </c>
    </row>
    <row r="1364">
      <c r="A1364" s="11" t="s">
        <v>46</v>
      </c>
      <c r="B1364" s="11" t="s">
        <v>47</v>
      </c>
      <c r="C1364" s="11" t="s">
        <v>48</v>
      </c>
      <c r="D1364" s="11" t="s">
        <v>651</v>
      </c>
      <c r="E1364" s="11" t="s">
        <v>647</v>
      </c>
      <c r="F1364" s="12" t="n">
        <v>26000.0</v>
      </c>
      <c r="G1364" s="13"/>
      <c r="H1364" s="14" t="s">
        <v>57</v>
      </c>
      <c r="I1364" s="13"/>
      <c r="J1364" s="14" t="s">
        <v>57</v>
      </c>
      <c r="K1364" s="13"/>
      <c r="L1364" s="14"/>
      <c r="M1364" s="13"/>
      <c r="N1364" s="14" t="s">
        <v>57</v>
      </c>
      <c r="O1364" s="13"/>
      <c r="P1364" s="14"/>
      <c r="Q1364" s="13"/>
      <c r="R1364" s="14" t="s">
        <v>57</v>
      </c>
      <c r="S1364" s="15" t="str">
        <f>"－"</f>
        <v>－</v>
      </c>
      <c r="T1364" s="16" t="str">
        <f>"－"</f>
        <v>－</v>
      </c>
      <c r="U1364" s="16"/>
      <c r="V1364" s="16" t="str">
        <f>"－"</f>
        <v>－</v>
      </c>
      <c r="W1364" s="16"/>
      <c r="X1364" s="16" t="str">
        <f>"－"</f>
        <v>－</v>
      </c>
      <c r="Y1364" s="13"/>
      <c r="Z1364" s="17" t="n">
        <f>100</f>
        <v>100.0</v>
      </c>
      <c r="AA1364" s="18" t="str">
        <f>"－"</f>
        <v>－</v>
      </c>
      <c r="AB1364" s="11" t="s">
        <v>648</v>
      </c>
    </row>
    <row r="1365">
      <c r="A1365" s="11" t="s">
        <v>46</v>
      </c>
      <c r="B1365" s="11" t="s">
        <v>47</v>
      </c>
      <c r="C1365" s="11" t="s">
        <v>48</v>
      </c>
      <c r="D1365" s="11" t="s">
        <v>651</v>
      </c>
      <c r="E1365" s="11" t="s">
        <v>647</v>
      </c>
      <c r="F1365" s="12" t="n">
        <v>26500.0</v>
      </c>
      <c r="G1365" s="13"/>
      <c r="H1365" s="14" t="s">
        <v>57</v>
      </c>
      <c r="I1365" s="13"/>
      <c r="J1365" s="14" t="s">
        <v>57</v>
      </c>
      <c r="K1365" s="13"/>
      <c r="L1365" s="14"/>
      <c r="M1365" s="13"/>
      <c r="N1365" s="14" t="s">
        <v>57</v>
      </c>
      <c r="O1365" s="13"/>
      <c r="P1365" s="14"/>
      <c r="Q1365" s="13"/>
      <c r="R1365" s="14" t="s">
        <v>57</v>
      </c>
      <c r="S1365" s="15" t="str">
        <f>"－"</f>
        <v>－</v>
      </c>
      <c r="T1365" s="16" t="str">
        <f>"－"</f>
        <v>－</v>
      </c>
      <c r="U1365" s="16"/>
      <c r="V1365" s="16" t="str">
        <f>"－"</f>
        <v>－</v>
      </c>
      <c r="W1365" s="16"/>
      <c r="X1365" s="16" t="str">
        <f>"－"</f>
        <v>－</v>
      </c>
      <c r="Y1365" s="13"/>
      <c r="Z1365" s="17" t="n">
        <f>50</f>
        <v>50.0</v>
      </c>
      <c r="AA1365" s="18" t="str">
        <f>"－"</f>
        <v>－</v>
      </c>
      <c r="AB1365" s="11" t="s">
        <v>648</v>
      </c>
    </row>
    <row r="1366">
      <c r="A1366" s="11" t="s">
        <v>46</v>
      </c>
      <c r="B1366" s="11" t="s">
        <v>47</v>
      </c>
      <c r="C1366" s="11" t="s">
        <v>48</v>
      </c>
      <c r="D1366" s="11" t="s">
        <v>651</v>
      </c>
      <c r="E1366" s="11" t="s">
        <v>647</v>
      </c>
      <c r="F1366" s="12" t="n">
        <v>30000.0</v>
      </c>
      <c r="G1366" s="13"/>
      <c r="H1366" s="14" t="s">
        <v>57</v>
      </c>
      <c r="I1366" s="13"/>
      <c r="J1366" s="14" t="s">
        <v>57</v>
      </c>
      <c r="K1366" s="13"/>
      <c r="L1366" s="14"/>
      <c r="M1366" s="13"/>
      <c r="N1366" s="14" t="s">
        <v>57</v>
      </c>
      <c r="O1366" s="13"/>
      <c r="P1366" s="14"/>
      <c r="Q1366" s="13"/>
      <c r="R1366" s="14" t="s">
        <v>57</v>
      </c>
      <c r="S1366" s="15" t="str">
        <f>"－"</f>
        <v>－</v>
      </c>
      <c r="T1366" s="16" t="str">
        <f>"－"</f>
        <v>－</v>
      </c>
      <c r="U1366" s="16"/>
      <c r="V1366" s="16" t="str">
        <f>"－"</f>
        <v>－</v>
      </c>
      <c r="W1366" s="16"/>
      <c r="X1366" s="16" t="str">
        <f>"－"</f>
        <v>－</v>
      </c>
      <c r="Y1366" s="13"/>
      <c r="Z1366" s="17" t="n">
        <f>200</f>
        <v>200.0</v>
      </c>
      <c r="AA1366" s="18" t="str">
        <f>"－"</f>
        <v>－</v>
      </c>
      <c r="AB1366" s="11" t="s">
        <v>648</v>
      </c>
    </row>
    <row r="1367">
      <c r="A1367" s="11" t="s">
        <v>46</v>
      </c>
      <c r="B1367" s="11" t="s">
        <v>47</v>
      </c>
      <c r="C1367" s="11" t="s">
        <v>48</v>
      </c>
      <c r="D1367" s="11" t="s">
        <v>651</v>
      </c>
      <c r="E1367" s="11" t="s">
        <v>647</v>
      </c>
      <c r="F1367" s="12" t="n">
        <v>32500.0</v>
      </c>
      <c r="G1367" s="13"/>
      <c r="H1367" s="14" t="s">
        <v>57</v>
      </c>
      <c r="I1367" s="13"/>
      <c r="J1367" s="14" t="s">
        <v>57</v>
      </c>
      <c r="K1367" s="13" t="s">
        <v>58</v>
      </c>
      <c r="L1367" s="14" t="s">
        <v>864</v>
      </c>
      <c r="M1367" s="13"/>
      <c r="N1367" s="14" t="s">
        <v>57</v>
      </c>
      <c r="O1367" s="13" t="s">
        <v>58</v>
      </c>
      <c r="P1367" s="14" t="s">
        <v>864</v>
      </c>
      <c r="Q1367" s="13"/>
      <c r="R1367" s="14" t="s">
        <v>57</v>
      </c>
      <c r="S1367" s="15" t="str">
        <f>"－"</f>
        <v>－</v>
      </c>
      <c r="T1367" s="16" t="n">
        <f>300</f>
        <v>300.0</v>
      </c>
      <c r="U1367" s="16" t="n">
        <v>300.0</v>
      </c>
      <c r="V1367" s="16" t="n">
        <f>737400000</f>
        <v>7.374E8</v>
      </c>
      <c r="W1367" s="16" t="n">
        <v>7.374E8</v>
      </c>
      <c r="X1367" s="16" t="str">
        <f>"－"</f>
        <v>－</v>
      </c>
      <c r="Y1367" s="13"/>
      <c r="Z1367" s="17" t="n">
        <f>300</f>
        <v>300.0</v>
      </c>
      <c r="AA1367" s="18" t="str">
        <f>"－"</f>
        <v>－</v>
      </c>
      <c r="AB1367" s="11" t="s">
        <v>648</v>
      </c>
    </row>
    <row r="1368">
      <c r="A1368" s="11" t="s">
        <v>46</v>
      </c>
      <c r="B1368" s="11" t="s">
        <v>865</v>
      </c>
      <c r="C1368" s="11" t="s">
        <v>866</v>
      </c>
      <c r="D1368" s="11" t="s">
        <v>49</v>
      </c>
      <c r="E1368" s="11" t="s">
        <v>867</v>
      </c>
      <c r="F1368" s="12" t="n">
        <v>26000.0</v>
      </c>
      <c r="G1368" s="13" t="s">
        <v>50</v>
      </c>
      <c r="H1368" s="14" t="s">
        <v>189</v>
      </c>
      <c r="I1368" s="13" t="s">
        <v>50</v>
      </c>
      <c r="J1368" s="14" t="s">
        <v>217</v>
      </c>
      <c r="K1368" s="13" t="s">
        <v>50</v>
      </c>
      <c r="L1368" s="14" t="s">
        <v>89</v>
      </c>
      <c r="M1368" s="13" t="s">
        <v>63</v>
      </c>
      <c r="N1368" s="14" t="s">
        <v>51</v>
      </c>
      <c r="O1368" s="13" t="s">
        <v>63</v>
      </c>
      <c r="P1368" s="14" t="s">
        <v>51</v>
      </c>
      <c r="Q1368" s="13" t="s">
        <v>63</v>
      </c>
      <c r="R1368" s="14" t="s">
        <v>51</v>
      </c>
      <c r="S1368" s="15" t="n">
        <f>4.33</f>
        <v>4.33</v>
      </c>
      <c r="T1368" s="16" t="n">
        <f>482</f>
        <v>482.0</v>
      </c>
      <c r="U1368" s="16" t="n">
        <v>89.0</v>
      </c>
      <c r="V1368" s="16" t="n">
        <f>4914000</f>
        <v>4914000.0</v>
      </c>
      <c r="W1368" s="16" t="n">
        <v>766000.0</v>
      </c>
      <c r="X1368" s="16" t="str">
        <f>"－"</f>
        <v>－</v>
      </c>
      <c r="Y1368" s="13" t="s">
        <v>53</v>
      </c>
      <c r="Z1368" s="17" t="n">
        <f>339</f>
        <v>339.0</v>
      </c>
      <c r="AA1368" s="18" t="n">
        <f>3</f>
        <v>3.0</v>
      </c>
      <c r="AB1368" s="11" t="s">
        <v>868</v>
      </c>
    </row>
    <row r="1369">
      <c r="A1369" s="11" t="s">
        <v>46</v>
      </c>
      <c r="B1369" s="11" t="s">
        <v>865</v>
      </c>
      <c r="C1369" s="11" t="s">
        <v>866</v>
      </c>
      <c r="D1369" s="11" t="s">
        <v>49</v>
      </c>
      <c r="E1369" s="11" t="s">
        <v>867</v>
      </c>
      <c r="F1369" s="12" t="n">
        <v>26125.0</v>
      </c>
      <c r="G1369" s="13" t="s">
        <v>50</v>
      </c>
      <c r="H1369" s="14" t="s">
        <v>184</v>
      </c>
      <c r="I1369" s="13" t="s">
        <v>50</v>
      </c>
      <c r="J1369" s="14" t="s">
        <v>184</v>
      </c>
      <c r="K1369" s="13" t="s">
        <v>50</v>
      </c>
      <c r="L1369" s="14" t="s">
        <v>214</v>
      </c>
      <c r="M1369" s="13" t="s">
        <v>63</v>
      </c>
      <c r="N1369" s="14" t="s">
        <v>51</v>
      </c>
      <c r="O1369" s="13" t="s">
        <v>63</v>
      </c>
      <c r="P1369" s="14" t="s">
        <v>51</v>
      </c>
      <c r="Q1369" s="13" t="s">
        <v>60</v>
      </c>
      <c r="R1369" s="14" t="s">
        <v>51</v>
      </c>
      <c r="S1369" s="15" t="n">
        <f>6.25</f>
        <v>6.25</v>
      </c>
      <c r="T1369" s="16" t="n">
        <f>30</f>
        <v>30.0</v>
      </c>
      <c r="U1369" s="16" t="n">
        <v>7.0</v>
      </c>
      <c r="V1369" s="16" t="n">
        <f>148000</f>
        <v>148000.0</v>
      </c>
      <c r="W1369" s="16" t="n">
        <v>53000.0</v>
      </c>
      <c r="X1369" s="16" t="str">
        <f>"－"</f>
        <v>－</v>
      </c>
      <c r="Y1369" s="13" t="s">
        <v>53</v>
      </c>
      <c r="Z1369" s="17" t="n">
        <f>10</f>
        <v>10.0</v>
      </c>
      <c r="AA1369" s="18" t="n">
        <f>4</f>
        <v>4.0</v>
      </c>
      <c r="AB1369" s="11" t="s">
        <v>868</v>
      </c>
    </row>
    <row r="1370">
      <c r="A1370" s="11" t="s">
        <v>46</v>
      </c>
      <c r="B1370" s="11" t="s">
        <v>865</v>
      </c>
      <c r="C1370" s="11" t="s">
        <v>866</v>
      </c>
      <c r="D1370" s="11" t="s">
        <v>49</v>
      </c>
      <c r="E1370" s="11" t="s">
        <v>867</v>
      </c>
      <c r="F1370" s="12" t="n">
        <v>26250.0</v>
      </c>
      <c r="G1370" s="13" t="s">
        <v>50</v>
      </c>
      <c r="H1370" s="14" t="s">
        <v>236</v>
      </c>
      <c r="I1370" s="13" t="s">
        <v>50</v>
      </c>
      <c r="J1370" s="14" t="s">
        <v>113</v>
      </c>
      <c r="K1370" s="13" t="s">
        <v>55</v>
      </c>
      <c r="L1370" s="14" t="s">
        <v>70</v>
      </c>
      <c r="M1370" s="13" t="s">
        <v>63</v>
      </c>
      <c r="N1370" s="14" t="s">
        <v>51</v>
      </c>
      <c r="O1370" s="13" t="s">
        <v>63</v>
      </c>
      <c r="P1370" s="14" t="s">
        <v>51</v>
      </c>
      <c r="Q1370" s="13" t="s">
        <v>63</v>
      </c>
      <c r="R1370" s="14" t="s">
        <v>51</v>
      </c>
      <c r="S1370" s="15" t="n">
        <f>6.33</f>
        <v>6.33</v>
      </c>
      <c r="T1370" s="16" t="n">
        <f>44</f>
        <v>44.0</v>
      </c>
      <c r="U1370" s="16" t="n">
        <v>5.0</v>
      </c>
      <c r="V1370" s="16" t="n">
        <f>382000</f>
        <v>382000.0</v>
      </c>
      <c r="W1370" s="16" t="n">
        <v>19000.0</v>
      </c>
      <c r="X1370" s="16" t="str">
        <f>"－"</f>
        <v>－</v>
      </c>
      <c r="Y1370" s="13" t="s">
        <v>53</v>
      </c>
      <c r="Z1370" s="17" t="n">
        <f>17</f>
        <v>17.0</v>
      </c>
      <c r="AA1370" s="18" t="n">
        <f>3</f>
        <v>3.0</v>
      </c>
      <c r="AB1370" s="11" t="s">
        <v>868</v>
      </c>
    </row>
    <row r="1371">
      <c r="A1371" s="11" t="s">
        <v>46</v>
      </c>
      <c r="B1371" s="11" t="s">
        <v>865</v>
      </c>
      <c r="C1371" s="11" t="s">
        <v>866</v>
      </c>
      <c r="D1371" s="11" t="s">
        <v>49</v>
      </c>
      <c r="E1371" s="11" t="s">
        <v>867</v>
      </c>
      <c r="F1371" s="12" t="n">
        <v>26375.0</v>
      </c>
      <c r="G1371" s="13" t="s">
        <v>50</v>
      </c>
      <c r="H1371" s="14" t="s">
        <v>264</v>
      </c>
      <c r="I1371" s="13" t="s">
        <v>50</v>
      </c>
      <c r="J1371" s="14" t="s">
        <v>264</v>
      </c>
      <c r="K1371" s="13" t="s">
        <v>50</v>
      </c>
      <c r="L1371" s="14" t="s">
        <v>181</v>
      </c>
      <c r="M1371" s="13" t="s">
        <v>63</v>
      </c>
      <c r="N1371" s="14" t="s">
        <v>51</v>
      </c>
      <c r="O1371" s="13" t="s">
        <v>63</v>
      </c>
      <c r="P1371" s="14" t="s">
        <v>51</v>
      </c>
      <c r="Q1371" s="13" t="s">
        <v>63</v>
      </c>
      <c r="R1371" s="14" t="s">
        <v>51</v>
      </c>
      <c r="S1371" s="15" t="n">
        <f>7</f>
        <v>7.0</v>
      </c>
      <c r="T1371" s="16" t="n">
        <f>57</f>
        <v>57.0</v>
      </c>
      <c r="U1371" s="16" t="n">
        <v>7.0</v>
      </c>
      <c r="V1371" s="16" t="n">
        <f>309000</f>
        <v>309000.0</v>
      </c>
      <c r="W1371" s="16" t="n">
        <v>23000.0</v>
      </c>
      <c r="X1371" s="16" t="str">
        <f>"－"</f>
        <v>－</v>
      </c>
      <c r="Y1371" s="13" t="s">
        <v>53</v>
      </c>
      <c r="Z1371" s="17" t="n">
        <f>41</f>
        <v>41.0</v>
      </c>
      <c r="AA1371" s="18" t="n">
        <f>3</f>
        <v>3.0</v>
      </c>
      <c r="AB1371" s="11" t="s">
        <v>868</v>
      </c>
    </row>
    <row r="1372">
      <c r="A1372" s="11" t="s">
        <v>46</v>
      </c>
      <c r="B1372" s="11" t="s">
        <v>865</v>
      </c>
      <c r="C1372" s="11" t="s">
        <v>866</v>
      </c>
      <c r="D1372" s="11" t="s">
        <v>49</v>
      </c>
      <c r="E1372" s="11" t="s">
        <v>867</v>
      </c>
      <c r="F1372" s="12" t="n">
        <v>26500.0</v>
      </c>
      <c r="G1372" s="13" t="s">
        <v>50</v>
      </c>
      <c r="H1372" s="14" t="s">
        <v>188</v>
      </c>
      <c r="I1372" s="13" t="s">
        <v>50</v>
      </c>
      <c r="J1372" s="14" t="s">
        <v>109</v>
      </c>
      <c r="K1372" s="13" t="s">
        <v>50</v>
      </c>
      <c r="L1372" s="14" t="s">
        <v>76</v>
      </c>
      <c r="M1372" s="13" t="s">
        <v>63</v>
      </c>
      <c r="N1372" s="14" t="s">
        <v>51</v>
      </c>
      <c r="O1372" s="13" t="s">
        <v>63</v>
      </c>
      <c r="P1372" s="14" t="s">
        <v>51</v>
      </c>
      <c r="Q1372" s="13" t="s">
        <v>60</v>
      </c>
      <c r="R1372" s="14" t="s">
        <v>51</v>
      </c>
      <c r="S1372" s="15" t="n">
        <f>7.25</f>
        <v>7.25</v>
      </c>
      <c r="T1372" s="16" t="n">
        <f>255</f>
        <v>255.0</v>
      </c>
      <c r="U1372" s="16" t="n">
        <v>13.0</v>
      </c>
      <c r="V1372" s="16" t="n">
        <f>4255000</f>
        <v>4255000.0</v>
      </c>
      <c r="W1372" s="16" t="n">
        <v>94000.0</v>
      </c>
      <c r="X1372" s="16" t="str">
        <f>"－"</f>
        <v>－</v>
      </c>
      <c r="Y1372" s="13" t="s">
        <v>53</v>
      </c>
      <c r="Z1372" s="17" t="n">
        <f>142</f>
        <v>142.0</v>
      </c>
      <c r="AA1372" s="18" t="n">
        <f>4</f>
        <v>4.0</v>
      </c>
      <c r="AB1372" s="11" t="s">
        <v>868</v>
      </c>
    </row>
    <row r="1373">
      <c r="A1373" s="11" t="s">
        <v>46</v>
      </c>
      <c r="B1373" s="11" t="s">
        <v>865</v>
      </c>
      <c r="C1373" s="11" t="s">
        <v>866</v>
      </c>
      <c r="D1373" s="11" t="s">
        <v>49</v>
      </c>
      <c r="E1373" s="11" t="s">
        <v>867</v>
      </c>
      <c r="F1373" s="12" t="n">
        <v>26625.0</v>
      </c>
      <c r="G1373" s="13" t="s">
        <v>50</v>
      </c>
      <c r="H1373" s="14" t="s">
        <v>111</v>
      </c>
      <c r="I1373" s="13" t="s">
        <v>50</v>
      </c>
      <c r="J1373" s="14" t="s">
        <v>109</v>
      </c>
      <c r="K1373" s="13" t="s">
        <v>50</v>
      </c>
      <c r="L1373" s="14" t="s">
        <v>108</v>
      </c>
      <c r="M1373" s="13" t="s">
        <v>63</v>
      </c>
      <c r="N1373" s="14" t="s">
        <v>51</v>
      </c>
      <c r="O1373" s="13" t="s">
        <v>63</v>
      </c>
      <c r="P1373" s="14" t="s">
        <v>62</v>
      </c>
      <c r="Q1373" s="13" t="s">
        <v>60</v>
      </c>
      <c r="R1373" s="14" t="s">
        <v>51</v>
      </c>
      <c r="S1373" s="15" t="n">
        <f>10.5</f>
        <v>10.5</v>
      </c>
      <c r="T1373" s="16" t="n">
        <f>40</f>
        <v>40.0</v>
      </c>
      <c r="U1373" s="16" t="n">
        <v>3.0</v>
      </c>
      <c r="V1373" s="16" t="n">
        <f>949000</f>
        <v>949000.0</v>
      </c>
      <c r="W1373" s="16" t="n">
        <v>113000.0</v>
      </c>
      <c r="X1373" s="16" t="str">
        <f>"－"</f>
        <v>－</v>
      </c>
      <c r="Y1373" s="13" t="s">
        <v>53</v>
      </c>
      <c r="Z1373" s="17" t="n">
        <f>18</f>
        <v>18.0</v>
      </c>
      <c r="AA1373" s="18" t="n">
        <f>4</f>
        <v>4.0</v>
      </c>
      <c r="AB1373" s="11" t="s">
        <v>868</v>
      </c>
    </row>
    <row r="1374">
      <c r="A1374" s="11" t="s">
        <v>46</v>
      </c>
      <c r="B1374" s="11" t="s">
        <v>865</v>
      </c>
      <c r="C1374" s="11" t="s">
        <v>866</v>
      </c>
      <c r="D1374" s="11" t="s">
        <v>49</v>
      </c>
      <c r="E1374" s="11" t="s">
        <v>867</v>
      </c>
      <c r="F1374" s="12" t="n">
        <v>26750.0</v>
      </c>
      <c r="G1374" s="13" t="s">
        <v>50</v>
      </c>
      <c r="H1374" s="14" t="s">
        <v>119</v>
      </c>
      <c r="I1374" s="13" t="s">
        <v>50</v>
      </c>
      <c r="J1374" s="14" t="s">
        <v>122</v>
      </c>
      <c r="K1374" s="13" t="s">
        <v>50</v>
      </c>
      <c r="L1374" s="14" t="s">
        <v>121</v>
      </c>
      <c r="M1374" s="13" t="s">
        <v>63</v>
      </c>
      <c r="N1374" s="14" t="s">
        <v>51</v>
      </c>
      <c r="O1374" s="13" t="s">
        <v>63</v>
      </c>
      <c r="P1374" s="14" t="s">
        <v>51</v>
      </c>
      <c r="Q1374" s="13" t="s">
        <v>60</v>
      </c>
      <c r="R1374" s="14" t="s">
        <v>51</v>
      </c>
      <c r="S1374" s="15" t="n">
        <f>9</f>
        <v>9.0</v>
      </c>
      <c r="T1374" s="16" t="n">
        <f>265</f>
        <v>265.0</v>
      </c>
      <c r="U1374" s="16" t="n">
        <v>14.0</v>
      </c>
      <c r="V1374" s="16" t="n">
        <f>5715000</f>
        <v>5715000.0</v>
      </c>
      <c r="W1374" s="16" t="n">
        <v>316000.0</v>
      </c>
      <c r="X1374" s="16" t="str">
        <f>"－"</f>
        <v>－</v>
      </c>
      <c r="Y1374" s="13" t="s">
        <v>53</v>
      </c>
      <c r="Z1374" s="17" t="n">
        <f>92</f>
        <v>92.0</v>
      </c>
      <c r="AA1374" s="18" t="n">
        <f>4</f>
        <v>4.0</v>
      </c>
      <c r="AB1374" s="11" t="s">
        <v>868</v>
      </c>
    </row>
    <row r="1375">
      <c r="A1375" s="11" t="s">
        <v>46</v>
      </c>
      <c r="B1375" s="11" t="s">
        <v>865</v>
      </c>
      <c r="C1375" s="11" t="s">
        <v>866</v>
      </c>
      <c r="D1375" s="11" t="s">
        <v>49</v>
      </c>
      <c r="E1375" s="11" t="s">
        <v>867</v>
      </c>
      <c r="F1375" s="12" t="n">
        <v>26875.0</v>
      </c>
      <c r="G1375" s="13" t="s">
        <v>50</v>
      </c>
      <c r="H1375" s="14" t="s">
        <v>115</v>
      </c>
      <c r="I1375" s="13" t="s">
        <v>50</v>
      </c>
      <c r="J1375" s="14" t="s">
        <v>115</v>
      </c>
      <c r="K1375" s="13" t="s">
        <v>55</v>
      </c>
      <c r="L1375" s="14" t="s">
        <v>80</v>
      </c>
      <c r="M1375" s="13" t="s">
        <v>63</v>
      </c>
      <c r="N1375" s="14" t="s">
        <v>51</v>
      </c>
      <c r="O1375" s="13" t="s">
        <v>63</v>
      </c>
      <c r="P1375" s="14" t="s">
        <v>51</v>
      </c>
      <c r="Q1375" s="13" t="s">
        <v>60</v>
      </c>
      <c r="R1375" s="14" t="s">
        <v>51</v>
      </c>
      <c r="S1375" s="15" t="n">
        <f>21</f>
        <v>21.0</v>
      </c>
      <c r="T1375" s="16" t="n">
        <f>94</f>
        <v>94.0</v>
      </c>
      <c r="U1375" s="16" t="n">
        <v>15.0</v>
      </c>
      <c r="V1375" s="16" t="n">
        <f>1055000</f>
        <v>1055000.0</v>
      </c>
      <c r="W1375" s="16" t="n">
        <v>209000.0</v>
      </c>
      <c r="X1375" s="16" t="str">
        <f>"－"</f>
        <v>－</v>
      </c>
      <c r="Y1375" s="13" t="s">
        <v>53</v>
      </c>
      <c r="Z1375" s="17" t="n">
        <f>51</f>
        <v>51.0</v>
      </c>
      <c r="AA1375" s="18" t="n">
        <f>4</f>
        <v>4.0</v>
      </c>
      <c r="AB1375" s="11" t="s">
        <v>868</v>
      </c>
    </row>
    <row r="1376">
      <c r="A1376" s="11" t="s">
        <v>46</v>
      </c>
      <c r="B1376" s="11" t="s">
        <v>865</v>
      </c>
      <c r="C1376" s="11" t="s">
        <v>866</v>
      </c>
      <c r="D1376" s="11" t="s">
        <v>49</v>
      </c>
      <c r="E1376" s="11" t="s">
        <v>867</v>
      </c>
      <c r="F1376" s="12" t="n">
        <v>27000.0</v>
      </c>
      <c r="G1376" s="13" t="s">
        <v>50</v>
      </c>
      <c r="H1376" s="14" t="s">
        <v>123</v>
      </c>
      <c r="I1376" s="13" t="s">
        <v>50</v>
      </c>
      <c r="J1376" s="14" t="s">
        <v>123</v>
      </c>
      <c r="K1376" s="13" t="s">
        <v>50</v>
      </c>
      <c r="L1376" s="14" t="s">
        <v>88</v>
      </c>
      <c r="M1376" s="13" t="s">
        <v>60</v>
      </c>
      <c r="N1376" s="14" t="s">
        <v>51</v>
      </c>
      <c r="O1376" s="13" t="s">
        <v>60</v>
      </c>
      <c r="P1376" s="14" t="s">
        <v>51</v>
      </c>
      <c r="Q1376" s="13" t="s">
        <v>60</v>
      </c>
      <c r="R1376" s="14" t="s">
        <v>51</v>
      </c>
      <c r="S1376" s="15" t="n">
        <f>13.25</f>
        <v>13.25</v>
      </c>
      <c r="T1376" s="16" t="n">
        <f>527</f>
        <v>527.0</v>
      </c>
      <c r="U1376" s="16" t="n">
        <v>24.0</v>
      </c>
      <c r="V1376" s="16" t="n">
        <f>12053000</f>
        <v>1.2053E7</v>
      </c>
      <c r="W1376" s="16" t="n">
        <v>286000.0</v>
      </c>
      <c r="X1376" s="16" t="str">
        <f>"－"</f>
        <v>－</v>
      </c>
      <c r="Y1376" s="13" t="s">
        <v>53</v>
      </c>
      <c r="Z1376" s="17" t="n">
        <f>214</f>
        <v>214.0</v>
      </c>
      <c r="AA1376" s="18" t="n">
        <f>4</f>
        <v>4.0</v>
      </c>
      <c r="AB1376" s="11" t="s">
        <v>868</v>
      </c>
    </row>
    <row r="1377">
      <c r="A1377" s="11" t="s">
        <v>46</v>
      </c>
      <c r="B1377" s="11" t="s">
        <v>865</v>
      </c>
      <c r="C1377" s="11" t="s">
        <v>866</v>
      </c>
      <c r="D1377" s="11" t="s">
        <v>49</v>
      </c>
      <c r="E1377" s="11" t="s">
        <v>867</v>
      </c>
      <c r="F1377" s="12" t="n">
        <v>27125.0</v>
      </c>
      <c r="G1377" s="13" t="s">
        <v>55</v>
      </c>
      <c r="H1377" s="14" t="s">
        <v>91</v>
      </c>
      <c r="I1377" s="13" t="s">
        <v>55</v>
      </c>
      <c r="J1377" s="14" t="s">
        <v>99</v>
      </c>
      <c r="K1377" s="13" t="s">
        <v>55</v>
      </c>
      <c r="L1377" s="14" t="s">
        <v>189</v>
      </c>
      <c r="M1377" s="13" t="s">
        <v>60</v>
      </c>
      <c r="N1377" s="14" t="s">
        <v>51</v>
      </c>
      <c r="O1377" s="13" t="s">
        <v>63</v>
      </c>
      <c r="P1377" s="14" t="s">
        <v>59</v>
      </c>
      <c r="Q1377" s="13" t="s">
        <v>60</v>
      </c>
      <c r="R1377" s="14" t="s">
        <v>51</v>
      </c>
      <c r="S1377" s="15" t="n">
        <f>5.33</f>
        <v>5.33</v>
      </c>
      <c r="T1377" s="16" t="n">
        <f>63</f>
        <v>63.0</v>
      </c>
      <c r="U1377" s="16" t="n">
        <v>4.0</v>
      </c>
      <c r="V1377" s="16" t="n">
        <f>581000</f>
        <v>581000.0</v>
      </c>
      <c r="W1377" s="16" t="n">
        <v>109000.0</v>
      </c>
      <c r="X1377" s="16" t="str">
        <f>"－"</f>
        <v>－</v>
      </c>
      <c r="Y1377" s="13" t="s">
        <v>53</v>
      </c>
      <c r="Z1377" s="17" t="n">
        <f>39</f>
        <v>39.0</v>
      </c>
      <c r="AA1377" s="18" t="n">
        <f>3</f>
        <v>3.0</v>
      </c>
      <c r="AB1377" s="11" t="s">
        <v>868</v>
      </c>
    </row>
    <row r="1378">
      <c r="A1378" s="11" t="s">
        <v>46</v>
      </c>
      <c r="B1378" s="11" t="s">
        <v>865</v>
      </c>
      <c r="C1378" s="11" t="s">
        <v>866</v>
      </c>
      <c r="D1378" s="11" t="s">
        <v>49</v>
      </c>
      <c r="E1378" s="11" t="s">
        <v>867</v>
      </c>
      <c r="F1378" s="12" t="n">
        <v>27250.0</v>
      </c>
      <c r="G1378" s="13" t="s">
        <v>50</v>
      </c>
      <c r="H1378" s="14" t="s">
        <v>119</v>
      </c>
      <c r="I1378" s="13" t="s">
        <v>50</v>
      </c>
      <c r="J1378" s="14" t="s">
        <v>232</v>
      </c>
      <c r="K1378" s="13" t="s">
        <v>55</v>
      </c>
      <c r="L1378" s="14" t="s">
        <v>93</v>
      </c>
      <c r="M1378" s="13" t="s">
        <v>60</v>
      </c>
      <c r="N1378" s="14" t="s">
        <v>51</v>
      </c>
      <c r="O1378" s="13" t="s">
        <v>60</v>
      </c>
      <c r="P1378" s="14" t="s">
        <v>51</v>
      </c>
      <c r="Q1378" s="13" t="s">
        <v>60</v>
      </c>
      <c r="R1378" s="14" t="s">
        <v>51</v>
      </c>
      <c r="S1378" s="15" t="n">
        <f>24.5</f>
        <v>24.5</v>
      </c>
      <c r="T1378" s="16" t="n">
        <f>146</f>
        <v>146.0</v>
      </c>
      <c r="U1378" s="16" t="n">
        <v>35.0</v>
      </c>
      <c r="V1378" s="16" t="n">
        <f>5780000</f>
        <v>5780000.0</v>
      </c>
      <c r="W1378" s="16" t="n">
        <v>358000.0</v>
      </c>
      <c r="X1378" s="16" t="str">
        <f>"－"</f>
        <v>－</v>
      </c>
      <c r="Y1378" s="13" t="s">
        <v>53</v>
      </c>
      <c r="Z1378" s="17" t="n">
        <f>136</f>
        <v>136.0</v>
      </c>
      <c r="AA1378" s="18" t="n">
        <f>4</f>
        <v>4.0</v>
      </c>
      <c r="AB1378" s="11" t="s">
        <v>868</v>
      </c>
    </row>
    <row r="1379">
      <c r="A1379" s="11" t="s">
        <v>46</v>
      </c>
      <c r="B1379" s="11" t="s">
        <v>865</v>
      </c>
      <c r="C1379" s="11" t="s">
        <v>866</v>
      </c>
      <c r="D1379" s="11" t="s">
        <v>49</v>
      </c>
      <c r="E1379" s="11" t="s">
        <v>867</v>
      </c>
      <c r="F1379" s="12" t="n">
        <v>27375.0</v>
      </c>
      <c r="G1379" s="13" t="s">
        <v>50</v>
      </c>
      <c r="H1379" s="14" t="s">
        <v>121</v>
      </c>
      <c r="I1379" s="13" t="s">
        <v>50</v>
      </c>
      <c r="J1379" s="14" t="s">
        <v>261</v>
      </c>
      <c r="K1379" s="13" t="s">
        <v>55</v>
      </c>
      <c r="L1379" s="14" t="s">
        <v>188</v>
      </c>
      <c r="M1379" s="13" t="s">
        <v>60</v>
      </c>
      <c r="N1379" s="14" t="s">
        <v>51</v>
      </c>
      <c r="O1379" s="13" t="s">
        <v>60</v>
      </c>
      <c r="P1379" s="14" t="s">
        <v>51</v>
      </c>
      <c r="Q1379" s="13" t="s">
        <v>60</v>
      </c>
      <c r="R1379" s="14" t="s">
        <v>51</v>
      </c>
      <c r="S1379" s="15" t="n">
        <f>30.25</f>
        <v>30.25</v>
      </c>
      <c r="T1379" s="16" t="n">
        <f>166</f>
        <v>166.0</v>
      </c>
      <c r="U1379" s="16" t="n">
        <v>6.0</v>
      </c>
      <c r="V1379" s="16" t="n">
        <f>1659000</f>
        <v>1659000.0</v>
      </c>
      <c r="W1379" s="16" t="n">
        <v>118000.0</v>
      </c>
      <c r="X1379" s="16" t="str">
        <f>"－"</f>
        <v>－</v>
      </c>
      <c r="Y1379" s="13" t="s">
        <v>53</v>
      </c>
      <c r="Z1379" s="17" t="n">
        <f>127</f>
        <v>127.0</v>
      </c>
      <c r="AA1379" s="18" t="n">
        <f>4</f>
        <v>4.0</v>
      </c>
      <c r="AB1379" s="11" t="s">
        <v>868</v>
      </c>
    </row>
    <row r="1380">
      <c r="A1380" s="11" t="s">
        <v>46</v>
      </c>
      <c r="B1380" s="11" t="s">
        <v>865</v>
      </c>
      <c r="C1380" s="11" t="s">
        <v>866</v>
      </c>
      <c r="D1380" s="11" t="s">
        <v>49</v>
      </c>
      <c r="E1380" s="11" t="s">
        <v>867</v>
      </c>
      <c r="F1380" s="12" t="n">
        <v>27500.0</v>
      </c>
      <c r="G1380" s="13" t="s">
        <v>50</v>
      </c>
      <c r="H1380" s="14" t="s">
        <v>133</v>
      </c>
      <c r="I1380" s="13" t="s">
        <v>50</v>
      </c>
      <c r="J1380" s="14" t="s">
        <v>185</v>
      </c>
      <c r="K1380" s="13" t="s">
        <v>50</v>
      </c>
      <c r="L1380" s="14" t="s">
        <v>293</v>
      </c>
      <c r="M1380" s="13" t="s">
        <v>60</v>
      </c>
      <c r="N1380" s="14" t="s">
        <v>51</v>
      </c>
      <c r="O1380" s="13" t="s">
        <v>60</v>
      </c>
      <c r="P1380" s="14" t="s">
        <v>51</v>
      </c>
      <c r="Q1380" s="13" t="s">
        <v>60</v>
      </c>
      <c r="R1380" s="14" t="s">
        <v>51</v>
      </c>
      <c r="S1380" s="15" t="n">
        <f>37.25</f>
        <v>37.25</v>
      </c>
      <c r="T1380" s="16" t="n">
        <f>485</f>
        <v>485.0</v>
      </c>
      <c r="U1380" s="16" t="n">
        <v>46.0</v>
      </c>
      <c r="V1380" s="16" t="n">
        <f>14567000</f>
        <v>1.4567E7</v>
      </c>
      <c r="W1380" s="16" t="n">
        <v>1476000.0</v>
      </c>
      <c r="X1380" s="16" t="str">
        <f>"－"</f>
        <v>－</v>
      </c>
      <c r="Y1380" s="13" t="s">
        <v>53</v>
      </c>
      <c r="Z1380" s="17" t="n">
        <f>181</f>
        <v>181.0</v>
      </c>
      <c r="AA1380" s="18" t="n">
        <f>4</f>
        <v>4.0</v>
      </c>
      <c r="AB1380" s="11" t="s">
        <v>868</v>
      </c>
    </row>
    <row r="1381">
      <c r="A1381" s="11" t="s">
        <v>46</v>
      </c>
      <c r="B1381" s="11" t="s">
        <v>865</v>
      </c>
      <c r="C1381" s="11" t="s">
        <v>866</v>
      </c>
      <c r="D1381" s="11" t="s">
        <v>49</v>
      </c>
      <c r="E1381" s="11" t="s">
        <v>867</v>
      </c>
      <c r="F1381" s="12" t="n">
        <v>27625.0</v>
      </c>
      <c r="G1381" s="13" t="s">
        <v>50</v>
      </c>
      <c r="H1381" s="14" t="s">
        <v>131</v>
      </c>
      <c r="I1381" s="13" t="s">
        <v>50</v>
      </c>
      <c r="J1381" s="14" t="s">
        <v>131</v>
      </c>
      <c r="K1381" s="13" t="s">
        <v>55</v>
      </c>
      <c r="L1381" s="14" t="s">
        <v>336</v>
      </c>
      <c r="M1381" s="13" t="s">
        <v>60</v>
      </c>
      <c r="N1381" s="14" t="s">
        <v>59</v>
      </c>
      <c r="O1381" s="13" t="s">
        <v>60</v>
      </c>
      <c r="P1381" s="14" t="s">
        <v>59</v>
      </c>
      <c r="Q1381" s="13" t="s">
        <v>60</v>
      </c>
      <c r="R1381" s="14" t="s">
        <v>59</v>
      </c>
      <c r="S1381" s="15" t="n">
        <f>55</f>
        <v>55.0</v>
      </c>
      <c r="T1381" s="16" t="n">
        <f>128</f>
        <v>128.0</v>
      </c>
      <c r="U1381" s="16" t="n">
        <v>10.0</v>
      </c>
      <c r="V1381" s="16" t="n">
        <f>7295000</f>
        <v>7295000.0</v>
      </c>
      <c r="W1381" s="16" t="n">
        <v>199000.0</v>
      </c>
      <c r="X1381" s="16" t="str">
        <f>"－"</f>
        <v>－</v>
      </c>
      <c r="Y1381" s="13" t="s">
        <v>53</v>
      </c>
      <c r="Z1381" s="17" t="n">
        <f>40</f>
        <v>40.0</v>
      </c>
      <c r="AA1381" s="18" t="n">
        <f>4</f>
        <v>4.0</v>
      </c>
      <c r="AB1381" s="11" t="s">
        <v>868</v>
      </c>
    </row>
    <row r="1382">
      <c r="A1382" s="11" t="s">
        <v>46</v>
      </c>
      <c r="B1382" s="11" t="s">
        <v>865</v>
      </c>
      <c r="C1382" s="11" t="s">
        <v>866</v>
      </c>
      <c r="D1382" s="11" t="s">
        <v>49</v>
      </c>
      <c r="E1382" s="11" t="s">
        <v>867</v>
      </c>
      <c r="F1382" s="12" t="n">
        <v>27750.0</v>
      </c>
      <c r="G1382" s="13" t="s">
        <v>50</v>
      </c>
      <c r="H1382" s="14" t="s">
        <v>137</v>
      </c>
      <c r="I1382" s="13" t="s">
        <v>50</v>
      </c>
      <c r="J1382" s="14" t="s">
        <v>137</v>
      </c>
      <c r="K1382" s="13" t="s">
        <v>55</v>
      </c>
      <c r="L1382" s="14" t="s">
        <v>227</v>
      </c>
      <c r="M1382" s="13" t="s">
        <v>60</v>
      </c>
      <c r="N1382" s="14" t="s">
        <v>59</v>
      </c>
      <c r="O1382" s="13" t="s">
        <v>60</v>
      </c>
      <c r="P1382" s="14" t="s">
        <v>59</v>
      </c>
      <c r="Q1382" s="13" t="s">
        <v>60</v>
      </c>
      <c r="R1382" s="14" t="s">
        <v>65</v>
      </c>
      <c r="S1382" s="15" t="n">
        <f>56.75</f>
        <v>56.75</v>
      </c>
      <c r="T1382" s="16" t="n">
        <f>490</f>
        <v>490.0</v>
      </c>
      <c r="U1382" s="16" t="n">
        <v>37.0</v>
      </c>
      <c r="V1382" s="16" t="n">
        <f>13921000</f>
        <v>1.3921E7</v>
      </c>
      <c r="W1382" s="16" t="n">
        <v>477000.0</v>
      </c>
      <c r="X1382" s="16" t="str">
        <f>"－"</f>
        <v>－</v>
      </c>
      <c r="Y1382" s="13" t="s">
        <v>53</v>
      </c>
      <c r="Z1382" s="17" t="n">
        <f>162</f>
        <v>162.0</v>
      </c>
      <c r="AA1382" s="18" t="n">
        <f>4</f>
        <v>4.0</v>
      </c>
      <c r="AB1382" s="11" t="s">
        <v>868</v>
      </c>
    </row>
    <row r="1383">
      <c r="A1383" s="11" t="s">
        <v>46</v>
      </c>
      <c r="B1383" s="11" t="s">
        <v>865</v>
      </c>
      <c r="C1383" s="11" t="s">
        <v>866</v>
      </c>
      <c r="D1383" s="11" t="s">
        <v>49</v>
      </c>
      <c r="E1383" s="11" t="s">
        <v>867</v>
      </c>
      <c r="F1383" s="12" t="n">
        <v>27875.0</v>
      </c>
      <c r="G1383" s="13" t="s">
        <v>50</v>
      </c>
      <c r="H1383" s="14" t="s">
        <v>362</v>
      </c>
      <c r="I1383" s="13" t="s">
        <v>50</v>
      </c>
      <c r="J1383" s="14" t="s">
        <v>362</v>
      </c>
      <c r="K1383" s="13" t="s">
        <v>50</v>
      </c>
      <c r="L1383" s="14" t="s">
        <v>163</v>
      </c>
      <c r="M1383" s="13" t="s">
        <v>60</v>
      </c>
      <c r="N1383" s="14" t="s">
        <v>59</v>
      </c>
      <c r="O1383" s="13" t="s">
        <v>60</v>
      </c>
      <c r="P1383" s="14" t="s">
        <v>67</v>
      </c>
      <c r="Q1383" s="13" t="s">
        <v>60</v>
      </c>
      <c r="R1383" s="14" t="s">
        <v>65</v>
      </c>
      <c r="S1383" s="15" t="n">
        <f>91</f>
        <v>91.0</v>
      </c>
      <c r="T1383" s="16" t="n">
        <f>174</f>
        <v>174.0</v>
      </c>
      <c r="U1383" s="16" t="n">
        <v>11.0</v>
      </c>
      <c r="V1383" s="16" t="n">
        <f>4735000</f>
        <v>4735000.0</v>
      </c>
      <c r="W1383" s="16" t="n">
        <v>584000.0</v>
      </c>
      <c r="X1383" s="16" t="str">
        <f>"－"</f>
        <v>－</v>
      </c>
      <c r="Y1383" s="13" t="s">
        <v>53</v>
      </c>
      <c r="Z1383" s="17" t="n">
        <f>71</f>
        <v>71.0</v>
      </c>
      <c r="AA1383" s="18" t="n">
        <f>4</f>
        <v>4.0</v>
      </c>
      <c r="AB1383" s="11" t="s">
        <v>868</v>
      </c>
    </row>
    <row r="1384">
      <c r="A1384" s="11" t="s">
        <v>46</v>
      </c>
      <c r="B1384" s="11" t="s">
        <v>865</v>
      </c>
      <c r="C1384" s="11" t="s">
        <v>866</v>
      </c>
      <c r="D1384" s="11" t="s">
        <v>49</v>
      </c>
      <c r="E1384" s="11" t="s">
        <v>867</v>
      </c>
      <c r="F1384" s="12" t="n">
        <v>28000.0</v>
      </c>
      <c r="G1384" s="13" t="s">
        <v>50</v>
      </c>
      <c r="H1384" s="14" t="s">
        <v>244</v>
      </c>
      <c r="I1384" s="13" t="s">
        <v>50</v>
      </c>
      <c r="J1384" s="14" t="s">
        <v>244</v>
      </c>
      <c r="K1384" s="13" t="s">
        <v>55</v>
      </c>
      <c r="L1384" s="14" t="s">
        <v>449</v>
      </c>
      <c r="M1384" s="13" t="s">
        <v>60</v>
      </c>
      <c r="N1384" s="14" t="s">
        <v>65</v>
      </c>
      <c r="O1384" s="13" t="s">
        <v>60</v>
      </c>
      <c r="P1384" s="14" t="s">
        <v>62</v>
      </c>
      <c r="Q1384" s="13" t="s">
        <v>60</v>
      </c>
      <c r="R1384" s="14" t="s">
        <v>72</v>
      </c>
      <c r="S1384" s="15" t="n">
        <f>88.5</f>
        <v>88.5</v>
      </c>
      <c r="T1384" s="16" t="n">
        <f>308</f>
        <v>308.0</v>
      </c>
      <c r="U1384" s="16" t="n">
        <v>16.0</v>
      </c>
      <c r="V1384" s="16" t="n">
        <f>10738000</f>
        <v>1.0738E7</v>
      </c>
      <c r="W1384" s="16" t="n">
        <v>318000.0</v>
      </c>
      <c r="X1384" s="16" t="str">
        <f>"－"</f>
        <v>－</v>
      </c>
      <c r="Y1384" s="13" t="s">
        <v>53</v>
      </c>
      <c r="Z1384" s="17" t="n">
        <f>112</f>
        <v>112.0</v>
      </c>
      <c r="AA1384" s="18" t="n">
        <f>4</f>
        <v>4.0</v>
      </c>
      <c r="AB1384" s="11" t="s">
        <v>868</v>
      </c>
    </row>
    <row r="1385">
      <c r="A1385" s="11" t="s">
        <v>46</v>
      </c>
      <c r="B1385" s="11" t="s">
        <v>865</v>
      </c>
      <c r="C1385" s="11" t="s">
        <v>866</v>
      </c>
      <c r="D1385" s="11" t="s">
        <v>49</v>
      </c>
      <c r="E1385" s="11" t="s">
        <v>867</v>
      </c>
      <c r="F1385" s="12" t="n">
        <v>28125.0</v>
      </c>
      <c r="G1385" s="13" t="s">
        <v>50</v>
      </c>
      <c r="H1385" s="14" t="s">
        <v>145</v>
      </c>
      <c r="I1385" s="13" t="s">
        <v>50</v>
      </c>
      <c r="J1385" s="14" t="s">
        <v>145</v>
      </c>
      <c r="K1385" s="13" t="s">
        <v>60</v>
      </c>
      <c r="L1385" s="14" t="s">
        <v>86</v>
      </c>
      <c r="M1385" s="13" t="s">
        <v>60</v>
      </c>
      <c r="N1385" s="14" t="s">
        <v>72</v>
      </c>
      <c r="O1385" s="13" t="s">
        <v>60</v>
      </c>
      <c r="P1385" s="14" t="s">
        <v>71</v>
      </c>
      <c r="Q1385" s="13" t="s">
        <v>60</v>
      </c>
      <c r="R1385" s="14" t="s">
        <v>80</v>
      </c>
      <c r="S1385" s="15" t="n">
        <f>109.75</f>
        <v>109.75</v>
      </c>
      <c r="T1385" s="16" t="n">
        <f>184</f>
        <v>184.0</v>
      </c>
      <c r="U1385" s="16" t="n">
        <v>16.0</v>
      </c>
      <c r="V1385" s="16" t="n">
        <f>7914000</f>
        <v>7914000.0</v>
      </c>
      <c r="W1385" s="16" t="n">
        <v>334000.0</v>
      </c>
      <c r="X1385" s="16" t="str">
        <f>"－"</f>
        <v>－</v>
      </c>
      <c r="Y1385" s="13" t="s">
        <v>53</v>
      </c>
      <c r="Z1385" s="17" t="n">
        <f>91</f>
        <v>91.0</v>
      </c>
      <c r="AA1385" s="18" t="n">
        <f>4</f>
        <v>4.0</v>
      </c>
      <c r="AB1385" s="11" t="s">
        <v>868</v>
      </c>
    </row>
    <row r="1386">
      <c r="A1386" s="11" t="s">
        <v>46</v>
      </c>
      <c r="B1386" s="11" t="s">
        <v>865</v>
      </c>
      <c r="C1386" s="11" t="s">
        <v>866</v>
      </c>
      <c r="D1386" s="11" t="s">
        <v>49</v>
      </c>
      <c r="E1386" s="11" t="s">
        <v>867</v>
      </c>
      <c r="F1386" s="12" t="n">
        <v>28250.0</v>
      </c>
      <c r="G1386" s="13" t="s">
        <v>55</v>
      </c>
      <c r="H1386" s="14" t="s">
        <v>234</v>
      </c>
      <c r="I1386" s="13" t="s">
        <v>55</v>
      </c>
      <c r="J1386" s="14" t="s">
        <v>234</v>
      </c>
      <c r="K1386" s="13" t="s">
        <v>60</v>
      </c>
      <c r="L1386" s="14" t="s">
        <v>100</v>
      </c>
      <c r="M1386" s="13" t="s">
        <v>60</v>
      </c>
      <c r="N1386" s="14" t="s">
        <v>74</v>
      </c>
      <c r="O1386" s="13" t="s">
        <v>60</v>
      </c>
      <c r="P1386" s="14" t="s">
        <v>79</v>
      </c>
      <c r="Q1386" s="13" t="s">
        <v>60</v>
      </c>
      <c r="R1386" s="14" t="s">
        <v>97</v>
      </c>
      <c r="S1386" s="15" t="n">
        <f>81.67</f>
        <v>81.67</v>
      </c>
      <c r="T1386" s="16" t="n">
        <f>314</f>
        <v>314.0</v>
      </c>
      <c r="U1386" s="16" t="n">
        <v>9.0</v>
      </c>
      <c r="V1386" s="16" t="n">
        <f>16458000</f>
        <v>1.6458E7</v>
      </c>
      <c r="W1386" s="16" t="n">
        <v>296000.0</v>
      </c>
      <c r="X1386" s="16" t="str">
        <f>"－"</f>
        <v>－</v>
      </c>
      <c r="Y1386" s="13" t="s">
        <v>53</v>
      </c>
      <c r="Z1386" s="17" t="n">
        <f>121</f>
        <v>121.0</v>
      </c>
      <c r="AA1386" s="18" t="n">
        <f>3</f>
        <v>3.0</v>
      </c>
      <c r="AB1386" s="11" t="s">
        <v>868</v>
      </c>
    </row>
    <row r="1387">
      <c r="A1387" s="11" t="s">
        <v>46</v>
      </c>
      <c r="B1387" s="11" t="s">
        <v>865</v>
      </c>
      <c r="C1387" s="11" t="s">
        <v>866</v>
      </c>
      <c r="D1387" s="11" t="s">
        <v>49</v>
      </c>
      <c r="E1387" s="11" t="s">
        <v>867</v>
      </c>
      <c r="F1387" s="12" t="n">
        <v>28375.0</v>
      </c>
      <c r="G1387" s="13" t="s">
        <v>63</v>
      </c>
      <c r="H1387" s="14" t="s">
        <v>128</v>
      </c>
      <c r="I1387" s="13" t="s">
        <v>63</v>
      </c>
      <c r="J1387" s="14" t="s">
        <v>232</v>
      </c>
      <c r="K1387" s="13" t="s">
        <v>63</v>
      </c>
      <c r="L1387" s="14" t="s">
        <v>763</v>
      </c>
      <c r="M1387" s="13" t="s">
        <v>60</v>
      </c>
      <c r="N1387" s="14" t="s">
        <v>93</v>
      </c>
      <c r="O1387" s="13" t="s">
        <v>60</v>
      </c>
      <c r="P1387" s="14" t="s">
        <v>95</v>
      </c>
      <c r="Q1387" s="13" t="s">
        <v>60</v>
      </c>
      <c r="R1387" s="14" t="s">
        <v>228</v>
      </c>
      <c r="S1387" s="15" t="n">
        <f>73.5</f>
        <v>73.5</v>
      </c>
      <c r="T1387" s="16" t="n">
        <f>229</f>
        <v>229.0</v>
      </c>
      <c r="U1387" s="16" t="n">
        <v>7.0</v>
      </c>
      <c r="V1387" s="16" t="n">
        <f>15778000</f>
        <v>1.5778E7</v>
      </c>
      <c r="W1387" s="16" t="n">
        <v>450000.0</v>
      </c>
      <c r="X1387" s="16" t="str">
        <f>"－"</f>
        <v>－</v>
      </c>
      <c r="Y1387" s="13" t="s">
        <v>53</v>
      </c>
      <c r="Z1387" s="17" t="n">
        <f>30</f>
        <v>30.0</v>
      </c>
      <c r="AA1387" s="18" t="n">
        <f>2</f>
        <v>2.0</v>
      </c>
      <c r="AB1387" s="11" t="s">
        <v>868</v>
      </c>
    </row>
    <row r="1388">
      <c r="A1388" s="11" t="s">
        <v>46</v>
      </c>
      <c r="B1388" s="11" t="s">
        <v>865</v>
      </c>
      <c r="C1388" s="11" t="s">
        <v>866</v>
      </c>
      <c r="D1388" s="11" t="s">
        <v>49</v>
      </c>
      <c r="E1388" s="11" t="s">
        <v>867</v>
      </c>
      <c r="F1388" s="12" t="n">
        <v>28500.0</v>
      </c>
      <c r="G1388" s="13" t="s">
        <v>55</v>
      </c>
      <c r="H1388" s="14" t="s">
        <v>136</v>
      </c>
      <c r="I1388" s="13" t="s">
        <v>55</v>
      </c>
      <c r="J1388" s="14" t="s">
        <v>136</v>
      </c>
      <c r="K1388" s="13" t="s">
        <v>63</v>
      </c>
      <c r="L1388" s="14" t="s">
        <v>129</v>
      </c>
      <c r="M1388" s="13" t="s">
        <v>60</v>
      </c>
      <c r="N1388" s="14" t="s">
        <v>264</v>
      </c>
      <c r="O1388" s="13" t="s">
        <v>60</v>
      </c>
      <c r="P1388" s="14" t="s">
        <v>188</v>
      </c>
      <c r="Q1388" s="13" t="s">
        <v>60</v>
      </c>
      <c r="R1388" s="14" t="s">
        <v>127</v>
      </c>
      <c r="S1388" s="15" t="n">
        <f>173.33</f>
        <v>173.33</v>
      </c>
      <c r="T1388" s="16" t="n">
        <f>198</f>
        <v>198.0</v>
      </c>
      <c r="U1388" s="16" t="n">
        <v>31.0</v>
      </c>
      <c r="V1388" s="16" t="n">
        <f>23029000</f>
        <v>2.3029E7</v>
      </c>
      <c r="W1388" s="16" t="n">
        <v>3994000.0</v>
      </c>
      <c r="X1388" s="16" t="str">
        <f>"－"</f>
        <v>－</v>
      </c>
      <c r="Y1388" s="13" t="s">
        <v>53</v>
      </c>
      <c r="Z1388" s="17" t="n">
        <f>53</f>
        <v>53.0</v>
      </c>
      <c r="AA1388" s="18" t="n">
        <f>3</f>
        <v>3.0</v>
      </c>
      <c r="AB1388" s="11" t="s">
        <v>868</v>
      </c>
    </row>
    <row r="1389">
      <c r="A1389" s="11" t="s">
        <v>46</v>
      </c>
      <c r="B1389" s="11" t="s">
        <v>865</v>
      </c>
      <c r="C1389" s="11" t="s">
        <v>866</v>
      </c>
      <c r="D1389" s="11" t="s">
        <v>49</v>
      </c>
      <c r="E1389" s="11" t="s">
        <v>867</v>
      </c>
      <c r="F1389" s="12" t="n">
        <v>28625.0</v>
      </c>
      <c r="G1389" s="13" t="s">
        <v>63</v>
      </c>
      <c r="H1389" s="14" t="s">
        <v>120</v>
      </c>
      <c r="I1389" s="13" t="s">
        <v>63</v>
      </c>
      <c r="J1389" s="14" t="s">
        <v>135</v>
      </c>
      <c r="K1389" s="13" t="s">
        <v>60</v>
      </c>
      <c r="L1389" s="14" t="s">
        <v>128</v>
      </c>
      <c r="M1389" s="13" t="s">
        <v>60</v>
      </c>
      <c r="N1389" s="14" t="s">
        <v>114</v>
      </c>
      <c r="O1389" s="13" t="s">
        <v>60</v>
      </c>
      <c r="P1389" s="14" t="s">
        <v>128</v>
      </c>
      <c r="Q1389" s="13" t="s">
        <v>60</v>
      </c>
      <c r="R1389" s="14" t="s">
        <v>261</v>
      </c>
      <c r="S1389" s="15" t="n">
        <f>142.5</f>
        <v>142.5</v>
      </c>
      <c r="T1389" s="16" t="n">
        <f>113</f>
        <v>113.0</v>
      </c>
      <c r="U1389" s="16" t="n">
        <v>1.0</v>
      </c>
      <c r="V1389" s="16" t="n">
        <f>15381000</f>
        <v>1.5381E7</v>
      </c>
      <c r="W1389" s="16" t="n">
        <v>175000.0</v>
      </c>
      <c r="X1389" s="16" t="str">
        <f>"－"</f>
        <v>－</v>
      </c>
      <c r="Y1389" s="13" t="s">
        <v>53</v>
      </c>
      <c r="Z1389" s="17" t="n">
        <f>29</f>
        <v>29.0</v>
      </c>
      <c r="AA1389" s="18" t="n">
        <f>2</f>
        <v>2.0</v>
      </c>
      <c r="AB1389" s="11" t="s">
        <v>868</v>
      </c>
    </row>
    <row r="1390">
      <c r="A1390" s="11" t="s">
        <v>46</v>
      </c>
      <c r="B1390" s="11" t="s">
        <v>865</v>
      </c>
      <c r="C1390" s="11" t="s">
        <v>866</v>
      </c>
      <c r="D1390" s="11" t="s">
        <v>49</v>
      </c>
      <c r="E1390" s="11" t="s">
        <v>867</v>
      </c>
      <c r="F1390" s="12" t="n">
        <v>28750.0</v>
      </c>
      <c r="G1390" s="13" t="s">
        <v>63</v>
      </c>
      <c r="H1390" s="14" t="s">
        <v>293</v>
      </c>
      <c r="I1390" s="13" t="s">
        <v>60</v>
      </c>
      <c r="J1390" s="14" t="s">
        <v>151</v>
      </c>
      <c r="K1390" s="13"/>
      <c r="L1390" s="14"/>
      <c r="M1390" s="13" t="s">
        <v>63</v>
      </c>
      <c r="N1390" s="14" t="s">
        <v>230</v>
      </c>
      <c r="O1390" s="13"/>
      <c r="P1390" s="14"/>
      <c r="Q1390" s="13" t="s">
        <v>60</v>
      </c>
      <c r="R1390" s="14" t="s">
        <v>151</v>
      </c>
      <c r="S1390" s="15" t="n">
        <f>297.5</f>
        <v>297.5</v>
      </c>
      <c r="T1390" s="16" t="n">
        <f>6</f>
        <v>6.0</v>
      </c>
      <c r="U1390" s="16"/>
      <c r="V1390" s="16" t="n">
        <f>1385000</f>
        <v>1385000.0</v>
      </c>
      <c r="W1390" s="16"/>
      <c r="X1390" s="16" t="n">
        <f>4</f>
        <v>4.0</v>
      </c>
      <c r="Y1390" s="13" t="s">
        <v>53</v>
      </c>
      <c r="Z1390" s="17" t="str">
        <f>"－"</f>
        <v>－</v>
      </c>
      <c r="AA1390" s="18" t="n">
        <f>2</f>
        <v>2.0</v>
      </c>
      <c r="AB1390" s="11" t="s">
        <v>868</v>
      </c>
    </row>
    <row r="1391">
      <c r="A1391" s="11" t="s">
        <v>46</v>
      </c>
      <c r="B1391" s="11" t="s">
        <v>865</v>
      </c>
      <c r="C1391" s="11" t="s">
        <v>866</v>
      </c>
      <c r="D1391" s="11" t="s">
        <v>49</v>
      </c>
      <c r="E1391" s="11" t="s">
        <v>869</v>
      </c>
      <c r="F1391" s="12" t="n">
        <v>26625.0</v>
      </c>
      <c r="G1391" s="13" t="s">
        <v>55</v>
      </c>
      <c r="H1391" s="14" t="s">
        <v>247</v>
      </c>
      <c r="I1391" s="13" t="s">
        <v>55</v>
      </c>
      <c r="J1391" s="14" t="s">
        <v>247</v>
      </c>
      <c r="K1391" s="13" t="s">
        <v>63</v>
      </c>
      <c r="L1391" s="14" t="s">
        <v>336</v>
      </c>
      <c r="M1391" s="13" t="s">
        <v>202</v>
      </c>
      <c r="N1391" s="14" t="s">
        <v>51</v>
      </c>
      <c r="O1391" s="13" t="s">
        <v>63</v>
      </c>
      <c r="P1391" s="14" t="s">
        <v>51</v>
      </c>
      <c r="Q1391" s="13" t="s">
        <v>207</v>
      </c>
      <c r="R1391" s="14" t="s">
        <v>51</v>
      </c>
      <c r="S1391" s="15" t="n">
        <f>21.2</f>
        <v>21.2</v>
      </c>
      <c r="T1391" s="16" t="n">
        <f>675</f>
        <v>675.0</v>
      </c>
      <c r="U1391" s="16" t="n">
        <v>50.0</v>
      </c>
      <c r="V1391" s="16" t="n">
        <f>3226000</f>
        <v>3226000.0</v>
      </c>
      <c r="W1391" s="16" t="n">
        <v>465000.0</v>
      </c>
      <c r="X1391" s="16" t="str">
        <f>"－"</f>
        <v>－</v>
      </c>
      <c r="Y1391" s="13" t="s">
        <v>53</v>
      </c>
      <c r="Z1391" s="17" t="n">
        <f>484</f>
        <v>484.0</v>
      </c>
      <c r="AA1391" s="18" t="n">
        <f>10</f>
        <v>10.0</v>
      </c>
      <c r="AB1391" s="11" t="s">
        <v>870</v>
      </c>
    </row>
    <row r="1392">
      <c r="A1392" s="11" t="s">
        <v>46</v>
      </c>
      <c r="B1392" s="11" t="s">
        <v>865</v>
      </c>
      <c r="C1392" s="11" t="s">
        <v>866</v>
      </c>
      <c r="D1392" s="11" t="s">
        <v>49</v>
      </c>
      <c r="E1392" s="11" t="s">
        <v>869</v>
      </c>
      <c r="F1392" s="12" t="n">
        <v>26750.0</v>
      </c>
      <c r="G1392" s="13" t="s">
        <v>63</v>
      </c>
      <c r="H1392" s="14" t="s">
        <v>101</v>
      </c>
      <c r="I1392" s="13" t="s">
        <v>63</v>
      </c>
      <c r="J1392" s="14" t="s">
        <v>101</v>
      </c>
      <c r="K1392" s="13" t="s">
        <v>206</v>
      </c>
      <c r="L1392" s="14" t="s">
        <v>77</v>
      </c>
      <c r="M1392" s="13" t="s">
        <v>202</v>
      </c>
      <c r="N1392" s="14" t="s">
        <v>51</v>
      </c>
      <c r="O1392" s="13" t="s">
        <v>202</v>
      </c>
      <c r="P1392" s="14" t="s">
        <v>51</v>
      </c>
      <c r="Q1392" s="13" t="s">
        <v>288</v>
      </c>
      <c r="R1392" s="14" t="s">
        <v>51</v>
      </c>
      <c r="S1392" s="15" t="n">
        <f>16.25</f>
        <v>16.25</v>
      </c>
      <c r="T1392" s="16" t="n">
        <f>349</f>
        <v>349.0</v>
      </c>
      <c r="U1392" s="16" t="n">
        <v>19.0</v>
      </c>
      <c r="V1392" s="16" t="n">
        <f>1265000</f>
        <v>1265000.0</v>
      </c>
      <c r="W1392" s="16" t="n">
        <v>81000.0</v>
      </c>
      <c r="X1392" s="16" t="str">
        <f>"－"</f>
        <v>－</v>
      </c>
      <c r="Y1392" s="13" t="s">
        <v>53</v>
      </c>
      <c r="Z1392" s="17" t="n">
        <f>208</f>
        <v>208.0</v>
      </c>
      <c r="AA1392" s="18" t="n">
        <f>8</f>
        <v>8.0</v>
      </c>
      <c r="AB1392" s="11" t="s">
        <v>870</v>
      </c>
    </row>
    <row r="1393">
      <c r="A1393" s="11" t="s">
        <v>46</v>
      </c>
      <c r="B1393" s="11" t="s">
        <v>865</v>
      </c>
      <c r="C1393" s="11" t="s">
        <v>866</v>
      </c>
      <c r="D1393" s="11" t="s">
        <v>49</v>
      </c>
      <c r="E1393" s="11" t="s">
        <v>869</v>
      </c>
      <c r="F1393" s="12" t="n">
        <v>26875.0</v>
      </c>
      <c r="G1393" s="13" t="s">
        <v>63</v>
      </c>
      <c r="H1393" s="14" t="s">
        <v>117</v>
      </c>
      <c r="I1393" s="13" t="s">
        <v>63</v>
      </c>
      <c r="J1393" s="14" t="s">
        <v>117</v>
      </c>
      <c r="K1393" s="13" t="s">
        <v>205</v>
      </c>
      <c r="L1393" s="14" t="s">
        <v>62</v>
      </c>
      <c r="M1393" s="13" t="s">
        <v>202</v>
      </c>
      <c r="N1393" s="14" t="s">
        <v>51</v>
      </c>
      <c r="O1393" s="13" t="s">
        <v>288</v>
      </c>
      <c r="P1393" s="14" t="s">
        <v>51</v>
      </c>
      <c r="Q1393" s="13" t="s">
        <v>288</v>
      </c>
      <c r="R1393" s="14" t="s">
        <v>51</v>
      </c>
      <c r="S1393" s="15" t="n">
        <f>24.17</f>
        <v>24.17</v>
      </c>
      <c r="T1393" s="16" t="n">
        <f>113</f>
        <v>113.0</v>
      </c>
      <c r="U1393" s="16" t="n">
        <v>3.0</v>
      </c>
      <c r="V1393" s="16" t="n">
        <f>408000</f>
        <v>408000.0</v>
      </c>
      <c r="W1393" s="16" t="n">
        <v>7000.0</v>
      </c>
      <c r="X1393" s="16" t="str">
        <f>"－"</f>
        <v>－</v>
      </c>
      <c r="Y1393" s="13" t="s">
        <v>53</v>
      </c>
      <c r="Z1393" s="17" t="n">
        <f>103</f>
        <v>103.0</v>
      </c>
      <c r="AA1393" s="18" t="n">
        <f>6</f>
        <v>6.0</v>
      </c>
      <c r="AB1393" s="11" t="s">
        <v>870</v>
      </c>
    </row>
    <row r="1394">
      <c r="A1394" s="11" t="s">
        <v>46</v>
      </c>
      <c r="B1394" s="11" t="s">
        <v>865</v>
      </c>
      <c r="C1394" s="11" t="s">
        <v>866</v>
      </c>
      <c r="D1394" s="11" t="s">
        <v>49</v>
      </c>
      <c r="E1394" s="11" t="s">
        <v>869</v>
      </c>
      <c r="F1394" s="12" t="n">
        <v>27000.0</v>
      </c>
      <c r="G1394" s="13" t="s">
        <v>63</v>
      </c>
      <c r="H1394" s="14" t="s">
        <v>337</v>
      </c>
      <c r="I1394" s="13" t="s">
        <v>63</v>
      </c>
      <c r="J1394" s="14" t="s">
        <v>337</v>
      </c>
      <c r="K1394" s="13" t="s">
        <v>58</v>
      </c>
      <c r="L1394" s="14" t="s">
        <v>88</v>
      </c>
      <c r="M1394" s="13" t="s">
        <v>202</v>
      </c>
      <c r="N1394" s="14" t="s">
        <v>51</v>
      </c>
      <c r="O1394" s="13" t="s">
        <v>202</v>
      </c>
      <c r="P1394" s="14" t="s">
        <v>51</v>
      </c>
      <c r="Q1394" s="13" t="s">
        <v>207</v>
      </c>
      <c r="R1394" s="14" t="s">
        <v>51</v>
      </c>
      <c r="S1394" s="15" t="n">
        <f>18</f>
        <v>18.0</v>
      </c>
      <c r="T1394" s="16" t="n">
        <f>890</f>
        <v>890.0</v>
      </c>
      <c r="U1394" s="16" t="n">
        <v>395.0</v>
      </c>
      <c r="V1394" s="16" t="n">
        <f>11994000</f>
        <v>1.1994E7</v>
      </c>
      <c r="W1394" s="16" t="n">
        <v>8381000.0</v>
      </c>
      <c r="X1394" s="16" t="str">
        <f>"－"</f>
        <v>－</v>
      </c>
      <c r="Y1394" s="13" t="s">
        <v>53</v>
      </c>
      <c r="Z1394" s="17" t="n">
        <f>549</f>
        <v>549.0</v>
      </c>
      <c r="AA1394" s="18" t="n">
        <f>9</f>
        <v>9.0</v>
      </c>
      <c r="AB1394" s="11" t="s">
        <v>870</v>
      </c>
    </row>
    <row r="1395">
      <c r="A1395" s="11" t="s">
        <v>46</v>
      </c>
      <c r="B1395" s="11" t="s">
        <v>865</v>
      </c>
      <c r="C1395" s="11" t="s">
        <v>866</v>
      </c>
      <c r="D1395" s="11" t="s">
        <v>49</v>
      </c>
      <c r="E1395" s="11" t="s">
        <v>869</v>
      </c>
      <c r="F1395" s="12" t="n">
        <v>27125.0</v>
      </c>
      <c r="G1395" s="13" t="s">
        <v>63</v>
      </c>
      <c r="H1395" s="14" t="s">
        <v>449</v>
      </c>
      <c r="I1395" s="13" t="s">
        <v>63</v>
      </c>
      <c r="J1395" s="14" t="s">
        <v>449</v>
      </c>
      <c r="K1395" s="13" t="s">
        <v>52</v>
      </c>
      <c r="L1395" s="14" t="s">
        <v>70</v>
      </c>
      <c r="M1395" s="13" t="s">
        <v>202</v>
      </c>
      <c r="N1395" s="14" t="s">
        <v>51</v>
      </c>
      <c r="O1395" s="13" t="s">
        <v>202</v>
      </c>
      <c r="P1395" s="14" t="s">
        <v>51</v>
      </c>
      <c r="Q1395" s="13" t="s">
        <v>207</v>
      </c>
      <c r="R1395" s="14" t="s">
        <v>51</v>
      </c>
      <c r="S1395" s="15" t="n">
        <f>19.13</f>
        <v>19.13</v>
      </c>
      <c r="T1395" s="16" t="n">
        <f>279</f>
        <v>279.0</v>
      </c>
      <c r="U1395" s="16" t="n">
        <v>17.0</v>
      </c>
      <c r="V1395" s="16" t="n">
        <f>2574000</f>
        <v>2574000.0</v>
      </c>
      <c r="W1395" s="16" t="n">
        <v>73000.0</v>
      </c>
      <c r="X1395" s="16" t="str">
        <f>"－"</f>
        <v>－</v>
      </c>
      <c r="Y1395" s="13" t="s">
        <v>53</v>
      </c>
      <c r="Z1395" s="17" t="n">
        <f>104</f>
        <v>104.0</v>
      </c>
      <c r="AA1395" s="18" t="n">
        <f>8</f>
        <v>8.0</v>
      </c>
      <c r="AB1395" s="11" t="s">
        <v>870</v>
      </c>
    </row>
    <row r="1396">
      <c r="A1396" s="11" t="s">
        <v>46</v>
      </c>
      <c r="B1396" s="11" t="s">
        <v>865</v>
      </c>
      <c r="C1396" s="11" t="s">
        <v>866</v>
      </c>
      <c r="D1396" s="11" t="s">
        <v>49</v>
      </c>
      <c r="E1396" s="11" t="s">
        <v>869</v>
      </c>
      <c r="F1396" s="12" t="n">
        <v>27250.0</v>
      </c>
      <c r="G1396" s="13" t="s">
        <v>60</v>
      </c>
      <c r="H1396" s="14" t="s">
        <v>223</v>
      </c>
      <c r="I1396" s="13" t="s">
        <v>60</v>
      </c>
      <c r="J1396" s="14" t="s">
        <v>223</v>
      </c>
      <c r="K1396" s="13" t="s">
        <v>58</v>
      </c>
      <c r="L1396" s="14" t="s">
        <v>264</v>
      </c>
      <c r="M1396" s="13" t="s">
        <v>288</v>
      </c>
      <c r="N1396" s="14" t="s">
        <v>51</v>
      </c>
      <c r="O1396" s="13" t="s">
        <v>202</v>
      </c>
      <c r="P1396" s="14" t="s">
        <v>51</v>
      </c>
      <c r="Q1396" s="13" t="s">
        <v>207</v>
      </c>
      <c r="R1396" s="14" t="s">
        <v>51</v>
      </c>
      <c r="S1396" s="15" t="n">
        <f>17.14</f>
        <v>17.14</v>
      </c>
      <c r="T1396" s="16" t="n">
        <f>144</f>
        <v>144.0</v>
      </c>
      <c r="U1396" s="16" t="n">
        <v>30.0</v>
      </c>
      <c r="V1396" s="16" t="n">
        <f>963000</f>
        <v>963000.0</v>
      </c>
      <c r="W1396" s="16" t="n">
        <v>167000.0</v>
      </c>
      <c r="X1396" s="16" t="str">
        <f>"－"</f>
        <v>－</v>
      </c>
      <c r="Y1396" s="13" t="s">
        <v>53</v>
      </c>
      <c r="Z1396" s="17" t="n">
        <f>63</f>
        <v>63.0</v>
      </c>
      <c r="AA1396" s="18" t="n">
        <f>7</f>
        <v>7.0</v>
      </c>
      <c r="AB1396" s="11" t="s">
        <v>870</v>
      </c>
    </row>
    <row r="1397">
      <c r="A1397" s="11" t="s">
        <v>46</v>
      </c>
      <c r="B1397" s="11" t="s">
        <v>865</v>
      </c>
      <c r="C1397" s="11" t="s">
        <v>866</v>
      </c>
      <c r="D1397" s="11" t="s">
        <v>49</v>
      </c>
      <c r="E1397" s="11" t="s">
        <v>869</v>
      </c>
      <c r="F1397" s="12" t="n">
        <v>27375.0</v>
      </c>
      <c r="G1397" s="13" t="s">
        <v>60</v>
      </c>
      <c r="H1397" s="14" t="s">
        <v>120</v>
      </c>
      <c r="I1397" s="13" t="s">
        <v>60</v>
      </c>
      <c r="J1397" s="14" t="s">
        <v>120</v>
      </c>
      <c r="K1397" s="13" t="s">
        <v>63</v>
      </c>
      <c r="L1397" s="14" t="s">
        <v>118</v>
      </c>
      <c r="M1397" s="13" t="s">
        <v>288</v>
      </c>
      <c r="N1397" s="14" t="s">
        <v>51</v>
      </c>
      <c r="O1397" s="13" t="s">
        <v>288</v>
      </c>
      <c r="P1397" s="14" t="s">
        <v>51</v>
      </c>
      <c r="Q1397" s="13" t="s">
        <v>288</v>
      </c>
      <c r="R1397" s="14" t="s">
        <v>51</v>
      </c>
      <c r="S1397" s="15" t="n">
        <f>41.5</f>
        <v>41.5</v>
      </c>
      <c r="T1397" s="16" t="n">
        <f>16</f>
        <v>16.0</v>
      </c>
      <c r="U1397" s="16" t="n">
        <v>6.0</v>
      </c>
      <c r="V1397" s="16" t="n">
        <f>417000</f>
        <v>417000.0</v>
      </c>
      <c r="W1397" s="16" t="n">
        <v>235000.0</v>
      </c>
      <c r="X1397" s="16" t="str">
        <f>"－"</f>
        <v>－</v>
      </c>
      <c r="Y1397" s="13" t="s">
        <v>53</v>
      </c>
      <c r="Z1397" s="17" t="n">
        <f>10</f>
        <v>10.0</v>
      </c>
      <c r="AA1397" s="18" t="n">
        <f>4</f>
        <v>4.0</v>
      </c>
      <c r="AB1397" s="11" t="s">
        <v>870</v>
      </c>
    </row>
    <row r="1398">
      <c r="A1398" s="11" t="s">
        <v>46</v>
      </c>
      <c r="B1398" s="11" t="s">
        <v>865</v>
      </c>
      <c r="C1398" s="11" t="s">
        <v>866</v>
      </c>
      <c r="D1398" s="11" t="s">
        <v>49</v>
      </c>
      <c r="E1398" s="11" t="s">
        <v>869</v>
      </c>
      <c r="F1398" s="12" t="n">
        <v>27500.0</v>
      </c>
      <c r="G1398" s="13" t="s">
        <v>60</v>
      </c>
      <c r="H1398" s="14" t="s">
        <v>118</v>
      </c>
      <c r="I1398" s="13" t="s">
        <v>58</v>
      </c>
      <c r="J1398" s="14" t="s">
        <v>119</v>
      </c>
      <c r="K1398" s="13" t="s">
        <v>60</v>
      </c>
      <c r="L1398" s="14" t="s">
        <v>118</v>
      </c>
      <c r="M1398" s="13" t="s">
        <v>288</v>
      </c>
      <c r="N1398" s="14" t="s">
        <v>51</v>
      </c>
      <c r="O1398" s="13" t="s">
        <v>202</v>
      </c>
      <c r="P1398" s="14" t="s">
        <v>51</v>
      </c>
      <c r="Q1398" s="13" t="s">
        <v>207</v>
      </c>
      <c r="R1398" s="14" t="s">
        <v>51</v>
      </c>
      <c r="S1398" s="15" t="n">
        <f>31.13</f>
        <v>31.13</v>
      </c>
      <c r="T1398" s="16" t="n">
        <f>285</f>
        <v>285.0</v>
      </c>
      <c r="U1398" s="16" t="n">
        <v>39.0</v>
      </c>
      <c r="V1398" s="16" t="n">
        <f>3567000</f>
        <v>3567000.0</v>
      </c>
      <c r="W1398" s="16" t="n">
        <v>423000.0</v>
      </c>
      <c r="X1398" s="16" t="str">
        <f>"－"</f>
        <v>－</v>
      </c>
      <c r="Y1398" s="13" t="s">
        <v>53</v>
      </c>
      <c r="Z1398" s="17" t="n">
        <f>103</f>
        <v>103.0</v>
      </c>
      <c r="AA1398" s="18" t="n">
        <f>8</f>
        <v>8.0</v>
      </c>
      <c r="AB1398" s="11" t="s">
        <v>870</v>
      </c>
    </row>
    <row r="1399">
      <c r="A1399" s="11" t="s">
        <v>46</v>
      </c>
      <c r="B1399" s="11" t="s">
        <v>865</v>
      </c>
      <c r="C1399" s="11" t="s">
        <v>866</v>
      </c>
      <c r="D1399" s="11" t="s">
        <v>49</v>
      </c>
      <c r="E1399" s="11" t="s">
        <v>869</v>
      </c>
      <c r="F1399" s="12" t="n">
        <v>27625.0</v>
      </c>
      <c r="G1399" s="13" t="s">
        <v>58</v>
      </c>
      <c r="H1399" s="14" t="s">
        <v>117</v>
      </c>
      <c r="I1399" s="13" t="s">
        <v>58</v>
      </c>
      <c r="J1399" s="14" t="s">
        <v>117</v>
      </c>
      <c r="K1399" s="13" t="s">
        <v>60</v>
      </c>
      <c r="L1399" s="14" t="s">
        <v>119</v>
      </c>
      <c r="M1399" s="13" t="s">
        <v>207</v>
      </c>
      <c r="N1399" s="14" t="s">
        <v>51</v>
      </c>
      <c r="O1399" s="13" t="s">
        <v>202</v>
      </c>
      <c r="P1399" s="14" t="s">
        <v>59</v>
      </c>
      <c r="Q1399" s="13" t="s">
        <v>207</v>
      </c>
      <c r="R1399" s="14" t="s">
        <v>51</v>
      </c>
      <c r="S1399" s="15" t="n">
        <f>23.56</f>
        <v>23.56</v>
      </c>
      <c r="T1399" s="16" t="n">
        <f>209</f>
        <v>209.0</v>
      </c>
      <c r="U1399" s="16" t="n">
        <v>12.0</v>
      </c>
      <c r="V1399" s="16" t="n">
        <f>5517000</f>
        <v>5517000.0</v>
      </c>
      <c r="W1399" s="16" t="n">
        <v>642000.0</v>
      </c>
      <c r="X1399" s="16" t="str">
        <f>"－"</f>
        <v>－</v>
      </c>
      <c r="Y1399" s="13" t="s">
        <v>53</v>
      </c>
      <c r="Z1399" s="17" t="n">
        <f>9</f>
        <v>9.0</v>
      </c>
      <c r="AA1399" s="18" t="n">
        <f>9</f>
        <v>9.0</v>
      </c>
      <c r="AB1399" s="11" t="s">
        <v>870</v>
      </c>
    </row>
    <row r="1400">
      <c r="A1400" s="11" t="s">
        <v>46</v>
      </c>
      <c r="B1400" s="11" t="s">
        <v>865</v>
      </c>
      <c r="C1400" s="11" t="s">
        <v>866</v>
      </c>
      <c r="D1400" s="11" t="s">
        <v>49</v>
      </c>
      <c r="E1400" s="11" t="s">
        <v>869</v>
      </c>
      <c r="F1400" s="12" t="n">
        <v>27750.0</v>
      </c>
      <c r="G1400" s="13" t="s">
        <v>60</v>
      </c>
      <c r="H1400" s="14" t="s">
        <v>286</v>
      </c>
      <c r="I1400" s="13" t="s">
        <v>60</v>
      </c>
      <c r="J1400" s="14" t="s">
        <v>286</v>
      </c>
      <c r="K1400" s="13" t="s">
        <v>206</v>
      </c>
      <c r="L1400" s="14" t="s">
        <v>82</v>
      </c>
      <c r="M1400" s="13" t="s">
        <v>207</v>
      </c>
      <c r="N1400" s="14" t="s">
        <v>51</v>
      </c>
      <c r="O1400" s="13" t="s">
        <v>207</v>
      </c>
      <c r="P1400" s="14" t="s">
        <v>51</v>
      </c>
      <c r="Q1400" s="13" t="s">
        <v>207</v>
      </c>
      <c r="R1400" s="14" t="s">
        <v>51</v>
      </c>
      <c r="S1400" s="15" t="n">
        <f>40.22</f>
        <v>40.22</v>
      </c>
      <c r="T1400" s="16" t="n">
        <f>154</f>
        <v>154.0</v>
      </c>
      <c r="U1400" s="16" t="n">
        <v>17.0</v>
      </c>
      <c r="V1400" s="16" t="n">
        <f>2645000</f>
        <v>2645000.0</v>
      </c>
      <c r="W1400" s="16" t="n">
        <v>116000.0</v>
      </c>
      <c r="X1400" s="16" t="str">
        <f>"－"</f>
        <v>－</v>
      </c>
      <c r="Y1400" s="13" t="s">
        <v>53</v>
      </c>
      <c r="Z1400" s="17" t="n">
        <f>45</f>
        <v>45.0</v>
      </c>
      <c r="AA1400" s="18" t="n">
        <f>9</f>
        <v>9.0</v>
      </c>
      <c r="AB1400" s="11" t="s">
        <v>870</v>
      </c>
    </row>
    <row r="1401">
      <c r="A1401" s="11" t="s">
        <v>46</v>
      </c>
      <c r="B1401" s="11" t="s">
        <v>865</v>
      </c>
      <c r="C1401" s="11" t="s">
        <v>866</v>
      </c>
      <c r="D1401" s="11" t="s">
        <v>49</v>
      </c>
      <c r="E1401" s="11" t="s">
        <v>869</v>
      </c>
      <c r="F1401" s="12" t="n">
        <v>27875.0</v>
      </c>
      <c r="G1401" s="13" t="s">
        <v>58</v>
      </c>
      <c r="H1401" s="14" t="s">
        <v>118</v>
      </c>
      <c r="I1401" s="13" t="s">
        <v>58</v>
      </c>
      <c r="J1401" s="14" t="s">
        <v>118</v>
      </c>
      <c r="K1401" s="13" t="s">
        <v>56</v>
      </c>
      <c r="L1401" s="14" t="s">
        <v>93</v>
      </c>
      <c r="M1401" s="13" t="s">
        <v>288</v>
      </c>
      <c r="N1401" s="14" t="s">
        <v>51</v>
      </c>
      <c r="O1401" s="13" t="s">
        <v>207</v>
      </c>
      <c r="P1401" s="14" t="s">
        <v>51</v>
      </c>
      <c r="Q1401" s="13" t="s">
        <v>207</v>
      </c>
      <c r="R1401" s="14" t="s">
        <v>51</v>
      </c>
      <c r="S1401" s="15" t="n">
        <f>31.63</f>
        <v>31.63</v>
      </c>
      <c r="T1401" s="16" t="n">
        <f>169</f>
        <v>169.0</v>
      </c>
      <c r="U1401" s="16" t="n">
        <v>15.0</v>
      </c>
      <c r="V1401" s="16" t="n">
        <f>1674000</f>
        <v>1674000.0</v>
      </c>
      <c r="W1401" s="16" t="n">
        <v>90000.0</v>
      </c>
      <c r="X1401" s="16" t="str">
        <f>"－"</f>
        <v>－</v>
      </c>
      <c r="Y1401" s="13" t="s">
        <v>53</v>
      </c>
      <c r="Z1401" s="17" t="n">
        <f>60</f>
        <v>60.0</v>
      </c>
      <c r="AA1401" s="18" t="n">
        <f>8</f>
        <v>8.0</v>
      </c>
      <c r="AB1401" s="11" t="s">
        <v>870</v>
      </c>
    </row>
    <row r="1402">
      <c r="A1402" s="11" t="s">
        <v>46</v>
      </c>
      <c r="B1402" s="11" t="s">
        <v>865</v>
      </c>
      <c r="C1402" s="11" t="s">
        <v>866</v>
      </c>
      <c r="D1402" s="11" t="s">
        <v>49</v>
      </c>
      <c r="E1402" s="11" t="s">
        <v>869</v>
      </c>
      <c r="F1402" s="12" t="n">
        <v>28000.0</v>
      </c>
      <c r="G1402" s="13" t="s">
        <v>58</v>
      </c>
      <c r="H1402" s="14" t="s">
        <v>120</v>
      </c>
      <c r="I1402" s="13" t="s">
        <v>58</v>
      </c>
      <c r="J1402" s="14" t="s">
        <v>120</v>
      </c>
      <c r="K1402" s="13" t="s">
        <v>61</v>
      </c>
      <c r="L1402" s="14" t="s">
        <v>188</v>
      </c>
      <c r="M1402" s="13" t="s">
        <v>207</v>
      </c>
      <c r="N1402" s="14" t="s">
        <v>51</v>
      </c>
      <c r="O1402" s="13" t="s">
        <v>207</v>
      </c>
      <c r="P1402" s="14" t="s">
        <v>51</v>
      </c>
      <c r="Q1402" s="13" t="s">
        <v>207</v>
      </c>
      <c r="R1402" s="14" t="s">
        <v>51</v>
      </c>
      <c r="S1402" s="15" t="n">
        <f>34.67</f>
        <v>34.67</v>
      </c>
      <c r="T1402" s="16" t="n">
        <f>860</f>
        <v>860.0</v>
      </c>
      <c r="U1402" s="16" t="n">
        <v>201.0</v>
      </c>
      <c r="V1402" s="16" t="n">
        <f>17210000</f>
        <v>1.721E7</v>
      </c>
      <c r="W1402" s="16" t="n">
        <v>5802000.0</v>
      </c>
      <c r="X1402" s="16" t="str">
        <f>"－"</f>
        <v>－</v>
      </c>
      <c r="Y1402" s="13" t="s">
        <v>53</v>
      </c>
      <c r="Z1402" s="17" t="n">
        <f>224</f>
        <v>224.0</v>
      </c>
      <c r="AA1402" s="18" t="n">
        <f>9</f>
        <v>9.0</v>
      </c>
      <c r="AB1402" s="11" t="s">
        <v>870</v>
      </c>
    </row>
    <row r="1403">
      <c r="A1403" s="11" t="s">
        <v>46</v>
      </c>
      <c r="B1403" s="11" t="s">
        <v>865</v>
      </c>
      <c r="C1403" s="11" t="s">
        <v>866</v>
      </c>
      <c r="D1403" s="11" t="s">
        <v>49</v>
      </c>
      <c r="E1403" s="11" t="s">
        <v>869</v>
      </c>
      <c r="F1403" s="12" t="n">
        <v>28125.0</v>
      </c>
      <c r="G1403" s="13" t="s">
        <v>52</v>
      </c>
      <c r="H1403" s="14" t="s">
        <v>188</v>
      </c>
      <c r="I1403" s="13" t="s">
        <v>52</v>
      </c>
      <c r="J1403" s="14" t="s">
        <v>188</v>
      </c>
      <c r="K1403" s="13" t="s">
        <v>52</v>
      </c>
      <c r="L1403" s="14" t="s">
        <v>217</v>
      </c>
      <c r="M1403" s="13" t="s">
        <v>207</v>
      </c>
      <c r="N1403" s="14" t="s">
        <v>51</v>
      </c>
      <c r="O1403" s="13" t="s">
        <v>207</v>
      </c>
      <c r="P1403" s="14" t="s">
        <v>51</v>
      </c>
      <c r="Q1403" s="13" t="s">
        <v>207</v>
      </c>
      <c r="R1403" s="14" t="s">
        <v>51</v>
      </c>
      <c r="S1403" s="15" t="n">
        <f>20.71</f>
        <v>20.71</v>
      </c>
      <c r="T1403" s="16" t="n">
        <f>46</f>
        <v>46.0</v>
      </c>
      <c r="U1403" s="16" t="n">
        <v>5.0</v>
      </c>
      <c r="V1403" s="16" t="n">
        <f>774000</f>
        <v>774000.0</v>
      </c>
      <c r="W1403" s="16" t="n">
        <v>144000.0</v>
      </c>
      <c r="X1403" s="16" t="str">
        <f>"－"</f>
        <v>－</v>
      </c>
      <c r="Y1403" s="13" t="s">
        <v>53</v>
      </c>
      <c r="Z1403" s="17" t="n">
        <f>17</f>
        <v>17.0</v>
      </c>
      <c r="AA1403" s="18" t="n">
        <f>7</f>
        <v>7.0</v>
      </c>
      <c r="AB1403" s="11" t="s">
        <v>870</v>
      </c>
    </row>
    <row r="1404">
      <c r="A1404" s="11" t="s">
        <v>46</v>
      </c>
      <c r="B1404" s="11" t="s">
        <v>865</v>
      </c>
      <c r="C1404" s="11" t="s">
        <v>866</v>
      </c>
      <c r="D1404" s="11" t="s">
        <v>49</v>
      </c>
      <c r="E1404" s="11" t="s">
        <v>869</v>
      </c>
      <c r="F1404" s="12" t="n">
        <v>28250.0</v>
      </c>
      <c r="G1404" s="13" t="s">
        <v>52</v>
      </c>
      <c r="H1404" s="14" t="s">
        <v>188</v>
      </c>
      <c r="I1404" s="13" t="s">
        <v>52</v>
      </c>
      <c r="J1404" s="14" t="s">
        <v>188</v>
      </c>
      <c r="K1404" s="13" t="s">
        <v>52</v>
      </c>
      <c r="L1404" s="14" t="s">
        <v>188</v>
      </c>
      <c r="M1404" s="13" t="s">
        <v>207</v>
      </c>
      <c r="N1404" s="14" t="s">
        <v>51</v>
      </c>
      <c r="O1404" s="13" t="s">
        <v>207</v>
      </c>
      <c r="P1404" s="14" t="s">
        <v>51</v>
      </c>
      <c r="Q1404" s="13" t="s">
        <v>207</v>
      </c>
      <c r="R1404" s="14" t="s">
        <v>51</v>
      </c>
      <c r="S1404" s="15" t="n">
        <f>27</f>
        <v>27.0</v>
      </c>
      <c r="T1404" s="16" t="n">
        <f>1135</f>
        <v>1135.0</v>
      </c>
      <c r="U1404" s="16" t="n">
        <v>59.0</v>
      </c>
      <c r="V1404" s="16" t="n">
        <f>34125000</f>
        <v>3.4125E7</v>
      </c>
      <c r="W1404" s="16" t="n">
        <v>873000.0</v>
      </c>
      <c r="X1404" s="16" t="str">
        <f>"－"</f>
        <v>－</v>
      </c>
      <c r="Y1404" s="13" t="s">
        <v>53</v>
      </c>
      <c r="Z1404" s="17" t="n">
        <f>645</f>
        <v>645.0</v>
      </c>
      <c r="AA1404" s="18" t="n">
        <f>7</f>
        <v>7.0</v>
      </c>
      <c r="AB1404" s="11" t="s">
        <v>870</v>
      </c>
    </row>
    <row r="1405">
      <c r="A1405" s="11" t="s">
        <v>46</v>
      </c>
      <c r="B1405" s="11" t="s">
        <v>865</v>
      </c>
      <c r="C1405" s="11" t="s">
        <v>866</v>
      </c>
      <c r="D1405" s="11" t="s">
        <v>49</v>
      </c>
      <c r="E1405" s="11" t="s">
        <v>869</v>
      </c>
      <c r="F1405" s="12" t="n">
        <v>28375.0</v>
      </c>
      <c r="G1405" s="13" t="s">
        <v>56</v>
      </c>
      <c r="H1405" s="14" t="s">
        <v>105</v>
      </c>
      <c r="I1405" s="13" t="s">
        <v>206</v>
      </c>
      <c r="J1405" s="14" t="s">
        <v>226</v>
      </c>
      <c r="K1405" s="13" t="s">
        <v>206</v>
      </c>
      <c r="L1405" s="14" t="s">
        <v>89</v>
      </c>
      <c r="M1405" s="13" t="s">
        <v>207</v>
      </c>
      <c r="N1405" s="14" t="s">
        <v>51</v>
      </c>
      <c r="O1405" s="13" t="s">
        <v>202</v>
      </c>
      <c r="P1405" s="14" t="s">
        <v>66</v>
      </c>
      <c r="Q1405" s="13" t="s">
        <v>207</v>
      </c>
      <c r="R1405" s="14" t="s">
        <v>51</v>
      </c>
      <c r="S1405" s="15" t="n">
        <f>26</f>
        <v>26.0</v>
      </c>
      <c r="T1405" s="16" t="n">
        <f>44</f>
        <v>44.0</v>
      </c>
      <c r="U1405" s="16" t="n">
        <v>3.0</v>
      </c>
      <c r="V1405" s="16" t="n">
        <f>1297000</f>
        <v>1297000.0</v>
      </c>
      <c r="W1405" s="16" t="n">
        <v>73000.0</v>
      </c>
      <c r="X1405" s="16" t="str">
        <f>"－"</f>
        <v>－</v>
      </c>
      <c r="Y1405" s="13" t="s">
        <v>53</v>
      </c>
      <c r="Z1405" s="17" t="n">
        <f>18</f>
        <v>18.0</v>
      </c>
      <c r="AA1405" s="18" t="n">
        <f>5</f>
        <v>5.0</v>
      </c>
      <c r="AB1405" s="11" t="s">
        <v>870</v>
      </c>
    </row>
    <row r="1406">
      <c r="A1406" s="11" t="s">
        <v>46</v>
      </c>
      <c r="B1406" s="11" t="s">
        <v>865</v>
      </c>
      <c r="C1406" s="11" t="s">
        <v>866</v>
      </c>
      <c r="D1406" s="11" t="s">
        <v>49</v>
      </c>
      <c r="E1406" s="11" t="s">
        <v>869</v>
      </c>
      <c r="F1406" s="12" t="n">
        <v>28500.0</v>
      </c>
      <c r="G1406" s="13" t="s">
        <v>61</v>
      </c>
      <c r="H1406" s="14" t="s">
        <v>118</v>
      </c>
      <c r="I1406" s="13" t="s">
        <v>52</v>
      </c>
      <c r="J1406" s="14" t="s">
        <v>119</v>
      </c>
      <c r="K1406" s="13" t="s">
        <v>61</v>
      </c>
      <c r="L1406" s="14" t="s">
        <v>118</v>
      </c>
      <c r="M1406" s="13" t="s">
        <v>207</v>
      </c>
      <c r="N1406" s="14" t="s">
        <v>51</v>
      </c>
      <c r="O1406" s="13" t="s">
        <v>207</v>
      </c>
      <c r="P1406" s="14" t="s">
        <v>59</v>
      </c>
      <c r="Q1406" s="13" t="s">
        <v>207</v>
      </c>
      <c r="R1406" s="14" t="s">
        <v>51</v>
      </c>
      <c r="S1406" s="15" t="n">
        <f>46.38</f>
        <v>46.38</v>
      </c>
      <c r="T1406" s="16" t="n">
        <f>886</f>
        <v>886.0</v>
      </c>
      <c r="U1406" s="16" t="n">
        <v>71.0</v>
      </c>
      <c r="V1406" s="16" t="n">
        <f>21955000</f>
        <v>2.1955E7</v>
      </c>
      <c r="W1406" s="16" t="n">
        <v>1519000.0</v>
      </c>
      <c r="X1406" s="16" t="str">
        <f>"－"</f>
        <v>－</v>
      </c>
      <c r="Y1406" s="13" t="s">
        <v>53</v>
      </c>
      <c r="Z1406" s="17" t="n">
        <f>118</f>
        <v>118.0</v>
      </c>
      <c r="AA1406" s="18" t="n">
        <f>8</f>
        <v>8.0</v>
      </c>
      <c r="AB1406" s="11" t="s">
        <v>870</v>
      </c>
    </row>
    <row r="1407">
      <c r="A1407" s="11" t="s">
        <v>46</v>
      </c>
      <c r="B1407" s="11" t="s">
        <v>865</v>
      </c>
      <c r="C1407" s="11" t="s">
        <v>866</v>
      </c>
      <c r="D1407" s="11" t="s">
        <v>49</v>
      </c>
      <c r="E1407" s="11" t="s">
        <v>869</v>
      </c>
      <c r="F1407" s="12" t="n">
        <v>28625.0</v>
      </c>
      <c r="G1407" s="13" t="s">
        <v>52</v>
      </c>
      <c r="H1407" s="14" t="s">
        <v>116</v>
      </c>
      <c r="I1407" s="13" t="s">
        <v>52</v>
      </c>
      <c r="J1407" s="14" t="s">
        <v>116</v>
      </c>
      <c r="K1407" s="13" t="s">
        <v>206</v>
      </c>
      <c r="L1407" s="14" t="s">
        <v>412</v>
      </c>
      <c r="M1407" s="13" t="s">
        <v>207</v>
      </c>
      <c r="N1407" s="14" t="s">
        <v>51</v>
      </c>
      <c r="O1407" s="13" t="s">
        <v>207</v>
      </c>
      <c r="P1407" s="14" t="s">
        <v>59</v>
      </c>
      <c r="Q1407" s="13" t="s">
        <v>207</v>
      </c>
      <c r="R1407" s="14" t="s">
        <v>51</v>
      </c>
      <c r="S1407" s="15" t="n">
        <f>47.14</f>
        <v>47.14</v>
      </c>
      <c r="T1407" s="16" t="n">
        <f>145</f>
        <v>145.0</v>
      </c>
      <c r="U1407" s="16" t="n">
        <v>4.0</v>
      </c>
      <c r="V1407" s="16" t="n">
        <f>2719000</f>
        <v>2719000.0</v>
      </c>
      <c r="W1407" s="16" t="n">
        <v>93000.0</v>
      </c>
      <c r="X1407" s="16" t="str">
        <f>"－"</f>
        <v>－</v>
      </c>
      <c r="Y1407" s="13" t="s">
        <v>53</v>
      </c>
      <c r="Z1407" s="17" t="n">
        <f>35</f>
        <v>35.0</v>
      </c>
      <c r="AA1407" s="18" t="n">
        <f>7</f>
        <v>7.0</v>
      </c>
      <c r="AB1407" s="11" t="s">
        <v>870</v>
      </c>
    </row>
    <row r="1408">
      <c r="A1408" s="11" t="s">
        <v>46</v>
      </c>
      <c r="B1408" s="11" t="s">
        <v>865</v>
      </c>
      <c r="C1408" s="11" t="s">
        <v>866</v>
      </c>
      <c r="D1408" s="11" t="s">
        <v>49</v>
      </c>
      <c r="E1408" s="11" t="s">
        <v>869</v>
      </c>
      <c r="F1408" s="12" t="n">
        <v>28750.0</v>
      </c>
      <c r="G1408" s="13" t="s">
        <v>52</v>
      </c>
      <c r="H1408" s="14" t="s">
        <v>118</v>
      </c>
      <c r="I1408" s="13" t="s">
        <v>206</v>
      </c>
      <c r="J1408" s="14" t="s">
        <v>286</v>
      </c>
      <c r="K1408" s="13" t="s">
        <v>52</v>
      </c>
      <c r="L1408" s="14" t="s">
        <v>116</v>
      </c>
      <c r="M1408" s="13" t="s">
        <v>207</v>
      </c>
      <c r="N1408" s="14" t="s">
        <v>51</v>
      </c>
      <c r="O1408" s="13" t="s">
        <v>202</v>
      </c>
      <c r="P1408" s="14" t="s">
        <v>51</v>
      </c>
      <c r="Q1408" s="13" t="s">
        <v>207</v>
      </c>
      <c r="R1408" s="14" t="s">
        <v>51</v>
      </c>
      <c r="S1408" s="15" t="n">
        <f>49.14</f>
        <v>49.14</v>
      </c>
      <c r="T1408" s="16" t="n">
        <f>350</f>
        <v>350.0</v>
      </c>
      <c r="U1408" s="16" t="n">
        <v>27.0</v>
      </c>
      <c r="V1408" s="16" t="n">
        <f>15950000</f>
        <v>1.595E7</v>
      </c>
      <c r="W1408" s="16" t="n">
        <v>565000.0</v>
      </c>
      <c r="X1408" s="16" t="str">
        <f>"－"</f>
        <v>－</v>
      </c>
      <c r="Y1408" s="13" t="s">
        <v>53</v>
      </c>
      <c r="Z1408" s="17" t="n">
        <f>69</f>
        <v>69.0</v>
      </c>
      <c r="AA1408" s="18" t="n">
        <f>7</f>
        <v>7.0</v>
      </c>
      <c r="AB1408" s="11" t="s">
        <v>870</v>
      </c>
    </row>
    <row r="1409">
      <c r="A1409" s="11" t="s">
        <v>46</v>
      </c>
      <c r="B1409" s="11" t="s">
        <v>865</v>
      </c>
      <c r="C1409" s="11" t="s">
        <v>866</v>
      </c>
      <c r="D1409" s="11" t="s">
        <v>49</v>
      </c>
      <c r="E1409" s="11" t="s">
        <v>869</v>
      </c>
      <c r="F1409" s="12" t="n">
        <v>28875.0</v>
      </c>
      <c r="G1409" s="13" t="s">
        <v>61</v>
      </c>
      <c r="H1409" s="14" t="s">
        <v>135</v>
      </c>
      <c r="I1409" s="13" t="s">
        <v>61</v>
      </c>
      <c r="J1409" s="14" t="s">
        <v>135</v>
      </c>
      <c r="K1409" s="13" t="s">
        <v>56</v>
      </c>
      <c r="L1409" s="14" t="s">
        <v>120</v>
      </c>
      <c r="M1409" s="13" t="s">
        <v>207</v>
      </c>
      <c r="N1409" s="14" t="s">
        <v>51</v>
      </c>
      <c r="O1409" s="13" t="s">
        <v>207</v>
      </c>
      <c r="P1409" s="14" t="s">
        <v>51</v>
      </c>
      <c r="Q1409" s="13" t="s">
        <v>207</v>
      </c>
      <c r="R1409" s="14" t="s">
        <v>51</v>
      </c>
      <c r="S1409" s="15" t="n">
        <f>77.88</f>
        <v>77.88</v>
      </c>
      <c r="T1409" s="16" t="n">
        <f>183</f>
        <v>183.0</v>
      </c>
      <c r="U1409" s="16" t="n">
        <v>14.0</v>
      </c>
      <c r="V1409" s="16" t="n">
        <f>12315000</f>
        <v>1.2315E7</v>
      </c>
      <c r="W1409" s="16" t="n">
        <v>474000.0</v>
      </c>
      <c r="X1409" s="16" t="str">
        <f>"－"</f>
        <v>－</v>
      </c>
      <c r="Y1409" s="13" t="s">
        <v>53</v>
      </c>
      <c r="Z1409" s="17" t="n">
        <f>46</f>
        <v>46.0</v>
      </c>
      <c r="AA1409" s="18" t="n">
        <f>8</f>
        <v>8.0</v>
      </c>
      <c r="AB1409" s="11" t="s">
        <v>870</v>
      </c>
    </row>
    <row r="1410">
      <c r="A1410" s="11" t="s">
        <v>46</v>
      </c>
      <c r="B1410" s="11" t="s">
        <v>865</v>
      </c>
      <c r="C1410" s="11" t="s">
        <v>866</v>
      </c>
      <c r="D1410" s="11" t="s">
        <v>49</v>
      </c>
      <c r="E1410" s="11" t="s">
        <v>869</v>
      </c>
      <c r="F1410" s="12" t="n">
        <v>29000.0</v>
      </c>
      <c r="G1410" s="13" t="s">
        <v>52</v>
      </c>
      <c r="H1410" s="14" t="s">
        <v>135</v>
      </c>
      <c r="I1410" s="13" t="s">
        <v>52</v>
      </c>
      <c r="J1410" s="14" t="s">
        <v>135</v>
      </c>
      <c r="K1410" s="13" t="s">
        <v>206</v>
      </c>
      <c r="L1410" s="14" t="s">
        <v>130</v>
      </c>
      <c r="M1410" s="13" t="s">
        <v>207</v>
      </c>
      <c r="N1410" s="14" t="s">
        <v>51</v>
      </c>
      <c r="O1410" s="13" t="s">
        <v>207</v>
      </c>
      <c r="P1410" s="14" t="s">
        <v>51</v>
      </c>
      <c r="Q1410" s="13" t="s">
        <v>207</v>
      </c>
      <c r="R1410" s="14" t="s">
        <v>51</v>
      </c>
      <c r="S1410" s="15" t="n">
        <f>82.14</f>
        <v>82.14</v>
      </c>
      <c r="T1410" s="16" t="n">
        <f>973</f>
        <v>973.0</v>
      </c>
      <c r="U1410" s="16" t="n">
        <v>97.0</v>
      </c>
      <c r="V1410" s="16" t="n">
        <f>43976000</f>
        <v>4.3976E7</v>
      </c>
      <c r="W1410" s="16" t="n">
        <v>3096000.0</v>
      </c>
      <c r="X1410" s="16" t="str">
        <f>"－"</f>
        <v>－</v>
      </c>
      <c r="Y1410" s="13" t="s">
        <v>53</v>
      </c>
      <c r="Z1410" s="17" t="n">
        <f>122</f>
        <v>122.0</v>
      </c>
      <c r="AA1410" s="18" t="n">
        <f>7</f>
        <v>7.0</v>
      </c>
      <c r="AB1410" s="11" t="s">
        <v>870</v>
      </c>
    </row>
    <row r="1411">
      <c r="A1411" s="11" t="s">
        <v>46</v>
      </c>
      <c r="B1411" s="11" t="s">
        <v>865</v>
      </c>
      <c r="C1411" s="11" t="s">
        <v>866</v>
      </c>
      <c r="D1411" s="11" t="s">
        <v>49</v>
      </c>
      <c r="E1411" s="11" t="s">
        <v>869</v>
      </c>
      <c r="F1411" s="12" t="n">
        <v>29125.0</v>
      </c>
      <c r="G1411" s="13" t="s">
        <v>56</v>
      </c>
      <c r="H1411" s="14" t="s">
        <v>230</v>
      </c>
      <c r="I1411" s="13" t="s">
        <v>56</v>
      </c>
      <c r="J1411" s="14" t="s">
        <v>230</v>
      </c>
      <c r="K1411" s="13" t="s">
        <v>202</v>
      </c>
      <c r="L1411" s="14" t="s">
        <v>76</v>
      </c>
      <c r="M1411" s="13" t="s">
        <v>207</v>
      </c>
      <c r="N1411" s="14" t="s">
        <v>51</v>
      </c>
      <c r="O1411" s="13" t="s">
        <v>207</v>
      </c>
      <c r="P1411" s="14" t="s">
        <v>59</v>
      </c>
      <c r="Q1411" s="13" t="s">
        <v>207</v>
      </c>
      <c r="R1411" s="14" t="s">
        <v>51</v>
      </c>
      <c r="S1411" s="15" t="n">
        <f>73.17</f>
        <v>73.17</v>
      </c>
      <c r="T1411" s="16" t="n">
        <f>216</f>
        <v>216.0</v>
      </c>
      <c r="U1411" s="16" t="n">
        <v>18.0</v>
      </c>
      <c r="V1411" s="16" t="n">
        <f>6937000</f>
        <v>6937000.0</v>
      </c>
      <c r="W1411" s="16" t="n">
        <v>132000.0</v>
      </c>
      <c r="X1411" s="16" t="str">
        <f>"－"</f>
        <v>－</v>
      </c>
      <c r="Y1411" s="13" t="s">
        <v>53</v>
      </c>
      <c r="Z1411" s="17" t="n">
        <f>126</f>
        <v>126.0</v>
      </c>
      <c r="AA1411" s="18" t="n">
        <f>6</f>
        <v>6.0</v>
      </c>
      <c r="AB1411" s="11" t="s">
        <v>870</v>
      </c>
    </row>
    <row r="1412">
      <c r="A1412" s="11" t="s">
        <v>46</v>
      </c>
      <c r="B1412" s="11" t="s">
        <v>865</v>
      </c>
      <c r="C1412" s="11" t="s">
        <v>866</v>
      </c>
      <c r="D1412" s="11" t="s">
        <v>49</v>
      </c>
      <c r="E1412" s="11" t="s">
        <v>869</v>
      </c>
      <c r="F1412" s="12" t="n">
        <v>29250.0</v>
      </c>
      <c r="G1412" s="13" t="s">
        <v>56</v>
      </c>
      <c r="H1412" s="14" t="s">
        <v>133</v>
      </c>
      <c r="I1412" s="13" t="s">
        <v>206</v>
      </c>
      <c r="J1412" s="14" t="s">
        <v>141</v>
      </c>
      <c r="K1412" s="13" t="s">
        <v>206</v>
      </c>
      <c r="L1412" s="14" t="s">
        <v>134</v>
      </c>
      <c r="M1412" s="13" t="s">
        <v>207</v>
      </c>
      <c r="N1412" s="14" t="s">
        <v>59</v>
      </c>
      <c r="O1412" s="13" t="s">
        <v>207</v>
      </c>
      <c r="P1412" s="14" t="s">
        <v>59</v>
      </c>
      <c r="Q1412" s="13" t="s">
        <v>207</v>
      </c>
      <c r="R1412" s="14" t="s">
        <v>59</v>
      </c>
      <c r="S1412" s="15" t="n">
        <f>81.83</f>
        <v>81.83</v>
      </c>
      <c r="T1412" s="16" t="n">
        <f>510</f>
        <v>510.0</v>
      </c>
      <c r="U1412" s="16" t="n">
        <v>26.0</v>
      </c>
      <c r="V1412" s="16" t="n">
        <f>15761000</f>
        <v>1.5761E7</v>
      </c>
      <c r="W1412" s="16" t="n">
        <v>1798000.0</v>
      </c>
      <c r="X1412" s="16" t="str">
        <f>"－"</f>
        <v>－</v>
      </c>
      <c r="Y1412" s="13" t="s">
        <v>53</v>
      </c>
      <c r="Z1412" s="17" t="n">
        <f>128</f>
        <v>128.0</v>
      </c>
      <c r="AA1412" s="18" t="n">
        <f>6</f>
        <v>6.0</v>
      </c>
      <c r="AB1412" s="11" t="s">
        <v>870</v>
      </c>
    </row>
    <row r="1413">
      <c r="A1413" s="11" t="s">
        <v>46</v>
      </c>
      <c r="B1413" s="11" t="s">
        <v>865</v>
      </c>
      <c r="C1413" s="11" t="s">
        <v>866</v>
      </c>
      <c r="D1413" s="11" t="s">
        <v>49</v>
      </c>
      <c r="E1413" s="11" t="s">
        <v>869</v>
      </c>
      <c r="F1413" s="12" t="n">
        <v>29375.0</v>
      </c>
      <c r="G1413" s="13" t="s">
        <v>206</v>
      </c>
      <c r="H1413" s="14" t="s">
        <v>238</v>
      </c>
      <c r="I1413" s="13" t="s">
        <v>206</v>
      </c>
      <c r="J1413" s="14" t="s">
        <v>238</v>
      </c>
      <c r="K1413" s="13" t="s">
        <v>206</v>
      </c>
      <c r="L1413" s="14" t="s">
        <v>237</v>
      </c>
      <c r="M1413" s="13" t="s">
        <v>207</v>
      </c>
      <c r="N1413" s="14" t="s">
        <v>59</v>
      </c>
      <c r="O1413" s="13" t="s">
        <v>207</v>
      </c>
      <c r="P1413" s="14" t="s">
        <v>62</v>
      </c>
      <c r="Q1413" s="13" t="s">
        <v>207</v>
      </c>
      <c r="R1413" s="14" t="s">
        <v>62</v>
      </c>
      <c r="S1413" s="15" t="n">
        <f>68.4</f>
        <v>68.4</v>
      </c>
      <c r="T1413" s="16" t="n">
        <f>364</f>
        <v>364.0</v>
      </c>
      <c r="U1413" s="16" t="n">
        <v>24.0</v>
      </c>
      <c r="V1413" s="16" t="n">
        <f>13036000</f>
        <v>1.3036E7</v>
      </c>
      <c r="W1413" s="16" t="n">
        <v>1484000.0</v>
      </c>
      <c r="X1413" s="16" t="str">
        <f>"－"</f>
        <v>－</v>
      </c>
      <c r="Y1413" s="13" t="s">
        <v>53</v>
      </c>
      <c r="Z1413" s="17" t="n">
        <f>72</f>
        <v>72.0</v>
      </c>
      <c r="AA1413" s="18" t="n">
        <f>5</f>
        <v>5.0</v>
      </c>
      <c r="AB1413" s="11" t="s">
        <v>870</v>
      </c>
    </row>
    <row r="1414">
      <c r="A1414" s="11" t="s">
        <v>46</v>
      </c>
      <c r="B1414" s="11" t="s">
        <v>865</v>
      </c>
      <c r="C1414" s="11" t="s">
        <v>866</v>
      </c>
      <c r="D1414" s="11" t="s">
        <v>49</v>
      </c>
      <c r="E1414" s="11" t="s">
        <v>869</v>
      </c>
      <c r="F1414" s="12" t="n">
        <v>29500.0</v>
      </c>
      <c r="G1414" s="13" t="s">
        <v>61</v>
      </c>
      <c r="H1414" s="14" t="s">
        <v>196</v>
      </c>
      <c r="I1414" s="13" t="s">
        <v>61</v>
      </c>
      <c r="J1414" s="14" t="s">
        <v>196</v>
      </c>
      <c r="K1414" s="13" t="s">
        <v>206</v>
      </c>
      <c r="L1414" s="14" t="s">
        <v>234</v>
      </c>
      <c r="M1414" s="13" t="s">
        <v>207</v>
      </c>
      <c r="N1414" s="14" t="s">
        <v>62</v>
      </c>
      <c r="O1414" s="13" t="s">
        <v>207</v>
      </c>
      <c r="P1414" s="14" t="s">
        <v>62</v>
      </c>
      <c r="Q1414" s="13" t="s">
        <v>207</v>
      </c>
      <c r="R1414" s="14" t="s">
        <v>62</v>
      </c>
      <c r="S1414" s="15" t="n">
        <f>175</f>
        <v>175.0</v>
      </c>
      <c r="T1414" s="16" t="n">
        <f>568</f>
        <v>568.0</v>
      </c>
      <c r="U1414" s="16" t="n">
        <v>50.0</v>
      </c>
      <c r="V1414" s="16" t="n">
        <f>39575000</f>
        <v>3.9575E7</v>
      </c>
      <c r="W1414" s="16" t="n">
        <v>1712000.0</v>
      </c>
      <c r="X1414" s="16" t="str">
        <f>"－"</f>
        <v>－</v>
      </c>
      <c r="Y1414" s="13" t="s">
        <v>53</v>
      </c>
      <c r="Z1414" s="17" t="n">
        <f>168</f>
        <v>168.0</v>
      </c>
      <c r="AA1414" s="18" t="n">
        <f>7</f>
        <v>7.0</v>
      </c>
      <c r="AB1414" s="11" t="s">
        <v>870</v>
      </c>
    </row>
    <row r="1415">
      <c r="A1415" s="11" t="s">
        <v>46</v>
      </c>
      <c r="B1415" s="11" t="s">
        <v>865</v>
      </c>
      <c r="C1415" s="11" t="s">
        <v>866</v>
      </c>
      <c r="D1415" s="11" t="s">
        <v>49</v>
      </c>
      <c r="E1415" s="11" t="s">
        <v>869</v>
      </c>
      <c r="F1415" s="12" t="n">
        <v>29625.0</v>
      </c>
      <c r="G1415" s="13" t="s">
        <v>205</v>
      </c>
      <c r="H1415" s="14" t="s">
        <v>144</v>
      </c>
      <c r="I1415" s="13" t="s">
        <v>205</v>
      </c>
      <c r="J1415" s="14" t="s">
        <v>144</v>
      </c>
      <c r="K1415" s="13" t="s">
        <v>205</v>
      </c>
      <c r="L1415" s="14" t="s">
        <v>115</v>
      </c>
      <c r="M1415" s="13" t="s">
        <v>207</v>
      </c>
      <c r="N1415" s="14" t="s">
        <v>64</v>
      </c>
      <c r="O1415" s="13" t="s">
        <v>207</v>
      </c>
      <c r="P1415" s="14" t="s">
        <v>65</v>
      </c>
      <c r="Q1415" s="13" t="s">
        <v>207</v>
      </c>
      <c r="R1415" s="14" t="s">
        <v>64</v>
      </c>
      <c r="S1415" s="15" t="n">
        <f>40</f>
        <v>40.0</v>
      </c>
      <c r="T1415" s="16" t="n">
        <f>305</f>
        <v>305.0</v>
      </c>
      <c r="U1415" s="16" t="n">
        <v>11.0</v>
      </c>
      <c r="V1415" s="16" t="n">
        <f>12674000</f>
        <v>1.2674E7</v>
      </c>
      <c r="W1415" s="16" t="n">
        <v>461000.0</v>
      </c>
      <c r="X1415" s="16" t="str">
        <f>"－"</f>
        <v>－</v>
      </c>
      <c r="Y1415" s="13" t="s">
        <v>53</v>
      </c>
      <c r="Z1415" s="17" t="n">
        <f>75</f>
        <v>75.0</v>
      </c>
      <c r="AA1415" s="18" t="n">
        <f>4</f>
        <v>4.0</v>
      </c>
      <c r="AB1415" s="11" t="s">
        <v>870</v>
      </c>
    </row>
    <row r="1416">
      <c r="A1416" s="11" t="s">
        <v>46</v>
      </c>
      <c r="B1416" s="11" t="s">
        <v>865</v>
      </c>
      <c r="C1416" s="11" t="s">
        <v>866</v>
      </c>
      <c r="D1416" s="11" t="s">
        <v>49</v>
      </c>
      <c r="E1416" s="11" t="s">
        <v>869</v>
      </c>
      <c r="F1416" s="12" t="n">
        <v>29750.0</v>
      </c>
      <c r="G1416" s="13" t="s">
        <v>205</v>
      </c>
      <c r="H1416" s="14" t="s">
        <v>141</v>
      </c>
      <c r="I1416" s="13" t="s">
        <v>205</v>
      </c>
      <c r="J1416" s="14" t="s">
        <v>141</v>
      </c>
      <c r="K1416" s="13" t="s">
        <v>205</v>
      </c>
      <c r="L1416" s="14" t="s">
        <v>231</v>
      </c>
      <c r="M1416" s="13" t="s">
        <v>207</v>
      </c>
      <c r="N1416" s="14" t="s">
        <v>66</v>
      </c>
      <c r="O1416" s="13" t="s">
        <v>207</v>
      </c>
      <c r="P1416" s="14" t="s">
        <v>67</v>
      </c>
      <c r="Q1416" s="13" t="s">
        <v>207</v>
      </c>
      <c r="R1416" s="14" t="s">
        <v>67</v>
      </c>
      <c r="S1416" s="15" t="n">
        <f>53</f>
        <v>53.0</v>
      </c>
      <c r="T1416" s="16" t="n">
        <f>476</f>
        <v>476.0</v>
      </c>
      <c r="U1416" s="16" t="n">
        <v>47.0</v>
      </c>
      <c r="V1416" s="16" t="n">
        <f>25481000</f>
        <v>2.5481E7</v>
      </c>
      <c r="W1416" s="16" t="n">
        <v>1764000.0</v>
      </c>
      <c r="X1416" s="16" t="str">
        <f>"－"</f>
        <v>－</v>
      </c>
      <c r="Y1416" s="13" t="s">
        <v>53</v>
      </c>
      <c r="Z1416" s="17" t="n">
        <f>161</f>
        <v>161.0</v>
      </c>
      <c r="AA1416" s="18" t="n">
        <f>4</f>
        <v>4.0</v>
      </c>
      <c r="AB1416" s="11" t="s">
        <v>870</v>
      </c>
    </row>
    <row r="1417">
      <c r="A1417" s="11" t="s">
        <v>46</v>
      </c>
      <c r="B1417" s="11" t="s">
        <v>865</v>
      </c>
      <c r="C1417" s="11" t="s">
        <v>866</v>
      </c>
      <c r="D1417" s="11" t="s">
        <v>49</v>
      </c>
      <c r="E1417" s="11" t="s">
        <v>869</v>
      </c>
      <c r="F1417" s="12" t="n">
        <v>29875.0</v>
      </c>
      <c r="G1417" s="13" t="s">
        <v>205</v>
      </c>
      <c r="H1417" s="14" t="s">
        <v>130</v>
      </c>
      <c r="I1417" s="13" t="s">
        <v>205</v>
      </c>
      <c r="J1417" s="14" t="s">
        <v>130</v>
      </c>
      <c r="K1417" s="13" t="s">
        <v>202</v>
      </c>
      <c r="L1417" s="14" t="s">
        <v>116</v>
      </c>
      <c r="M1417" s="13" t="s">
        <v>207</v>
      </c>
      <c r="N1417" s="14" t="s">
        <v>71</v>
      </c>
      <c r="O1417" s="13" t="s">
        <v>207</v>
      </c>
      <c r="P1417" s="14" t="s">
        <v>73</v>
      </c>
      <c r="Q1417" s="13" t="s">
        <v>207</v>
      </c>
      <c r="R1417" s="14" t="s">
        <v>71</v>
      </c>
      <c r="S1417" s="15" t="n">
        <f>71.25</f>
        <v>71.25</v>
      </c>
      <c r="T1417" s="16" t="n">
        <f>273</f>
        <v>273.0</v>
      </c>
      <c r="U1417" s="16" t="n">
        <v>18.0</v>
      </c>
      <c r="V1417" s="16" t="n">
        <f>17483000</f>
        <v>1.7483E7</v>
      </c>
      <c r="W1417" s="16" t="n">
        <v>917000.0</v>
      </c>
      <c r="X1417" s="16" t="str">
        <f>"－"</f>
        <v>－</v>
      </c>
      <c r="Y1417" s="13" t="s">
        <v>53</v>
      </c>
      <c r="Z1417" s="17" t="n">
        <f>40</f>
        <v>40.0</v>
      </c>
      <c r="AA1417" s="18" t="n">
        <f>4</f>
        <v>4.0</v>
      </c>
      <c r="AB1417" s="11" t="s">
        <v>870</v>
      </c>
    </row>
    <row r="1418">
      <c r="A1418" s="11" t="s">
        <v>46</v>
      </c>
      <c r="B1418" s="11" t="s">
        <v>865</v>
      </c>
      <c r="C1418" s="11" t="s">
        <v>866</v>
      </c>
      <c r="D1418" s="11" t="s">
        <v>49</v>
      </c>
      <c r="E1418" s="11" t="s">
        <v>869</v>
      </c>
      <c r="F1418" s="12" t="n">
        <v>30000.0</v>
      </c>
      <c r="G1418" s="13" t="s">
        <v>205</v>
      </c>
      <c r="H1418" s="14" t="s">
        <v>239</v>
      </c>
      <c r="I1418" s="13" t="s">
        <v>205</v>
      </c>
      <c r="J1418" s="14" t="s">
        <v>239</v>
      </c>
      <c r="K1418" s="13" t="s">
        <v>205</v>
      </c>
      <c r="L1418" s="14" t="s">
        <v>134</v>
      </c>
      <c r="M1418" s="13" t="s">
        <v>207</v>
      </c>
      <c r="N1418" s="14" t="s">
        <v>77</v>
      </c>
      <c r="O1418" s="13" t="s">
        <v>207</v>
      </c>
      <c r="P1418" s="14" t="s">
        <v>76</v>
      </c>
      <c r="Q1418" s="13" t="s">
        <v>207</v>
      </c>
      <c r="R1418" s="14" t="s">
        <v>214</v>
      </c>
      <c r="S1418" s="15" t="n">
        <f>93.25</f>
        <v>93.25</v>
      </c>
      <c r="T1418" s="16" t="n">
        <f>793</f>
        <v>793.0</v>
      </c>
      <c r="U1418" s="16" t="n">
        <v>113.0</v>
      </c>
      <c r="V1418" s="16" t="n">
        <f>65042000</f>
        <v>6.5042E7</v>
      </c>
      <c r="W1418" s="16" t="n">
        <v>1.0678E7</v>
      </c>
      <c r="X1418" s="16" t="n">
        <f>60</f>
        <v>60.0</v>
      </c>
      <c r="Y1418" s="13" t="s">
        <v>53</v>
      </c>
      <c r="Z1418" s="17" t="str">
        <f>"－"</f>
        <v>－</v>
      </c>
      <c r="AA1418" s="18" t="n">
        <f>4</f>
        <v>4.0</v>
      </c>
      <c r="AB1418" s="11" t="s">
        <v>870</v>
      </c>
    </row>
    <row r="1419">
      <c r="A1419" s="11" t="s">
        <v>46</v>
      </c>
      <c r="B1419" s="11" t="s">
        <v>865</v>
      </c>
      <c r="C1419" s="11" t="s">
        <v>866</v>
      </c>
      <c r="D1419" s="11" t="s">
        <v>49</v>
      </c>
      <c r="E1419" s="11" t="s">
        <v>869</v>
      </c>
      <c r="F1419" s="12" t="n">
        <v>30125.0</v>
      </c>
      <c r="G1419" s="13" t="s">
        <v>205</v>
      </c>
      <c r="H1419" s="14" t="s">
        <v>136</v>
      </c>
      <c r="I1419" s="13" t="s">
        <v>205</v>
      </c>
      <c r="J1419" s="14" t="s">
        <v>136</v>
      </c>
      <c r="K1419" s="13" t="s">
        <v>202</v>
      </c>
      <c r="L1419" s="14" t="s">
        <v>126</v>
      </c>
      <c r="M1419" s="13" t="s">
        <v>207</v>
      </c>
      <c r="N1419" s="14" t="s">
        <v>83</v>
      </c>
      <c r="O1419" s="13" t="s">
        <v>207</v>
      </c>
      <c r="P1419" s="14" t="s">
        <v>89</v>
      </c>
      <c r="Q1419" s="13" t="s">
        <v>207</v>
      </c>
      <c r="R1419" s="14" t="s">
        <v>88</v>
      </c>
      <c r="S1419" s="15" t="n">
        <f>124.25</f>
        <v>124.25</v>
      </c>
      <c r="T1419" s="16" t="n">
        <f>395</f>
        <v>395.0</v>
      </c>
      <c r="U1419" s="16" t="n">
        <v>21.0</v>
      </c>
      <c r="V1419" s="16" t="n">
        <f>35506000</f>
        <v>3.5506E7</v>
      </c>
      <c r="W1419" s="16" t="n">
        <v>2035000.0</v>
      </c>
      <c r="X1419" s="16" t="n">
        <f>36</f>
        <v>36.0</v>
      </c>
      <c r="Y1419" s="13" t="s">
        <v>53</v>
      </c>
      <c r="Z1419" s="17" t="str">
        <f>"－"</f>
        <v>－</v>
      </c>
      <c r="AA1419" s="18" t="n">
        <f>4</f>
        <v>4.0</v>
      </c>
      <c r="AB1419" s="11" t="s">
        <v>870</v>
      </c>
    </row>
    <row r="1420">
      <c r="A1420" s="11" t="s">
        <v>46</v>
      </c>
      <c r="B1420" s="11" t="s">
        <v>865</v>
      </c>
      <c r="C1420" s="11" t="s">
        <v>866</v>
      </c>
      <c r="D1420" s="11" t="s">
        <v>49</v>
      </c>
      <c r="E1420" s="11" t="s">
        <v>869</v>
      </c>
      <c r="F1420" s="12" t="n">
        <v>30250.0</v>
      </c>
      <c r="G1420" s="13" t="s">
        <v>202</v>
      </c>
      <c r="H1420" s="14" t="s">
        <v>345</v>
      </c>
      <c r="I1420" s="13" t="s">
        <v>202</v>
      </c>
      <c r="J1420" s="14" t="s">
        <v>239</v>
      </c>
      <c r="K1420" s="13" t="s">
        <v>288</v>
      </c>
      <c r="L1420" s="14" t="s">
        <v>120</v>
      </c>
      <c r="M1420" s="13" t="s">
        <v>207</v>
      </c>
      <c r="N1420" s="14" t="s">
        <v>335</v>
      </c>
      <c r="O1420" s="13" t="s">
        <v>202</v>
      </c>
      <c r="P1420" s="14" t="s">
        <v>412</v>
      </c>
      <c r="Q1420" s="13" t="s">
        <v>207</v>
      </c>
      <c r="R1420" s="14" t="s">
        <v>223</v>
      </c>
      <c r="S1420" s="15" t="n">
        <f>108.67</f>
        <v>108.67</v>
      </c>
      <c r="T1420" s="16" t="n">
        <f>437</f>
        <v>437.0</v>
      </c>
      <c r="U1420" s="16" t="n">
        <v>5.0</v>
      </c>
      <c r="V1420" s="16" t="n">
        <f>59375000</f>
        <v>5.9375E7</v>
      </c>
      <c r="W1420" s="16" t="n">
        <v>593000.0</v>
      </c>
      <c r="X1420" s="16" t="n">
        <f>93</f>
        <v>93.0</v>
      </c>
      <c r="Y1420" s="13" t="s">
        <v>53</v>
      </c>
      <c r="Z1420" s="17" t="str">
        <f>"－"</f>
        <v>－</v>
      </c>
      <c r="AA1420" s="18" t="n">
        <f>3</f>
        <v>3.0</v>
      </c>
      <c r="AB1420" s="11" t="s">
        <v>870</v>
      </c>
    </row>
    <row r="1421">
      <c r="A1421" s="11" t="s">
        <v>46</v>
      </c>
      <c r="B1421" s="11" t="s">
        <v>865</v>
      </c>
      <c r="C1421" s="11" t="s">
        <v>866</v>
      </c>
      <c r="D1421" s="11" t="s">
        <v>49</v>
      </c>
      <c r="E1421" s="11" t="s">
        <v>869</v>
      </c>
      <c r="F1421" s="12" t="n">
        <v>30375.0</v>
      </c>
      <c r="G1421" s="13" t="s">
        <v>202</v>
      </c>
      <c r="H1421" s="14" t="s">
        <v>345</v>
      </c>
      <c r="I1421" s="13" t="s">
        <v>288</v>
      </c>
      <c r="J1421" s="14" t="s">
        <v>140</v>
      </c>
      <c r="K1421" s="13" t="s">
        <v>288</v>
      </c>
      <c r="L1421" s="14" t="s">
        <v>231</v>
      </c>
      <c r="M1421" s="13" t="s">
        <v>207</v>
      </c>
      <c r="N1421" s="14" t="s">
        <v>270</v>
      </c>
      <c r="O1421" s="13" t="s">
        <v>202</v>
      </c>
      <c r="P1421" s="14" t="s">
        <v>115</v>
      </c>
      <c r="Q1421" s="13" t="s">
        <v>207</v>
      </c>
      <c r="R1421" s="14" t="s">
        <v>233</v>
      </c>
      <c r="S1421" s="15" t="n">
        <f>200</f>
        <v>200.0</v>
      </c>
      <c r="T1421" s="16" t="n">
        <f>354</f>
        <v>354.0</v>
      </c>
      <c r="U1421" s="16" t="n">
        <v>5.0</v>
      </c>
      <c r="V1421" s="16" t="n">
        <f>60584000</f>
        <v>6.0584E7</v>
      </c>
      <c r="W1421" s="16" t="n">
        <v>685000.0</v>
      </c>
      <c r="X1421" s="16" t="n">
        <f>122</f>
        <v>122.0</v>
      </c>
      <c r="Y1421" s="13" t="s">
        <v>53</v>
      </c>
      <c r="Z1421" s="17" t="str">
        <f>"－"</f>
        <v>－</v>
      </c>
      <c r="AA1421" s="18" t="n">
        <f>3</f>
        <v>3.0</v>
      </c>
      <c r="AB1421" s="11" t="s">
        <v>870</v>
      </c>
    </row>
    <row r="1422">
      <c r="A1422" s="11" t="s">
        <v>46</v>
      </c>
      <c r="B1422" s="11" t="s">
        <v>865</v>
      </c>
      <c r="C1422" s="11" t="s">
        <v>866</v>
      </c>
      <c r="D1422" s="11" t="s">
        <v>49</v>
      </c>
      <c r="E1422" s="11" t="s">
        <v>869</v>
      </c>
      <c r="F1422" s="12" t="n">
        <v>30500.0</v>
      </c>
      <c r="G1422" s="13" t="s">
        <v>202</v>
      </c>
      <c r="H1422" s="14" t="s">
        <v>185</v>
      </c>
      <c r="I1422" s="13" t="s">
        <v>288</v>
      </c>
      <c r="J1422" s="14" t="s">
        <v>282</v>
      </c>
      <c r="K1422" s="13" t="s">
        <v>202</v>
      </c>
      <c r="L1422" s="14" t="s">
        <v>136</v>
      </c>
      <c r="M1422" s="13" t="s">
        <v>207</v>
      </c>
      <c r="N1422" s="14" t="s">
        <v>116</v>
      </c>
      <c r="O1422" s="13" t="s">
        <v>207</v>
      </c>
      <c r="P1422" s="14" t="s">
        <v>115</v>
      </c>
      <c r="Q1422" s="13" t="s">
        <v>207</v>
      </c>
      <c r="R1422" s="14" t="s">
        <v>342</v>
      </c>
      <c r="S1422" s="15" t="n">
        <f>253.33</f>
        <v>253.33</v>
      </c>
      <c r="T1422" s="16" t="n">
        <f>261</f>
        <v>261.0</v>
      </c>
      <c r="U1422" s="16" t="n">
        <v>8.0</v>
      </c>
      <c r="V1422" s="16" t="n">
        <f>47500000</f>
        <v>4.75E7</v>
      </c>
      <c r="W1422" s="16" t="n">
        <v>1555000.0</v>
      </c>
      <c r="X1422" s="16" t="n">
        <f>138</f>
        <v>138.0</v>
      </c>
      <c r="Y1422" s="13" t="s">
        <v>53</v>
      </c>
      <c r="Z1422" s="17" t="str">
        <f>"－"</f>
        <v>－</v>
      </c>
      <c r="AA1422" s="18" t="n">
        <f>3</f>
        <v>3.0</v>
      </c>
      <c r="AB1422" s="11" t="s">
        <v>870</v>
      </c>
    </row>
    <row r="1423">
      <c r="A1423" s="11" t="s">
        <v>46</v>
      </c>
      <c r="B1423" s="11" t="s">
        <v>865</v>
      </c>
      <c r="C1423" s="11" t="s">
        <v>866</v>
      </c>
      <c r="D1423" s="11" t="s">
        <v>49</v>
      </c>
      <c r="E1423" s="11" t="s">
        <v>869</v>
      </c>
      <c r="F1423" s="12" t="n">
        <v>30625.0</v>
      </c>
      <c r="G1423" s="13" t="s">
        <v>202</v>
      </c>
      <c r="H1423" s="14" t="s">
        <v>143</v>
      </c>
      <c r="I1423" s="13" t="s">
        <v>288</v>
      </c>
      <c r="J1423" s="14" t="s">
        <v>372</v>
      </c>
      <c r="K1423" s="13"/>
      <c r="L1423" s="14"/>
      <c r="M1423" s="13" t="s">
        <v>202</v>
      </c>
      <c r="N1423" s="14" t="s">
        <v>230</v>
      </c>
      <c r="O1423" s="13"/>
      <c r="P1423" s="14"/>
      <c r="Q1423" s="13" t="s">
        <v>288</v>
      </c>
      <c r="R1423" s="14" t="s">
        <v>372</v>
      </c>
      <c r="S1423" s="15" t="n">
        <f>317.5</f>
        <v>317.5</v>
      </c>
      <c r="T1423" s="16" t="n">
        <f>9</f>
        <v>9.0</v>
      </c>
      <c r="U1423" s="16"/>
      <c r="V1423" s="16" t="n">
        <f>2760000</f>
        <v>2760000.0</v>
      </c>
      <c r="W1423" s="16"/>
      <c r="X1423" s="16" t="n">
        <f>4</f>
        <v>4.0</v>
      </c>
      <c r="Y1423" s="13" t="s">
        <v>53</v>
      </c>
      <c r="Z1423" s="17" t="str">
        <f>"－"</f>
        <v>－</v>
      </c>
      <c r="AA1423" s="18" t="n">
        <f>2</f>
        <v>2.0</v>
      </c>
      <c r="AB1423" s="11" t="s">
        <v>870</v>
      </c>
    </row>
    <row r="1424">
      <c r="A1424" s="11" t="s">
        <v>46</v>
      </c>
      <c r="B1424" s="11" t="s">
        <v>865</v>
      </c>
      <c r="C1424" s="11" t="s">
        <v>866</v>
      </c>
      <c r="D1424" s="11" t="s">
        <v>49</v>
      </c>
      <c r="E1424" s="11" t="s">
        <v>869</v>
      </c>
      <c r="F1424" s="12" t="n">
        <v>30750.0</v>
      </c>
      <c r="G1424" s="13" t="s">
        <v>202</v>
      </c>
      <c r="H1424" s="14" t="s">
        <v>136</v>
      </c>
      <c r="I1424" s="13" t="s">
        <v>202</v>
      </c>
      <c r="J1424" s="14" t="s">
        <v>136</v>
      </c>
      <c r="K1424" s="13"/>
      <c r="L1424" s="14"/>
      <c r="M1424" s="13" t="s">
        <v>202</v>
      </c>
      <c r="N1424" s="14" t="s">
        <v>136</v>
      </c>
      <c r="O1424" s="13"/>
      <c r="P1424" s="14"/>
      <c r="Q1424" s="13" t="s">
        <v>202</v>
      </c>
      <c r="R1424" s="14" t="s">
        <v>136</v>
      </c>
      <c r="S1424" s="15" t="n">
        <f>255</f>
        <v>255.0</v>
      </c>
      <c r="T1424" s="16" t="n">
        <f>1</f>
        <v>1.0</v>
      </c>
      <c r="U1424" s="16"/>
      <c r="V1424" s="16" t="n">
        <f>255000</f>
        <v>255000.0</v>
      </c>
      <c r="W1424" s="16"/>
      <c r="X1424" s="16" t="n">
        <f>1</f>
        <v>1.0</v>
      </c>
      <c r="Y1424" s="13" t="s">
        <v>53</v>
      </c>
      <c r="Z1424" s="17" t="str">
        <f>"－"</f>
        <v>－</v>
      </c>
      <c r="AA1424" s="18" t="n">
        <f>1</f>
        <v>1.0</v>
      </c>
      <c r="AB1424" s="11" t="s">
        <v>870</v>
      </c>
    </row>
    <row r="1425">
      <c r="A1425" s="11" t="s">
        <v>46</v>
      </c>
      <c r="B1425" s="11" t="s">
        <v>865</v>
      </c>
      <c r="C1425" s="11" t="s">
        <v>866</v>
      </c>
      <c r="D1425" s="11" t="s">
        <v>49</v>
      </c>
      <c r="E1425" s="11" t="s">
        <v>869</v>
      </c>
      <c r="F1425" s="12" t="n">
        <v>30875.0</v>
      </c>
      <c r="G1425" s="13" t="s">
        <v>202</v>
      </c>
      <c r="H1425" s="14" t="s">
        <v>143</v>
      </c>
      <c r="I1425" s="13" t="s">
        <v>288</v>
      </c>
      <c r="J1425" s="14" t="s">
        <v>158</v>
      </c>
      <c r="K1425" s="13"/>
      <c r="L1425" s="14"/>
      <c r="M1425" s="13" t="s">
        <v>202</v>
      </c>
      <c r="N1425" s="14" t="s">
        <v>143</v>
      </c>
      <c r="O1425" s="13"/>
      <c r="P1425" s="14"/>
      <c r="Q1425" s="13" t="s">
        <v>288</v>
      </c>
      <c r="R1425" s="14" t="s">
        <v>158</v>
      </c>
      <c r="S1425" s="15" t="n">
        <f>502.5</f>
        <v>502.5</v>
      </c>
      <c r="T1425" s="16" t="n">
        <f>2</f>
        <v>2.0</v>
      </c>
      <c r="U1425" s="16"/>
      <c r="V1425" s="16" t="n">
        <f>1005000</f>
        <v>1005000.0</v>
      </c>
      <c r="W1425" s="16"/>
      <c r="X1425" s="16" t="n">
        <f>1</f>
        <v>1.0</v>
      </c>
      <c r="Y1425" s="13" t="s">
        <v>53</v>
      </c>
      <c r="Z1425" s="17" t="str">
        <f>"－"</f>
        <v>－</v>
      </c>
      <c r="AA1425" s="18" t="n">
        <f>2</f>
        <v>2.0</v>
      </c>
      <c r="AB1425" s="11" t="s">
        <v>870</v>
      </c>
    </row>
    <row r="1426">
      <c r="A1426" s="11" t="s">
        <v>46</v>
      </c>
      <c r="B1426" s="11" t="s">
        <v>865</v>
      </c>
      <c r="C1426" s="11" t="s">
        <v>866</v>
      </c>
      <c r="D1426" s="11" t="s">
        <v>49</v>
      </c>
      <c r="E1426" s="11" t="s">
        <v>871</v>
      </c>
      <c r="F1426" s="12" t="n">
        <v>26625.0</v>
      </c>
      <c r="G1426" s="13" t="s">
        <v>288</v>
      </c>
      <c r="H1426" s="14" t="s">
        <v>69</v>
      </c>
      <c r="I1426" s="13" t="s">
        <v>208</v>
      </c>
      <c r="J1426" s="14" t="s">
        <v>71</v>
      </c>
      <c r="K1426" s="13" t="s">
        <v>202</v>
      </c>
      <c r="L1426" s="14" t="s">
        <v>181</v>
      </c>
      <c r="M1426" s="13" t="s">
        <v>211</v>
      </c>
      <c r="N1426" s="14" t="s">
        <v>51</v>
      </c>
      <c r="O1426" s="13" t="s">
        <v>211</v>
      </c>
      <c r="P1426" s="14" t="s">
        <v>51</v>
      </c>
      <c r="Q1426" s="13" t="s">
        <v>215</v>
      </c>
      <c r="R1426" s="14" t="s">
        <v>51</v>
      </c>
      <c r="S1426" s="15" t="n">
        <f>3.83</f>
        <v>3.83</v>
      </c>
      <c r="T1426" s="16" t="n">
        <f>689</f>
        <v>689.0</v>
      </c>
      <c r="U1426" s="16" t="n">
        <v>73.0</v>
      </c>
      <c r="V1426" s="16" t="n">
        <f>1841000</f>
        <v>1841000.0</v>
      </c>
      <c r="W1426" s="16" t="n">
        <v>260000.0</v>
      </c>
      <c r="X1426" s="16" t="str">
        <f>"－"</f>
        <v>－</v>
      </c>
      <c r="Y1426" s="13" t="s">
        <v>53</v>
      </c>
      <c r="Z1426" s="17" t="n">
        <f>435</f>
        <v>435.0</v>
      </c>
      <c r="AA1426" s="18" t="n">
        <f>6</f>
        <v>6.0</v>
      </c>
      <c r="AB1426" s="11" t="s">
        <v>872</v>
      </c>
    </row>
    <row r="1427">
      <c r="A1427" s="11" t="s">
        <v>46</v>
      </c>
      <c r="B1427" s="11" t="s">
        <v>865</v>
      </c>
      <c r="C1427" s="11" t="s">
        <v>866</v>
      </c>
      <c r="D1427" s="11" t="s">
        <v>49</v>
      </c>
      <c r="E1427" s="11" t="s">
        <v>871</v>
      </c>
      <c r="F1427" s="12" t="n">
        <v>26750.0</v>
      </c>
      <c r="G1427" s="13" t="s">
        <v>58</v>
      </c>
      <c r="H1427" s="14" t="s">
        <v>337</v>
      </c>
      <c r="I1427" s="13" t="s">
        <v>58</v>
      </c>
      <c r="J1427" s="14" t="s">
        <v>337</v>
      </c>
      <c r="K1427" s="13" t="s">
        <v>208</v>
      </c>
      <c r="L1427" s="14" t="s">
        <v>71</v>
      </c>
      <c r="M1427" s="13" t="s">
        <v>211</v>
      </c>
      <c r="N1427" s="14" t="s">
        <v>51</v>
      </c>
      <c r="O1427" s="13" t="s">
        <v>210</v>
      </c>
      <c r="P1427" s="14" t="s">
        <v>51</v>
      </c>
      <c r="Q1427" s="13" t="s">
        <v>210</v>
      </c>
      <c r="R1427" s="14" t="s">
        <v>51</v>
      </c>
      <c r="S1427" s="15" t="n">
        <f>16.5</f>
        <v>16.5</v>
      </c>
      <c r="T1427" s="16" t="n">
        <f>159</f>
        <v>159.0</v>
      </c>
      <c r="U1427" s="16" t="n">
        <v>15.0</v>
      </c>
      <c r="V1427" s="16" t="n">
        <f>378000</f>
        <v>378000.0</v>
      </c>
      <c r="W1427" s="16" t="n">
        <v>29000.0</v>
      </c>
      <c r="X1427" s="16" t="str">
        <f>"－"</f>
        <v>－</v>
      </c>
      <c r="Y1427" s="13" t="s">
        <v>53</v>
      </c>
      <c r="Z1427" s="17" t="n">
        <f>100</f>
        <v>100.0</v>
      </c>
      <c r="AA1427" s="18" t="n">
        <f>6</f>
        <v>6.0</v>
      </c>
      <c r="AB1427" s="11" t="s">
        <v>872</v>
      </c>
    </row>
    <row r="1428">
      <c r="A1428" s="11" t="s">
        <v>46</v>
      </c>
      <c r="B1428" s="11" t="s">
        <v>865</v>
      </c>
      <c r="C1428" s="11" t="s">
        <v>866</v>
      </c>
      <c r="D1428" s="11" t="s">
        <v>49</v>
      </c>
      <c r="E1428" s="11" t="s">
        <v>871</v>
      </c>
      <c r="F1428" s="12" t="n">
        <v>26875.0</v>
      </c>
      <c r="G1428" s="13" t="s">
        <v>211</v>
      </c>
      <c r="H1428" s="14" t="s">
        <v>59</v>
      </c>
      <c r="I1428" s="13" t="s">
        <v>211</v>
      </c>
      <c r="J1428" s="14" t="s">
        <v>59</v>
      </c>
      <c r="K1428" s="13" t="s">
        <v>210</v>
      </c>
      <c r="L1428" s="14" t="s">
        <v>59</v>
      </c>
      <c r="M1428" s="13" t="s">
        <v>211</v>
      </c>
      <c r="N1428" s="14" t="s">
        <v>51</v>
      </c>
      <c r="O1428" s="13" t="s">
        <v>210</v>
      </c>
      <c r="P1428" s="14" t="s">
        <v>51</v>
      </c>
      <c r="Q1428" s="13" t="s">
        <v>210</v>
      </c>
      <c r="R1428" s="14" t="s">
        <v>51</v>
      </c>
      <c r="S1428" s="15" t="n">
        <f>1</f>
        <v>1.0</v>
      </c>
      <c r="T1428" s="16" t="n">
        <f>92</f>
        <v>92.0</v>
      </c>
      <c r="U1428" s="16" t="n">
        <v>7.0</v>
      </c>
      <c r="V1428" s="16" t="n">
        <f>135000</f>
        <v>135000.0</v>
      </c>
      <c r="W1428" s="16" t="n">
        <v>10000.0</v>
      </c>
      <c r="X1428" s="16" t="str">
        <f>"－"</f>
        <v>－</v>
      </c>
      <c r="Y1428" s="13" t="s">
        <v>53</v>
      </c>
      <c r="Z1428" s="17" t="n">
        <f>55</f>
        <v>55.0</v>
      </c>
      <c r="AA1428" s="18" t="n">
        <f>2</f>
        <v>2.0</v>
      </c>
      <c r="AB1428" s="11" t="s">
        <v>872</v>
      </c>
    </row>
    <row r="1429">
      <c r="A1429" s="11" t="s">
        <v>46</v>
      </c>
      <c r="B1429" s="11" t="s">
        <v>865</v>
      </c>
      <c r="C1429" s="11" t="s">
        <v>866</v>
      </c>
      <c r="D1429" s="11" t="s">
        <v>49</v>
      </c>
      <c r="E1429" s="11" t="s">
        <v>871</v>
      </c>
      <c r="F1429" s="12" t="n">
        <v>27000.0</v>
      </c>
      <c r="G1429" s="13" t="s">
        <v>202</v>
      </c>
      <c r="H1429" s="14" t="s">
        <v>70</v>
      </c>
      <c r="I1429" s="13" t="s">
        <v>208</v>
      </c>
      <c r="J1429" s="14" t="s">
        <v>216</v>
      </c>
      <c r="K1429" s="13" t="s">
        <v>208</v>
      </c>
      <c r="L1429" s="14" t="s">
        <v>77</v>
      </c>
      <c r="M1429" s="13" t="s">
        <v>210</v>
      </c>
      <c r="N1429" s="14" t="s">
        <v>51</v>
      </c>
      <c r="O1429" s="13" t="s">
        <v>210</v>
      </c>
      <c r="P1429" s="14" t="s">
        <v>51</v>
      </c>
      <c r="Q1429" s="13" t="s">
        <v>215</v>
      </c>
      <c r="R1429" s="14" t="s">
        <v>51</v>
      </c>
      <c r="S1429" s="15" t="n">
        <f>7</f>
        <v>7.0</v>
      </c>
      <c r="T1429" s="16" t="n">
        <f>313</f>
        <v>313.0</v>
      </c>
      <c r="U1429" s="16" t="n">
        <v>36.0</v>
      </c>
      <c r="V1429" s="16" t="n">
        <f>946000</f>
        <v>946000.0</v>
      </c>
      <c r="W1429" s="16" t="n">
        <v>132000.0</v>
      </c>
      <c r="X1429" s="16" t="str">
        <f>"－"</f>
        <v>－</v>
      </c>
      <c r="Y1429" s="13" t="s">
        <v>53</v>
      </c>
      <c r="Z1429" s="17" t="n">
        <f>150</f>
        <v>150.0</v>
      </c>
      <c r="AA1429" s="18" t="n">
        <f>6</f>
        <v>6.0</v>
      </c>
      <c r="AB1429" s="11" t="s">
        <v>872</v>
      </c>
    </row>
    <row r="1430">
      <c r="A1430" s="11" t="s">
        <v>46</v>
      </c>
      <c r="B1430" s="11" t="s">
        <v>865</v>
      </c>
      <c r="C1430" s="11" t="s">
        <v>866</v>
      </c>
      <c r="D1430" s="11" t="s">
        <v>49</v>
      </c>
      <c r="E1430" s="11" t="s">
        <v>871</v>
      </c>
      <c r="F1430" s="12" t="n">
        <v>27125.0</v>
      </c>
      <c r="G1430" s="13" t="s">
        <v>211</v>
      </c>
      <c r="H1430" s="14" t="s">
        <v>59</v>
      </c>
      <c r="I1430" s="13" t="s">
        <v>210</v>
      </c>
      <c r="J1430" s="14" t="s">
        <v>62</v>
      </c>
      <c r="K1430" s="13" t="s">
        <v>210</v>
      </c>
      <c r="L1430" s="14" t="s">
        <v>62</v>
      </c>
      <c r="M1430" s="13" t="s">
        <v>210</v>
      </c>
      <c r="N1430" s="14" t="s">
        <v>51</v>
      </c>
      <c r="O1430" s="13" t="s">
        <v>210</v>
      </c>
      <c r="P1430" s="14" t="s">
        <v>51</v>
      </c>
      <c r="Q1430" s="13" t="s">
        <v>215</v>
      </c>
      <c r="R1430" s="14" t="s">
        <v>59</v>
      </c>
      <c r="S1430" s="15" t="n">
        <f>1.67</f>
        <v>1.67</v>
      </c>
      <c r="T1430" s="16" t="n">
        <f>47</f>
        <v>47.0</v>
      </c>
      <c r="U1430" s="16" t="n">
        <v>2.0</v>
      </c>
      <c r="V1430" s="16" t="n">
        <f>73000</f>
        <v>73000.0</v>
      </c>
      <c r="W1430" s="16" t="n">
        <v>4000.0</v>
      </c>
      <c r="X1430" s="16" t="str">
        <f>"－"</f>
        <v>－</v>
      </c>
      <c r="Y1430" s="13" t="s">
        <v>53</v>
      </c>
      <c r="Z1430" s="17" t="n">
        <f>40</f>
        <v>40.0</v>
      </c>
      <c r="AA1430" s="18" t="n">
        <f>3</f>
        <v>3.0</v>
      </c>
      <c r="AB1430" s="11" t="s">
        <v>872</v>
      </c>
    </row>
    <row r="1431">
      <c r="A1431" s="11" t="s">
        <v>46</v>
      </c>
      <c r="B1431" s="11" t="s">
        <v>865</v>
      </c>
      <c r="C1431" s="11" t="s">
        <v>866</v>
      </c>
      <c r="D1431" s="11" t="s">
        <v>49</v>
      </c>
      <c r="E1431" s="11" t="s">
        <v>871</v>
      </c>
      <c r="F1431" s="12" t="n">
        <v>27250.0</v>
      </c>
      <c r="G1431" s="13" t="s">
        <v>61</v>
      </c>
      <c r="H1431" s="14" t="s">
        <v>103</v>
      </c>
      <c r="I1431" s="13" t="s">
        <v>61</v>
      </c>
      <c r="J1431" s="14" t="s">
        <v>103</v>
      </c>
      <c r="K1431" s="13"/>
      <c r="L1431" s="14"/>
      <c r="M1431" s="13" t="s">
        <v>210</v>
      </c>
      <c r="N1431" s="14" t="s">
        <v>51</v>
      </c>
      <c r="O1431" s="13"/>
      <c r="P1431" s="14"/>
      <c r="Q1431" s="13" t="s">
        <v>215</v>
      </c>
      <c r="R1431" s="14" t="s">
        <v>59</v>
      </c>
      <c r="S1431" s="15" t="n">
        <f>24.33</f>
        <v>24.33</v>
      </c>
      <c r="T1431" s="16" t="n">
        <f>7</f>
        <v>7.0</v>
      </c>
      <c r="U1431" s="16"/>
      <c r="V1431" s="16" t="n">
        <f>80000</f>
        <v>80000.0</v>
      </c>
      <c r="W1431" s="16"/>
      <c r="X1431" s="16" t="str">
        <f>"－"</f>
        <v>－</v>
      </c>
      <c r="Y1431" s="13" t="s">
        <v>53</v>
      </c>
      <c r="Z1431" s="17" t="n">
        <f>5</f>
        <v>5.0</v>
      </c>
      <c r="AA1431" s="18" t="n">
        <f>3</f>
        <v>3.0</v>
      </c>
      <c r="AB1431" s="11" t="s">
        <v>872</v>
      </c>
    </row>
    <row r="1432">
      <c r="A1432" s="11" t="s">
        <v>46</v>
      </c>
      <c r="B1432" s="11" t="s">
        <v>865</v>
      </c>
      <c r="C1432" s="11" t="s">
        <v>866</v>
      </c>
      <c r="D1432" s="11" t="s">
        <v>49</v>
      </c>
      <c r="E1432" s="11" t="s">
        <v>871</v>
      </c>
      <c r="F1432" s="12" t="n">
        <v>27375.0</v>
      </c>
      <c r="G1432" s="13" t="s">
        <v>208</v>
      </c>
      <c r="H1432" s="14" t="s">
        <v>77</v>
      </c>
      <c r="I1432" s="13" t="s">
        <v>208</v>
      </c>
      <c r="J1432" s="14" t="s">
        <v>77</v>
      </c>
      <c r="K1432" s="13" t="s">
        <v>215</v>
      </c>
      <c r="L1432" s="14" t="s">
        <v>51</v>
      </c>
      <c r="M1432" s="13" t="s">
        <v>210</v>
      </c>
      <c r="N1432" s="14" t="s">
        <v>51</v>
      </c>
      <c r="O1432" s="13" t="s">
        <v>215</v>
      </c>
      <c r="P1432" s="14" t="s">
        <v>51</v>
      </c>
      <c r="Q1432" s="13" t="s">
        <v>215</v>
      </c>
      <c r="R1432" s="14" t="s">
        <v>51</v>
      </c>
      <c r="S1432" s="15" t="n">
        <f>5.67</f>
        <v>5.67</v>
      </c>
      <c r="T1432" s="16" t="n">
        <f>15</f>
        <v>15.0</v>
      </c>
      <c r="U1432" s="16" t="n">
        <v>1.0</v>
      </c>
      <c r="V1432" s="16" t="n">
        <f>39000</f>
        <v>39000.0</v>
      </c>
      <c r="W1432" s="16" t="n">
        <v>1000.0</v>
      </c>
      <c r="X1432" s="16" t="str">
        <f>"－"</f>
        <v>－</v>
      </c>
      <c r="Y1432" s="13" t="s">
        <v>53</v>
      </c>
      <c r="Z1432" s="17" t="n">
        <f>9</f>
        <v>9.0</v>
      </c>
      <c r="AA1432" s="18" t="n">
        <f>3</f>
        <v>3.0</v>
      </c>
      <c r="AB1432" s="11" t="s">
        <v>872</v>
      </c>
    </row>
    <row r="1433">
      <c r="A1433" s="11" t="s">
        <v>46</v>
      </c>
      <c r="B1433" s="11" t="s">
        <v>865</v>
      </c>
      <c r="C1433" s="11" t="s">
        <v>866</v>
      </c>
      <c r="D1433" s="11" t="s">
        <v>49</v>
      </c>
      <c r="E1433" s="11" t="s">
        <v>871</v>
      </c>
      <c r="F1433" s="12" t="n">
        <v>27500.0</v>
      </c>
      <c r="G1433" s="13" t="s">
        <v>205</v>
      </c>
      <c r="H1433" s="14" t="s">
        <v>79</v>
      </c>
      <c r="I1433" s="13" t="s">
        <v>205</v>
      </c>
      <c r="J1433" s="14" t="s">
        <v>79</v>
      </c>
      <c r="K1433" s="13" t="s">
        <v>206</v>
      </c>
      <c r="L1433" s="14" t="s">
        <v>217</v>
      </c>
      <c r="M1433" s="13" t="s">
        <v>210</v>
      </c>
      <c r="N1433" s="14" t="s">
        <v>51</v>
      </c>
      <c r="O1433" s="13" t="s">
        <v>210</v>
      </c>
      <c r="P1433" s="14" t="s">
        <v>51</v>
      </c>
      <c r="Q1433" s="13" t="s">
        <v>215</v>
      </c>
      <c r="R1433" s="14" t="s">
        <v>51</v>
      </c>
      <c r="S1433" s="15" t="n">
        <f>8.57</f>
        <v>8.57</v>
      </c>
      <c r="T1433" s="16" t="n">
        <f>381</f>
        <v>381.0</v>
      </c>
      <c r="U1433" s="16" t="n">
        <v>49.0</v>
      </c>
      <c r="V1433" s="16" t="n">
        <f>2988000</f>
        <v>2988000.0</v>
      </c>
      <c r="W1433" s="16" t="n">
        <v>219000.0</v>
      </c>
      <c r="X1433" s="16" t="str">
        <f>"－"</f>
        <v>－</v>
      </c>
      <c r="Y1433" s="13" t="s">
        <v>53</v>
      </c>
      <c r="Z1433" s="17" t="n">
        <f>142</f>
        <v>142.0</v>
      </c>
      <c r="AA1433" s="18" t="n">
        <f>7</f>
        <v>7.0</v>
      </c>
      <c r="AB1433" s="11" t="s">
        <v>872</v>
      </c>
    </row>
    <row r="1434">
      <c r="A1434" s="11" t="s">
        <v>46</v>
      </c>
      <c r="B1434" s="11" t="s">
        <v>865</v>
      </c>
      <c r="C1434" s="11" t="s">
        <v>866</v>
      </c>
      <c r="D1434" s="11" t="s">
        <v>49</v>
      </c>
      <c r="E1434" s="11" t="s">
        <v>871</v>
      </c>
      <c r="F1434" s="12" t="n">
        <v>27625.0</v>
      </c>
      <c r="G1434" s="13" t="s">
        <v>208</v>
      </c>
      <c r="H1434" s="14" t="s">
        <v>72</v>
      </c>
      <c r="I1434" s="13" t="s">
        <v>208</v>
      </c>
      <c r="J1434" s="14" t="s">
        <v>75</v>
      </c>
      <c r="K1434" s="13"/>
      <c r="L1434" s="14"/>
      <c r="M1434" s="13" t="s">
        <v>215</v>
      </c>
      <c r="N1434" s="14" t="s">
        <v>59</v>
      </c>
      <c r="O1434" s="13"/>
      <c r="P1434" s="14"/>
      <c r="Q1434" s="13" t="s">
        <v>215</v>
      </c>
      <c r="R1434" s="14" t="s">
        <v>59</v>
      </c>
      <c r="S1434" s="15" t="n">
        <f>6.33</f>
        <v>6.33</v>
      </c>
      <c r="T1434" s="16" t="n">
        <f>5</f>
        <v>5.0</v>
      </c>
      <c r="U1434" s="16"/>
      <c r="V1434" s="16" t="n">
        <f>49000</f>
        <v>49000.0</v>
      </c>
      <c r="W1434" s="16"/>
      <c r="X1434" s="16" t="str">
        <f>"－"</f>
        <v>－</v>
      </c>
      <c r="Y1434" s="13" t="s">
        <v>53</v>
      </c>
      <c r="Z1434" s="17" t="n">
        <f>2</f>
        <v>2.0</v>
      </c>
      <c r="AA1434" s="18" t="n">
        <f>3</f>
        <v>3.0</v>
      </c>
      <c r="AB1434" s="11" t="s">
        <v>872</v>
      </c>
    </row>
    <row r="1435">
      <c r="A1435" s="11" t="s">
        <v>46</v>
      </c>
      <c r="B1435" s="11" t="s">
        <v>865</v>
      </c>
      <c r="C1435" s="11" t="s">
        <v>866</v>
      </c>
      <c r="D1435" s="11" t="s">
        <v>49</v>
      </c>
      <c r="E1435" s="11" t="s">
        <v>871</v>
      </c>
      <c r="F1435" s="12" t="n">
        <v>27750.0</v>
      </c>
      <c r="G1435" s="13" t="s">
        <v>56</v>
      </c>
      <c r="H1435" s="14" t="s">
        <v>873</v>
      </c>
      <c r="I1435" s="13" t="s">
        <v>56</v>
      </c>
      <c r="J1435" s="14" t="s">
        <v>873</v>
      </c>
      <c r="K1435" s="13" t="s">
        <v>211</v>
      </c>
      <c r="L1435" s="14" t="s">
        <v>66</v>
      </c>
      <c r="M1435" s="13" t="s">
        <v>215</v>
      </c>
      <c r="N1435" s="14" t="s">
        <v>51</v>
      </c>
      <c r="O1435" s="13" t="s">
        <v>215</v>
      </c>
      <c r="P1435" s="14" t="s">
        <v>51</v>
      </c>
      <c r="Q1435" s="13" t="s">
        <v>215</v>
      </c>
      <c r="R1435" s="14" t="s">
        <v>51</v>
      </c>
      <c r="S1435" s="15" t="n">
        <f>33.83</f>
        <v>33.83</v>
      </c>
      <c r="T1435" s="16" t="n">
        <f>144</f>
        <v>144.0</v>
      </c>
      <c r="U1435" s="16" t="n">
        <v>12.0</v>
      </c>
      <c r="V1435" s="16" t="n">
        <f>472000</f>
        <v>472000.0</v>
      </c>
      <c r="W1435" s="16" t="n">
        <v>22000.0</v>
      </c>
      <c r="X1435" s="16" t="str">
        <f>"－"</f>
        <v>－</v>
      </c>
      <c r="Y1435" s="13" t="s">
        <v>53</v>
      </c>
      <c r="Z1435" s="17" t="n">
        <f>92</f>
        <v>92.0</v>
      </c>
      <c r="AA1435" s="18" t="n">
        <f>6</f>
        <v>6.0</v>
      </c>
      <c r="AB1435" s="11" t="s">
        <v>872</v>
      </c>
    </row>
    <row r="1436">
      <c r="A1436" s="11" t="s">
        <v>46</v>
      </c>
      <c r="B1436" s="11" t="s">
        <v>865</v>
      </c>
      <c r="C1436" s="11" t="s">
        <v>866</v>
      </c>
      <c r="D1436" s="11" t="s">
        <v>49</v>
      </c>
      <c r="E1436" s="11" t="s">
        <v>871</v>
      </c>
      <c r="F1436" s="12" t="n">
        <v>27875.0</v>
      </c>
      <c r="G1436" s="13" t="s">
        <v>61</v>
      </c>
      <c r="H1436" s="14" t="s">
        <v>124</v>
      </c>
      <c r="I1436" s="13" t="s">
        <v>61</v>
      </c>
      <c r="J1436" s="14" t="s">
        <v>124</v>
      </c>
      <c r="K1436" s="13" t="s">
        <v>208</v>
      </c>
      <c r="L1436" s="14" t="s">
        <v>79</v>
      </c>
      <c r="M1436" s="13" t="s">
        <v>215</v>
      </c>
      <c r="N1436" s="14" t="s">
        <v>51</v>
      </c>
      <c r="O1436" s="13" t="s">
        <v>210</v>
      </c>
      <c r="P1436" s="14" t="s">
        <v>59</v>
      </c>
      <c r="Q1436" s="13" t="s">
        <v>215</v>
      </c>
      <c r="R1436" s="14" t="s">
        <v>51</v>
      </c>
      <c r="S1436" s="15" t="n">
        <f>50</f>
        <v>50.0</v>
      </c>
      <c r="T1436" s="16" t="n">
        <f>36</f>
        <v>36.0</v>
      </c>
      <c r="U1436" s="16" t="n">
        <v>7.0</v>
      </c>
      <c r="V1436" s="16" t="n">
        <f>2012000</f>
        <v>2012000.0</v>
      </c>
      <c r="W1436" s="16" t="n">
        <v>62000.0</v>
      </c>
      <c r="X1436" s="16" t="str">
        <f>"－"</f>
        <v>－</v>
      </c>
      <c r="Y1436" s="13" t="s">
        <v>53</v>
      </c>
      <c r="Z1436" s="17" t="n">
        <f>11</f>
        <v>11.0</v>
      </c>
      <c r="AA1436" s="18" t="n">
        <f>8</f>
        <v>8.0</v>
      </c>
      <c r="AB1436" s="11" t="s">
        <v>872</v>
      </c>
    </row>
    <row r="1437">
      <c r="A1437" s="11" t="s">
        <v>46</v>
      </c>
      <c r="B1437" s="11" t="s">
        <v>865</v>
      </c>
      <c r="C1437" s="11" t="s">
        <v>866</v>
      </c>
      <c r="D1437" s="11" t="s">
        <v>49</v>
      </c>
      <c r="E1437" s="11" t="s">
        <v>871</v>
      </c>
      <c r="F1437" s="12" t="n">
        <v>28000.0</v>
      </c>
      <c r="G1437" s="13" t="s">
        <v>52</v>
      </c>
      <c r="H1437" s="14" t="s">
        <v>229</v>
      </c>
      <c r="I1437" s="13" t="s">
        <v>206</v>
      </c>
      <c r="J1437" s="14" t="s">
        <v>118</v>
      </c>
      <c r="K1437" s="13" t="s">
        <v>61</v>
      </c>
      <c r="L1437" s="14" t="s">
        <v>128</v>
      </c>
      <c r="M1437" s="13" t="s">
        <v>215</v>
      </c>
      <c r="N1437" s="14" t="s">
        <v>51</v>
      </c>
      <c r="O1437" s="13" t="s">
        <v>215</v>
      </c>
      <c r="P1437" s="14" t="s">
        <v>51</v>
      </c>
      <c r="Q1437" s="13" t="s">
        <v>215</v>
      </c>
      <c r="R1437" s="14" t="s">
        <v>51</v>
      </c>
      <c r="S1437" s="15" t="n">
        <f>43</f>
        <v>43.0</v>
      </c>
      <c r="T1437" s="16" t="n">
        <f>441</f>
        <v>441.0</v>
      </c>
      <c r="U1437" s="16" t="n">
        <v>59.0</v>
      </c>
      <c r="V1437" s="16" t="n">
        <f>3339000</f>
        <v>3339000.0</v>
      </c>
      <c r="W1437" s="16" t="n">
        <v>591000.0</v>
      </c>
      <c r="X1437" s="16" t="str">
        <f>"－"</f>
        <v>－</v>
      </c>
      <c r="Y1437" s="13" t="s">
        <v>53</v>
      </c>
      <c r="Z1437" s="17" t="n">
        <f>188</f>
        <v>188.0</v>
      </c>
      <c r="AA1437" s="18" t="n">
        <f>9</f>
        <v>9.0</v>
      </c>
      <c r="AB1437" s="11" t="s">
        <v>872</v>
      </c>
    </row>
    <row r="1438">
      <c r="A1438" s="11" t="s">
        <v>46</v>
      </c>
      <c r="B1438" s="11" t="s">
        <v>865</v>
      </c>
      <c r="C1438" s="11" t="s">
        <v>866</v>
      </c>
      <c r="D1438" s="11" t="s">
        <v>49</v>
      </c>
      <c r="E1438" s="11" t="s">
        <v>871</v>
      </c>
      <c r="F1438" s="12" t="n">
        <v>28125.0</v>
      </c>
      <c r="G1438" s="13" t="s">
        <v>56</v>
      </c>
      <c r="H1438" s="14" t="s">
        <v>118</v>
      </c>
      <c r="I1438" s="13" t="s">
        <v>56</v>
      </c>
      <c r="J1438" s="14" t="s">
        <v>118</v>
      </c>
      <c r="K1438" s="13" t="s">
        <v>206</v>
      </c>
      <c r="L1438" s="14" t="s">
        <v>223</v>
      </c>
      <c r="M1438" s="13" t="s">
        <v>215</v>
      </c>
      <c r="N1438" s="14" t="s">
        <v>51</v>
      </c>
      <c r="O1438" s="13" t="s">
        <v>210</v>
      </c>
      <c r="P1438" s="14" t="s">
        <v>62</v>
      </c>
      <c r="Q1438" s="13" t="s">
        <v>215</v>
      </c>
      <c r="R1438" s="14" t="s">
        <v>51</v>
      </c>
      <c r="S1438" s="15" t="n">
        <f>41.86</f>
        <v>41.86</v>
      </c>
      <c r="T1438" s="16" t="n">
        <f>17</f>
        <v>17.0</v>
      </c>
      <c r="U1438" s="16" t="n">
        <v>3.0</v>
      </c>
      <c r="V1438" s="16" t="n">
        <f>515000</f>
        <v>515000.0</v>
      </c>
      <c r="W1438" s="16" t="n">
        <v>89000.0</v>
      </c>
      <c r="X1438" s="16" t="str">
        <f>"－"</f>
        <v>－</v>
      </c>
      <c r="Y1438" s="13" t="s">
        <v>53</v>
      </c>
      <c r="Z1438" s="17" t="n">
        <f>14</f>
        <v>14.0</v>
      </c>
      <c r="AA1438" s="18" t="n">
        <f>7</f>
        <v>7.0</v>
      </c>
      <c r="AB1438" s="11" t="s">
        <v>872</v>
      </c>
    </row>
    <row r="1439">
      <c r="A1439" s="11" t="s">
        <v>46</v>
      </c>
      <c r="B1439" s="11" t="s">
        <v>865</v>
      </c>
      <c r="C1439" s="11" t="s">
        <v>866</v>
      </c>
      <c r="D1439" s="11" t="s">
        <v>49</v>
      </c>
      <c r="E1439" s="11" t="s">
        <v>871</v>
      </c>
      <c r="F1439" s="12" t="n">
        <v>28250.0</v>
      </c>
      <c r="G1439" s="13" t="s">
        <v>56</v>
      </c>
      <c r="H1439" s="14" t="s">
        <v>121</v>
      </c>
      <c r="I1439" s="13" t="s">
        <v>206</v>
      </c>
      <c r="J1439" s="14" t="s">
        <v>261</v>
      </c>
      <c r="K1439" s="13" t="s">
        <v>205</v>
      </c>
      <c r="L1439" s="14" t="s">
        <v>115</v>
      </c>
      <c r="M1439" s="13" t="s">
        <v>215</v>
      </c>
      <c r="N1439" s="14" t="s">
        <v>51</v>
      </c>
      <c r="O1439" s="13" t="s">
        <v>215</v>
      </c>
      <c r="P1439" s="14" t="s">
        <v>51</v>
      </c>
      <c r="Q1439" s="13" t="s">
        <v>215</v>
      </c>
      <c r="R1439" s="14" t="s">
        <v>51</v>
      </c>
      <c r="S1439" s="15" t="n">
        <f>43.75</f>
        <v>43.75</v>
      </c>
      <c r="T1439" s="16" t="n">
        <f>59</f>
        <v>59.0</v>
      </c>
      <c r="U1439" s="16" t="n">
        <v>3.0</v>
      </c>
      <c r="V1439" s="16" t="n">
        <f>1796000</f>
        <v>1796000.0</v>
      </c>
      <c r="W1439" s="16" t="n">
        <v>102000.0</v>
      </c>
      <c r="X1439" s="16" t="str">
        <f>"－"</f>
        <v>－</v>
      </c>
      <c r="Y1439" s="13" t="s">
        <v>53</v>
      </c>
      <c r="Z1439" s="17" t="n">
        <f>23</f>
        <v>23.0</v>
      </c>
      <c r="AA1439" s="18" t="n">
        <f>8</f>
        <v>8.0</v>
      </c>
      <c r="AB1439" s="11" t="s">
        <v>872</v>
      </c>
    </row>
    <row r="1440">
      <c r="A1440" s="11" t="s">
        <v>46</v>
      </c>
      <c r="B1440" s="11" t="s">
        <v>865</v>
      </c>
      <c r="C1440" s="11" t="s">
        <v>866</v>
      </c>
      <c r="D1440" s="11" t="s">
        <v>49</v>
      </c>
      <c r="E1440" s="11" t="s">
        <v>871</v>
      </c>
      <c r="F1440" s="12" t="n">
        <v>28375.0</v>
      </c>
      <c r="G1440" s="13" t="s">
        <v>61</v>
      </c>
      <c r="H1440" s="14" t="s">
        <v>233</v>
      </c>
      <c r="I1440" s="13" t="s">
        <v>61</v>
      </c>
      <c r="J1440" s="14" t="s">
        <v>233</v>
      </c>
      <c r="K1440" s="13" t="s">
        <v>208</v>
      </c>
      <c r="L1440" s="14" t="s">
        <v>82</v>
      </c>
      <c r="M1440" s="13" t="s">
        <v>215</v>
      </c>
      <c r="N1440" s="14" t="s">
        <v>51</v>
      </c>
      <c r="O1440" s="13" t="s">
        <v>215</v>
      </c>
      <c r="P1440" s="14" t="s">
        <v>51</v>
      </c>
      <c r="Q1440" s="13" t="s">
        <v>215</v>
      </c>
      <c r="R1440" s="14" t="s">
        <v>51</v>
      </c>
      <c r="S1440" s="15" t="n">
        <f>68.2</f>
        <v>68.2</v>
      </c>
      <c r="T1440" s="16" t="n">
        <f>367</f>
        <v>367.0</v>
      </c>
      <c r="U1440" s="16" t="n">
        <v>10.0</v>
      </c>
      <c r="V1440" s="16" t="n">
        <f>25708000</f>
        <v>2.5708E7</v>
      </c>
      <c r="W1440" s="16" t="n">
        <v>146000.0</v>
      </c>
      <c r="X1440" s="16" t="str">
        <f>"－"</f>
        <v>－</v>
      </c>
      <c r="Y1440" s="13" t="s">
        <v>53</v>
      </c>
      <c r="Z1440" s="17" t="n">
        <f>142</f>
        <v>142.0</v>
      </c>
      <c r="AA1440" s="18" t="n">
        <f>10</f>
        <v>10.0</v>
      </c>
      <c r="AB1440" s="11" t="s">
        <v>872</v>
      </c>
    </row>
    <row r="1441">
      <c r="A1441" s="11" t="s">
        <v>46</v>
      </c>
      <c r="B1441" s="11" t="s">
        <v>865</v>
      </c>
      <c r="C1441" s="11" t="s">
        <v>866</v>
      </c>
      <c r="D1441" s="11" t="s">
        <v>49</v>
      </c>
      <c r="E1441" s="11" t="s">
        <v>871</v>
      </c>
      <c r="F1441" s="12" t="n">
        <v>28500.0</v>
      </c>
      <c r="G1441" s="13" t="s">
        <v>202</v>
      </c>
      <c r="H1441" s="14" t="s">
        <v>344</v>
      </c>
      <c r="I1441" s="13" t="s">
        <v>202</v>
      </c>
      <c r="J1441" s="14" t="s">
        <v>98</v>
      </c>
      <c r="K1441" s="13" t="s">
        <v>56</v>
      </c>
      <c r="L1441" s="14" t="s">
        <v>124</v>
      </c>
      <c r="M1441" s="13" t="s">
        <v>215</v>
      </c>
      <c r="N1441" s="14" t="s">
        <v>51</v>
      </c>
      <c r="O1441" s="13" t="s">
        <v>215</v>
      </c>
      <c r="P1441" s="14" t="s">
        <v>51</v>
      </c>
      <c r="Q1441" s="13" t="s">
        <v>215</v>
      </c>
      <c r="R1441" s="14" t="s">
        <v>51</v>
      </c>
      <c r="S1441" s="15" t="n">
        <f>23</f>
        <v>23.0</v>
      </c>
      <c r="T1441" s="16" t="n">
        <f>746</f>
        <v>746.0</v>
      </c>
      <c r="U1441" s="16" t="n">
        <v>496.0</v>
      </c>
      <c r="V1441" s="16" t="n">
        <f>76681000</f>
        <v>7.6681E7</v>
      </c>
      <c r="W1441" s="16" t="n">
        <v>7.2687E7</v>
      </c>
      <c r="X1441" s="16" t="str">
        <f>"－"</f>
        <v>－</v>
      </c>
      <c r="Y1441" s="13" t="s">
        <v>53</v>
      </c>
      <c r="Z1441" s="17" t="n">
        <f>553</f>
        <v>553.0</v>
      </c>
      <c r="AA1441" s="18" t="n">
        <f>7</f>
        <v>7.0</v>
      </c>
      <c r="AB1441" s="11" t="s">
        <v>872</v>
      </c>
    </row>
    <row r="1442">
      <c r="A1442" s="11" t="s">
        <v>46</v>
      </c>
      <c r="B1442" s="11" t="s">
        <v>865</v>
      </c>
      <c r="C1442" s="11" t="s">
        <v>866</v>
      </c>
      <c r="D1442" s="11" t="s">
        <v>49</v>
      </c>
      <c r="E1442" s="11" t="s">
        <v>871</v>
      </c>
      <c r="F1442" s="12" t="n">
        <v>28625.0</v>
      </c>
      <c r="G1442" s="13" t="s">
        <v>206</v>
      </c>
      <c r="H1442" s="14" t="s">
        <v>125</v>
      </c>
      <c r="I1442" s="13" t="s">
        <v>206</v>
      </c>
      <c r="J1442" s="14" t="s">
        <v>127</v>
      </c>
      <c r="K1442" s="13" t="s">
        <v>208</v>
      </c>
      <c r="L1442" s="14" t="s">
        <v>94</v>
      </c>
      <c r="M1442" s="13" t="s">
        <v>215</v>
      </c>
      <c r="N1442" s="14" t="s">
        <v>51</v>
      </c>
      <c r="O1442" s="13" t="s">
        <v>215</v>
      </c>
      <c r="P1442" s="14" t="s">
        <v>51</v>
      </c>
      <c r="Q1442" s="13" t="s">
        <v>215</v>
      </c>
      <c r="R1442" s="14" t="s">
        <v>51</v>
      </c>
      <c r="S1442" s="15" t="n">
        <f>53.56</f>
        <v>53.56</v>
      </c>
      <c r="T1442" s="16" t="n">
        <f>716</f>
        <v>716.0</v>
      </c>
      <c r="U1442" s="16" t="n">
        <v>21.0</v>
      </c>
      <c r="V1442" s="16" t="n">
        <f>57378000</f>
        <v>5.7378E7</v>
      </c>
      <c r="W1442" s="16" t="n">
        <v>626000.0</v>
      </c>
      <c r="X1442" s="16" t="str">
        <f>"－"</f>
        <v>－</v>
      </c>
      <c r="Y1442" s="13" t="s">
        <v>53</v>
      </c>
      <c r="Z1442" s="17" t="n">
        <f>475</f>
        <v>475.0</v>
      </c>
      <c r="AA1442" s="18" t="n">
        <f>9</f>
        <v>9.0</v>
      </c>
      <c r="AB1442" s="11" t="s">
        <v>872</v>
      </c>
    </row>
    <row r="1443">
      <c r="A1443" s="11" t="s">
        <v>46</v>
      </c>
      <c r="B1443" s="11" t="s">
        <v>865</v>
      </c>
      <c r="C1443" s="11" t="s">
        <v>866</v>
      </c>
      <c r="D1443" s="11" t="s">
        <v>49</v>
      </c>
      <c r="E1443" s="11" t="s">
        <v>871</v>
      </c>
      <c r="F1443" s="12" t="n">
        <v>28750.0</v>
      </c>
      <c r="G1443" s="13" t="s">
        <v>52</v>
      </c>
      <c r="H1443" s="14" t="s">
        <v>135</v>
      </c>
      <c r="I1443" s="13" t="s">
        <v>52</v>
      </c>
      <c r="J1443" s="14" t="s">
        <v>135</v>
      </c>
      <c r="K1443" s="13" t="s">
        <v>208</v>
      </c>
      <c r="L1443" s="14" t="s">
        <v>97</v>
      </c>
      <c r="M1443" s="13" t="s">
        <v>215</v>
      </c>
      <c r="N1443" s="14" t="s">
        <v>51</v>
      </c>
      <c r="O1443" s="13" t="s">
        <v>215</v>
      </c>
      <c r="P1443" s="14" t="s">
        <v>51</v>
      </c>
      <c r="Q1443" s="13" t="s">
        <v>215</v>
      </c>
      <c r="R1443" s="14" t="s">
        <v>59</v>
      </c>
      <c r="S1443" s="15" t="n">
        <f>60</f>
        <v>60.0</v>
      </c>
      <c r="T1443" s="16" t="n">
        <f>729</f>
        <v>729.0</v>
      </c>
      <c r="U1443" s="16" t="n">
        <v>20.0</v>
      </c>
      <c r="V1443" s="16" t="n">
        <f>29380000</f>
        <v>2.938E7</v>
      </c>
      <c r="W1443" s="16" t="n">
        <v>314000.0</v>
      </c>
      <c r="X1443" s="16" t="str">
        <f>"－"</f>
        <v>－</v>
      </c>
      <c r="Y1443" s="13" t="s">
        <v>53</v>
      </c>
      <c r="Z1443" s="17" t="n">
        <f>491</f>
        <v>491.0</v>
      </c>
      <c r="AA1443" s="18" t="n">
        <f>9</f>
        <v>9.0</v>
      </c>
      <c r="AB1443" s="11" t="s">
        <v>872</v>
      </c>
    </row>
    <row r="1444">
      <c r="A1444" s="11" t="s">
        <v>46</v>
      </c>
      <c r="B1444" s="11" t="s">
        <v>865</v>
      </c>
      <c r="C1444" s="11" t="s">
        <v>866</v>
      </c>
      <c r="D1444" s="11" t="s">
        <v>49</v>
      </c>
      <c r="E1444" s="11" t="s">
        <v>871</v>
      </c>
      <c r="F1444" s="12" t="n">
        <v>28875.0</v>
      </c>
      <c r="G1444" s="13" t="s">
        <v>205</v>
      </c>
      <c r="H1444" s="14" t="s">
        <v>115</v>
      </c>
      <c r="I1444" s="13" t="s">
        <v>208</v>
      </c>
      <c r="J1444" s="14" t="s">
        <v>116</v>
      </c>
      <c r="K1444" s="13" t="s">
        <v>208</v>
      </c>
      <c r="L1444" s="14" t="s">
        <v>103</v>
      </c>
      <c r="M1444" s="13" t="s">
        <v>215</v>
      </c>
      <c r="N1444" s="14" t="s">
        <v>59</v>
      </c>
      <c r="O1444" s="13" t="s">
        <v>215</v>
      </c>
      <c r="P1444" s="14" t="s">
        <v>59</v>
      </c>
      <c r="Q1444" s="13" t="s">
        <v>215</v>
      </c>
      <c r="R1444" s="14" t="s">
        <v>59</v>
      </c>
      <c r="S1444" s="15" t="n">
        <f>40</f>
        <v>40.0</v>
      </c>
      <c r="T1444" s="16" t="n">
        <f>364</f>
        <v>364.0</v>
      </c>
      <c r="U1444" s="16" t="n">
        <v>12.0</v>
      </c>
      <c r="V1444" s="16" t="n">
        <f>17618000</f>
        <v>1.7618E7</v>
      </c>
      <c r="W1444" s="16" t="n">
        <v>420000.0</v>
      </c>
      <c r="X1444" s="16" t="str">
        <f>"－"</f>
        <v>－</v>
      </c>
      <c r="Y1444" s="13" t="s">
        <v>53</v>
      </c>
      <c r="Z1444" s="17" t="n">
        <f>160</f>
        <v>160.0</v>
      </c>
      <c r="AA1444" s="18" t="n">
        <f>7</f>
        <v>7.0</v>
      </c>
      <c r="AB1444" s="11" t="s">
        <v>872</v>
      </c>
    </row>
    <row r="1445">
      <c r="A1445" s="11" t="s">
        <v>46</v>
      </c>
      <c r="B1445" s="11" t="s">
        <v>865</v>
      </c>
      <c r="C1445" s="11" t="s">
        <v>866</v>
      </c>
      <c r="D1445" s="11" t="s">
        <v>49</v>
      </c>
      <c r="E1445" s="11" t="s">
        <v>871</v>
      </c>
      <c r="F1445" s="12" t="n">
        <v>29000.0</v>
      </c>
      <c r="G1445" s="13" t="s">
        <v>52</v>
      </c>
      <c r="H1445" s="14" t="s">
        <v>185</v>
      </c>
      <c r="I1445" s="13" t="s">
        <v>52</v>
      </c>
      <c r="J1445" s="14" t="s">
        <v>185</v>
      </c>
      <c r="K1445" s="13" t="s">
        <v>205</v>
      </c>
      <c r="L1445" s="14" t="s">
        <v>117</v>
      </c>
      <c r="M1445" s="13" t="s">
        <v>215</v>
      </c>
      <c r="N1445" s="14" t="s">
        <v>59</v>
      </c>
      <c r="O1445" s="13" t="s">
        <v>215</v>
      </c>
      <c r="P1445" s="14" t="s">
        <v>51</v>
      </c>
      <c r="Q1445" s="13" t="s">
        <v>215</v>
      </c>
      <c r="R1445" s="14" t="s">
        <v>59</v>
      </c>
      <c r="S1445" s="15" t="n">
        <f>72.88</f>
        <v>72.88</v>
      </c>
      <c r="T1445" s="16" t="n">
        <f>819</f>
        <v>819.0</v>
      </c>
      <c r="U1445" s="16" t="n">
        <v>80.0</v>
      </c>
      <c r="V1445" s="16" t="n">
        <f>29131000</f>
        <v>2.9131E7</v>
      </c>
      <c r="W1445" s="16" t="n">
        <v>3164000.0</v>
      </c>
      <c r="X1445" s="16" t="str">
        <f>"－"</f>
        <v>－</v>
      </c>
      <c r="Y1445" s="13" t="s">
        <v>53</v>
      </c>
      <c r="Z1445" s="17" t="n">
        <f>111</f>
        <v>111.0</v>
      </c>
      <c r="AA1445" s="18" t="n">
        <f>8</f>
        <v>8.0</v>
      </c>
      <c r="AB1445" s="11" t="s">
        <v>872</v>
      </c>
    </row>
    <row r="1446">
      <c r="A1446" s="11" t="s">
        <v>46</v>
      </c>
      <c r="B1446" s="11" t="s">
        <v>865</v>
      </c>
      <c r="C1446" s="11" t="s">
        <v>866</v>
      </c>
      <c r="D1446" s="11" t="s">
        <v>49</v>
      </c>
      <c r="E1446" s="11" t="s">
        <v>871</v>
      </c>
      <c r="F1446" s="12" t="n">
        <v>29125.0</v>
      </c>
      <c r="G1446" s="13" t="s">
        <v>205</v>
      </c>
      <c r="H1446" s="14" t="s">
        <v>122</v>
      </c>
      <c r="I1446" s="13" t="s">
        <v>205</v>
      </c>
      <c r="J1446" s="14" t="s">
        <v>122</v>
      </c>
      <c r="K1446" s="13" t="s">
        <v>205</v>
      </c>
      <c r="L1446" s="14" t="s">
        <v>121</v>
      </c>
      <c r="M1446" s="13" t="s">
        <v>215</v>
      </c>
      <c r="N1446" s="14" t="s">
        <v>51</v>
      </c>
      <c r="O1446" s="13" t="s">
        <v>215</v>
      </c>
      <c r="P1446" s="14" t="s">
        <v>59</v>
      </c>
      <c r="Q1446" s="13" t="s">
        <v>215</v>
      </c>
      <c r="R1446" s="14" t="s">
        <v>59</v>
      </c>
      <c r="S1446" s="15" t="n">
        <f>61.38</f>
        <v>61.38</v>
      </c>
      <c r="T1446" s="16" t="n">
        <f>414</f>
        <v>414.0</v>
      </c>
      <c r="U1446" s="16" t="n">
        <v>27.0</v>
      </c>
      <c r="V1446" s="16" t="n">
        <f>10131000</f>
        <v>1.0131E7</v>
      </c>
      <c r="W1446" s="16" t="n">
        <v>634000.0</v>
      </c>
      <c r="X1446" s="16" t="str">
        <f>"－"</f>
        <v>－</v>
      </c>
      <c r="Y1446" s="13" t="s">
        <v>53</v>
      </c>
      <c r="Z1446" s="17" t="n">
        <f>214</f>
        <v>214.0</v>
      </c>
      <c r="AA1446" s="18" t="n">
        <f>8</f>
        <v>8.0</v>
      </c>
      <c r="AB1446" s="11" t="s">
        <v>872</v>
      </c>
    </row>
    <row r="1447">
      <c r="A1447" s="11" t="s">
        <v>46</v>
      </c>
      <c r="B1447" s="11" t="s">
        <v>865</v>
      </c>
      <c r="C1447" s="11" t="s">
        <v>866</v>
      </c>
      <c r="D1447" s="11" t="s">
        <v>49</v>
      </c>
      <c r="E1447" s="11" t="s">
        <v>871</v>
      </c>
      <c r="F1447" s="12" t="n">
        <v>29250.0</v>
      </c>
      <c r="G1447" s="13" t="s">
        <v>288</v>
      </c>
      <c r="H1447" s="14" t="s">
        <v>115</v>
      </c>
      <c r="I1447" s="13" t="s">
        <v>208</v>
      </c>
      <c r="J1447" s="14" t="s">
        <v>128</v>
      </c>
      <c r="K1447" s="13" t="s">
        <v>208</v>
      </c>
      <c r="L1447" s="14" t="s">
        <v>122</v>
      </c>
      <c r="M1447" s="13" t="s">
        <v>215</v>
      </c>
      <c r="N1447" s="14" t="s">
        <v>59</v>
      </c>
      <c r="O1447" s="13" t="s">
        <v>215</v>
      </c>
      <c r="P1447" s="14" t="s">
        <v>62</v>
      </c>
      <c r="Q1447" s="13" t="s">
        <v>215</v>
      </c>
      <c r="R1447" s="14" t="s">
        <v>59</v>
      </c>
      <c r="S1447" s="15" t="n">
        <f>63.17</f>
        <v>63.17</v>
      </c>
      <c r="T1447" s="16" t="n">
        <f>445</f>
        <v>445.0</v>
      </c>
      <c r="U1447" s="16" t="n">
        <v>30.0</v>
      </c>
      <c r="V1447" s="16" t="n">
        <f>25120000</f>
        <v>2.512E7</v>
      </c>
      <c r="W1447" s="16" t="n">
        <v>970000.0</v>
      </c>
      <c r="X1447" s="16" t="str">
        <f>"－"</f>
        <v>－</v>
      </c>
      <c r="Y1447" s="13" t="s">
        <v>53</v>
      </c>
      <c r="Z1447" s="17" t="n">
        <f>86</f>
        <v>86.0</v>
      </c>
      <c r="AA1447" s="18" t="n">
        <f>6</f>
        <v>6.0</v>
      </c>
      <c r="AB1447" s="11" t="s">
        <v>872</v>
      </c>
    </row>
    <row r="1448">
      <c r="A1448" s="11" t="s">
        <v>46</v>
      </c>
      <c r="B1448" s="11" t="s">
        <v>865</v>
      </c>
      <c r="C1448" s="11" t="s">
        <v>866</v>
      </c>
      <c r="D1448" s="11" t="s">
        <v>49</v>
      </c>
      <c r="E1448" s="11" t="s">
        <v>871</v>
      </c>
      <c r="F1448" s="12" t="n">
        <v>29375.0</v>
      </c>
      <c r="G1448" s="13" t="s">
        <v>202</v>
      </c>
      <c r="H1448" s="14" t="s">
        <v>873</v>
      </c>
      <c r="I1448" s="13" t="s">
        <v>208</v>
      </c>
      <c r="J1448" s="14" t="s">
        <v>231</v>
      </c>
      <c r="K1448" s="13" t="s">
        <v>208</v>
      </c>
      <c r="L1448" s="14" t="s">
        <v>117</v>
      </c>
      <c r="M1448" s="13" t="s">
        <v>215</v>
      </c>
      <c r="N1448" s="14" t="s">
        <v>62</v>
      </c>
      <c r="O1448" s="13" t="s">
        <v>215</v>
      </c>
      <c r="P1448" s="14" t="s">
        <v>62</v>
      </c>
      <c r="Q1448" s="13" t="s">
        <v>215</v>
      </c>
      <c r="R1448" s="14" t="s">
        <v>62</v>
      </c>
      <c r="S1448" s="15" t="n">
        <f>71.86</f>
        <v>71.86</v>
      </c>
      <c r="T1448" s="16" t="n">
        <f>238</f>
        <v>238.0</v>
      </c>
      <c r="U1448" s="16" t="n">
        <v>14.0</v>
      </c>
      <c r="V1448" s="16" t="n">
        <f>10368000</f>
        <v>1.0368E7</v>
      </c>
      <c r="W1448" s="16" t="n">
        <v>373000.0</v>
      </c>
      <c r="X1448" s="16" t="str">
        <f>"－"</f>
        <v>－</v>
      </c>
      <c r="Y1448" s="13" t="s">
        <v>53</v>
      </c>
      <c r="Z1448" s="17" t="n">
        <f>49</f>
        <v>49.0</v>
      </c>
      <c r="AA1448" s="18" t="n">
        <f>7</f>
        <v>7.0</v>
      </c>
      <c r="AB1448" s="11" t="s">
        <v>872</v>
      </c>
    </row>
    <row r="1449">
      <c r="A1449" s="11" t="s">
        <v>46</v>
      </c>
      <c r="B1449" s="11" t="s">
        <v>865</v>
      </c>
      <c r="C1449" s="11" t="s">
        <v>866</v>
      </c>
      <c r="D1449" s="11" t="s">
        <v>49</v>
      </c>
      <c r="E1449" s="11" t="s">
        <v>871</v>
      </c>
      <c r="F1449" s="12" t="n">
        <v>29500.0</v>
      </c>
      <c r="G1449" s="13" t="s">
        <v>202</v>
      </c>
      <c r="H1449" s="14" t="s">
        <v>348</v>
      </c>
      <c r="I1449" s="13" t="s">
        <v>208</v>
      </c>
      <c r="J1449" s="14" t="s">
        <v>135</v>
      </c>
      <c r="K1449" s="13" t="s">
        <v>208</v>
      </c>
      <c r="L1449" s="14" t="s">
        <v>130</v>
      </c>
      <c r="M1449" s="13" t="s">
        <v>215</v>
      </c>
      <c r="N1449" s="14" t="s">
        <v>62</v>
      </c>
      <c r="O1449" s="13" t="s">
        <v>215</v>
      </c>
      <c r="P1449" s="14" t="s">
        <v>65</v>
      </c>
      <c r="Q1449" s="13" t="s">
        <v>215</v>
      </c>
      <c r="R1449" s="14" t="s">
        <v>62</v>
      </c>
      <c r="S1449" s="15" t="n">
        <f>101.71</f>
        <v>101.71</v>
      </c>
      <c r="T1449" s="16" t="n">
        <f>693</f>
        <v>693.0</v>
      </c>
      <c r="U1449" s="16" t="n">
        <v>39.0</v>
      </c>
      <c r="V1449" s="16" t="n">
        <f>41314000</f>
        <v>4.1314E7</v>
      </c>
      <c r="W1449" s="16" t="n">
        <v>2228000.0</v>
      </c>
      <c r="X1449" s="16" t="str">
        <f>"－"</f>
        <v>－</v>
      </c>
      <c r="Y1449" s="13" t="s">
        <v>53</v>
      </c>
      <c r="Z1449" s="17" t="n">
        <f>180</f>
        <v>180.0</v>
      </c>
      <c r="AA1449" s="18" t="n">
        <f>7</f>
        <v>7.0</v>
      </c>
      <c r="AB1449" s="11" t="s">
        <v>872</v>
      </c>
    </row>
    <row r="1450">
      <c r="A1450" s="11" t="s">
        <v>46</v>
      </c>
      <c r="B1450" s="11" t="s">
        <v>865</v>
      </c>
      <c r="C1450" s="11" t="s">
        <v>866</v>
      </c>
      <c r="D1450" s="11" t="s">
        <v>49</v>
      </c>
      <c r="E1450" s="11" t="s">
        <v>871</v>
      </c>
      <c r="F1450" s="12" t="n">
        <v>29625.0</v>
      </c>
      <c r="G1450" s="13" t="s">
        <v>206</v>
      </c>
      <c r="H1450" s="14" t="s">
        <v>197</v>
      </c>
      <c r="I1450" s="13" t="s">
        <v>206</v>
      </c>
      <c r="J1450" s="14" t="s">
        <v>197</v>
      </c>
      <c r="K1450" s="13" t="s">
        <v>208</v>
      </c>
      <c r="L1450" s="14" t="s">
        <v>232</v>
      </c>
      <c r="M1450" s="13" t="s">
        <v>215</v>
      </c>
      <c r="N1450" s="14" t="s">
        <v>65</v>
      </c>
      <c r="O1450" s="13" t="s">
        <v>215</v>
      </c>
      <c r="P1450" s="14" t="s">
        <v>68</v>
      </c>
      <c r="Q1450" s="13" t="s">
        <v>215</v>
      </c>
      <c r="R1450" s="14" t="s">
        <v>65</v>
      </c>
      <c r="S1450" s="15" t="n">
        <f>160</f>
        <v>160.0</v>
      </c>
      <c r="T1450" s="16" t="n">
        <f>446</f>
        <v>446.0</v>
      </c>
      <c r="U1450" s="16" t="n">
        <v>8.0</v>
      </c>
      <c r="V1450" s="16" t="n">
        <f>54844000</f>
        <v>5.4844E7</v>
      </c>
      <c r="W1450" s="16" t="n">
        <v>721000.0</v>
      </c>
      <c r="X1450" s="16" t="n">
        <f>53</f>
        <v>53.0</v>
      </c>
      <c r="Y1450" s="13" t="s">
        <v>53</v>
      </c>
      <c r="Z1450" s="17" t="str">
        <f>"－"</f>
        <v>－</v>
      </c>
      <c r="AA1450" s="18" t="n">
        <f>8</f>
        <v>8.0</v>
      </c>
      <c r="AB1450" s="11" t="s">
        <v>872</v>
      </c>
    </row>
    <row r="1451">
      <c r="A1451" s="11" t="s">
        <v>46</v>
      </c>
      <c r="B1451" s="11" t="s">
        <v>865</v>
      </c>
      <c r="C1451" s="11" t="s">
        <v>866</v>
      </c>
      <c r="D1451" s="11" t="s">
        <v>49</v>
      </c>
      <c r="E1451" s="11" t="s">
        <v>871</v>
      </c>
      <c r="F1451" s="12" t="n">
        <v>29750.0</v>
      </c>
      <c r="G1451" s="13" t="s">
        <v>202</v>
      </c>
      <c r="H1451" s="14" t="s">
        <v>134</v>
      </c>
      <c r="I1451" s="13" t="s">
        <v>208</v>
      </c>
      <c r="J1451" s="14" t="s">
        <v>141</v>
      </c>
      <c r="K1451" s="13" t="s">
        <v>208</v>
      </c>
      <c r="L1451" s="14" t="s">
        <v>135</v>
      </c>
      <c r="M1451" s="13" t="s">
        <v>215</v>
      </c>
      <c r="N1451" s="14" t="s">
        <v>69</v>
      </c>
      <c r="O1451" s="13" t="s">
        <v>215</v>
      </c>
      <c r="P1451" s="14" t="s">
        <v>69</v>
      </c>
      <c r="Q1451" s="13" t="s">
        <v>215</v>
      </c>
      <c r="R1451" s="14" t="s">
        <v>71</v>
      </c>
      <c r="S1451" s="15" t="n">
        <f>148.43</f>
        <v>148.43</v>
      </c>
      <c r="T1451" s="16" t="n">
        <f>484</f>
        <v>484.0</v>
      </c>
      <c r="U1451" s="16" t="n">
        <v>21.0</v>
      </c>
      <c r="V1451" s="16" t="n">
        <f>46591000</f>
        <v>4.6591E7</v>
      </c>
      <c r="W1451" s="16" t="n">
        <v>1511000.0</v>
      </c>
      <c r="X1451" s="16" t="n">
        <f>81</f>
        <v>81.0</v>
      </c>
      <c r="Y1451" s="13" t="s">
        <v>53</v>
      </c>
      <c r="Z1451" s="17" t="str">
        <f>"－"</f>
        <v>－</v>
      </c>
      <c r="AA1451" s="18" t="n">
        <f>7</f>
        <v>7.0</v>
      </c>
      <c r="AB1451" s="11" t="s">
        <v>872</v>
      </c>
    </row>
    <row r="1452">
      <c r="A1452" s="11" t="s">
        <v>46</v>
      </c>
      <c r="B1452" s="11" t="s">
        <v>865</v>
      </c>
      <c r="C1452" s="11" t="s">
        <v>866</v>
      </c>
      <c r="D1452" s="11" t="s">
        <v>49</v>
      </c>
      <c r="E1452" s="11" t="s">
        <v>871</v>
      </c>
      <c r="F1452" s="12" t="n">
        <v>29875.0</v>
      </c>
      <c r="G1452" s="13" t="s">
        <v>202</v>
      </c>
      <c r="H1452" s="14" t="s">
        <v>232</v>
      </c>
      <c r="I1452" s="13" t="s">
        <v>208</v>
      </c>
      <c r="J1452" s="14" t="s">
        <v>378</v>
      </c>
      <c r="K1452" s="13" t="s">
        <v>210</v>
      </c>
      <c r="L1452" s="14" t="s">
        <v>121</v>
      </c>
      <c r="M1452" s="13" t="s">
        <v>215</v>
      </c>
      <c r="N1452" s="14" t="s">
        <v>216</v>
      </c>
      <c r="O1452" s="13" t="s">
        <v>215</v>
      </c>
      <c r="P1452" s="14" t="s">
        <v>334</v>
      </c>
      <c r="Q1452" s="13" t="s">
        <v>215</v>
      </c>
      <c r="R1452" s="14" t="s">
        <v>216</v>
      </c>
      <c r="S1452" s="15" t="n">
        <f>160.86</f>
        <v>160.86</v>
      </c>
      <c r="T1452" s="16" t="n">
        <f>326</f>
        <v>326.0</v>
      </c>
      <c r="U1452" s="16" t="n">
        <v>5.0</v>
      </c>
      <c r="V1452" s="16" t="n">
        <f>48043000</f>
        <v>4.8043E7</v>
      </c>
      <c r="W1452" s="16" t="n">
        <v>373000.0</v>
      </c>
      <c r="X1452" s="16" t="n">
        <f>165</f>
        <v>165.0</v>
      </c>
      <c r="Y1452" s="13" t="s">
        <v>53</v>
      </c>
      <c r="Z1452" s="17" t="str">
        <f>"－"</f>
        <v>－</v>
      </c>
      <c r="AA1452" s="18" t="n">
        <f>7</f>
        <v>7.0</v>
      </c>
      <c r="AB1452" s="11" t="s">
        <v>872</v>
      </c>
    </row>
    <row r="1453">
      <c r="A1453" s="11" t="s">
        <v>46</v>
      </c>
      <c r="B1453" s="11" t="s">
        <v>865</v>
      </c>
      <c r="C1453" s="11" t="s">
        <v>866</v>
      </c>
      <c r="D1453" s="11" t="s">
        <v>49</v>
      </c>
      <c r="E1453" s="11" t="s">
        <v>871</v>
      </c>
      <c r="F1453" s="12" t="n">
        <v>30000.0</v>
      </c>
      <c r="G1453" s="13" t="s">
        <v>202</v>
      </c>
      <c r="H1453" s="14" t="s">
        <v>141</v>
      </c>
      <c r="I1453" s="13" t="s">
        <v>210</v>
      </c>
      <c r="J1453" s="14" t="s">
        <v>426</v>
      </c>
      <c r="K1453" s="13" t="s">
        <v>215</v>
      </c>
      <c r="L1453" s="14" t="s">
        <v>140</v>
      </c>
      <c r="M1453" s="13" t="s">
        <v>215</v>
      </c>
      <c r="N1453" s="14" t="s">
        <v>79</v>
      </c>
      <c r="O1453" s="13" t="s">
        <v>211</v>
      </c>
      <c r="P1453" s="14" t="s">
        <v>233</v>
      </c>
      <c r="Q1453" s="13" t="s">
        <v>215</v>
      </c>
      <c r="R1453" s="14" t="s">
        <v>85</v>
      </c>
      <c r="S1453" s="15" t="n">
        <f>218.57</f>
        <v>218.57</v>
      </c>
      <c r="T1453" s="16" t="n">
        <f>332</f>
        <v>332.0</v>
      </c>
      <c r="U1453" s="16" t="n">
        <v>22.0</v>
      </c>
      <c r="V1453" s="16" t="n">
        <f>50246000</f>
        <v>5.0246E7</v>
      </c>
      <c r="W1453" s="16" t="n">
        <v>5745000.0</v>
      </c>
      <c r="X1453" s="16" t="n">
        <f>117</f>
        <v>117.0</v>
      </c>
      <c r="Y1453" s="13" t="s">
        <v>53</v>
      </c>
      <c r="Z1453" s="17" t="str">
        <f>"－"</f>
        <v>－</v>
      </c>
      <c r="AA1453" s="18" t="n">
        <f>7</f>
        <v>7.0</v>
      </c>
      <c r="AB1453" s="11" t="s">
        <v>872</v>
      </c>
    </row>
    <row r="1454">
      <c r="A1454" s="11" t="s">
        <v>46</v>
      </c>
      <c r="B1454" s="11" t="s">
        <v>865</v>
      </c>
      <c r="C1454" s="11" t="s">
        <v>866</v>
      </c>
      <c r="D1454" s="11" t="s">
        <v>49</v>
      </c>
      <c r="E1454" s="11" t="s">
        <v>871</v>
      </c>
      <c r="F1454" s="12" t="n">
        <v>30125.0</v>
      </c>
      <c r="G1454" s="13" t="s">
        <v>207</v>
      </c>
      <c r="H1454" s="14" t="s">
        <v>342</v>
      </c>
      <c r="I1454" s="13" t="s">
        <v>208</v>
      </c>
      <c r="J1454" s="14" t="s">
        <v>143</v>
      </c>
      <c r="K1454" s="13" t="s">
        <v>211</v>
      </c>
      <c r="L1454" s="14" t="s">
        <v>195</v>
      </c>
      <c r="M1454" s="13" t="s">
        <v>215</v>
      </c>
      <c r="N1454" s="14" t="s">
        <v>98</v>
      </c>
      <c r="O1454" s="13" t="s">
        <v>211</v>
      </c>
      <c r="P1454" s="14" t="s">
        <v>195</v>
      </c>
      <c r="Q1454" s="13" t="s">
        <v>215</v>
      </c>
      <c r="R1454" s="14" t="s">
        <v>98</v>
      </c>
      <c r="S1454" s="15" t="n">
        <f>208.6</f>
        <v>208.6</v>
      </c>
      <c r="T1454" s="16" t="n">
        <f>78</f>
        <v>78.0</v>
      </c>
      <c r="U1454" s="16" t="n">
        <v>1.0</v>
      </c>
      <c r="V1454" s="16" t="n">
        <f>12018000</f>
        <v>1.2018E7</v>
      </c>
      <c r="W1454" s="16" t="n">
        <v>250000.0</v>
      </c>
      <c r="X1454" s="16" t="n">
        <f>29</f>
        <v>29.0</v>
      </c>
      <c r="Y1454" s="13" t="s">
        <v>53</v>
      </c>
      <c r="Z1454" s="17" t="str">
        <f>"－"</f>
        <v>－</v>
      </c>
      <c r="AA1454" s="18" t="n">
        <f>5</f>
        <v>5.0</v>
      </c>
      <c r="AB1454" s="11" t="s">
        <v>872</v>
      </c>
    </row>
    <row r="1455">
      <c r="A1455" s="11" t="s">
        <v>46</v>
      </c>
      <c r="B1455" s="11" t="s">
        <v>865</v>
      </c>
      <c r="C1455" s="11" t="s">
        <v>866</v>
      </c>
      <c r="D1455" s="11" t="s">
        <v>49</v>
      </c>
      <c r="E1455" s="11" t="s">
        <v>871</v>
      </c>
      <c r="F1455" s="12" t="n">
        <v>30250.0</v>
      </c>
      <c r="G1455" s="13" t="s">
        <v>207</v>
      </c>
      <c r="H1455" s="14" t="s">
        <v>138</v>
      </c>
      <c r="I1455" s="13" t="s">
        <v>210</v>
      </c>
      <c r="J1455" s="14" t="s">
        <v>290</v>
      </c>
      <c r="K1455" s="13" t="s">
        <v>211</v>
      </c>
      <c r="L1455" s="14" t="s">
        <v>342</v>
      </c>
      <c r="M1455" s="13" t="s">
        <v>215</v>
      </c>
      <c r="N1455" s="14" t="s">
        <v>191</v>
      </c>
      <c r="O1455" s="13" t="s">
        <v>211</v>
      </c>
      <c r="P1455" s="14" t="s">
        <v>342</v>
      </c>
      <c r="Q1455" s="13" t="s">
        <v>215</v>
      </c>
      <c r="R1455" s="14" t="s">
        <v>117</v>
      </c>
      <c r="S1455" s="15" t="n">
        <f>353</f>
        <v>353.0</v>
      </c>
      <c r="T1455" s="16" t="n">
        <f>83</f>
        <v>83.0</v>
      </c>
      <c r="U1455" s="16" t="n">
        <v>3.0</v>
      </c>
      <c r="V1455" s="16" t="n">
        <f>17778000</f>
        <v>1.7778E7</v>
      </c>
      <c r="W1455" s="16" t="n">
        <v>810000.0</v>
      </c>
      <c r="X1455" s="16" t="n">
        <f>37</f>
        <v>37.0</v>
      </c>
      <c r="Y1455" s="13" t="s">
        <v>53</v>
      </c>
      <c r="Z1455" s="17" t="str">
        <f>"－"</f>
        <v>－</v>
      </c>
      <c r="AA1455" s="18" t="n">
        <f>5</f>
        <v>5.0</v>
      </c>
      <c r="AB1455" s="11" t="s">
        <v>872</v>
      </c>
    </row>
    <row r="1456">
      <c r="A1456" s="11" t="s">
        <v>46</v>
      </c>
      <c r="B1456" s="11" t="s">
        <v>865</v>
      </c>
      <c r="C1456" s="11" t="s">
        <v>866</v>
      </c>
      <c r="D1456" s="11" t="s">
        <v>49</v>
      </c>
      <c r="E1456" s="11" t="s">
        <v>871</v>
      </c>
      <c r="F1456" s="12" t="n">
        <v>30375.0</v>
      </c>
      <c r="G1456" s="13" t="s">
        <v>211</v>
      </c>
      <c r="H1456" s="14" t="s">
        <v>132</v>
      </c>
      <c r="I1456" s="13" t="s">
        <v>210</v>
      </c>
      <c r="J1456" s="14" t="s">
        <v>151</v>
      </c>
      <c r="K1456" s="13"/>
      <c r="L1456" s="14"/>
      <c r="M1456" s="13" t="s">
        <v>211</v>
      </c>
      <c r="N1456" s="14" t="s">
        <v>230</v>
      </c>
      <c r="O1456" s="13"/>
      <c r="P1456" s="14"/>
      <c r="Q1456" s="13" t="s">
        <v>210</v>
      </c>
      <c r="R1456" s="14" t="s">
        <v>151</v>
      </c>
      <c r="S1456" s="15" t="n">
        <f>355</f>
        <v>355.0</v>
      </c>
      <c r="T1456" s="16" t="n">
        <f>6</f>
        <v>6.0</v>
      </c>
      <c r="U1456" s="16"/>
      <c r="V1456" s="16" t="n">
        <f>1555000</f>
        <v>1555000.0</v>
      </c>
      <c r="W1456" s="16"/>
      <c r="X1456" s="16" t="n">
        <f>2</f>
        <v>2.0</v>
      </c>
      <c r="Y1456" s="13" t="s">
        <v>53</v>
      </c>
      <c r="Z1456" s="17" t="str">
        <f>"－"</f>
        <v>－</v>
      </c>
      <c r="AA1456" s="18" t="n">
        <f>2</f>
        <v>2.0</v>
      </c>
      <c r="AB1456" s="11" t="s">
        <v>872</v>
      </c>
    </row>
    <row r="1457">
      <c r="A1457" s="11" t="s">
        <v>46</v>
      </c>
      <c r="B1457" s="11" t="s">
        <v>865</v>
      </c>
      <c r="C1457" s="11" t="s">
        <v>866</v>
      </c>
      <c r="D1457" s="11" t="s">
        <v>49</v>
      </c>
      <c r="E1457" s="11" t="s">
        <v>871</v>
      </c>
      <c r="F1457" s="12" t="n">
        <v>30625.0</v>
      </c>
      <c r="G1457" s="13" t="s">
        <v>207</v>
      </c>
      <c r="H1457" s="14" t="s">
        <v>175</v>
      </c>
      <c r="I1457" s="13" t="s">
        <v>207</v>
      </c>
      <c r="J1457" s="14" t="s">
        <v>175</v>
      </c>
      <c r="K1457" s="13"/>
      <c r="L1457" s="14"/>
      <c r="M1457" s="13" t="s">
        <v>207</v>
      </c>
      <c r="N1457" s="14" t="s">
        <v>175</v>
      </c>
      <c r="O1457" s="13"/>
      <c r="P1457" s="14"/>
      <c r="Q1457" s="13" t="s">
        <v>207</v>
      </c>
      <c r="R1457" s="14" t="s">
        <v>175</v>
      </c>
      <c r="S1457" s="15" t="n">
        <f>460</f>
        <v>460.0</v>
      </c>
      <c r="T1457" s="16" t="n">
        <f>5</f>
        <v>5.0</v>
      </c>
      <c r="U1457" s="16"/>
      <c r="V1457" s="16" t="n">
        <f>2300000</f>
        <v>2300000.0</v>
      </c>
      <c r="W1457" s="16"/>
      <c r="X1457" s="16" t="str">
        <f>"－"</f>
        <v>－</v>
      </c>
      <c r="Y1457" s="13" t="s">
        <v>53</v>
      </c>
      <c r="Z1457" s="17" t="str">
        <f>"－"</f>
        <v>－</v>
      </c>
      <c r="AA1457" s="18" t="n">
        <f>1</f>
        <v>1.0</v>
      </c>
      <c r="AB1457" s="11" t="s">
        <v>872</v>
      </c>
    </row>
    <row r="1458">
      <c r="A1458" s="11" t="s">
        <v>46</v>
      </c>
      <c r="B1458" s="11" t="s">
        <v>865</v>
      </c>
      <c r="C1458" s="11" t="s">
        <v>866</v>
      </c>
      <c r="D1458" s="11" t="s">
        <v>49</v>
      </c>
      <c r="E1458" s="11" t="s">
        <v>874</v>
      </c>
      <c r="F1458" s="12" t="n">
        <v>26625.0</v>
      </c>
      <c r="G1458" s="13" t="s">
        <v>210</v>
      </c>
      <c r="H1458" s="14" t="s">
        <v>77</v>
      </c>
      <c r="I1458" s="13" t="s">
        <v>204</v>
      </c>
      <c r="J1458" s="14" t="s">
        <v>92</v>
      </c>
      <c r="K1458" s="13" t="s">
        <v>204</v>
      </c>
      <c r="L1458" s="14" t="s">
        <v>76</v>
      </c>
      <c r="M1458" s="13" t="s">
        <v>204</v>
      </c>
      <c r="N1458" s="14" t="s">
        <v>64</v>
      </c>
      <c r="O1458" s="13" t="s">
        <v>215</v>
      </c>
      <c r="P1458" s="14" t="s">
        <v>62</v>
      </c>
      <c r="Q1458" s="13" t="s">
        <v>204</v>
      </c>
      <c r="R1458" s="14" t="s">
        <v>89</v>
      </c>
      <c r="S1458" s="15" t="n">
        <f>20.33</f>
        <v>20.33</v>
      </c>
      <c r="T1458" s="16" t="n">
        <f>105</f>
        <v>105.0</v>
      </c>
      <c r="U1458" s="16" t="n">
        <v>2.0</v>
      </c>
      <c r="V1458" s="16" t="n">
        <f>1597000</f>
        <v>1597000.0</v>
      </c>
      <c r="W1458" s="16" t="n">
        <v>26000.0</v>
      </c>
      <c r="X1458" s="16" t="str">
        <f>"－"</f>
        <v>－</v>
      </c>
      <c r="Y1458" s="13"/>
      <c r="Z1458" s="17" t="n">
        <f>89</f>
        <v>89.0</v>
      </c>
      <c r="AA1458" s="18" t="n">
        <f>3</f>
        <v>3.0</v>
      </c>
      <c r="AB1458" s="11" t="s">
        <v>875</v>
      </c>
    </row>
    <row r="1459">
      <c r="A1459" s="11" t="s">
        <v>46</v>
      </c>
      <c r="B1459" s="11" t="s">
        <v>865</v>
      </c>
      <c r="C1459" s="11" t="s">
        <v>866</v>
      </c>
      <c r="D1459" s="11" t="s">
        <v>49</v>
      </c>
      <c r="E1459" s="11" t="s">
        <v>874</v>
      </c>
      <c r="F1459" s="12" t="n">
        <v>26750.0</v>
      </c>
      <c r="G1459" s="13" t="s">
        <v>215</v>
      </c>
      <c r="H1459" s="14" t="s">
        <v>67</v>
      </c>
      <c r="I1459" s="13" t="s">
        <v>204</v>
      </c>
      <c r="J1459" s="14" t="s">
        <v>98</v>
      </c>
      <c r="K1459" s="13"/>
      <c r="L1459" s="14"/>
      <c r="M1459" s="13" t="s">
        <v>204</v>
      </c>
      <c r="N1459" s="14" t="s">
        <v>65</v>
      </c>
      <c r="O1459" s="13"/>
      <c r="P1459" s="14"/>
      <c r="Q1459" s="13" t="s">
        <v>204</v>
      </c>
      <c r="R1459" s="14" t="s">
        <v>98</v>
      </c>
      <c r="S1459" s="15" t="n">
        <f>30</f>
        <v>30.0</v>
      </c>
      <c r="T1459" s="16" t="n">
        <f>15</f>
        <v>15.0</v>
      </c>
      <c r="U1459" s="16"/>
      <c r="V1459" s="16" t="n">
        <f>540000</f>
        <v>540000.0</v>
      </c>
      <c r="W1459" s="16"/>
      <c r="X1459" s="16" t="str">
        <f>"－"</f>
        <v>－</v>
      </c>
      <c r="Y1459" s="13"/>
      <c r="Z1459" s="17" t="n">
        <f>6</f>
        <v>6.0</v>
      </c>
      <c r="AA1459" s="18" t="n">
        <f>2</f>
        <v>2.0</v>
      </c>
      <c r="AB1459" s="11" t="s">
        <v>875</v>
      </c>
    </row>
    <row r="1460">
      <c r="A1460" s="11" t="s">
        <v>46</v>
      </c>
      <c r="B1460" s="11" t="s">
        <v>865</v>
      </c>
      <c r="C1460" s="11" t="s">
        <v>866</v>
      </c>
      <c r="D1460" s="11" t="s">
        <v>49</v>
      </c>
      <c r="E1460" s="11" t="s">
        <v>874</v>
      </c>
      <c r="F1460" s="12" t="n">
        <v>26875.0</v>
      </c>
      <c r="G1460" s="13" t="s">
        <v>204</v>
      </c>
      <c r="H1460" s="14" t="s">
        <v>82</v>
      </c>
      <c r="I1460" s="13" t="s">
        <v>204</v>
      </c>
      <c r="J1460" s="14" t="s">
        <v>82</v>
      </c>
      <c r="K1460" s="13"/>
      <c r="L1460" s="14"/>
      <c r="M1460" s="13" t="s">
        <v>204</v>
      </c>
      <c r="N1460" s="14" t="s">
        <v>82</v>
      </c>
      <c r="O1460" s="13"/>
      <c r="P1460" s="14"/>
      <c r="Q1460" s="13" t="s">
        <v>204</v>
      </c>
      <c r="R1460" s="14" t="s">
        <v>82</v>
      </c>
      <c r="S1460" s="15" t="n">
        <f>28</f>
        <v>28.0</v>
      </c>
      <c r="T1460" s="16" t="n">
        <f>1</f>
        <v>1.0</v>
      </c>
      <c r="U1460" s="16"/>
      <c r="V1460" s="16" t="n">
        <f>28000</f>
        <v>28000.0</v>
      </c>
      <c r="W1460" s="16"/>
      <c r="X1460" s="16" t="str">
        <f>"－"</f>
        <v>－</v>
      </c>
      <c r="Y1460" s="13"/>
      <c r="Z1460" s="17" t="n">
        <f>1</f>
        <v>1.0</v>
      </c>
      <c r="AA1460" s="18" t="n">
        <f>1</f>
        <v>1.0</v>
      </c>
      <c r="AB1460" s="11" t="s">
        <v>875</v>
      </c>
    </row>
    <row r="1461">
      <c r="A1461" s="11" t="s">
        <v>46</v>
      </c>
      <c r="B1461" s="11" t="s">
        <v>865</v>
      </c>
      <c r="C1461" s="11" t="s">
        <v>866</v>
      </c>
      <c r="D1461" s="11" t="s">
        <v>49</v>
      </c>
      <c r="E1461" s="11" t="s">
        <v>874</v>
      </c>
      <c r="F1461" s="12" t="n">
        <v>27000.0</v>
      </c>
      <c r="G1461" s="13" t="s">
        <v>215</v>
      </c>
      <c r="H1461" s="14" t="s">
        <v>74</v>
      </c>
      <c r="I1461" s="13" t="s">
        <v>204</v>
      </c>
      <c r="J1461" s="14" t="s">
        <v>189</v>
      </c>
      <c r="K1461" s="13" t="s">
        <v>204</v>
      </c>
      <c r="L1461" s="14" t="s">
        <v>71</v>
      </c>
      <c r="M1461" s="13" t="s">
        <v>204</v>
      </c>
      <c r="N1461" s="14" t="s">
        <v>66</v>
      </c>
      <c r="O1461" s="13" t="s">
        <v>204</v>
      </c>
      <c r="P1461" s="14" t="s">
        <v>66</v>
      </c>
      <c r="Q1461" s="13" t="s">
        <v>204</v>
      </c>
      <c r="R1461" s="14" t="s">
        <v>88</v>
      </c>
      <c r="S1461" s="15" t="n">
        <f>31</f>
        <v>31.0</v>
      </c>
      <c r="T1461" s="16" t="n">
        <f>36</f>
        <v>36.0</v>
      </c>
      <c r="U1461" s="16" t="n">
        <v>5.0</v>
      </c>
      <c r="V1461" s="16" t="n">
        <f>611000</f>
        <v>611000.0</v>
      </c>
      <c r="W1461" s="16" t="n">
        <v>42000.0</v>
      </c>
      <c r="X1461" s="16" t="str">
        <f>"－"</f>
        <v>－</v>
      </c>
      <c r="Y1461" s="13"/>
      <c r="Z1461" s="17" t="n">
        <f>26</f>
        <v>26.0</v>
      </c>
      <c r="AA1461" s="18" t="n">
        <f>2</f>
        <v>2.0</v>
      </c>
      <c r="AB1461" s="11" t="s">
        <v>875</v>
      </c>
    </row>
    <row r="1462">
      <c r="A1462" s="11" t="s">
        <v>46</v>
      </c>
      <c r="B1462" s="11" t="s">
        <v>865</v>
      </c>
      <c r="C1462" s="11" t="s">
        <v>866</v>
      </c>
      <c r="D1462" s="11" t="s">
        <v>49</v>
      </c>
      <c r="E1462" s="11" t="s">
        <v>874</v>
      </c>
      <c r="F1462" s="12" t="n">
        <v>27250.0</v>
      </c>
      <c r="G1462" s="13" t="s">
        <v>204</v>
      </c>
      <c r="H1462" s="14" t="s">
        <v>71</v>
      </c>
      <c r="I1462" s="13" t="s">
        <v>204</v>
      </c>
      <c r="J1462" s="14" t="s">
        <v>97</v>
      </c>
      <c r="K1462" s="13"/>
      <c r="L1462" s="14"/>
      <c r="M1462" s="13" t="s">
        <v>204</v>
      </c>
      <c r="N1462" s="14" t="s">
        <v>71</v>
      </c>
      <c r="O1462" s="13"/>
      <c r="P1462" s="14"/>
      <c r="Q1462" s="13" t="s">
        <v>204</v>
      </c>
      <c r="R1462" s="14" t="s">
        <v>97</v>
      </c>
      <c r="S1462" s="15" t="n">
        <f>55</f>
        <v>55.0</v>
      </c>
      <c r="T1462" s="16" t="n">
        <f>14</f>
        <v>14.0</v>
      </c>
      <c r="U1462" s="16"/>
      <c r="V1462" s="16" t="n">
        <f>545000</f>
        <v>545000.0</v>
      </c>
      <c r="W1462" s="16"/>
      <c r="X1462" s="16" t="str">
        <f>"－"</f>
        <v>－</v>
      </c>
      <c r="Y1462" s="13"/>
      <c r="Z1462" s="17" t="n">
        <f>10</f>
        <v>10.0</v>
      </c>
      <c r="AA1462" s="18" t="n">
        <f>1</f>
        <v>1.0</v>
      </c>
      <c r="AB1462" s="11" t="s">
        <v>875</v>
      </c>
    </row>
    <row r="1463">
      <c r="A1463" s="11" t="s">
        <v>46</v>
      </c>
      <c r="B1463" s="11" t="s">
        <v>865</v>
      </c>
      <c r="C1463" s="11" t="s">
        <v>866</v>
      </c>
      <c r="D1463" s="11" t="s">
        <v>49</v>
      </c>
      <c r="E1463" s="11" t="s">
        <v>874</v>
      </c>
      <c r="F1463" s="12" t="n">
        <v>27375.0</v>
      </c>
      <c r="G1463" s="13" t="s">
        <v>210</v>
      </c>
      <c r="H1463" s="14" t="s">
        <v>99</v>
      </c>
      <c r="I1463" s="13" t="s">
        <v>204</v>
      </c>
      <c r="J1463" s="14" t="s">
        <v>217</v>
      </c>
      <c r="K1463" s="13"/>
      <c r="L1463" s="14"/>
      <c r="M1463" s="13" t="s">
        <v>204</v>
      </c>
      <c r="N1463" s="14" t="s">
        <v>74</v>
      </c>
      <c r="O1463" s="13"/>
      <c r="P1463" s="14"/>
      <c r="Q1463" s="13" t="s">
        <v>204</v>
      </c>
      <c r="R1463" s="14" t="s">
        <v>217</v>
      </c>
      <c r="S1463" s="15" t="n">
        <f>45.5</f>
        <v>45.5</v>
      </c>
      <c r="T1463" s="16" t="n">
        <f>6</f>
        <v>6.0</v>
      </c>
      <c r="U1463" s="16"/>
      <c r="V1463" s="16" t="n">
        <f>249000</f>
        <v>249000.0</v>
      </c>
      <c r="W1463" s="16"/>
      <c r="X1463" s="16" t="str">
        <f>"－"</f>
        <v>－</v>
      </c>
      <c r="Y1463" s="13"/>
      <c r="Z1463" s="17" t="n">
        <f>4</f>
        <v>4.0</v>
      </c>
      <c r="AA1463" s="18" t="n">
        <f>2</f>
        <v>2.0</v>
      </c>
      <c r="AB1463" s="11" t="s">
        <v>875</v>
      </c>
    </row>
    <row r="1464">
      <c r="A1464" s="11" t="s">
        <v>46</v>
      </c>
      <c r="B1464" s="11" t="s">
        <v>865</v>
      </c>
      <c r="C1464" s="11" t="s">
        <v>866</v>
      </c>
      <c r="D1464" s="11" t="s">
        <v>49</v>
      </c>
      <c r="E1464" s="11" t="s">
        <v>874</v>
      </c>
      <c r="F1464" s="12" t="n">
        <v>27500.0</v>
      </c>
      <c r="G1464" s="13" t="s">
        <v>210</v>
      </c>
      <c r="H1464" s="14" t="s">
        <v>218</v>
      </c>
      <c r="I1464" s="13" t="s">
        <v>210</v>
      </c>
      <c r="J1464" s="14" t="s">
        <v>218</v>
      </c>
      <c r="K1464" s="13" t="s">
        <v>204</v>
      </c>
      <c r="L1464" s="14" t="s">
        <v>224</v>
      </c>
      <c r="M1464" s="13" t="s">
        <v>204</v>
      </c>
      <c r="N1464" s="14" t="s">
        <v>72</v>
      </c>
      <c r="O1464" s="13" t="s">
        <v>215</v>
      </c>
      <c r="P1464" s="14" t="s">
        <v>71</v>
      </c>
      <c r="Q1464" s="13" t="s">
        <v>204</v>
      </c>
      <c r="R1464" s="14" t="s">
        <v>113</v>
      </c>
      <c r="S1464" s="15" t="n">
        <f>42</f>
        <v>42.0</v>
      </c>
      <c r="T1464" s="16" t="n">
        <f>50</f>
        <v>50.0</v>
      </c>
      <c r="U1464" s="16" t="n">
        <v>4.0</v>
      </c>
      <c r="V1464" s="16" t="n">
        <f>1563000</f>
        <v>1563000.0</v>
      </c>
      <c r="W1464" s="16" t="n">
        <v>126000.0</v>
      </c>
      <c r="X1464" s="16" t="str">
        <f>"－"</f>
        <v>－</v>
      </c>
      <c r="Y1464" s="13"/>
      <c r="Z1464" s="17" t="n">
        <f>23</f>
        <v>23.0</v>
      </c>
      <c r="AA1464" s="18" t="n">
        <f>3</f>
        <v>3.0</v>
      </c>
      <c r="AB1464" s="11" t="s">
        <v>875</v>
      </c>
    </row>
    <row r="1465">
      <c r="A1465" s="11" t="s">
        <v>46</v>
      </c>
      <c r="B1465" s="11" t="s">
        <v>865</v>
      </c>
      <c r="C1465" s="11" t="s">
        <v>866</v>
      </c>
      <c r="D1465" s="11" t="s">
        <v>49</v>
      </c>
      <c r="E1465" s="11" t="s">
        <v>874</v>
      </c>
      <c r="F1465" s="12" t="n">
        <v>27625.0</v>
      </c>
      <c r="G1465" s="13" t="s">
        <v>210</v>
      </c>
      <c r="H1465" s="14" t="s">
        <v>91</v>
      </c>
      <c r="I1465" s="13" t="s">
        <v>204</v>
      </c>
      <c r="J1465" s="14" t="s">
        <v>115</v>
      </c>
      <c r="K1465" s="13"/>
      <c r="L1465" s="14"/>
      <c r="M1465" s="13" t="s">
        <v>215</v>
      </c>
      <c r="N1465" s="14" t="s">
        <v>214</v>
      </c>
      <c r="O1465" s="13"/>
      <c r="P1465" s="14"/>
      <c r="Q1465" s="13" t="s">
        <v>204</v>
      </c>
      <c r="R1465" s="14" t="s">
        <v>115</v>
      </c>
      <c r="S1465" s="15" t="n">
        <f>57.67</f>
        <v>57.67</v>
      </c>
      <c r="T1465" s="16" t="n">
        <f>55</f>
        <v>55.0</v>
      </c>
      <c r="U1465" s="16"/>
      <c r="V1465" s="16" t="n">
        <f>2687000</f>
        <v>2687000.0</v>
      </c>
      <c r="W1465" s="16"/>
      <c r="X1465" s="16" t="str">
        <f>"－"</f>
        <v>－</v>
      </c>
      <c r="Y1465" s="13"/>
      <c r="Z1465" s="17" t="n">
        <f>27</f>
        <v>27.0</v>
      </c>
      <c r="AA1465" s="18" t="n">
        <f>3</f>
        <v>3.0</v>
      </c>
      <c r="AB1465" s="11" t="s">
        <v>875</v>
      </c>
    </row>
    <row r="1466">
      <c r="A1466" s="11" t="s">
        <v>46</v>
      </c>
      <c r="B1466" s="11" t="s">
        <v>865</v>
      </c>
      <c r="C1466" s="11" t="s">
        <v>866</v>
      </c>
      <c r="D1466" s="11" t="s">
        <v>49</v>
      </c>
      <c r="E1466" s="11" t="s">
        <v>874</v>
      </c>
      <c r="F1466" s="12" t="n">
        <v>27750.0</v>
      </c>
      <c r="G1466" s="13" t="s">
        <v>208</v>
      </c>
      <c r="H1466" s="14" t="s">
        <v>105</v>
      </c>
      <c r="I1466" s="13" t="s">
        <v>204</v>
      </c>
      <c r="J1466" s="14" t="s">
        <v>116</v>
      </c>
      <c r="K1466" s="13" t="s">
        <v>204</v>
      </c>
      <c r="L1466" s="14" t="s">
        <v>111</v>
      </c>
      <c r="M1466" s="13" t="s">
        <v>204</v>
      </c>
      <c r="N1466" s="14" t="s">
        <v>97</v>
      </c>
      <c r="O1466" s="13" t="s">
        <v>204</v>
      </c>
      <c r="P1466" s="14" t="s">
        <v>111</v>
      </c>
      <c r="Q1466" s="13" t="s">
        <v>204</v>
      </c>
      <c r="R1466" s="14" t="s">
        <v>276</v>
      </c>
      <c r="S1466" s="15" t="n">
        <f>69.5</f>
        <v>69.5</v>
      </c>
      <c r="T1466" s="16" t="n">
        <f>10</f>
        <v>10.0</v>
      </c>
      <c r="U1466" s="16" t="n">
        <v>2.0</v>
      </c>
      <c r="V1466" s="16" t="n">
        <f>782000</f>
        <v>782000.0</v>
      </c>
      <c r="W1466" s="16" t="n">
        <v>150000.0</v>
      </c>
      <c r="X1466" s="16" t="str">
        <f>"－"</f>
        <v>－</v>
      </c>
      <c r="Y1466" s="13"/>
      <c r="Z1466" s="17" t="n">
        <f>4</f>
        <v>4.0</v>
      </c>
      <c r="AA1466" s="18" t="n">
        <f>2</f>
        <v>2.0</v>
      </c>
      <c r="AB1466" s="11" t="s">
        <v>875</v>
      </c>
    </row>
    <row r="1467">
      <c r="A1467" s="11" t="s">
        <v>46</v>
      </c>
      <c r="B1467" s="11" t="s">
        <v>865</v>
      </c>
      <c r="C1467" s="11" t="s">
        <v>866</v>
      </c>
      <c r="D1467" s="11" t="s">
        <v>49</v>
      </c>
      <c r="E1467" s="11" t="s">
        <v>874</v>
      </c>
      <c r="F1467" s="12" t="n">
        <v>27875.0</v>
      </c>
      <c r="G1467" s="13" t="s">
        <v>210</v>
      </c>
      <c r="H1467" s="14" t="s">
        <v>93</v>
      </c>
      <c r="I1467" s="13" t="s">
        <v>210</v>
      </c>
      <c r="J1467" s="14" t="s">
        <v>90</v>
      </c>
      <c r="K1467" s="13"/>
      <c r="L1467" s="14"/>
      <c r="M1467" s="13" t="s">
        <v>210</v>
      </c>
      <c r="N1467" s="14" t="s">
        <v>93</v>
      </c>
      <c r="O1467" s="13"/>
      <c r="P1467" s="14"/>
      <c r="Q1467" s="13" t="s">
        <v>210</v>
      </c>
      <c r="R1467" s="14" t="s">
        <v>90</v>
      </c>
      <c r="S1467" s="15" t="n">
        <f>36</f>
        <v>36.0</v>
      </c>
      <c r="T1467" s="16" t="n">
        <f>3</f>
        <v>3.0</v>
      </c>
      <c r="U1467" s="16"/>
      <c r="V1467" s="16" t="n">
        <f>102000</f>
        <v>102000.0</v>
      </c>
      <c r="W1467" s="16"/>
      <c r="X1467" s="16" t="str">
        <f>"－"</f>
        <v>－</v>
      </c>
      <c r="Y1467" s="13"/>
      <c r="Z1467" s="17" t="n">
        <f>3</f>
        <v>3.0</v>
      </c>
      <c r="AA1467" s="18" t="n">
        <f>1</f>
        <v>1.0</v>
      </c>
      <c r="AB1467" s="11" t="s">
        <v>875</v>
      </c>
    </row>
    <row r="1468">
      <c r="A1468" s="11" t="s">
        <v>46</v>
      </c>
      <c r="B1468" s="11" t="s">
        <v>865</v>
      </c>
      <c r="C1468" s="11" t="s">
        <v>866</v>
      </c>
      <c r="D1468" s="11" t="s">
        <v>49</v>
      </c>
      <c r="E1468" s="11" t="s">
        <v>874</v>
      </c>
      <c r="F1468" s="12" t="n">
        <v>28000.0</v>
      </c>
      <c r="G1468" s="13" t="s">
        <v>210</v>
      </c>
      <c r="H1468" s="14" t="s">
        <v>260</v>
      </c>
      <c r="I1468" s="13" t="s">
        <v>204</v>
      </c>
      <c r="J1468" s="14" t="s">
        <v>261</v>
      </c>
      <c r="K1468" s="13" t="s">
        <v>210</v>
      </c>
      <c r="L1468" s="14" t="s">
        <v>102</v>
      </c>
      <c r="M1468" s="13" t="s">
        <v>204</v>
      </c>
      <c r="N1468" s="14" t="s">
        <v>74</v>
      </c>
      <c r="O1468" s="13" t="s">
        <v>210</v>
      </c>
      <c r="P1468" s="14" t="s">
        <v>102</v>
      </c>
      <c r="Q1468" s="13" t="s">
        <v>204</v>
      </c>
      <c r="R1468" s="14" t="s">
        <v>119</v>
      </c>
      <c r="S1468" s="15" t="n">
        <f>74</f>
        <v>74.0</v>
      </c>
      <c r="T1468" s="16" t="n">
        <f>145</f>
        <v>145.0</v>
      </c>
      <c r="U1468" s="16" t="n">
        <v>1.0</v>
      </c>
      <c r="V1468" s="16" t="n">
        <f>14061000</f>
        <v>1.4061E7</v>
      </c>
      <c r="W1468" s="16" t="n">
        <v>46000.0</v>
      </c>
      <c r="X1468" s="16" t="str">
        <f>"－"</f>
        <v>－</v>
      </c>
      <c r="Y1468" s="13"/>
      <c r="Z1468" s="17" t="n">
        <f>121</f>
        <v>121.0</v>
      </c>
      <c r="AA1468" s="18" t="n">
        <f>3</f>
        <v>3.0</v>
      </c>
      <c r="AB1468" s="11" t="s">
        <v>875</v>
      </c>
    </row>
    <row r="1469">
      <c r="A1469" s="11" t="s">
        <v>46</v>
      </c>
      <c r="B1469" s="11" t="s">
        <v>865</v>
      </c>
      <c r="C1469" s="11" t="s">
        <v>866</v>
      </c>
      <c r="D1469" s="11" t="s">
        <v>49</v>
      </c>
      <c r="E1469" s="11" t="s">
        <v>874</v>
      </c>
      <c r="F1469" s="12" t="n">
        <v>28125.0</v>
      </c>
      <c r="G1469" s="13" t="s">
        <v>211</v>
      </c>
      <c r="H1469" s="14" t="s">
        <v>344</v>
      </c>
      <c r="I1469" s="13" t="s">
        <v>204</v>
      </c>
      <c r="J1469" s="14" t="s">
        <v>286</v>
      </c>
      <c r="K1469" s="13"/>
      <c r="L1469" s="14"/>
      <c r="M1469" s="13" t="s">
        <v>210</v>
      </c>
      <c r="N1469" s="14" t="s">
        <v>95</v>
      </c>
      <c r="O1469" s="13"/>
      <c r="P1469" s="14"/>
      <c r="Q1469" s="13" t="s">
        <v>204</v>
      </c>
      <c r="R1469" s="14" t="s">
        <v>286</v>
      </c>
      <c r="S1469" s="15" t="n">
        <f>86</f>
        <v>86.0</v>
      </c>
      <c r="T1469" s="16" t="n">
        <f>16</f>
        <v>16.0</v>
      </c>
      <c r="U1469" s="16"/>
      <c r="V1469" s="16" t="n">
        <f>907000</f>
        <v>907000.0</v>
      </c>
      <c r="W1469" s="16"/>
      <c r="X1469" s="16" t="str">
        <f>"－"</f>
        <v>－</v>
      </c>
      <c r="Y1469" s="13"/>
      <c r="Z1469" s="17" t="n">
        <f>9</f>
        <v>9.0</v>
      </c>
      <c r="AA1469" s="18" t="n">
        <f>3</f>
        <v>3.0</v>
      </c>
      <c r="AB1469" s="11" t="s">
        <v>875</v>
      </c>
    </row>
    <row r="1470">
      <c r="A1470" s="11" t="s">
        <v>46</v>
      </c>
      <c r="B1470" s="11" t="s">
        <v>865</v>
      </c>
      <c r="C1470" s="11" t="s">
        <v>866</v>
      </c>
      <c r="D1470" s="11" t="s">
        <v>49</v>
      </c>
      <c r="E1470" s="11" t="s">
        <v>874</v>
      </c>
      <c r="F1470" s="12" t="n">
        <v>28250.0</v>
      </c>
      <c r="G1470" s="13" t="s">
        <v>202</v>
      </c>
      <c r="H1470" s="14" t="s">
        <v>873</v>
      </c>
      <c r="I1470" s="13" t="s">
        <v>204</v>
      </c>
      <c r="J1470" s="14" t="s">
        <v>127</v>
      </c>
      <c r="K1470" s="13" t="s">
        <v>210</v>
      </c>
      <c r="L1470" s="14" t="s">
        <v>117</v>
      </c>
      <c r="M1470" s="13" t="s">
        <v>204</v>
      </c>
      <c r="N1470" s="14" t="s">
        <v>79</v>
      </c>
      <c r="O1470" s="13" t="s">
        <v>211</v>
      </c>
      <c r="P1470" s="14" t="s">
        <v>189</v>
      </c>
      <c r="Q1470" s="13" t="s">
        <v>204</v>
      </c>
      <c r="R1470" s="14" t="s">
        <v>123</v>
      </c>
      <c r="S1470" s="15" t="n">
        <f>80.5</f>
        <v>80.5</v>
      </c>
      <c r="T1470" s="16" t="n">
        <f>51</f>
        <v>51.0</v>
      </c>
      <c r="U1470" s="16" t="n">
        <v>3.0</v>
      </c>
      <c r="V1470" s="16" t="n">
        <f>4476000</f>
        <v>4476000.0</v>
      </c>
      <c r="W1470" s="16" t="n">
        <v>200000.0</v>
      </c>
      <c r="X1470" s="16" t="str">
        <f>"－"</f>
        <v>－</v>
      </c>
      <c r="Y1470" s="13"/>
      <c r="Z1470" s="17" t="n">
        <f>35</f>
        <v>35.0</v>
      </c>
      <c r="AA1470" s="18" t="n">
        <f>4</f>
        <v>4.0</v>
      </c>
      <c r="AB1470" s="11" t="s">
        <v>875</v>
      </c>
    </row>
    <row r="1471">
      <c r="A1471" s="11" t="s">
        <v>46</v>
      </c>
      <c r="B1471" s="11" t="s">
        <v>865</v>
      </c>
      <c r="C1471" s="11" t="s">
        <v>866</v>
      </c>
      <c r="D1471" s="11" t="s">
        <v>49</v>
      </c>
      <c r="E1471" s="11" t="s">
        <v>874</v>
      </c>
      <c r="F1471" s="12" t="n">
        <v>28375.0</v>
      </c>
      <c r="G1471" s="13" t="s">
        <v>202</v>
      </c>
      <c r="H1471" s="14" t="s">
        <v>114</v>
      </c>
      <c r="I1471" s="13" t="s">
        <v>208</v>
      </c>
      <c r="J1471" s="14" t="s">
        <v>348</v>
      </c>
      <c r="K1471" s="13" t="s">
        <v>204</v>
      </c>
      <c r="L1471" s="14" t="s">
        <v>123</v>
      </c>
      <c r="M1471" s="13" t="s">
        <v>210</v>
      </c>
      <c r="N1471" s="14" t="s">
        <v>104</v>
      </c>
      <c r="O1471" s="13" t="s">
        <v>215</v>
      </c>
      <c r="P1471" s="14" t="s">
        <v>93</v>
      </c>
      <c r="Q1471" s="13" t="s">
        <v>210</v>
      </c>
      <c r="R1471" s="14" t="s">
        <v>104</v>
      </c>
      <c r="S1471" s="15" t="n">
        <f>77.75</f>
        <v>77.75</v>
      </c>
      <c r="T1471" s="16" t="n">
        <f>12</f>
        <v>12.0</v>
      </c>
      <c r="U1471" s="16" t="n">
        <v>2.0</v>
      </c>
      <c r="V1471" s="16" t="n">
        <f>929000</f>
        <v>929000.0</v>
      </c>
      <c r="W1471" s="16" t="n">
        <v>183000.0</v>
      </c>
      <c r="X1471" s="16" t="str">
        <f>"－"</f>
        <v>－</v>
      </c>
      <c r="Y1471" s="13"/>
      <c r="Z1471" s="17" t="n">
        <f>5</f>
        <v>5.0</v>
      </c>
      <c r="AA1471" s="18" t="n">
        <f>4</f>
        <v>4.0</v>
      </c>
      <c r="AB1471" s="11" t="s">
        <v>875</v>
      </c>
    </row>
    <row r="1472">
      <c r="A1472" s="11" t="s">
        <v>46</v>
      </c>
      <c r="B1472" s="11" t="s">
        <v>865</v>
      </c>
      <c r="C1472" s="11" t="s">
        <v>866</v>
      </c>
      <c r="D1472" s="11" t="s">
        <v>49</v>
      </c>
      <c r="E1472" s="11" t="s">
        <v>874</v>
      </c>
      <c r="F1472" s="12" t="n">
        <v>28500.0</v>
      </c>
      <c r="G1472" s="13" t="s">
        <v>207</v>
      </c>
      <c r="H1472" s="14" t="s">
        <v>276</v>
      </c>
      <c r="I1472" s="13" t="s">
        <v>204</v>
      </c>
      <c r="J1472" s="14" t="s">
        <v>137</v>
      </c>
      <c r="K1472" s="13" t="s">
        <v>210</v>
      </c>
      <c r="L1472" s="14" t="s">
        <v>412</v>
      </c>
      <c r="M1472" s="13" t="s">
        <v>215</v>
      </c>
      <c r="N1472" s="14" t="s">
        <v>84</v>
      </c>
      <c r="O1472" s="13" t="s">
        <v>215</v>
      </c>
      <c r="P1472" s="14" t="s">
        <v>89</v>
      </c>
      <c r="Q1472" s="13" t="s">
        <v>204</v>
      </c>
      <c r="R1472" s="14" t="s">
        <v>195</v>
      </c>
      <c r="S1472" s="15" t="n">
        <f>111.33</f>
        <v>111.33</v>
      </c>
      <c r="T1472" s="16" t="n">
        <f>352</f>
        <v>352.0</v>
      </c>
      <c r="U1472" s="16" t="n">
        <v>5.0</v>
      </c>
      <c r="V1472" s="16" t="n">
        <f>39581000</f>
        <v>3.9581E7</v>
      </c>
      <c r="W1472" s="16" t="n">
        <v>274000.0</v>
      </c>
      <c r="X1472" s="16" t="str">
        <f>"－"</f>
        <v>－</v>
      </c>
      <c r="Y1472" s="13"/>
      <c r="Z1472" s="17" t="n">
        <f>265</f>
        <v>265.0</v>
      </c>
      <c r="AA1472" s="18" t="n">
        <f>6</f>
        <v>6.0</v>
      </c>
      <c r="AB1472" s="11" t="s">
        <v>875</v>
      </c>
    </row>
    <row r="1473">
      <c r="A1473" s="11" t="s">
        <v>46</v>
      </c>
      <c r="B1473" s="11" t="s">
        <v>865</v>
      </c>
      <c r="C1473" s="11" t="s">
        <v>866</v>
      </c>
      <c r="D1473" s="11" t="s">
        <v>49</v>
      </c>
      <c r="E1473" s="11" t="s">
        <v>874</v>
      </c>
      <c r="F1473" s="12" t="n">
        <v>28625.0</v>
      </c>
      <c r="G1473" s="13" t="s">
        <v>58</v>
      </c>
      <c r="H1473" s="14" t="s">
        <v>154</v>
      </c>
      <c r="I1473" s="13" t="s">
        <v>58</v>
      </c>
      <c r="J1473" s="14" t="s">
        <v>154</v>
      </c>
      <c r="K1473" s="13" t="s">
        <v>60</v>
      </c>
      <c r="L1473" s="14" t="s">
        <v>356</v>
      </c>
      <c r="M1473" s="13" t="s">
        <v>215</v>
      </c>
      <c r="N1473" s="14" t="s">
        <v>95</v>
      </c>
      <c r="O1473" s="13" t="s">
        <v>58</v>
      </c>
      <c r="P1473" s="14" t="s">
        <v>876</v>
      </c>
      <c r="Q1473" s="13" t="s">
        <v>215</v>
      </c>
      <c r="R1473" s="14" t="s">
        <v>113</v>
      </c>
      <c r="S1473" s="15" t="n">
        <f>151.67</f>
        <v>151.67</v>
      </c>
      <c r="T1473" s="16" t="n">
        <f>207</f>
        <v>207.0</v>
      </c>
      <c r="U1473" s="16" t="n">
        <v>94.0</v>
      </c>
      <c r="V1473" s="16" t="n">
        <f>69637000</f>
        <v>6.9637E7</v>
      </c>
      <c r="W1473" s="16" t="n">
        <v>5.8139E7</v>
      </c>
      <c r="X1473" s="16" t="str">
        <f>"－"</f>
        <v>－</v>
      </c>
      <c r="Y1473" s="13"/>
      <c r="Z1473" s="17" t="n">
        <f>194</f>
        <v>194.0</v>
      </c>
      <c r="AA1473" s="18" t="n">
        <f>6</f>
        <v>6.0</v>
      </c>
      <c r="AB1473" s="11" t="s">
        <v>875</v>
      </c>
    </row>
    <row r="1474">
      <c r="A1474" s="11" t="s">
        <v>46</v>
      </c>
      <c r="B1474" s="11" t="s">
        <v>865</v>
      </c>
      <c r="C1474" s="11" t="s">
        <v>866</v>
      </c>
      <c r="D1474" s="11" t="s">
        <v>49</v>
      </c>
      <c r="E1474" s="11" t="s">
        <v>874</v>
      </c>
      <c r="F1474" s="12" t="n">
        <v>28750.0</v>
      </c>
      <c r="G1474" s="13" t="s">
        <v>202</v>
      </c>
      <c r="H1474" s="14" t="s">
        <v>119</v>
      </c>
      <c r="I1474" s="13" t="s">
        <v>204</v>
      </c>
      <c r="J1474" s="14" t="s">
        <v>143</v>
      </c>
      <c r="K1474" s="13" t="s">
        <v>204</v>
      </c>
      <c r="L1474" s="14" t="s">
        <v>189</v>
      </c>
      <c r="M1474" s="13" t="s">
        <v>215</v>
      </c>
      <c r="N1474" s="14" t="s">
        <v>189</v>
      </c>
      <c r="O1474" s="13" t="s">
        <v>204</v>
      </c>
      <c r="P1474" s="14" t="s">
        <v>189</v>
      </c>
      <c r="Q1474" s="13" t="s">
        <v>204</v>
      </c>
      <c r="R1474" s="14" t="s">
        <v>142</v>
      </c>
      <c r="S1474" s="15" t="n">
        <f>141.29</f>
        <v>141.29</v>
      </c>
      <c r="T1474" s="16" t="n">
        <f>228</f>
        <v>228.0</v>
      </c>
      <c r="U1474" s="16" t="n">
        <v>1.0</v>
      </c>
      <c r="V1474" s="16" t="n">
        <f>30286000</f>
        <v>3.0286E7</v>
      </c>
      <c r="W1474" s="16" t="n">
        <v>45000.0</v>
      </c>
      <c r="X1474" s="16" t="str">
        <f>"－"</f>
        <v>－</v>
      </c>
      <c r="Y1474" s="13"/>
      <c r="Z1474" s="17" t="n">
        <f>78</f>
        <v>78.0</v>
      </c>
      <c r="AA1474" s="18" t="n">
        <f>7</f>
        <v>7.0</v>
      </c>
      <c r="AB1474" s="11" t="s">
        <v>875</v>
      </c>
    </row>
    <row r="1475">
      <c r="A1475" s="11" t="s">
        <v>46</v>
      </c>
      <c r="B1475" s="11" t="s">
        <v>865</v>
      </c>
      <c r="C1475" s="11" t="s">
        <v>866</v>
      </c>
      <c r="D1475" s="11" t="s">
        <v>49</v>
      </c>
      <c r="E1475" s="11" t="s">
        <v>874</v>
      </c>
      <c r="F1475" s="12" t="n">
        <v>28875.0</v>
      </c>
      <c r="G1475" s="13" t="s">
        <v>207</v>
      </c>
      <c r="H1475" s="14" t="s">
        <v>116</v>
      </c>
      <c r="I1475" s="13" t="s">
        <v>210</v>
      </c>
      <c r="J1475" s="14" t="s">
        <v>128</v>
      </c>
      <c r="K1475" s="13" t="s">
        <v>208</v>
      </c>
      <c r="L1475" s="14" t="s">
        <v>261</v>
      </c>
      <c r="M1475" s="13" t="s">
        <v>215</v>
      </c>
      <c r="N1475" s="14" t="s">
        <v>97</v>
      </c>
      <c r="O1475" s="13" t="s">
        <v>215</v>
      </c>
      <c r="P1475" s="14" t="s">
        <v>98</v>
      </c>
      <c r="Q1475" s="13" t="s">
        <v>215</v>
      </c>
      <c r="R1475" s="14" t="s">
        <v>97</v>
      </c>
      <c r="S1475" s="15" t="n">
        <f>121.25</f>
        <v>121.25</v>
      </c>
      <c r="T1475" s="16" t="n">
        <f>15</f>
        <v>15.0</v>
      </c>
      <c r="U1475" s="16" t="n">
        <v>4.0</v>
      </c>
      <c r="V1475" s="16" t="n">
        <f>1488000</f>
        <v>1488000.0</v>
      </c>
      <c r="W1475" s="16" t="n">
        <v>428000.0</v>
      </c>
      <c r="X1475" s="16" t="str">
        <f>"－"</f>
        <v>－</v>
      </c>
      <c r="Y1475" s="13"/>
      <c r="Z1475" s="17" t="n">
        <f>11</f>
        <v>11.0</v>
      </c>
      <c r="AA1475" s="18" t="n">
        <f>4</f>
        <v>4.0</v>
      </c>
      <c r="AB1475" s="11" t="s">
        <v>875</v>
      </c>
    </row>
    <row r="1476">
      <c r="A1476" s="11" t="s">
        <v>46</v>
      </c>
      <c r="B1476" s="11" t="s">
        <v>865</v>
      </c>
      <c r="C1476" s="11" t="s">
        <v>866</v>
      </c>
      <c r="D1476" s="11" t="s">
        <v>49</v>
      </c>
      <c r="E1476" s="11" t="s">
        <v>874</v>
      </c>
      <c r="F1476" s="12" t="n">
        <v>29000.0</v>
      </c>
      <c r="G1476" s="13" t="s">
        <v>288</v>
      </c>
      <c r="H1476" s="14" t="s">
        <v>122</v>
      </c>
      <c r="I1476" s="13" t="s">
        <v>204</v>
      </c>
      <c r="J1476" s="14" t="s">
        <v>196</v>
      </c>
      <c r="K1476" s="13" t="s">
        <v>204</v>
      </c>
      <c r="L1476" s="14" t="s">
        <v>117</v>
      </c>
      <c r="M1476" s="13" t="s">
        <v>215</v>
      </c>
      <c r="N1476" s="14" t="s">
        <v>188</v>
      </c>
      <c r="O1476" s="13" t="s">
        <v>215</v>
      </c>
      <c r="P1476" s="14" t="s">
        <v>104</v>
      </c>
      <c r="Q1476" s="13" t="s">
        <v>204</v>
      </c>
      <c r="R1476" s="14" t="s">
        <v>143</v>
      </c>
      <c r="S1476" s="15" t="n">
        <f>148.43</f>
        <v>148.43</v>
      </c>
      <c r="T1476" s="16" t="n">
        <f>295</f>
        <v>295.0</v>
      </c>
      <c r="U1476" s="16" t="n">
        <v>2.0</v>
      </c>
      <c r="V1476" s="16" t="n">
        <f>45686000</f>
        <v>4.5686E7</v>
      </c>
      <c r="W1476" s="16" t="n">
        <v>174000.0</v>
      </c>
      <c r="X1476" s="16" t="str">
        <f>"－"</f>
        <v>－</v>
      </c>
      <c r="Y1476" s="13"/>
      <c r="Z1476" s="17" t="n">
        <f>83</f>
        <v>83.0</v>
      </c>
      <c r="AA1476" s="18" t="n">
        <f>7</f>
        <v>7.0</v>
      </c>
      <c r="AB1476" s="11" t="s">
        <v>875</v>
      </c>
    </row>
    <row r="1477">
      <c r="A1477" s="11" t="s">
        <v>46</v>
      </c>
      <c r="B1477" s="11" t="s">
        <v>865</v>
      </c>
      <c r="C1477" s="11" t="s">
        <v>866</v>
      </c>
      <c r="D1477" s="11" t="s">
        <v>49</v>
      </c>
      <c r="E1477" s="11" t="s">
        <v>874</v>
      </c>
      <c r="F1477" s="12" t="n">
        <v>29125.0</v>
      </c>
      <c r="G1477" s="13" t="s">
        <v>288</v>
      </c>
      <c r="H1477" s="14" t="s">
        <v>120</v>
      </c>
      <c r="I1477" s="13" t="s">
        <v>204</v>
      </c>
      <c r="J1477" s="14" t="s">
        <v>289</v>
      </c>
      <c r="K1477" s="13"/>
      <c r="L1477" s="14"/>
      <c r="M1477" s="13" t="s">
        <v>215</v>
      </c>
      <c r="N1477" s="14" t="s">
        <v>103</v>
      </c>
      <c r="O1477" s="13"/>
      <c r="P1477" s="14"/>
      <c r="Q1477" s="13" t="s">
        <v>204</v>
      </c>
      <c r="R1477" s="14" t="s">
        <v>289</v>
      </c>
      <c r="S1477" s="15" t="n">
        <f>195.8</f>
        <v>195.8</v>
      </c>
      <c r="T1477" s="16" t="n">
        <f>18</f>
        <v>18.0</v>
      </c>
      <c r="U1477" s="16"/>
      <c r="V1477" s="16" t="n">
        <f>3318000</f>
        <v>3318000.0</v>
      </c>
      <c r="W1477" s="16"/>
      <c r="X1477" s="16" t="str">
        <f>"－"</f>
        <v>－</v>
      </c>
      <c r="Y1477" s="13"/>
      <c r="Z1477" s="17" t="n">
        <f>8</f>
        <v>8.0</v>
      </c>
      <c r="AA1477" s="18" t="n">
        <f>5</f>
        <v>5.0</v>
      </c>
      <c r="AB1477" s="11" t="s">
        <v>875</v>
      </c>
    </row>
    <row r="1478">
      <c r="A1478" s="11" t="s">
        <v>46</v>
      </c>
      <c r="B1478" s="11" t="s">
        <v>865</v>
      </c>
      <c r="C1478" s="11" t="s">
        <v>866</v>
      </c>
      <c r="D1478" s="11" t="s">
        <v>49</v>
      </c>
      <c r="E1478" s="11" t="s">
        <v>874</v>
      </c>
      <c r="F1478" s="12" t="n">
        <v>29250.0</v>
      </c>
      <c r="G1478" s="13" t="s">
        <v>211</v>
      </c>
      <c r="H1478" s="14" t="s">
        <v>116</v>
      </c>
      <c r="I1478" s="13" t="s">
        <v>204</v>
      </c>
      <c r="J1478" s="14" t="s">
        <v>177</v>
      </c>
      <c r="K1478" s="13" t="s">
        <v>211</v>
      </c>
      <c r="L1478" s="14" t="s">
        <v>116</v>
      </c>
      <c r="M1478" s="13" t="s">
        <v>204</v>
      </c>
      <c r="N1478" s="14" t="s">
        <v>109</v>
      </c>
      <c r="O1478" s="13" t="s">
        <v>211</v>
      </c>
      <c r="P1478" s="14" t="s">
        <v>115</v>
      </c>
      <c r="Q1478" s="13" t="s">
        <v>204</v>
      </c>
      <c r="R1478" s="14" t="s">
        <v>177</v>
      </c>
      <c r="S1478" s="15" t="n">
        <f>203.75</f>
        <v>203.75</v>
      </c>
      <c r="T1478" s="16" t="n">
        <f>32</f>
        <v>32.0</v>
      </c>
      <c r="U1478" s="16" t="n">
        <v>3.0</v>
      </c>
      <c r="V1478" s="16" t="n">
        <f>5288000</f>
        <v>5288000.0</v>
      </c>
      <c r="W1478" s="16" t="n">
        <v>305000.0</v>
      </c>
      <c r="X1478" s="16" t="str">
        <f>"－"</f>
        <v>－</v>
      </c>
      <c r="Y1478" s="13"/>
      <c r="Z1478" s="17" t="n">
        <f>8</f>
        <v>8.0</v>
      </c>
      <c r="AA1478" s="18" t="n">
        <f>4</f>
        <v>4.0</v>
      </c>
      <c r="AB1478" s="11" t="s">
        <v>875</v>
      </c>
    </row>
    <row r="1479">
      <c r="A1479" s="11" t="s">
        <v>46</v>
      </c>
      <c r="B1479" s="11" t="s">
        <v>865</v>
      </c>
      <c r="C1479" s="11" t="s">
        <v>866</v>
      </c>
      <c r="D1479" s="11" t="s">
        <v>49</v>
      </c>
      <c r="E1479" s="11" t="s">
        <v>874</v>
      </c>
      <c r="F1479" s="12" t="n">
        <v>29375.0</v>
      </c>
      <c r="G1479" s="13" t="s">
        <v>215</v>
      </c>
      <c r="H1479" s="14" t="s">
        <v>195</v>
      </c>
      <c r="I1479" s="13" t="s">
        <v>204</v>
      </c>
      <c r="J1479" s="14" t="s">
        <v>197</v>
      </c>
      <c r="K1479" s="13" t="s">
        <v>204</v>
      </c>
      <c r="L1479" s="14" t="s">
        <v>247</v>
      </c>
      <c r="M1479" s="13" t="s">
        <v>204</v>
      </c>
      <c r="N1479" s="14" t="s">
        <v>228</v>
      </c>
      <c r="O1479" s="13" t="s">
        <v>204</v>
      </c>
      <c r="P1479" s="14" t="s">
        <v>247</v>
      </c>
      <c r="Q1479" s="13" t="s">
        <v>204</v>
      </c>
      <c r="R1479" s="14" t="s">
        <v>183</v>
      </c>
      <c r="S1479" s="15" t="n">
        <f>262.5</f>
        <v>262.5</v>
      </c>
      <c r="T1479" s="16" t="n">
        <f>16</f>
        <v>16.0</v>
      </c>
      <c r="U1479" s="16" t="n">
        <v>1.0</v>
      </c>
      <c r="V1479" s="16" t="n">
        <f>3298000</f>
        <v>3298000.0</v>
      </c>
      <c r="W1479" s="16" t="n">
        <v>98000.0</v>
      </c>
      <c r="X1479" s="16" t="str">
        <f>"－"</f>
        <v>－</v>
      </c>
      <c r="Y1479" s="13"/>
      <c r="Z1479" s="17" t="n">
        <f>10</f>
        <v>10.0</v>
      </c>
      <c r="AA1479" s="18" t="n">
        <f>2</f>
        <v>2.0</v>
      </c>
      <c r="AB1479" s="11" t="s">
        <v>875</v>
      </c>
    </row>
    <row r="1480">
      <c r="A1480" s="11" t="s">
        <v>46</v>
      </c>
      <c r="B1480" s="11" t="s">
        <v>865</v>
      </c>
      <c r="C1480" s="11" t="s">
        <v>866</v>
      </c>
      <c r="D1480" s="11" t="s">
        <v>49</v>
      </c>
      <c r="E1480" s="11" t="s">
        <v>874</v>
      </c>
      <c r="F1480" s="12" t="n">
        <v>29500.0</v>
      </c>
      <c r="G1480" s="13" t="s">
        <v>211</v>
      </c>
      <c r="H1480" s="14" t="s">
        <v>129</v>
      </c>
      <c r="I1480" s="13" t="s">
        <v>204</v>
      </c>
      <c r="J1480" s="14" t="s">
        <v>422</v>
      </c>
      <c r="K1480" s="13"/>
      <c r="L1480" s="14"/>
      <c r="M1480" s="13" t="s">
        <v>215</v>
      </c>
      <c r="N1480" s="14" t="s">
        <v>121</v>
      </c>
      <c r="O1480" s="13"/>
      <c r="P1480" s="14"/>
      <c r="Q1480" s="13" t="s">
        <v>204</v>
      </c>
      <c r="R1480" s="14" t="s">
        <v>422</v>
      </c>
      <c r="S1480" s="15" t="n">
        <f>272.5</f>
        <v>272.5</v>
      </c>
      <c r="T1480" s="16" t="n">
        <f>11</f>
        <v>11.0</v>
      </c>
      <c r="U1480" s="16"/>
      <c r="V1480" s="16" t="n">
        <f>2885000</f>
        <v>2885000.0</v>
      </c>
      <c r="W1480" s="16"/>
      <c r="X1480" s="16" t="str">
        <f>"－"</f>
        <v>－</v>
      </c>
      <c r="Y1480" s="13"/>
      <c r="Z1480" s="17" t="n">
        <f>4</f>
        <v>4.0</v>
      </c>
      <c r="AA1480" s="18" t="n">
        <f>4</f>
        <v>4.0</v>
      </c>
      <c r="AB1480" s="11" t="s">
        <v>875</v>
      </c>
    </row>
    <row r="1481">
      <c r="A1481" s="11" t="s">
        <v>46</v>
      </c>
      <c r="B1481" s="11" t="s">
        <v>865</v>
      </c>
      <c r="C1481" s="11" t="s">
        <v>866</v>
      </c>
      <c r="D1481" s="11" t="s">
        <v>49</v>
      </c>
      <c r="E1481" s="11" t="s">
        <v>874</v>
      </c>
      <c r="F1481" s="12" t="n">
        <v>29625.0</v>
      </c>
      <c r="G1481" s="13" t="s">
        <v>204</v>
      </c>
      <c r="H1481" s="14" t="s">
        <v>123</v>
      </c>
      <c r="I1481" s="13" t="s">
        <v>204</v>
      </c>
      <c r="J1481" s="14" t="s">
        <v>124</v>
      </c>
      <c r="K1481" s="13"/>
      <c r="L1481" s="14"/>
      <c r="M1481" s="13" t="s">
        <v>204</v>
      </c>
      <c r="N1481" s="14" t="s">
        <v>123</v>
      </c>
      <c r="O1481" s="13"/>
      <c r="P1481" s="14"/>
      <c r="Q1481" s="13" t="s">
        <v>204</v>
      </c>
      <c r="R1481" s="14" t="s">
        <v>124</v>
      </c>
      <c r="S1481" s="15" t="n">
        <f>160</f>
        <v>160.0</v>
      </c>
      <c r="T1481" s="16" t="n">
        <f>4</f>
        <v>4.0</v>
      </c>
      <c r="U1481" s="16"/>
      <c r="V1481" s="16" t="n">
        <f>625000</f>
        <v>625000.0</v>
      </c>
      <c r="W1481" s="16"/>
      <c r="X1481" s="16" t="str">
        <f>"－"</f>
        <v>－</v>
      </c>
      <c r="Y1481" s="13"/>
      <c r="Z1481" s="17" t="n">
        <f>2</f>
        <v>2.0</v>
      </c>
      <c r="AA1481" s="18" t="n">
        <f>1</f>
        <v>1.0</v>
      </c>
      <c r="AB1481" s="11" t="s">
        <v>875</v>
      </c>
    </row>
    <row r="1482">
      <c r="A1482" s="11" t="s">
        <v>46</v>
      </c>
      <c r="B1482" s="11" t="s">
        <v>865</v>
      </c>
      <c r="C1482" s="11" t="s">
        <v>866</v>
      </c>
      <c r="D1482" s="11" t="s">
        <v>49</v>
      </c>
      <c r="E1482" s="11" t="s">
        <v>874</v>
      </c>
      <c r="F1482" s="12" t="n">
        <v>29750.0</v>
      </c>
      <c r="G1482" s="13" t="s">
        <v>211</v>
      </c>
      <c r="H1482" s="14" t="s">
        <v>342</v>
      </c>
      <c r="I1482" s="13" t="s">
        <v>204</v>
      </c>
      <c r="J1482" s="14" t="s">
        <v>539</v>
      </c>
      <c r="K1482" s="13"/>
      <c r="L1482" s="14"/>
      <c r="M1482" s="13" t="s">
        <v>204</v>
      </c>
      <c r="N1482" s="14" t="s">
        <v>129</v>
      </c>
      <c r="O1482" s="13"/>
      <c r="P1482" s="14"/>
      <c r="Q1482" s="13" t="s">
        <v>204</v>
      </c>
      <c r="R1482" s="14" t="s">
        <v>539</v>
      </c>
      <c r="S1482" s="15" t="n">
        <f>366.67</f>
        <v>366.67</v>
      </c>
      <c r="T1482" s="16" t="n">
        <f>24</f>
        <v>24.0</v>
      </c>
      <c r="U1482" s="16"/>
      <c r="V1482" s="16" t="n">
        <f>6205000</f>
        <v>6205000.0</v>
      </c>
      <c r="W1482" s="16"/>
      <c r="X1482" s="16" t="str">
        <f>"－"</f>
        <v>－</v>
      </c>
      <c r="Y1482" s="13"/>
      <c r="Z1482" s="17" t="n">
        <f>19</f>
        <v>19.0</v>
      </c>
      <c r="AA1482" s="18" t="n">
        <f>3</f>
        <v>3.0</v>
      </c>
      <c r="AB1482" s="11" t="s">
        <v>875</v>
      </c>
    </row>
    <row r="1483">
      <c r="A1483" s="11" t="s">
        <v>46</v>
      </c>
      <c r="B1483" s="11" t="s">
        <v>865</v>
      </c>
      <c r="C1483" s="11" t="s">
        <v>866</v>
      </c>
      <c r="D1483" s="11" t="s">
        <v>49</v>
      </c>
      <c r="E1483" s="11" t="s">
        <v>874</v>
      </c>
      <c r="F1483" s="12" t="n">
        <v>29875.0</v>
      </c>
      <c r="G1483" s="13" t="s">
        <v>207</v>
      </c>
      <c r="H1483" s="14" t="s">
        <v>141</v>
      </c>
      <c r="I1483" s="13" t="s">
        <v>204</v>
      </c>
      <c r="J1483" s="14" t="s">
        <v>356</v>
      </c>
      <c r="K1483" s="13"/>
      <c r="L1483" s="14"/>
      <c r="M1483" s="13" t="s">
        <v>211</v>
      </c>
      <c r="N1483" s="14" t="s">
        <v>230</v>
      </c>
      <c r="O1483" s="13"/>
      <c r="P1483" s="14"/>
      <c r="Q1483" s="13" t="s">
        <v>204</v>
      </c>
      <c r="R1483" s="14" t="s">
        <v>356</v>
      </c>
      <c r="S1483" s="15" t="n">
        <f>345</f>
        <v>345.0</v>
      </c>
      <c r="T1483" s="16" t="n">
        <f>35</f>
        <v>35.0</v>
      </c>
      <c r="U1483" s="16"/>
      <c r="V1483" s="16" t="n">
        <f>10835000</f>
        <v>1.0835E7</v>
      </c>
      <c r="W1483" s="16"/>
      <c r="X1483" s="16" t="str">
        <f>"－"</f>
        <v>－</v>
      </c>
      <c r="Y1483" s="13"/>
      <c r="Z1483" s="17" t="n">
        <f>27</f>
        <v>27.0</v>
      </c>
      <c r="AA1483" s="18" t="n">
        <f>5</f>
        <v>5.0</v>
      </c>
      <c r="AB1483" s="11" t="s">
        <v>875</v>
      </c>
    </row>
    <row r="1484">
      <c r="A1484" s="11" t="s">
        <v>46</v>
      </c>
      <c r="B1484" s="11" t="s">
        <v>865</v>
      </c>
      <c r="C1484" s="11" t="s">
        <v>866</v>
      </c>
      <c r="D1484" s="11" t="s">
        <v>49</v>
      </c>
      <c r="E1484" s="11" t="s">
        <v>874</v>
      </c>
      <c r="F1484" s="12" t="n">
        <v>30000.0</v>
      </c>
      <c r="G1484" s="13" t="s">
        <v>210</v>
      </c>
      <c r="H1484" s="14" t="s">
        <v>146</v>
      </c>
      <c r="I1484" s="13" t="s">
        <v>204</v>
      </c>
      <c r="J1484" s="14" t="s">
        <v>176</v>
      </c>
      <c r="K1484" s="13" t="s">
        <v>215</v>
      </c>
      <c r="L1484" s="14" t="s">
        <v>136</v>
      </c>
      <c r="M1484" s="13" t="s">
        <v>204</v>
      </c>
      <c r="N1484" s="14" t="s">
        <v>274</v>
      </c>
      <c r="O1484" s="13" t="s">
        <v>215</v>
      </c>
      <c r="P1484" s="14" t="s">
        <v>136</v>
      </c>
      <c r="Q1484" s="13" t="s">
        <v>204</v>
      </c>
      <c r="R1484" s="14" t="s">
        <v>176</v>
      </c>
      <c r="S1484" s="15" t="n">
        <f>413.33</f>
        <v>413.33</v>
      </c>
      <c r="T1484" s="16" t="n">
        <f>21</f>
        <v>21.0</v>
      </c>
      <c r="U1484" s="16" t="n">
        <v>5.0</v>
      </c>
      <c r="V1484" s="16" t="n">
        <f>7865000</f>
        <v>7865000.0</v>
      </c>
      <c r="W1484" s="16" t="n">
        <v>1275000.0</v>
      </c>
      <c r="X1484" s="16" t="str">
        <f>"－"</f>
        <v>－</v>
      </c>
      <c r="Y1484" s="13"/>
      <c r="Z1484" s="17" t="n">
        <f>8</f>
        <v>8.0</v>
      </c>
      <c r="AA1484" s="18" t="n">
        <f>3</f>
        <v>3.0</v>
      </c>
      <c r="AB1484" s="11" t="s">
        <v>875</v>
      </c>
    </row>
    <row r="1485">
      <c r="A1485" s="11" t="s">
        <v>46</v>
      </c>
      <c r="B1485" s="11" t="s">
        <v>865</v>
      </c>
      <c r="C1485" s="11" t="s">
        <v>866</v>
      </c>
      <c r="D1485" s="11" t="s">
        <v>49</v>
      </c>
      <c r="E1485" s="11" t="s">
        <v>874</v>
      </c>
      <c r="F1485" s="12" t="n">
        <v>30125.0</v>
      </c>
      <c r="G1485" s="13" t="s">
        <v>208</v>
      </c>
      <c r="H1485" s="14" t="s">
        <v>149</v>
      </c>
      <c r="I1485" s="13" t="s">
        <v>208</v>
      </c>
      <c r="J1485" s="14" t="s">
        <v>149</v>
      </c>
      <c r="K1485" s="13"/>
      <c r="L1485" s="14"/>
      <c r="M1485" s="13" t="s">
        <v>211</v>
      </c>
      <c r="N1485" s="14" t="s">
        <v>342</v>
      </c>
      <c r="O1485" s="13"/>
      <c r="P1485" s="14"/>
      <c r="Q1485" s="13" t="s">
        <v>204</v>
      </c>
      <c r="R1485" s="14" t="s">
        <v>241</v>
      </c>
      <c r="S1485" s="15" t="n">
        <f>356.67</f>
        <v>356.67</v>
      </c>
      <c r="T1485" s="16" t="n">
        <f>4</f>
        <v>4.0</v>
      </c>
      <c r="U1485" s="16"/>
      <c r="V1485" s="16" t="n">
        <f>1370000</f>
        <v>1370000.0</v>
      </c>
      <c r="W1485" s="16"/>
      <c r="X1485" s="16" t="str">
        <f>"－"</f>
        <v>－</v>
      </c>
      <c r="Y1485" s="13"/>
      <c r="Z1485" s="17" t="n">
        <f>1</f>
        <v>1.0</v>
      </c>
      <c r="AA1485" s="18" t="n">
        <f>3</f>
        <v>3.0</v>
      </c>
      <c r="AB1485" s="11" t="s">
        <v>875</v>
      </c>
    </row>
    <row r="1486">
      <c r="A1486" s="11" t="s">
        <v>46</v>
      </c>
      <c r="B1486" s="11" t="s">
        <v>865</v>
      </c>
      <c r="C1486" s="11" t="s">
        <v>866</v>
      </c>
      <c r="D1486" s="11" t="s">
        <v>49</v>
      </c>
      <c r="E1486" s="11" t="s">
        <v>874</v>
      </c>
      <c r="F1486" s="12" t="n">
        <v>30250.0</v>
      </c>
      <c r="G1486" s="13" t="s">
        <v>204</v>
      </c>
      <c r="H1486" s="14" t="s">
        <v>697</v>
      </c>
      <c r="I1486" s="13" t="s">
        <v>204</v>
      </c>
      <c r="J1486" s="14" t="s">
        <v>301</v>
      </c>
      <c r="K1486" s="13" t="s">
        <v>215</v>
      </c>
      <c r="L1486" s="14" t="s">
        <v>257</v>
      </c>
      <c r="M1486" s="13" t="s">
        <v>204</v>
      </c>
      <c r="N1486" s="14" t="s">
        <v>697</v>
      </c>
      <c r="O1486" s="13" t="s">
        <v>215</v>
      </c>
      <c r="P1486" s="14" t="s">
        <v>257</v>
      </c>
      <c r="Q1486" s="13" t="s">
        <v>204</v>
      </c>
      <c r="R1486" s="14" t="s">
        <v>301</v>
      </c>
      <c r="S1486" s="15" t="n">
        <f>1090</f>
        <v>1090.0</v>
      </c>
      <c r="T1486" s="16" t="n">
        <f>7</f>
        <v>7.0</v>
      </c>
      <c r="U1486" s="16" t="n">
        <v>1.0</v>
      </c>
      <c r="V1486" s="16" t="n">
        <f>6305000</f>
        <v>6305000.0</v>
      </c>
      <c r="W1486" s="16" t="n">
        <v>375000.0</v>
      </c>
      <c r="X1486" s="16" t="str">
        <f>"－"</f>
        <v>－</v>
      </c>
      <c r="Y1486" s="13"/>
      <c r="Z1486" s="17" t="n">
        <f>5</f>
        <v>5.0</v>
      </c>
      <c r="AA1486" s="18" t="n">
        <f>1</f>
        <v>1.0</v>
      </c>
      <c r="AB1486" s="11" t="s">
        <v>875</v>
      </c>
    </row>
    <row r="1487">
      <c r="A1487" s="11" t="s">
        <v>46</v>
      </c>
      <c r="B1487" s="11" t="s">
        <v>865</v>
      </c>
      <c r="C1487" s="11" t="s">
        <v>866</v>
      </c>
      <c r="D1487" s="11" t="s">
        <v>49</v>
      </c>
      <c r="E1487" s="11" t="s">
        <v>874</v>
      </c>
      <c r="F1487" s="12" t="n">
        <v>30375.0</v>
      </c>
      <c r="G1487" s="13" t="s">
        <v>215</v>
      </c>
      <c r="H1487" s="14" t="s">
        <v>183</v>
      </c>
      <c r="I1487" s="13" t="s">
        <v>215</v>
      </c>
      <c r="J1487" s="14" t="s">
        <v>183</v>
      </c>
      <c r="K1487" s="13"/>
      <c r="L1487" s="14"/>
      <c r="M1487" s="13" t="s">
        <v>215</v>
      </c>
      <c r="N1487" s="14" t="s">
        <v>183</v>
      </c>
      <c r="O1487" s="13"/>
      <c r="P1487" s="14"/>
      <c r="Q1487" s="13" t="s">
        <v>215</v>
      </c>
      <c r="R1487" s="14" t="s">
        <v>183</v>
      </c>
      <c r="S1487" s="15" t="n">
        <f>425</f>
        <v>425.0</v>
      </c>
      <c r="T1487" s="16" t="n">
        <f>1</f>
        <v>1.0</v>
      </c>
      <c r="U1487" s="16"/>
      <c r="V1487" s="16" t="n">
        <f>425000</f>
        <v>425000.0</v>
      </c>
      <c r="W1487" s="16"/>
      <c r="X1487" s="16" t="str">
        <f>"－"</f>
        <v>－</v>
      </c>
      <c r="Y1487" s="13"/>
      <c r="Z1487" s="17" t="n">
        <f>1</f>
        <v>1.0</v>
      </c>
      <c r="AA1487" s="18" t="n">
        <f>1</f>
        <v>1.0</v>
      </c>
      <c r="AB1487" s="11" t="s">
        <v>875</v>
      </c>
    </row>
    <row r="1488">
      <c r="A1488" s="11" t="s">
        <v>46</v>
      </c>
      <c r="B1488" s="11" t="s">
        <v>865</v>
      </c>
      <c r="C1488" s="11" t="s">
        <v>866</v>
      </c>
      <c r="D1488" s="11" t="s">
        <v>49</v>
      </c>
      <c r="E1488" s="11" t="s">
        <v>877</v>
      </c>
      <c r="F1488" s="12" t="n">
        <v>29000.0</v>
      </c>
      <c r="G1488" s="13" t="s">
        <v>288</v>
      </c>
      <c r="H1488" s="14" t="s">
        <v>143</v>
      </c>
      <c r="I1488" s="13" t="s">
        <v>288</v>
      </c>
      <c r="J1488" s="14" t="s">
        <v>143</v>
      </c>
      <c r="K1488" s="13"/>
      <c r="L1488" s="14"/>
      <c r="M1488" s="13" t="s">
        <v>288</v>
      </c>
      <c r="N1488" s="14" t="s">
        <v>143</v>
      </c>
      <c r="O1488" s="13"/>
      <c r="P1488" s="14"/>
      <c r="Q1488" s="13" t="s">
        <v>288</v>
      </c>
      <c r="R1488" s="14" t="s">
        <v>143</v>
      </c>
      <c r="S1488" s="15" t="n">
        <f>335</f>
        <v>335.0</v>
      </c>
      <c r="T1488" s="16" t="n">
        <f>1</f>
        <v>1.0</v>
      </c>
      <c r="U1488" s="16"/>
      <c r="V1488" s="16" t="n">
        <f>335000</f>
        <v>335000.0</v>
      </c>
      <c r="W1488" s="16"/>
      <c r="X1488" s="16" t="str">
        <f>"－"</f>
        <v>－</v>
      </c>
      <c r="Y1488" s="13"/>
      <c r="Z1488" s="17" t="n">
        <f>1</f>
        <v>1.0</v>
      </c>
      <c r="AA1488" s="18" t="n">
        <f>1</f>
        <v>1.0</v>
      </c>
      <c r="AB1488" s="11" t="s">
        <v>878</v>
      </c>
    </row>
    <row r="1489">
      <c r="A1489" s="11" t="s">
        <v>46</v>
      </c>
      <c r="B1489" s="11" t="s">
        <v>865</v>
      </c>
      <c r="C1489" s="11" t="s">
        <v>866</v>
      </c>
      <c r="D1489" s="11" t="s">
        <v>49</v>
      </c>
      <c r="E1489" s="11" t="s">
        <v>877</v>
      </c>
      <c r="F1489" s="12" t="n">
        <v>29375.0</v>
      </c>
      <c r="G1489" s="13" t="s">
        <v>206</v>
      </c>
      <c r="H1489" s="14" t="s">
        <v>318</v>
      </c>
      <c r="I1489" s="13" t="s">
        <v>206</v>
      </c>
      <c r="J1489" s="14" t="s">
        <v>318</v>
      </c>
      <c r="K1489" s="13"/>
      <c r="L1489" s="14"/>
      <c r="M1489" s="13" t="s">
        <v>206</v>
      </c>
      <c r="N1489" s="14" t="s">
        <v>318</v>
      </c>
      <c r="O1489" s="13"/>
      <c r="P1489" s="14"/>
      <c r="Q1489" s="13" t="s">
        <v>206</v>
      </c>
      <c r="R1489" s="14" t="s">
        <v>318</v>
      </c>
      <c r="S1489" s="15" t="n">
        <f>645</f>
        <v>645.0</v>
      </c>
      <c r="T1489" s="16" t="n">
        <f>1</f>
        <v>1.0</v>
      </c>
      <c r="U1489" s="16"/>
      <c r="V1489" s="16" t="n">
        <f>645000</f>
        <v>645000.0</v>
      </c>
      <c r="W1489" s="16"/>
      <c r="X1489" s="16" t="str">
        <f>"－"</f>
        <v>－</v>
      </c>
      <c r="Y1489" s="13"/>
      <c r="Z1489" s="17" t="n">
        <f>1</f>
        <v>1.0</v>
      </c>
      <c r="AA1489" s="18" t="n">
        <f>1</f>
        <v>1.0</v>
      </c>
      <c r="AB1489" s="11" t="s">
        <v>878</v>
      </c>
    </row>
    <row r="1490">
      <c r="A1490" s="11" t="s">
        <v>46</v>
      </c>
      <c r="B1490" s="11" t="s">
        <v>865</v>
      </c>
      <c r="C1490" s="11" t="s">
        <v>866</v>
      </c>
      <c r="D1490" s="11" t="s">
        <v>49</v>
      </c>
      <c r="E1490" s="11" t="s">
        <v>877</v>
      </c>
      <c r="F1490" s="12" t="n">
        <v>30000.0</v>
      </c>
      <c r="G1490" s="13" t="s">
        <v>208</v>
      </c>
      <c r="H1490" s="14" t="s">
        <v>317</v>
      </c>
      <c r="I1490" s="13" t="s">
        <v>208</v>
      </c>
      <c r="J1490" s="14" t="s">
        <v>317</v>
      </c>
      <c r="K1490" s="13"/>
      <c r="L1490" s="14"/>
      <c r="M1490" s="13" t="s">
        <v>208</v>
      </c>
      <c r="N1490" s="14" t="s">
        <v>317</v>
      </c>
      <c r="O1490" s="13"/>
      <c r="P1490" s="14"/>
      <c r="Q1490" s="13" t="s">
        <v>208</v>
      </c>
      <c r="R1490" s="14" t="s">
        <v>317</v>
      </c>
      <c r="S1490" s="15" t="n">
        <f>720</f>
        <v>720.0</v>
      </c>
      <c r="T1490" s="16" t="n">
        <f>1</f>
        <v>1.0</v>
      </c>
      <c r="U1490" s="16"/>
      <c r="V1490" s="16" t="n">
        <f>720000</f>
        <v>720000.0</v>
      </c>
      <c r="W1490" s="16"/>
      <c r="X1490" s="16" t="str">
        <f>"－"</f>
        <v>－</v>
      </c>
      <c r="Y1490" s="13"/>
      <c r="Z1490" s="17" t="n">
        <f>1</f>
        <v>1.0</v>
      </c>
      <c r="AA1490" s="18" t="n">
        <f>1</f>
        <v>1.0</v>
      </c>
      <c r="AB1490" s="11" t="s">
        <v>878</v>
      </c>
    </row>
    <row r="1491">
      <c r="A1491" s="11" t="s">
        <v>46</v>
      </c>
      <c r="B1491" s="11" t="s">
        <v>865</v>
      </c>
      <c r="C1491" s="11" t="s">
        <v>866</v>
      </c>
      <c r="D1491" s="11" t="s">
        <v>49</v>
      </c>
      <c r="E1491" s="11" t="s">
        <v>879</v>
      </c>
      <c r="F1491" s="12" t="n">
        <v>28750.0</v>
      </c>
      <c r="G1491" s="13"/>
      <c r="H1491" s="14" t="s">
        <v>57</v>
      </c>
      <c r="I1491" s="13"/>
      <c r="J1491" s="14" t="s">
        <v>57</v>
      </c>
      <c r="K1491" s="13" t="s">
        <v>204</v>
      </c>
      <c r="L1491" s="14" t="s">
        <v>152</v>
      </c>
      <c r="M1491" s="13"/>
      <c r="N1491" s="14" t="s">
        <v>57</v>
      </c>
      <c r="O1491" s="13" t="s">
        <v>204</v>
      </c>
      <c r="P1491" s="14" t="s">
        <v>152</v>
      </c>
      <c r="Q1491" s="13"/>
      <c r="R1491" s="14" t="s">
        <v>57</v>
      </c>
      <c r="S1491" s="15" t="str">
        <f>"－"</f>
        <v>－</v>
      </c>
      <c r="T1491" s="16" t="n">
        <f>100</f>
        <v>100.0</v>
      </c>
      <c r="U1491" s="16" t="n">
        <v>100.0</v>
      </c>
      <c r="V1491" s="16" t="n">
        <f>53000000</f>
        <v>5.3E7</v>
      </c>
      <c r="W1491" s="16" t="n">
        <v>5.3E7</v>
      </c>
      <c r="X1491" s="16" t="str">
        <f>"－"</f>
        <v>－</v>
      </c>
      <c r="Y1491" s="13"/>
      <c r="Z1491" s="17" t="n">
        <f>100</f>
        <v>100.0</v>
      </c>
      <c r="AA1491" s="18" t="str">
        <f>"－"</f>
        <v>－</v>
      </c>
      <c r="AB1491" s="11" t="s">
        <v>880</v>
      </c>
    </row>
    <row r="1492">
      <c r="A1492" s="11" t="s">
        <v>46</v>
      </c>
      <c r="B1492" s="11" t="s">
        <v>865</v>
      </c>
      <c r="C1492" s="11" t="s">
        <v>866</v>
      </c>
      <c r="D1492" s="11" t="s">
        <v>49</v>
      </c>
      <c r="E1492" s="11" t="s">
        <v>879</v>
      </c>
      <c r="F1492" s="12" t="n">
        <v>29375.0</v>
      </c>
      <c r="G1492" s="13" t="s">
        <v>204</v>
      </c>
      <c r="H1492" s="14" t="s">
        <v>420</v>
      </c>
      <c r="I1492" s="13" t="s">
        <v>204</v>
      </c>
      <c r="J1492" s="14" t="s">
        <v>420</v>
      </c>
      <c r="K1492" s="13"/>
      <c r="L1492" s="14"/>
      <c r="M1492" s="13" t="s">
        <v>204</v>
      </c>
      <c r="N1492" s="14" t="s">
        <v>420</v>
      </c>
      <c r="O1492" s="13"/>
      <c r="P1492" s="14"/>
      <c r="Q1492" s="13" t="s">
        <v>204</v>
      </c>
      <c r="R1492" s="14" t="s">
        <v>420</v>
      </c>
      <c r="S1492" s="15" t="n">
        <f>725</f>
        <v>725.0</v>
      </c>
      <c r="T1492" s="16" t="n">
        <f>1</f>
        <v>1.0</v>
      </c>
      <c r="U1492" s="16"/>
      <c r="V1492" s="16" t="n">
        <f>725000</f>
        <v>725000.0</v>
      </c>
      <c r="W1492" s="16"/>
      <c r="X1492" s="16" t="str">
        <f>"－"</f>
        <v>－</v>
      </c>
      <c r="Y1492" s="13"/>
      <c r="Z1492" s="17" t="n">
        <f>1</f>
        <v>1.0</v>
      </c>
      <c r="AA1492" s="18" t="n">
        <f>1</f>
        <v>1.0</v>
      </c>
      <c r="AB1492" s="11" t="s">
        <v>880</v>
      </c>
    </row>
    <row r="1493">
      <c r="A1493" s="11" t="s">
        <v>46</v>
      </c>
      <c r="B1493" s="11" t="s">
        <v>865</v>
      </c>
      <c r="C1493" s="11" t="s">
        <v>866</v>
      </c>
      <c r="D1493" s="11" t="s">
        <v>49</v>
      </c>
      <c r="E1493" s="11" t="s">
        <v>879</v>
      </c>
      <c r="F1493" s="12" t="n">
        <v>30000.0</v>
      </c>
      <c r="G1493" s="13"/>
      <c r="H1493" s="14" t="s">
        <v>57</v>
      </c>
      <c r="I1493" s="13"/>
      <c r="J1493" s="14" t="s">
        <v>57</v>
      </c>
      <c r="K1493" s="13" t="s">
        <v>208</v>
      </c>
      <c r="L1493" s="14" t="s">
        <v>287</v>
      </c>
      <c r="M1493" s="13"/>
      <c r="N1493" s="14" t="s">
        <v>57</v>
      </c>
      <c r="O1493" s="13" t="s">
        <v>208</v>
      </c>
      <c r="P1493" s="14" t="s">
        <v>287</v>
      </c>
      <c r="Q1493" s="13"/>
      <c r="R1493" s="14" t="s">
        <v>57</v>
      </c>
      <c r="S1493" s="15" t="str">
        <f>"－"</f>
        <v>－</v>
      </c>
      <c r="T1493" s="16" t="n">
        <f>1</f>
        <v>1.0</v>
      </c>
      <c r="U1493" s="16" t="n">
        <v>1.0</v>
      </c>
      <c r="V1493" s="16" t="n">
        <f>880000</f>
        <v>880000.0</v>
      </c>
      <c r="W1493" s="16" t="n">
        <v>880000.0</v>
      </c>
      <c r="X1493" s="16" t="str">
        <f>"－"</f>
        <v>－</v>
      </c>
      <c r="Y1493" s="13"/>
      <c r="Z1493" s="17" t="n">
        <f>1</f>
        <v>1.0</v>
      </c>
      <c r="AA1493" s="18" t="str">
        <f>"－"</f>
        <v>－</v>
      </c>
      <c r="AB1493" s="11" t="s">
        <v>880</v>
      </c>
    </row>
    <row r="1494">
      <c r="A1494" s="11" t="s">
        <v>46</v>
      </c>
      <c r="B1494" s="11" t="s">
        <v>865</v>
      </c>
      <c r="C1494" s="11" t="s">
        <v>866</v>
      </c>
      <c r="D1494" s="11" t="s">
        <v>49</v>
      </c>
      <c r="E1494" s="11" t="s">
        <v>881</v>
      </c>
      <c r="F1494" s="12" t="n">
        <v>29375.0</v>
      </c>
      <c r="G1494" s="13" t="s">
        <v>204</v>
      </c>
      <c r="H1494" s="14" t="s">
        <v>434</v>
      </c>
      <c r="I1494" s="13" t="s">
        <v>204</v>
      </c>
      <c r="J1494" s="14" t="s">
        <v>434</v>
      </c>
      <c r="K1494" s="13"/>
      <c r="L1494" s="14"/>
      <c r="M1494" s="13" t="s">
        <v>204</v>
      </c>
      <c r="N1494" s="14" t="s">
        <v>434</v>
      </c>
      <c r="O1494" s="13"/>
      <c r="P1494" s="14"/>
      <c r="Q1494" s="13" t="s">
        <v>204</v>
      </c>
      <c r="R1494" s="14" t="s">
        <v>434</v>
      </c>
      <c r="S1494" s="15" t="n">
        <f>900</f>
        <v>900.0</v>
      </c>
      <c r="T1494" s="16" t="n">
        <f>1</f>
        <v>1.0</v>
      </c>
      <c r="U1494" s="16"/>
      <c r="V1494" s="16" t="n">
        <f>900000</f>
        <v>900000.0</v>
      </c>
      <c r="W1494" s="16"/>
      <c r="X1494" s="16" t="str">
        <f>"－"</f>
        <v>－</v>
      </c>
      <c r="Y1494" s="13"/>
      <c r="Z1494" s="17" t="n">
        <f>1</f>
        <v>1.0</v>
      </c>
      <c r="AA1494" s="18" t="n">
        <f>1</f>
        <v>1.0</v>
      </c>
      <c r="AB1494" s="11" t="s">
        <v>882</v>
      </c>
    </row>
    <row r="1495">
      <c r="A1495" s="11" t="s">
        <v>46</v>
      </c>
      <c r="B1495" s="11" t="s">
        <v>865</v>
      </c>
      <c r="C1495" s="11" t="s">
        <v>866</v>
      </c>
      <c r="D1495" s="11" t="s">
        <v>651</v>
      </c>
      <c r="E1495" s="11" t="s">
        <v>867</v>
      </c>
      <c r="F1495" s="12" t="n">
        <v>27625.0</v>
      </c>
      <c r="G1495" s="13" t="s">
        <v>50</v>
      </c>
      <c r="H1495" s="14" t="s">
        <v>146</v>
      </c>
      <c r="I1495" s="13" t="s">
        <v>55</v>
      </c>
      <c r="J1495" s="14" t="s">
        <v>291</v>
      </c>
      <c r="K1495" s="13"/>
      <c r="L1495" s="14"/>
      <c r="M1495" s="13" t="s">
        <v>50</v>
      </c>
      <c r="N1495" s="14" t="s">
        <v>146</v>
      </c>
      <c r="O1495" s="13"/>
      <c r="P1495" s="14"/>
      <c r="Q1495" s="13" t="s">
        <v>55</v>
      </c>
      <c r="R1495" s="14" t="s">
        <v>291</v>
      </c>
      <c r="S1495" s="15" t="n">
        <f>537.5</f>
        <v>537.5</v>
      </c>
      <c r="T1495" s="16" t="n">
        <f>2</f>
        <v>2.0</v>
      </c>
      <c r="U1495" s="16"/>
      <c r="V1495" s="16" t="n">
        <f>1075000</f>
        <v>1075000.0</v>
      </c>
      <c r="W1495" s="16"/>
      <c r="X1495" s="16" t="n">
        <f>5</f>
        <v>5.0</v>
      </c>
      <c r="Y1495" s="13" t="s">
        <v>53</v>
      </c>
      <c r="Z1495" s="17" t="str">
        <f>"－"</f>
        <v>－</v>
      </c>
      <c r="AA1495" s="18" t="n">
        <f>2</f>
        <v>2.0</v>
      </c>
      <c r="AB1495" s="11" t="s">
        <v>868</v>
      </c>
    </row>
    <row r="1496">
      <c r="A1496" s="11" t="s">
        <v>46</v>
      </c>
      <c r="B1496" s="11" t="s">
        <v>865</v>
      </c>
      <c r="C1496" s="11" t="s">
        <v>866</v>
      </c>
      <c r="D1496" s="11" t="s">
        <v>651</v>
      </c>
      <c r="E1496" s="11" t="s">
        <v>867</v>
      </c>
      <c r="F1496" s="12" t="n">
        <v>27750.0</v>
      </c>
      <c r="G1496" s="13" t="s">
        <v>50</v>
      </c>
      <c r="H1496" s="14" t="s">
        <v>140</v>
      </c>
      <c r="I1496" s="13" t="s">
        <v>50</v>
      </c>
      <c r="J1496" s="14" t="s">
        <v>140</v>
      </c>
      <c r="K1496" s="13" t="s">
        <v>50</v>
      </c>
      <c r="L1496" s="14" t="s">
        <v>426</v>
      </c>
      <c r="M1496" s="13" t="s">
        <v>50</v>
      </c>
      <c r="N1496" s="14" t="s">
        <v>140</v>
      </c>
      <c r="O1496" s="13" t="s">
        <v>50</v>
      </c>
      <c r="P1496" s="14" t="s">
        <v>415</v>
      </c>
      <c r="Q1496" s="13" t="s">
        <v>50</v>
      </c>
      <c r="R1496" s="14" t="s">
        <v>140</v>
      </c>
      <c r="S1496" s="15" t="n">
        <f>300</f>
        <v>300.0</v>
      </c>
      <c r="T1496" s="16" t="n">
        <f>4</f>
        <v>4.0</v>
      </c>
      <c r="U1496" s="16" t="n">
        <v>3.0</v>
      </c>
      <c r="V1496" s="16" t="n">
        <f>1515000</f>
        <v>1515000.0</v>
      </c>
      <c r="W1496" s="16" t="n">
        <v>1215000.0</v>
      </c>
      <c r="X1496" s="16" t="n">
        <f>264</f>
        <v>264.0</v>
      </c>
      <c r="Y1496" s="13" t="s">
        <v>53</v>
      </c>
      <c r="Z1496" s="17" t="str">
        <f>"－"</f>
        <v>－</v>
      </c>
      <c r="AA1496" s="18" t="n">
        <f>1</f>
        <v>1.0</v>
      </c>
      <c r="AB1496" s="11" t="s">
        <v>868</v>
      </c>
    </row>
    <row r="1497">
      <c r="A1497" s="11" t="s">
        <v>46</v>
      </c>
      <c r="B1497" s="11" t="s">
        <v>865</v>
      </c>
      <c r="C1497" s="11" t="s">
        <v>866</v>
      </c>
      <c r="D1497" s="11" t="s">
        <v>651</v>
      </c>
      <c r="E1497" s="11" t="s">
        <v>867</v>
      </c>
      <c r="F1497" s="12" t="n">
        <v>27875.0</v>
      </c>
      <c r="G1497" s="13" t="s">
        <v>50</v>
      </c>
      <c r="H1497" s="14" t="s">
        <v>241</v>
      </c>
      <c r="I1497" s="13" t="s">
        <v>55</v>
      </c>
      <c r="J1497" s="14" t="s">
        <v>149</v>
      </c>
      <c r="K1497" s="13"/>
      <c r="L1497" s="14"/>
      <c r="M1497" s="13" t="s">
        <v>50</v>
      </c>
      <c r="N1497" s="14" t="s">
        <v>139</v>
      </c>
      <c r="O1497" s="13"/>
      <c r="P1497" s="14"/>
      <c r="Q1497" s="13" t="s">
        <v>55</v>
      </c>
      <c r="R1497" s="14" t="s">
        <v>149</v>
      </c>
      <c r="S1497" s="15" t="n">
        <f>400</f>
        <v>400.0</v>
      </c>
      <c r="T1497" s="16" t="n">
        <f>5</f>
        <v>5.0</v>
      </c>
      <c r="U1497" s="16"/>
      <c r="V1497" s="16" t="n">
        <f>1770000</f>
        <v>1770000.0</v>
      </c>
      <c r="W1497" s="16"/>
      <c r="X1497" s="16" t="n">
        <f>4</f>
        <v>4.0</v>
      </c>
      <c r="Y1497" s="13" t="s">
        <v>53</v>
      </c>
      <c r="Z1497" s="17" t="str">
        <f>"－"</f>
        <v>－</v>
      </c>
      <c r="AA1497" s="18" t="n">
        <f>2</f>
        <v>2.0</v>
      </c>
      <c r="AB1497" s="11" t="s">
        <v>868</v>
      </c>
    </row>
    <row r="1498">
      <c r="A1498" s="11" t="s">
        <v>46</v>
      </c>
      <c r="B1498" s="11" t="s">
        <v>865</v>
      </c>
      <c r="C1498" s="11" t="s">
        <v>866</v>
      </c>
      <c r="D1498" s="11" t="s">
        <v>651</v>
      </c>
      <c r="E1498" s="11" t="s">
        <v>867</v>
      </c>
      <c r="F1498" s="12" t="n">
        <v>28000.0</v>
      </c>
      <c r="G1498" s="13" t="s">
        <v>50</v>
      </c>
      <c r="H1498" s="14" t="s">
        <v>137</v>
      </c>
      <c r="I1498" s="13" t="s">
        <v>63</v>
      </c>
      <c r="J1498" s="14" t="s">
        <v>369</v>
      </c>
      <c r="K1498" s="13"/>
      <c r="L1498" s="14"/>
      <c r="M1498" s="13" t="s">
        <v>50</v>
      </c>
      <c r="N1498" s="14" t="s">
        <v>293</v>
      </c>
      <c r="O1498" s="13"/>
      <c r="P1498" s="14"/>
      <c r="Q1498" s="13" t="s">
        <v>63</v>
      </c>
      <c r="R1498" s="14" t="s">
        <v>369</v>
      </c>
      <c r="S1498" s="15" t="n">
        <f>376.67</f>
        <v>376.67</v>
      </c>
      <c r="T1498" s="16" t="n">
        <f>26</f>
        <v>26.0</v>
      </c>
      <c r="U1498" s="16"/>
      <c r="V1498" s="16" t="n">
        <f>8435000</f>
        <v>8435000.0</v>
      </c>
      <c r="W1498" s="16"/>
      <c r="X1498" s="16" t="n">
        <f>8</f>
        <v>8.0</v>
      </c>
      <c r="Y1498" s="13" t="s">
        <v>53</v>
      </c>
      <c r="Z1498" s="17" t="str">
        <f>"－"</f>
        <v>－</v>
      </c>
      <c r="AA1498" s="18" t="n">
        <f>3</f>
        <v>3.0</v>
      </c>
      <c r="AB1498" s="11" t="s">
        <v>868</v>
      </c>
    </row>
    <row r="1499">
      <c r="A1499" s="11" t="s">
        <v>46</v>
      </c>
      <c r="B1499" s="11" t="s">
        <v>865</v>
      </c>
      <c r="C1499" s="11" t="s">
        <v>866</v>
      </c>
      <c r="D1499" s="11" t="s">
        <v>651</v>
      </c>
      <c r="E1499" s="11" t="s">
        <v>867</v>
      </c>
      <c r="F1499" s="12" t="n">
        <v>28125.0</v>
      </c>
      <c r="G1499" s="13" t="s">
        <v>50</v>
      </c>
      <c r="H1499" s="14" t="s">
        <v>136</v>
      </c>
      <c r="I1499" s="13" t="s">
        <v>60</v>
      </c>
      <c r="J1499" s="14" t="s">
        <v>315</v>
      </c>
      <c r="K1499" s="13" t="s">
        <v>55</v>
      </c>
      <c r="L1499" s="14" t="s">
        <v>237</v>
      </c>
      <c r="M1499" s="13" t="s">
        <v>50</v>
      </c>
      <c r="N1499" s="14" t="s">
        <v>232</v>
      </c>
      <c r="O1499" s="13" t="s">
        <v>55</v>
      </c>
      <c r="P1499" s="14" t="s">
        <v>265</v>
      </c>
      <c r="Q1499" s="13" t="s">
        <v>60</v>
      </c>
      <c r="R1499" s="14" t="s">
        <v>315</v>
      </c>
      <c r="S1499" s="15" t="n">
        <f>388.75</f>
        <v>388.75</v>
      </c>
      <c r="T1499" s="16" t="n">
        <f>13</f>
        <v>13.0</v>
      </c>
      <c r="U1499" s="16" t="n">
        <v>3.0</v>
      </c>
      <c r="V1499" s="16" t="n">
        <f>3970000</f>
        <v>3970000.0</v>
      </c>
      <c r="W1499" s="16" t="n">
        <v>800000.0</v>
      </c>
      <c r="X1499" s="16" t="n">
        <f>11</f>
        <v>11.0</v>
      </c>
      <c r="Y1499" s="13" t="s">
        <v>53</v>
      </c>
      <c r="Z1499" s="17" t="str">
        <f>"－"</f>
        <v>－</v>
      </c>
      <c r="AA1499" s="18" t="n">
        <f>4</f>
        <v>4.0</v>
      </c>
      <c r="AB1499" s="11" t="s">
        <v>868</v>
      </c>
    </row>
    <row r="1500">
      <c r="A1500" s="11" t="s">
        <v>46</v>
      </c>
      <c r="B1500" s="11" t="s">
        <v>865</v>
      </c>
      <c r="C1500" s="11" t="s">
        <v>866</v>
      </c>
      <c r="D1500" s="11" t="s">
        <v>651</v>
      </c>
      <c r="E1500" s="11" t="s">
        <v>867</v>
      </c>
      <c r="F1500" s="12" t="n">
        <v>28250.0</v>
      </c>
      <c r="G1500" s="13" t="s">
        <v>50</v>
      </c>
      <c r="H1500" s="14" t="s">
        <v>122</v>
      </c>
      <c r="I1500" s="13" t="s">
        <v>63</v>
      </c>
      <c r="J1500" s="14" t="s">
        <v>183</v>
      </c>
      <c r="K1500" s="13"/>
      <c r="L1500" s="14"/>
      <c r="M1500" s="13" t="s">
        <v>50</v>
      </c>
      <c r="N1500" s="14" t="s">
        <v>122</v>
      </c>
      <c r="O1500" s="13"/>
      <c r="P1500" s="14"/>
      <c r="Q1500" s="13" t="s">
        <v>60</v>
      </c>
      <c r="R1500" s="14" t="s">
        <v>231</v>
      </c>
      <c r="S1500" s="15" t="n">
        <f>258.75</f>
        <v>258.75</v>
      </c>
      <c r="T1500" s="16" t="n">
        <f>50</f>
        <v>50.0</v>
      </c>
      <c r="U1500" s="16"/>
      <c r="V1500" s="16" t="n">
        <f>9455000</f>
        <v>9455000.0</v>
      </c>
      <c r="W1500" s="16"/>
      <c r="X1500" s="16" t="n">
        <f>27</f>
        <v>27.0</v>
      </c>
      <c r="Y1500" s="13" t="s">
        <v>53</v>
      </c>
      <c r="Z1500" s="17" t="str">
        <f>"－"</f>
        <v>－</v>
      </c>
      <c r="AA1500" s="18" t="n">
        <f>4</f>
        <v>4.0</v>
      </c>
      <c r="AB1500" s="11" t="s">
        <v>868</v>
      </c>
    </row>
    <row r="1501">
      <c r="A1501" s="11" t="s">
        <v>46</v>
      </c>
      <c r="B1501" s="11" t="s">
        <v>865</v>
      </c>
      <c r="C1501" s="11" t="s">
        <v>866</v>
      </c>
      <c r="D1501" s="11" t="s">
        <v>651</v>
      </c>
      <c r="E1501" s="11" t="s">
        <v>867</v>
      </c>
      <c r="F1501" s="12" t="n">
        <v>28375.0</v>
      </c>
      <c r="G1501" s="13" t="s">
        <v>50</v>
      </c>
      <c r="H1501" s="14" t="s">
        <v>119</v>
      </c>
      <c r="I1501" s="13" t="s">
        <v>55</v>
      </c>
      <c r="J1501" s="14" t="s">
        <v>232</v>
      </c>
      <c r="K1501" s="13" t="s">
        <v>50</v>
      </c>
      <c r="L1501" s="14" t="s">
        <v>128</v>
      </c>
      <c r="M1501" s="13" t="s">
        <v>60</v>
      </c>
      <c r="N1501" s="14" t="s">
        <v>338</v>
      </c>
      <c r="O1501" s="13" t="s">
        <v>60</v>
      </c>
      <c r="P1501" s="14" t="s">
        <v>449</v>
      </c>
      <c r="Q1501" s="13" t="s">
        <v>60</v>
      </c>
      <c r="R1501" s="14" t="s">
        <v>338</v>
      </c>
      <c r="S1501" s="15" t="n">
        <f>133.67</f>
        <v>133.67</v>
      </c>
      <c r="T1501" s="16" t="n">
        <f>57</f>
        <v>57.0</v>
      </c>
      <c r="U1501" s="16" t="n">
        <v>8.0</v>
      </c>
      <c r="V1501" s="16" t="n">
        <f>7836000</f>
        <v>7836000.0</v>
      </c>
      <c r="W1501" s="16" t="n">
        <v>861000.0</v>
      </c>
      <c r="X1501" s="16" t="n">
        <f>18</f>
        <v>18.0</v>
      </c>
      <c r="Y1501" s="13" t="s">
        <v>53</v>
      </c>
      <c r="Z1501" s="17" t="str">
        <f>"－"</f>
        <v>－</v>
      </c>
      <c r="AA1501" s="18" t="n">
        <f>3</f>
        <v>3.0</v>
      </c>
      <c r="AB1501" s="11" t="s">
        <v>868</v>
      </c>
    </row>
    <row r="1502">
      <c r="A1502" s="11" t="s">
        <v>46</v>
      </c>
      <c r="B1502" s="11" t="s">
        <v>865</v>
      </c>
      <c r="C1502" s="11" t="s">
        <v>866</v>
      </c>
      <c r="D1502" s="11" t="s">
        <v>651</v>
      </c>
      <c r="E1502" s="11" t="s">
        <v>867</v>
      </c>
      <c r="F1502" s="12" t="n">
        <v>28500.0</v>
      </c>
      <c r="G1502" s="13" t="s">
        <v>50</v>
      </c>
      <c r="H1502" s="14" t="s">
        <v>106</v>
      </c>
      <c r="I1502" s="13" t="s">
        <v>60</v>
      </c>
      <c r="J1502" s="14" t="s">
        <v>136</v>
      </c>
      <c r="K1502" s="13" t="s">
        <v>60</v>
      </c>
      <c r="L1502" s="14" t="s">
        <v>230</v>
      </c>
      <c r="M1502" s="13" t="s">
        <v>60</v>
      </c>
      <c r="N1502" s="14" t="s">
        <v>79</v>
      </c>
      <c r="O1502" s="13" t="s">
        <v>60</v>
      </c>
      <c r="P1502" s="14" t="s">
        <v>113</v>
      </c>
      <c r="Q1502" s="13" t="s">
        <v>60</v>
      </c>
      <c r="R1502" s="14" t="s">
        <v>79</v>
      </c>
      <c r="S1502" s="15" t="n">
        <f>115.75</f>
        <v>115.75</v>
      </c>
      <c r="T1502" s="16" t="n">
        <f>472</f>
        <v>472.0</v>
      </c>
      <c r="U1502" s="16" t="n">
        <v>44.0</v>
      </c>
      <c r="V1502" s="16" t="n">
        <f>48268000</f>
        <v>4.8268E7</v>
      </c>
      <c r="W1502" s="16" t="n">
        <v>5665000.0</v>
      </c>
      <c r="X1502" s="16" t="n">
        <f>56</f>
        <v>56.0</v>
      </c>
      <c r="Y1502" s="13" t="s">
        <v>53</v>
      </c>
      <c r="Z1502" s="17" t="str">
        <f>"－"</f>
        <v>－</v>
      </c>
      <c r="AA1502" s="18" t="n">
        <f>4</f>
        <v>4.0</v>
      </c>
      <c r="AB1502" s="11" t="s">
        <v>868</v>
      </c>
    </row>
    <row r="1503">
      <c r="A1503" s="11" t="s">
        <v>46</v>
      </c>
      <c r="B1503" s="11" t="s">
        <v>865</v>
      </c>
      <c r="C1503" s="11" t="s">
        <v>866</v>
      </c>
      <c r="D1503" s="11" t="s">
        <v>651</v>
      </c>
      <c r="E1503" s="11" t="s">
        <v>867</v>
      </c>
      <c r="F1503" s="12" t="n">
        <v>28625.0</v>
      </c>
      <c r="G1503" s="13" t="s">
        <v>50</v>
      </c>
      <c r="H1503" s="14" t="s">
        <v>113</v>
      </c>
      <c r="I1503" s="13" t="s">
        <v>63</v>
      </c>
      <c r="J1503" s="14" t="s">
        <v>129</v>
      </c>
      <c r="K1503" s="13" t="s">
        <v>60</v>
      </c>
      <c r="L1503" s="14" t="s">
        <v>121</v>
      </c>
      <c r="M1503" s="13" t="s">
        <v>60</v>
      </c>
      <c r="N1503" s="14" t="s">
        <v>72</v>
      </c>
      <c r="O1503" s="13" t="s">
        <v>60</v>
      </c>
      <c r="P1503" s="14" t="s">
        <v>71</v>
      </c>
      <c r="Q1503" s="13" t="s">
        <v>60</v>
      </c>
      <c r="R1503" s="14" t="s">
        <v>77</v>
      </c>
      <c r="S1503" s="15" t="n">
        <f>76.5</f>
        <v>76.5</v>
      </c>
      <c r="T1503" s="16" t="n">
        <f>241</f>
        <v>241.0</v>
      </c>
      <c r="U1503" s="16" t="n">
        <v>24.0</v>
      </c>
      <c r="V1503" s="16" t="n">
        <f>14874000</f>
        <v>1.4874E7</v>
      </c>
      <c r="W1503" s="16" t="n">
        <v>1297000.0</v>
      </c>
      <c r="X1503" s="16" t="n">
        <f>99</f>
        <v>99.0</v>
      </c>
      <c r="Y1503" s="13" t="s">
        <v>53</v>
      </c>
      <c r="Z1503" s="17" t="str">
        <f>"－"</f>
        <v>－</v>
      </c>
      <c r="AA1503" s="18" t="n">
        <f>4</f>
        <v>4.0</v>
      </c>
      <c r="AB1503" s="11" t="s">
        <v>868</v>
      </c>
    </row>
    <row r="1504">
      <c r="A1504" s="11" t="s">
        <v>46</v>
      </c>
      <c r="B1504" s="11" t="s">
        <v>865</v>
      </c>
      <c r="C1504" s="11" t="s">
        <v>866</v>
      </c>
      <c r="D1504" s="11" t="s">
        <v>651</v>
      </c>
      <c r="E1504" s="11" t="s">
        <v>867</v>
      </c>
      <c r="F1504" s="12" t="n">
        <v>28750.0</v>
      </c>
      <c r="G1504" s="13" t="s">
        <v>50</v>
      </c>
      <c r="H1504" s="14" t="s">
        <v>95</v>
      </c>
      <c r="I1504" s="13" t="s">
        <v>63</v>
      </c>
      <c r="J1504" s="14" t="s">
        <v>119</v>
      </c>
      <c r="K1504" s="13" t="s">
        <v>63</v>
      </c>
      <c r="L1504" s="14" t="s">
        <v>118</v>
      </c>
      <c r="M1504" s="13" t="s">
        <v>60</v>
      </c>
      <c r="N1504" s="14" t="s">
        <v>62</v>
      </c>
      <c r="O1504" s="13" t="s">
        <v>60</v>
      </c>
      <c r="P1504" s="14" t="s">
        <v>62</v>
      </c>
      <c r="Q1504" s="13" t="s">
        <v>60</v>
      </c>
      <c r="R1504" s="14" t="s">
        <v>62</v>
      </c>
      <c r="S1504" s="15" t="n">
        <f>45.5</f>
        <v>45.5</v>
      </c>
      <c r="T1504" s="16" t="n">
        <f>323</f>
        <v>323.0</v>
      </c>
      <c r="U1504" s="16" t="n">
        <v>22.0</v>
      </c>
      <c r="V1504" s="16" t="n">
        <f>16331000</f>
        <v>1.6331E7</v>
      </c>
      <c r="W1504" s="16" t="n">
        <v>1003000.0</v>
      </c>
      <c r="X1504" s="16" t="str">
        <f>"－"</f>
        <v>－</v>
      </c>
      <c r="Y1504" s="13" t="s">
        <v>53</v>
      </c>
      <c r="Z1504" s="17" t="n">
        <f>126</f>
        <v>126.0</v>
      </c>
      <c r="AA1504" s="18" t="n">
        <f>4</f>
        <v>4.0</v>
      </c>
      <c r="AB1504" s="11" t="s">
        <v>868</v>
      </c>
    </row>
    <row r="1505">
      <c r="A1505" s="11" t="s">
        <v>46</v>
      </c>
      <c r="B1505" s="11" t="s">
        <v>865</v>
      </c>
      <c r="C1505" s="11" t="s">
        <v>866</v>
      </c>
      <c r="D1505" s="11" t="s">
        <v>651</v>
      </c>
      <c r="E1505" s="11" t="s">
        <v>867</v>
      </c>
      <c r="F1505" s="12" t="n">
        <v>28875.0</v>
      </c>
      <c r="G1505" s="13" t="s">
        <v>50</v>
      </c>
      <c r="H1505" s="14" t="s">
        <v>87</v>
      </c>
      <c r="I1505" s="13" t="s">
        <v>63</v>
      </c>
      <c r="J1505" s="14" t="s">
        <v>110</v>
      </c>
      <c r="K1505" s="13" t="s">
        <v>63</v>
      </c>
      <c r="L1505" s="14" t="s">
        <v>111</v>
      </c>
      <c r="M1505" s="13" t="s">
        <v>60</v>
      </c>
      <c r="N1505" s="14" t="s">
        <v>59</v>
      </c>
      <c r="O1505" s="13" t="s">
        <v>60</v>
      </c>
      <c r="P1505" s="14" t="s">
        <v>59</v>
      </c>
      <c r="Q1505" s="13" t="s">
        <v>60</v>
      </c>
      <c r="R1505" s="14" t="s">
        <v>59</v>
      </c>
      <c r="S1505" s="15" t="n">
        <f>29.5</f>
        <v>29.5</v>
      </c>
      <c r="T1505" s="16" t="n">
        <f>286</f>
        <v>286.0</v>
      </c>
      <c r="U1505" s="16" t="n">
        <v>40.0</v>
      </c>
      <c r="V1505" s="16" t="n">
        <f>5237000</f>
        <v>5237000.0</v>
      </c>
      <c r="W1505" s="16" t="n">
        <v>766000.0</v>
      </c>
      <c r="X1505" s="16" t="str">
        <f>"－"</f>
        <v>－</v>
      </c>
      <c r="Y1505" s="13" t="s">
        <v>53</v>
      </c>
      <c r="Z1505" s="17" t="n">
        <f>78</f>
        <v>78.0</v>
      </c>
      <c r="AA1505" s="18" t="n">
        <f>4</f>
        <v>4.0</v>
      </c>
      <c r="AB1505" s="11" t="s">
        <v>868</v>
      </c>
    </row>
    <row r="1506">
      <c r="A1506" s="11" t="s">
        <v>46</v>
      </c>
      <c r="B1506" s="11" t="s">
        <v>865</v>
      </c>
      <c r="C1506" s="11" t="s">
        <v>866</v>
      </c>
      <c r="D1506" s="11" t="s">
        <v>651</v>
      </c>
      <c r="E1506" s="11" t="s">
        <v>867</v>
      </c>
      <c r="F1506" s="12" t="n">
        <v>29000.0</v>
      </c>
      <c r="G1506" s="13" t="s">
        <v>50</v>
      </c>
      <c r="H1506" s="14" t="s">
        <v>78</v>
      </c>
      <c r="I1506" s="13" t="s">
        <v>63</v>
      </c>
      <c r="J1506" s="14" t="s">
        <v>113</v>
      </c>
      <c r="K1506" s="13" t="s">
        <v>63</v>
      </c>
      <c r="L1506" s="14" t="s">
        <v>113</v>
      </c>
      <c r="M1506" s="13" t="s">
        <v>60</v>
      </c>
      <c r="N1506" s="14" t="s">
        <v>51</v>
      </c>
      <c r="O1506" s="13" t="s">
        <v>60</v>
      </c>
      <c r="P1506" s="14" t="s">
        <v>51</v>
      </c>
      <c r="Q1506" s="13" t="s">
        <v>60</v>
      </c>
      <c r="R1506" s="14" t="s">
        <v>51</v>
      </c>
      <c r="S1506" s="15" t="n">
        <f>15</f>
        <v>15.0</v>
      </c>
      <c r="T1506" s="16" t="n">
        <f>738</f>
        <v>738.0</v>
      </c>
      <c r="U1506" s="16" t="n">
        <v>83.0</v>
      </c>
      <c r="V1506" s="16" t="n">
        <f>10958000</f>
        <v>1.0958E7</v>
      </c>
      <c r="W1506" s="16" t="n">
        <v>955000.0</v>
      </c>
      <c r="X1506" s="16" t="str">
        <f>"－"</f>
        <v>－</v>
      </c>
      <c r="Y1506" s="13" t="s">
        <v>53</v>
      </c>
      <c r="Z1506" s="17" t="n">
        <f>245</f>
        <v>245.0</v>
      </c>
      <c r="AA1506" s="18" t="n">
        <f>4</f>
        <v>4.0</v>
      </c>
      <c r="AB1506" s="11" t="s">
        <v>868</v>
      </c>
    </row>
    <row r="1507">
      <c r="A1507" s="11" t="s">
        <v>46</v>
      </c>
      <c r="B1507" s="11" t="s">
        <v>865</v>
      </c>
      <c r="C1507" s="11" t="s">
        <v>866</v>
      </c>
      <c r="D1507" s="11" t="s">
        <v>651</v>
      </c>
      <c r="E1507" s="11" t="s">
        <v>867</v>
      </c>
      <c r="F1507" s="12" t="n">
        <v>29125.0</v>
      </c>
      <c r="G1507" s="13" t="s">
        <v>50</v>
      </c>
      <c r="H1507" s="14" t="s">
        <v>64</v>
      </c>
      <c r="I1507" s="13" t="s">
        <v>63</v>
      </c>
      <c r="J1507" s="14" t="s">
        <v>87</v>
      </c>
      <c r="K1507" s="13" t="s">
        <v>63</v>
      </c>
      <c r="L1507" s="14" t="s">
        <v>73</v>
      </c>
      <c r="M1507" s="13" t="s">
        <v>60</v>
      </c>
      <c r="N1507" s="14" t="s">
        <v>51</v>
      </c>
      <c r="O1507" s="13" t="s">
        <v>60</v>
      </c>
      <c r="P1507" s="14" t="s">
        <v>51</v>
      </c>
      <c r="Q1507" s="13" t="s">
        <v>60</v>
      </c>
      <c r="R1507" s="14" t="s">
        <v>51</v>
      </c>
      <c r="S1507" s="15" t="n">
        <f>9.25</f>
        <v>9.25</v>
      </c>
      <c r="T1507" s="16" t="n">
        <f>200</f>
        <v>200.0</v>
      </c>
      <c r="U1507" s="16" t="n">
        <v>17.0</v>
      </c>
      <c r="V1507" s="16" t="n">
        <f>1508000</f>
        <v>1508000.0</v>
      </c>
      <c r="W1507" s="16" t="n">
        <v>168000.0</v>
      </c>
      <c r="X1507" s="16" t="str">
        <f>"－"</f>
        <v>－</v>
      </c>
      <c r="Y1507" s="13" t="s">
        <v>53</v>
      </c>
      <c r="Z1507" s="17" t="n">
        <f>69</f>
        <v>69.0</v>
      </c>
      <c r="AA1507" s="18" t="n">
        <f>4</f>
        <v>4.0</v>
      </c>
      <c r="AB1507" s="11" t="s">
        <v>868</v>
      </c>
    </row>
    <row r="1508">
      <c r="A1508" s="11" t="s">
        <v>46</v>
      </c>
      <c r="B1508" s="11" t="s">
        <v>865</v>
      </c>
      <c r="C1508" s="11" t="s">
        <v>866</v>
      </c>
      <c r="D1508" s="11" t="s">
        <v>651</v>
      </c>
      <c r="E1508" s="11" t="s">
        <v>867</v>
      </c>
      <c r="F1508" s="12" t="n">
        <v>29250.0</v>
      </c>
      <c r="G1508" s="13" t="s">
        <v>50</v>
      </c>
      <c r="H1508" s="14" t="s">
        <v>66</v>
      </c>
      <c r="I1508" s="13" t="s">
        <v>50</v>
      </c>
      <c r="J1508" s="14" t="s">
        <v>77</v>
      </c>
      <c r="K1508" s="13" t="s">
        <v>55</v>
      </c>
      <c r="L1508" s="14" t="s">
        <v>71</v>
      </c>
      <c r="M1508" s="13" t="s">
        <v>60</v>
      </c>
      <c r="N1508" s="14" t="s">
        <v>51</v>
      </c>
      <c r="O1508" s="13" t="s">
        <v>60</v>
      </c>
      <c r="P1508" s="14" t="s">
        <v>51</v>
      </c>
      <c r="Q1508" s="13" t="s">
        <v>60</v>
      </c>
      <c r="R1508" s="14" t="s">
        <v>51</v>
      </c>
      <c r="S1508" s="15" t="n">
        <f>5.75</f>
        <v>5.75</v>
      </c>
      <c r="T1508" s="16" t="n">
        <f>141</f>
        <v>141.0</v>
      </c>
      <c r="U1508" s="16" t="n">
        <v>29.0</v>
      </c>
      <c r="V1508" s="16" t="n">
        <f>782000</f>
        <v>782000.0</v>
      </c>
      <c r="W1508" s="16" t="n">
        <v>141000.0</v>
      </c>
      <c r="X1508" s="16" t="str">
        <f>"－"</f>
        <v>－</v>
      </c>
      <c r="Y1508" s="13" t="s">
        <v>53</v>
      </c>
      <c r="Z1508" s="17" t="n">
        <f>71</f>
        <v>71.0</v>
      </c>
      <c r="AA1508" s="18" t="n">
        <f>4</f>
        <v>4.0</v>
      </c>
      <c r="AB1508" s="11" t="s">
        <v>868</v>
      </c>
    </row>
    <row r="1509">
      <c r="A1509" s="11" t="s">
        <v>46</v>
      </c>
      <c r="B1509" s="11" t="s">
        <v>865</v>
      </c>
      <c r="C1509" s="11" t="s">
        <v>866</v>
      </c>
      <c r="D1509" s="11" t="s">
        <v>651</v>
      </c>
      <c r="E1509" s="11" t="s">
        <v>867</v>
      </c>
      <c r="F1509" s="12" t="n">
        <v>29375.0</v>
      </c>
      <c r="G1509" s="13" t="s">
        <v>50</v>
      </c>
      <c r="H1509" s="14" t="s">
        <v>66</v>
      </c>
      <c r="I1509" s="13" t="s">
        <v>50</v>
      </c>
      <c r="J1509" s="14" t="s">
        <v>70</v>
      </c>
      <c r="K1509" s="13" t="s">
        <v>63</v>
      </c>
      <c r="L1509" s="14" t="s">
        <v>66</v>
      </c>
      <c r="M1509" s="13" t="s">
        <v>60</v>
      </c>
      <c r="N1509" s="14" t="s">
        <v>51</v>
      </c>
      <c r="O1509" s="13" t="s">
        <v>60</v>
      </c>
      <c r="P1509" s="14" t="s">
        <v>51</v>
      </c>
      <c r="Q1509" s="13" t="s">
        <v>60</v>
      </c>
      <c r="R1509" s="14" t="s">
        <v>51</v>
      </c>
      <c r="S1509" s="15" t="n">
        <f>3.25</f>
        <v>3.25</v>
      </c>
      <c r="T1509" s="16" t="n">
        <f>125</f>
        <v>125.0</v>
      </c>
      <c r="U1509" s="16" t="n">
        <v>22.0</v>
      </c>
      <c r="V1509" s="16" t="n">
        <f>413000</f>
        <v>413000.0</v>
      </c>
      <c r="W1509" s="16" t="n">
        <v>59000.0</v>
      </c>
      <c r="X1509" s="16" t="str">
        <f>"－"</f>
        <v>－</v>
      </c>
      <c r="Y1509" s="13" t="s">
        <v>53</v>
      </c>
      <c r="Z1509" s="17" t="n">
        <f>47</f>
        <v>47.0</v>
      </c>
      <c r="AA1509" s="18" t="n">
        <f>4</f>
        <v>4.0</v>
      </c>
      <c r="AB1509" s="11" t="s">
        <v>868</v>
      </c>
    </row>
    <row r="1510">
      <c r="A1510" s="11" t="s">
        <v>46</v>
      </c>
      <c r="B1510" s="11" t="s">
        <v>865</v>
      </c>
      <c r="C1510" s="11" t="s">
        <v>866</v>
      </c>
      <c r="D1510" s="11" t="s">
        <v>651</v>
      </c>
      <c r="E1510" s="11" t="s">
        <v>867</v>
      </c>
      <c r="F1510" s="12" t="n">
        <v>29500.0</v>
      </c>
      <c r="G1510" s="13" t="s">
        <v>50</v>
      </c>
      <c r="H1510" s="14" t="s">
        <v>64</v>
      </c>
      <c r="I1510" s="13" t="s">
        <v>50</v>
      </c>
      <c r="J1510" s="14" t="s">
        <v>66</v>
      </c>
      <c r="K1510" s="13" t="s">
        <v>50</v>
      </c>
      <c r="L1510" s="14" t="s">
        <v>65</v>
      </c>
      <c r="M1510" s="13" t="s">
        <v>63</v>
      </c>
      <c r="N1510" s="14" t="s">
        <v>51</v>
      </c>
      <c r="O1510" s="13" t="s">
        <v>63</v>
      </c>
      <c r="P1510" s="14" t="s">
        <v>51</v>
      </c>
      <c r="Q1510" s="13" t="s">
        <v>60</v>
      </c>
      <c r="R1510" s="14" t="s">
        <v>51</v>
      </c>
      <c r="S1510" s="15" t="n">
        <f>2</f>
        <v>2.0</v>
      </c>
      <c r="T1510" s="16" t="n">
        <f>232</f>
        <v>232.0</v>
      </c>
      <c r="U1510" s="16" t="n">
        <v>29.0</v>
      </c>
      <c r="V1510" s="16" t="n">
        <f>616000</f>
        <v>616000.0</v>
      </c>
      <c r="W1510" s="16" t="n">
        <v>50000.0</v>
      </c>
      <c r="X1510" s="16" t="str">
        <f>"－"</f>
        <v>－</v>
      </c>
      <c r="Y1510" s="13" t="s">
        <v>53</v>
      </c>
      <c r="Z1510" s="17" t="n">
        <f>95</f>
        <v>95.0</v>
      </c>
      <c r="AA1510" s="18" t="n">
        <f>4</f>
        <v>4.0</v>
      </c>
      <c r="AB1510" s="11" t="s">
        <v>868</v>
      </c>
    </row>
    <row r="1511">
      <c r="A1511" s="11" t="s">
        <v>46</v>
      </c>
      <c r="B1511" s="11" t="s">
        <v>865</v>
      </c>
      <c r="C1511" s="11" t="s">
        <v>866</v>
      </c>
      <c r="D1511" s="11" t="s">
        <v>651</v>
      </c>
      <c r="E1511" s="11" t="s">
        <v>867</v>
      </c>
      <c r="F1511" s="12" t="n">
        <v>29625.0</v>
      </c>
      <c r="G1511" s="13" t="s">
        <v>50</v>
      </c>
      <c r="H1511" s="14" t="s">
        <v>62</v>
      </c>
      <c r="I1511" s="13" t="s">
        <v>50</v>
      </c>
      <c r="J1511" s="14" t="s">
        <v>62</v>
      </c>
      <c r="K1511" s="13" t="s">
        <v>50</v>
      </c>
      <c r="L1511" s="14" t="s">
        <v>65</v>
      </c>
      <c r="M1511" s="13" t="s">
        <v>60</v>
      </c>
      <c r="N1511" s="14" t="s">
        <v>51</v>
      </c>
      <c r="O1511" s="13" t="s">
        <v>55</v>
      </c>
      <c r="P1511" s="14" t="s">
        <v>51</v>
      </c>
      <c r="Q1511" s="13" t="s">
        <v>60</v>
      </c>
      <c r="R1511" s="14" t="s">
        <v>51</v>
      </c>
      <c r="S1511" s="15" t="n">
        <f>2</f>
        <v>2.0</v>
      </c>
      <c r="T1511" s="16" t="n">
        <f>24</f>
        <v>24.0</v>
      </c>
      <c r="U1511" s="16" t="n">
        <v>9.0</v>
      </c>
      <c r="V1511" s="16" t="n">
        <f>53000</f>
        <v>53000.0</v>
      </c>
      <c r="W1511" s="16" t="n">
        <v>21000.0</v>
      </c>
      <c r="X1511" s="16" t="str">
        <f>"－"</f>
        <v>－</v>
      </c>
      <c r="Y1511" s="13" t="s">
        <v>53</v>
      </c>
      <c r="Z1511" s="17" t="n">
        <f>16</f>
        <v>16.0</v>
      </c>
      <c r="AA1511" s="18" t="n">
        <f>4</f>
        <v>4.0</v>
      </c>
      <c r="AB1511" s="11" t="s">
        <v>868</v>
      </c>
    </row>
    <row r="1512">
      <c r="A1512" s="11" t="s">
        <v>46</v>
      </c>
      <c r="B1512" s="11" t="s">
        <v>865</v>
      </c>
      <c r="C1512" s="11" t="s">
        <v>866</v>
      </c>
      <c r="D1512" s="11" t="s">
        <v>651</v>
      </c>
      <c r="E1512" s="11" t="s">
        <v>867</v>
      </c>
      <c r="F1512" s="12" t="n">
        <v>29750.0</v>
      </c>
      <c r="G1512" s="13" t="s">
        <v>50</v>
      </c>
      <c r="H1512" s="14" t="s">
        <v>59</v>
      </c>
      <c r="I1512" s="13" t="s">
        <v>50</v>
      </c>
      <c r="J1512" s="14" t="s">
        <v>62</v>
      </c>
      <c r="K1512" s="13" t="s">
        <v>50</v>
      </c>
      <c r="L1512" s="14" t="s">
        <v>62</v>
      </c>
      <c r="M1512" s="13" t="s">
        <v>55</v>
      </c>
      <c r="N1512" s="14" t="s">
        <v>51</v>
      </c>
      <c r="O1512" s="13" t="s">
        <v>63</v>
      </c>
      <c r="P1512" s="14" t="s">
        <v>51</v>
      </c>
      <c r="Q1512" s="13" t="s">
        <v>60</v>
      </c>
      <c r="R1512" s="14" t="s">
        <v>51</v>
      </c>
      <c r="S1512" s="15" t="n">
        <f>1.25</f>
        <v>1.25</v>
      </c>
      <c r="T1512" s="16" t="n">
        <f>36</f>
        <v>36.0</v>
      </c>
      <c r="U1512" s="16" t="n">
        <v>7.0</v>
      </c>
      <c r="V1512" s="16" t="n">
        <f>68000</f>
        <v>68000.0</v>
      </c>
      <c r="W1512" s="16" t="n">
        <v>14000.0</v>
      </c>
      <c r="X1512" s="16" t="str">
        <f>"－"</f>
        <v>－</v>
      </c>
      <c r="Y1512" s="13" t="s">
        <v>53</v>
      </c>
      <c r="Z1512" s="17" t="n">
        <f>29</f>
        <v>29.0</v>
      </c>
      <c r="AA1512" s="18" t="n">
        <f>4</f>
        <v>4.0</v>
      </c>
      <c r="AB1512" s="11" t="s">
        <v>868</v>
      </c>
    </row>
    <row r="1513">
      <c r="A1513" s="11" t="s">
        <v>46</v>
      </c>
      <c r="B1513" s="11" t="s">
        <v>865</v>
      </c>
      <c r="C1513" s="11" t="s">
        <v>866</v>
      </c>
      <c r="D1513" s="11" t="s">
        <v>651</v>
      </c>
      <c r="E1513" s="11" t="s">
        <v>867</v>
      </c>
      <c r="F1513" s="12" t="n">
        <v>29875.0</v>
      </c>
      <c r="G1513" s="13" t="s">
        <v>50</v>
      </c>
      <c r="H1513" s="14" t="s">
        <v>59</v>
      </c>
      <c r="I1513" s="13" t="s">
        <v>50</v>
      </c>
      <c r="J1513" s="14" t="s">
        <v>59</v>
      </c>
      <c r="K1513" s="13" t="s">
        <v>55</v>
      </c>
      <c r="L1513" s="14" t="s">
        <v>59</v>
      </c>
      <c r="M1513" s="13" t="s">
        <v>50</v>
      </c>
      <c r="N1513" s="14" t="s">
        <v>51</v>
      </c>
      <c r="O1513" s="13" t="s">
        <v>55</v>
      </c>
      <c r="P1513" s="14" t="s">
        <v>51</v>
      </c>
      <c r="Q1513" s="13" t="s">
        <v>63</v>
      </c>
      <c r="R1513" s="14" t="s">
        <v>51</v>
      </c>
      <c r="S1513" s="15" t="n">
        <f>1</f>
        <v>1.0</v>
      </c>
      <c r="T1513" s="16" t="n">
        <f>117</f>
        <v>117.0</v>
      </c>
      <c r="U1513" s="16" t="n">
        <v>8.0</v>
      </c>
      <c r="V1513" s="16" t="n">
        <f>125000</f>
        <v>125000.0</v>
      </c>
      <c r="W1513" s="16" t="n">
        <v>10000.0</v>
      </c>
      <c r="X1513" s="16" t="str">
        <f>"－"</f>
        <v>－</v>
      </c>
      <c r="Y1513" s="13" t="s">
        <v>53</v>
      </c>
      <c r="Z1513" s="17" t="n">
        <f>139</f>
        <v>139.0</v>
      </c>
      <c r="AA1513" s="18" t="n">
        <f>3</f>
        <v>3.0</v>
      </c>
      <c r="AB1513" s="11" t="s">
        <v>868</v>
      </c>
    </row>
    <row r="1514">
      <c r="A1514" s="11" t="s">
        <v>46</v>
      </c>
      <c r="B1514" s="11" t="s">
        <v>865</v>
      </c>
      <c r="C1514" s="11" t="s">
        <v>866</v>
      </c>
      <c r="D1514" s="11" t="s">
        <v>651</v>
      </c>
      <c r="E1514" s="11" t="s">
        <v>867</v>
      </c>
      <c r="F1514" s="12" t="n">
        <v>30000.0</v>
      </c>
      <c r="G1514" s="13" t="s">
        <v>50</v>
      </c>
      <c r="H1514" s="14" t="s">
        <v>51</v>
      </c>
      <c r="I1514" s="13" t="s">
        <v>50</v>
      </c>
      <c r="J1514" s="14" t="s">
        <v>59</v>
      </c>
      <c r="K1514" s="13" t="s">
        <v>50</v>
      </c>
      <c r="L1514" s="14" t="s">
        <v>59</v>
      </c>
      <c r="M1514" s="13" t="s">
        <v>50</v>
      </c>
      <c r="N1514" s="14" t="s">
        <v>51</v>
      </c>
      <c r="O1514" s="13" t="s">
        <v>60</v>
      </c>
      <c r="P1514" s="14" t="s">
        <v>51</v>
      </c>
      <c r="Q1514" s="13" t="s">
        <v>50</v>
      </c>
      <c r="R1514" s="14" t="s">
        <v>51</v>
      </c>
      <c r="S1514" s="15" t="n">
        <f>1</f>
        <v>1.0</v>
      </c>
      <c r="T1514" s="16" t="n">
        <f>111</f>
        <v>111.0</v>
      </c>
      <c r="U1514" s="16" t="n">
        <v>3.0</v>
      </c>
      <c r="V1514" s="16" t="n">
        <f>114000</f>
        <v>114000.0</v>
      </c>
      <c r="W1514" s="16" t="n">
        <v>5000.0</v>
      </c>
      <c r="X1514" s="16" t="str">
        <f>"－"</f>
        <v>－</v>
      </c>
      <c r="Y1514" s="13" t="s">
        <v>53</v>
      </c>
      <c r="Z1514" s="17" t="n">
        <f>189</f>
        <v>189.0</v>
      </c>
      <c r="AA1514" s="18" t="n">
        <f>1</f>
        <v>1.0</v>
      </c>
      <c r="AB1514" s="11" t="s">
        <v>868</v>
      </c>
    </row>
    <row r="1515">
      <c r="A1515" s="11" t="s">
        <v>46</v>
      </c>
      <c r="B1515" s="11" t="s">
        <v>865</v>
      </c>
      <c r="C1515" s="11" t="s">
        <v>866</v>
      </c>
      <c r="D1515" s="11" t="s">
        <v>651</v>
      </c>
      <c r="E1515" s="11" t="s">
        <v>869</v>
      </c>
      <c r="F1515" s="12" t="n">
        <v>28625.0</v>
      </c>
      <c r="G1515" s="13" t="s">
        <v>55</v>
      </c>
      <c r="H1515" s="14" t="s">
        <v>239</v>
      </c>
      <c r="I1515" s="13" t="s">
        <v>55</v>
      </c>
      <c r="J1515" s="14" t="s">
        <v>239</v>
      </c>
      <c r="K1515" s="13"/>
      <c r="L1515" s="14"/>
      <c r="M1515" s="13" t="s">
        <v>55</v>
      </c>
      <c r="N1515" s="14" t="s">
        <v>239</v>
      </c>
      <c r="O1515" s="13"/>
      <c r="P1515" s="14"/>
      <c r="Q1515" s="13" t="s">
        <v>55</v>
      </c>
      <c r="R1515" s="14" t="s">
        <v>239</v>
      </c>
      <c r="S1515" s="15" t="n">
        <f>295</f>
        <v>295.0</v>
      </c>
      <c r="T1515" s="16" t="n">
        <f>10</f>
        <v>10.0</v>
      </c>
      <c r="U1515" s="16"/>
      <c r="V1515" s="16" t="n">
        <f>2950000</f>
        <v>2950000.0</v>
      </c>
      <c r="W1515" s="16"/>
      <c r="X1515" s="16" t="str">
        <f>"－"</f>
        <v>－</v>
      </c>
      <c r="Y1515" s="13" t="s">
        <v>53</v>
      </c>
      <c r="Z1515" s="17" t="str">
        <f>"－"</f>
        <v>－</v>
      </c>
      <c r="AA1515" s="18" t="n">
        <f>1</f>
        <v>1.0</v>
      </c>
      <c r="AB1515" s="11" t="s">
        <v>870</v>
      </c>
    </row>
    <row r="1516">
      <c r="A1516" s="11" t="s">
        <v>46</v>
      </c>
      <c r="B1516" s="11" t="s">
        <v>865</v>
      </c>
      <c r="C1516" s="11" t="s">
        <v>866</v>
      </c>
      <c r="D1516" s="11" t="s">
        <v>651</v>
      </c>
      <c r="E1516" s="11" t="s">
        <v>869</v>
      </c>
      <c r="F1516" s="12" t="n">
        <v>28875.0</v>
      </c>
      <c r="G1516" s="13" t="s">
        <v>58</v>
      </c>
      <c r="H1516" s="14" t="s">
        <v>274</v>
      </c>
      <c r="I1516" s="13" t="s">
        <v>205</v>
      </c>
      <c r="J1516" s="14" t="s">
        <v>425</v>
      </c>
      <c r="K1516" s="13"/>
      <c r="L1516" s="14"/>
      <c r="M1516" s="13" t="s">
        <v>58</v>
      </c>
      <c r="N1516" s="14" t="s">
        <v>274</v>
      </c>
      <c r="O1516" s="13"/>
      <c r="P1516" s="14"/>
      <c r="Q1516" s="13" t="s">
        <v>205</v>
      </c>
      <c r="R1516" s="14" t="s">
        <v>425</v>
      </c>
      <c r="S1516" s="15" t="n">
        <f>570</f>
        <v>570.0</v>
      </c>
      <c r="T1516" s="16" t="n">
        <f>27</f>
        <v>27.0</v>
      </c>
      <c r="U1516" s="16"/>
      <c r="V1516" s="16" t="n">
        <f>9630000</f>
        <v>9630000.0</v>
      </c>
      <c r="W1516" s="16"/>
      <c r="X1516" s="16" t="n">
        <f>275</f>
        <v>275.0</v>
      </c>
      <c r="Y1516" s="13" t="s">
        <v>53</v>
      </c>
      <c r="Z1516" s="17" t="str">
        <f>"－"</f>
        <v>－</v>
      </c>
      <c r="AA1516" s="18" t="n">
        <f>3</f>
        <v>3.0</v>
      </c>
      <c r="AB1516" s="11" t="s">
        <v>870</v>
      </c>
    </row>
    <row r="1517">
      <c r="A1517" s="11" t="s">
        <v>46</v>
      </c>
      <c r="B1517" s="11" t="s">
        <v>865</v>
      </c>
      <c r="C1517" s="11" t="s">
        <v>866</v>
      </c>
      <c r="D1517" s="11" t="s">
        <v>651</v>
      </c>
      <c r="E1517" s="11" t="s">
        <v>869</v>
      </c>
      <c r="F1517" s="12" t="n">
        <v>29000.0</v>
      </c>
      <c r="G1517" s="13" t="s">
        <v>206</v>
      </c>
      <c r="H1517" s="14" t="s">
        <v>252</v>
      </c>
      <c r="I1517" s="13" t="s">
        <v>206</v>
      </c>
      <c r="J1517" s="14" t="s">
        <v>690</v>
      </c>
      <c r="K1517" s="13"/>
      <c r="L1517" s="14"/>
      <c r="M1517" s="13" t="s">
        <v>206</v>
      </c>
      <c r="N1517" s="14" t="s">
        <v>252</v>
      </c>
      <c r="O1517" s="13"/>
      <c r="P1517" s="14"/>
      <c r="Q1517" s="13" t="s">
        <v>206</v>
      </c>
      <c r="R1517" s="14" t="s">
        <v>690</v>
      </c>
      <c r="S1517" s="15" t="n">
        <f>730</f>
        <v>730.0</v>
      </c>
      <c r="T1517" s="16" t="n">
        <f>20</f>
        <v>20.0</v>
      </c>
      <c r="U1517" s="16"/>
      <c r="V1517" s="16" t="n">
        <f>14175000</f>
        <v>1.4175E7</v>
      </c>
      <c r="W1517" s="16"/>
      <c r="X1517" s="16" t="n">
        <f>20</f>
        <v>20.0</v>
      </c>
      <c r="Y1517" s="13" t="s">
        <v>53</v>
      </c>
      <c r="Z1517" s="17" t="str">
        <f>"－"</f>
        <v>－</v>
      </c>
      <c r="AA1517" s="18" t="n">
        <f>1</f>
        <v>1.0</v>
      </c>
      <c r="AB1517" s="11" t="s">
        <v>870</v>
      </c>
    </row>
    <row r="1518">
      <c r="A1518" s="11" t="s">
        <v>46</v>
      </c>
      <c r="B1518" s="11" t="s">
        <v>865</v>
      </c>
      <c r="C1518" s="11" t="s">
        <v>866</v>
      </c>
      <c r="D1518" s="11" t="s">
        <v>651</v>
      </c>
      <c r="E1518" s="11" t="s">
        <v>869</v>
      </c>
      <c r="F1518" s="12" t="n">
        <v>29250.0</v>
      </c>
      <c r="G1518" s="13" t="s">
        <v>60</v>
      </c>
      <c r="H1518" s="14" t="s">
        <v>126</v>
      </c>
      <c r="I1518" s="13" t="s">
        <v>205</v>
      </c>
      <c r="J1518" s="14" t="s">
        <v>297</v>
      </c>
      <c r="K1518" s="13" t="s">
        <v>61</v>
      </c>
      <c r="L1518" s="14" t="s">
        <v>282</v>
      </c>
      <c r="M1518" s="13" t="s">
        <v>60</v>
      </c>
      <c r="N1518" s="14" t="s">
        <v>873</v>
      </c>
      <c r="O1518" s="13" t="s">
        <v>61</v>
      </c>
      <c r="P1518" s="14" t="s">
        <v>282</v>
      </c>
      <c r="Q1518" s="13" t="s">
        <v>205</v>
      </c>
      <c r="R1518" s="14" t="s">
        <v>467</v>
      </c>
      <c r="S1518" s="15" t="n">
        <f>360.5</f>
        <v>360.5</v>
      </c>
      <c r="T1518" s="16" t="n">
        <f>40</f>
        <v>40.0</v>
      </c>
      <c r="U1518" s="16" t="n">
        <v>10.0</v>
      </c>
      <c r="V1518" s="16" t="n">
        <f>15597000</f>
        <v>1.5597E7</v>
      </c>
      <c r="W1518" s="16" t="n">
        <v>3600000.0</v>
      </c>
      <c r="X1518" s="16" t="n">
        <f>3</f>
        <v>3.0</v>
      </c>
      <c r="Y1518" s="13" t="s">
        <v>53</v>
      </c>
      <c r="Z1518" s="17" t="str">
        <f>"－"</f>
        <v>－</v>
      </c>
      <c r="AA1518" s="18" t="n">
        <f>4</f>
        <v>4.0</v>
      </c>
      <c r="AB1518" s="11" t="s">
        <v>870</v>
      </c>
    </row>
    <row r="1519">
      <c r="A1519" s="11" t="s">
        <v>46</v>
      </c>
      <c r="B1519" s="11" t="s">
        <v>865</v>
      </c>
      <c r="C1519" s="11" t="s">
        <v>866</v>
      </c>
      <c r="D1519" s="11" t="s">
        <v>651</v>
      </c>
      <c r="E1519" s="11" t="s">
        <v>869</v>
      </c>
      <c r="F1519" s="12" t="n">
        <v>29375.0</v>
      </c>
      <c r="G1519" s="13" t="s">
        <v>61</v>
      </c>
      <c r="H1519" s="14" t="s">
        <v>146</v>
      </c>
      <c r="I1519" s="13" t="s">
        <v>288</v>
      </c>
      <c r="J1519" s="14" t="s">
        <v>268</v>
      </c>
      <c r="K1519" s="13"/>
      <c r="L1519" s="14"/>
      <c r="M1519" s="13" t="s">
        <v>205</v>
      </c>
      <c r="N1519" s="14" t="s">
        <v>342</v>
      </c>
      <c r="O1519" s="13"/>
      <c r="P1519" s="14"/>
      <c r="Q1519" s="13" t="s">
        <v>288</v>
      </c>
      <c r="R1519" s="14" t="s">
        <v>268</v>
      </c>
      <c r="S1519" s="15" t="n">
        <f>600</f>
        <v>600.0</v>
      </c>
      <c r="T1519" s="16" t="n">
        <f>47</f>
        <v>47.0</v>
      </c>
      <c r="U1519" s="16"/>
      <c r="V1519" s="16" t="n">
        <f>22280000</f>
        <v>2.228E7</v>
      </c>
      <c r="W1519" s="16"/>
      <c r="X1519" s="16" t="n">
        <f>15</f>
        <v>15.0</v>
      </c>
      <c r="Y1519" s="13" t="s">
        <v>53</v>
      </c>
      <c r="Z1519" s="17" t="str">
        <f>"－"</f>
        <v>－</v>
      </c>
      <c r="AA1519" s="18" t="n">
        <f>3</f>
        <v>3.0</v>
      </c>
      <c r="AB1519" s="11" t="s">
        <v>870</v>
      </c>
    </row>
    <row r="1520">
      <c r="A1520" s="11" t="s">
        <v>46</v>
      </c>
      <c r="B1520" s="11" t="s">
        <v>865</v>
      </c>
      <c r="C1520" s="11" t="s">
        <v>866</v>
      </c>
      <c r="D1520" s="11" t="s">
        <v>651</v>
      </c>
      <c r="E1520" s="11" t="s">
        <v>869</v>
      </c>
      <c r="F1520" s="12" t="n">
        <v>29500.0</v>
      </c>
      <c r="G1520" s="13" t="s">
        <v>60</v>
      </c>
      <c r="H1520" s="14" t="s">
        <v>348</v>
      </c>
      <c r="I1520" s="13" t="s">
        <v>288</v>
      </c>
      <c r="J1520" s="14" t="s">
        <v>367</v>
      </c>
      <c r="K1520" s="13" t="s">
        <v>52</v>
      </c>
      <c r="L1520" s="14" t="s">
        <v>362</v>
      </c>
      <c r="M1520" s="13" t="s">
        <v>58</v>
      </c>
      <c r="N1520" s="14" t="s">
        <v>260</v>
      </c>
      <c r="O1520" s="13" t="s">
        <v>206</v>
      </c>
      <c r="P1520" s="14" t="s">
        <v>274</v>
      </c>
      <c r="Q1520" s="13" t="s">
        <v>288</v>
      </c>
      <c r="R1520" s="14" t="s">
        <v>296</v>
      </c>
      <c r="S1520" s="15" t="n">
        <f>341.29</f>
        <v>341.29</v>
      </c>
      <c r="T1520" s="16" t="n">
        <f>92</f>
        <v>92.0</v>
      </c>
      <c r="U1520" s="16" t="n">
        <v>10.0</v>
      </c>
      <c r="V1520" s="16" t="n">
        <f>26549000</f>
        <v>2.6549E7</v>
      </c>
      <c r="W1520" s="16" t="n">
        <v>3205000.0</v>
      </c>
      <c r="X1520" s="16" t="n">
        <f>24</f>
        <v>24.0</v>
      </c>
      <c r="Y1520" s="13" t="s">
        <v>53</v>
      </c>
      <c r="Z1520" s="17" t="str">
        <f>"－"</f>
        <v>－</v>
      </c>
      <c r="AA1520" s="18" t="n">
        <f>7</f>
        <v>7.0</v>
      </c>
      <c r="AB1520" s="11" t="s">
        <v>870</v>
      </c>
    </row>
    <row r="1521">
      <c r="A1521" s="11" t="s">
        <v>46</v>
      </c>
      <c r="B1521" s="11" t="s">
        <v>865</v>
      </c>
      <c r="C1521" s="11" t="s">
        <v>866</v>
      </c>
      <c r="D1521" s="11" t="s">
        <v>651</v>
      </c>
      <c r="E1521" s="11" t="s">
        <v>869</v>
      </c>
      <c r="F1521" s="12" t="n">
        <v>29625.0</v>
      </c>
      <c r="G1521" s="13" t="s">
        <v>60</v>
      </c>
      <c r="H1521" s="14" t="s">
        <v>100</v>
      </c>
      <c r="I1521" s="13" t="s">
        <v>202</v>
      </c>
      <c r="J1521" s="14" t="s">
        <v>172</v>
      </c>
      <c r="K1521" s="13" t="s">
        <v>56</v>
      </c>
      <c r="L1521" s="14" t="s">
        <v>342</v>
      </c>
      <c r="M1521" s="13" t="s">
        <v>60</v>
      </c>
      <c r="N1521" s="14" t="s">
        <v>113</v>
      </c>
      <c r="O1521" s="13" t="s">
        <v>56</v>
      </c>
      <c r="P1521" s="14" t="s">
        <v>137</v>
      </c>
      <c r="Q1521" s="13" t="s">
        <v>288</v>
      </c>
      <c r="R1521" s="14" t="s">
        <v>356</v>
      </c>
      <c r="S1521" s="15" t="n">
        <f>374.88</f>
        <v>374.88</v>
      </c>
      <c r="T1521" s="16" t="n">
        <f>123</f>
        <v>123.0</v>
      </c>
      <c r="U1521" s="16" t="n">
        <v>5.0</v>
      </c>
      <c r="V1521" s="16" t="n">
        <f>42140000</f>
        <v>4.214E7</v>
      </c>
      <c r="W1521" s="16" t="n">
        <v>1345000.0</v>
      </c>
      <c r="X1521" s="16" t="n">
        <f>51</f>
        <v>51.0</v>
      </c>
      <c r="Y1521" s="13" t="s">
        <v>53</v>
      </c>
      <c r="Z1521" s="17" t="str">
        <f>"－"</f>
        <v>－</v>
      </c>
      <c r="AA1521" s="18" t="n">
        <f>8</f>
        <v>8.0</v>
      </c>
      <c r="AB1521" s="11" t="s">
        <v>870</v>
      </c>
    </row>
    <row r="1522">
      <c r="A1522" s="11" t="s">
        <v>46</v>
      </c>
      <c r="B1522" s="11" t="s">
        <v>865</v>
      </c>
      <c r="C1522" s="11" t="s">
        <v>866</v>
      </c>
      <c r="D1522" s="11" t="s">
        <v>651</v>
      </c>
      <c r="E1522" s="11" t="s">
        <v>869</v>
      </c>
      <c r="F1522" s="12" t="n">
        <v>29750.0</v>
      </c>
      <c r="G1522" s="13" t="s">
        <v>63</v>
      </c>
      <c r="H1522" s="14" t="s">
        <v>218</v>
      </c>
      <c r="I1522" s="13" t="s">
        <v>202</v>
      </c>
      <c r="J1522" s="14" t="s">
        <v>299</v>
      </c>
      <c r="K1522" s="13" t="s">
        <v>202</v>
      </c>
      <c r="L1522" s="14" t="s">
        <v>244</v>
      </c>
      <c r="M1522" s="13" t="s">
        <v>63</v>
      </c>
      <c r="N1522" s="14" t="s">
        <v>220</v>
      </c>
      <c r="O1522" s="13" t="s">
        <v>206</v>
      </c>
      <c r="P1522" s="14" t="s">
        <v>230</v>
      </c>
      <c r="Q1522" s="13" t="s">
        <v>207</v>
      </c>
      <c r="R1522" s="14" t="s">
        <v>539</v>
      </c>
      <c r="S1522" s="15" t="n">
        <f>362</f>
        <v>362.0</v>
      </c>
      <c r="T1522" s="16" t="n">
        <f>98</f>
        <v>98.0</v>
      </c>
      <c r="U1522" s="16" t="n">
        <v>5.0</v>
      </c>
      <c r="V1522" s="16" t="n">
        <f>26489000</f>
        <v>2.6489E7</v>
      </c>
      <c r="W1522" s="16" t="n">
        <v>1380000.0</v>
      </c>
      <c r="X1522" s="16" t="n">
        <f>2</f>
        <v>2.0</v>
      </c>
      <c r="Y1522" s="13" t="s">
        <v>53</v>
      </c>
      <c r="Z1522" s="17" t="str">
        <f>"－"</f>
        <v>－</v>
      </c>
      <c r="AA1522" s="18" t="n">
        <f>9</f>
        <v>9.0</v>
      </c>
      <c r="AB1522" s="11" t="s">
        <v>870</v>
      </c>
    </row>
    <row r="1523">
      <c r="A1523" s="11" t="s">
        <v>46</v>
      </c>
      <c r="B1523" s="11" t="s">
        <v>865</v>
      </c>
      <c r="C1523" s="11" t="s">
        <v>866</v>
      </c>
      <c r="D1523" s="11" t="s">
        <v>651</v>
      </c>
      <c r="E1523" s="11" t="s">
        <v>869</v>
      </c>
      <c r="F1523" s="12" t="n">
        <v>29875.0</v>
      </c>
      <c r="G1523" s="13" t="s">
        <v>58</v>
      </c>
      <c r="H1523" s="14" t="s">
        <v>89</v>
      </c>
      <c r="I1523" s="13" t="s">
        <v>202</v>
      </c>
      <c r="J1523" s="14" t="s">
        <v>367</v>
      </c>
      <c r="K1523" s="13" t="s">
        <v>205</v>
      </c>
      <c r="L1523" s="14" t="s">
        <v>141</v>
      </c>
      <c r="M1523" s="13" t="s">
        <v>58</v>
      </c>
      <c r="N1523" s="14" t="s">
        <v>89</v>
      </c>
      <c r="O1523" s="13" t="s">
        <v>205</v>
      </c>
      <c r="P1523" s="14" t="s">
        <v>115</v>
      </c>
      <c r="Q1523" s="13" t="s">
        <v>288</v>
      </c>
      <c r="R1523" s="14" t="s">
        <v>243</v>
      </c>
      <c r="S1523" s="15" t="n">
        <f>255.75</f>
        <v>255.75</v>
      </c>
      <c r="T1523" s="16" t="n">
        <f>231</f>
        <v>231.0</v>
      </c>
      <c r="U1523" s="16" t="n">
        <v>8.0</v>
      </c>
      <c r="V1523" s="16" t="n">
        <f>50402000</f>
        <v>5.0402E7</v>
      </c>
      <c r="W1523" s="16" t="n">
        <v>1685000.0</v>
      </c>
      <c r="X1523" s="16" t="n">
        <f>83</f>
        <v>83.0</v>
      </c>
      <c r="Y1523" s="13" t="s">
        <v>53</v>
      </c>
      <c r="Z1523" s="17" t="str">
        <f>"－"</f>
        <v>－</v>
      </c>
      <c r="AA1523" s="18" t="n">
        <f>8</f>
        <v>8.0</v>
      </c>
      <c r="AB1523" s="11" t="s">
        <v>870</v>
      </c>
    </row>
    <row r="1524">
      <c r="A1524" s="11" t="s">
        <v>46</v>
      </c>
      <c r="B1524" s="11" t="s">
        <v>865</v>
      </c>
      <c r="C1524" s="11" t="s">
        <v>866</v>
      </c>
      <c r="D1524" s="11" t="s">
        <v>651</v>
      </c>
      <c r="E1524" s="11" t="s">
        <v>869</v>
      </c>
      <c r="F1524" s="12" t="n">
        <v>30000.0</v>
      </c>
      <c r="G1524" s="13" t="s">
        <v>52</v>
      </c>
      <c r="H1524" s="14" t="s">
        <v>286</v>
      </c>
      <c r="I1524" s="13" t="s">
        <v>202</v>
      </c>
      <c r="J1524" s="14" t="s">
        <v>256</v>
      </c>
      <c r="K1524" s="13" t="s">
        <v>288</v>
      </c>
      <c r="L1524" s="14" t="s">
        <v>883</v>
      </c>
      <c r="M1524" s="13" t="s">
        <v>205</v>
      </c>
      <c r="N1524" s="14" t="s">
        <v>97</v>
      </c>
      <c r="O1524" s="13" t="s">
        <v>205</v>
      </c>
      <c r="P1524" s="14" t="s">
        <v>97</v>
      </c>
      <c r="Q1524" s="13" t="s">
        <v>207</v>
      </c>
      <c r="R1524" s="14" t="s">
        <v>151</v>
      </c>
      <c r="S1524" s="15" t="n">
        <f>295.57</f>
        <v>295.57</v>
      </c>
      <c r="T1524" s="16" t="n">
        <f>398</f>
        <v>398.0</v>
      </c>
      <c r="U1524" s="16" t="n">
        <v>27.0</v>
      </c>
      <c r="V1524" s="16" t="n">
        <f>64878890</f>
        <v>6.487889E7</v>
      </c>
      <c r="W1524" s="16" t="n">
        <v>3729890.0</v>
      </c>
      <c r="X1524" s="16" t="str">
        <f>"－"</f>
        <v>－</v>
      </c>
      <c r="Y1524" s="13" t="s">
        <v>53</v>
      </c>
      <c r="Z1524" s="17" t="n">
        <f>28</f>
        <v>28.0</v>
      </c>
      <c r="AA1524" s="18" t="n">
        <f>7</f>
        <v>7.0</v>
      </c>
      <c r="AB1524" s="11" t="s">
        <v>870</v>
      </c>
    </row>
    <row r="1525">
      <c r="A1525" s="11" t="s">
        <v>46</v>
      </c>
      <c r="B1525" s="11" t="s">
        <v>865</v>
      </c>
      <c r="C1525" s="11" t="s">
        <v>866</v>
      </c>
      <c r="D1525" s="11" t="s">
        <v>651</v>
      </c>
      <c r="E1525" s="11" t="s">
        <v>869</v>
      </c>
      <c r="F1525" s="12" t="n">
        <v>30125.0</v>
      </c>
      <c r="G1525" s="13" t="s">
        <v>52</v>
      </c>
      <c r="H1525" s="14" t="s">
        <v>118</v>
      </c>
      <c r="I1525" s="13" t="s">
        <v>202</v>
      </c>
      <c r="J1525" s="14" t="s">
        <v>422</v>
      </c>
      <c r="K1525" s="13" t="s">
        <v>202</v>
      </c>
      <c r="L1525" s="14" t="s">
        <v>145</v>
      </c>
      <c r="M1525" s="13" t="s">
        <v>205</v>
      </c>
      <c r="N1525" s="14" t="s">
        <v>84</v>
      </c>
      <c r="O1525" s="13" t="s">
        <v>205</v>
      </c>
      <c r="P1525" s="14" t="s">
        <v>95</v>
      </c>
      <c r="Q1525" s="13" t="s">
        <v>207</v>
      </c>
      <c r="R1525" s="14" t="s">
        <v>123</v>
      </c>
      <c r="S1525" s="15" t="n">
        <f>213.29</f>
        <v>213.29</v>
      </c>
      <c r="T1525" s="16" t="n">
        <f>508</f>
        <v>508.0</v>
      </c>
      <c r="U1525" s="16" t="n">
        <v>8.0</v>
      </c>
      <c r="V1525" s="16" t="n">
        <f>92811000</f>
        <v>9.2811E7</v>
      </c>
      <c r="W1525" s="16" t="n">
        <v>1895000.0</v>
      </c>
      <c r="X1525" s="16" t="str">
        <f>"－"</f>
        <v>－</v>
      </c>
      <c r="Y1525" s="13" t="s">
        <v>53</v>
      </c>
      <c r="Z1525" s="17" t="n">
        <f>208</f>
        <v>208.0</v>
      </c>
      <c r="AA1525" s="18" t="n">
        <f>7</f>
        <v>7.0</v>
      </c>
      <c r="AB1525" s="11" t="s">
        <v>870</v>
      </c>
    </row>
    <row r="1526">
      <c r="A1526" s="11" t="s">
        <v>46</v>
      </c>
      <c r="B1526" s="11" t="s">
        <v>865</v>
      </c>
      <c r="C1526" s="11" t="s">
        <v>866</v>
      </c>
      <c r="D1526" s="11" t="s">
        <v>651</v>
      </c>
      <c r="E1526" s="11" t="s">
        <v>869</v>
      </c>
      <c r="F1526" s="12" t="n">
        <v>30250.0</v>
      </c>
      <c r="G1526" s="13" t="s">
        <v>56</v>
      </c>
      <c r="H1526" s="14" t="s">
        <v>223</v>
      </c>
      <c r="I1526" s="13" t="s">
        <v>202</v>
      </c>
      <c r="J1526" s="14" t="s">
        <v>245</v>
      </c>
      <c r="K1526" s="13" t="s">
        <v>288</v>
      </c>
      <c r="L1526" s="14" t="s">
        <v>232</v>
      </c>
      <c r="M1526" s="13" t="s">
        <v>205</v>
      </c>
      <c r="N1526" s="14" t="s">
        <v>79</v>
      </c>
      <c r="O1526" s="13" t="s">
        <v>205</v>
      </c>
      <c r="P1526" s="14" t="s">
        <v>82</v>
      </c>
      <c r="Q1526" s="13" t="s">
        <v>207</v>
      </c>
      <c r="R1526" s="14" t="s">
        <v>341</v>
      </c>
      <c r="S1526" s="15" t="n">
        <f>150.5</f>
        <v>150.5</v>
      </c>
      <c r="T1526" s="16" t="n">
        <f>486</f>
        <v>486.0</v>
      </c>
      <c r="U1526" s="16" t="n">
        <v>7.0</v>
      </c>
      <c r="V1526" s="16" t="n">
        <f>69980000</f>
        <v>6.998E7</v>
      </c>
      <c r="W1526" s="16" t="n">
        <v>676000.0</v>
      </c>
      <c r="X1526" s="16" t="str">
        <f>"－"</f>
        <v>－</v>
      </c>
      <c r="Y1526" s="13" t="s">
        <v>53</v>
      </c>
      <c r="Z1526" s="17" t="n">
        <f>171</f>
        <v>171.0</v>
      </c>
      <c r="AA1526" s="18" t="n">
        <f>6</f>
        <v>6.0</v>
      </c>
      <c r="AB1526" s="11" t="s">
        <v>870</v>
      </c>
    </row>
    <row r="1527">
      <c r="A1527" s="11" t="s">
        <v>46</v>
      </c>
      <c r="B1527" s="11" t="s">
        <v>865</v>
      </c>
      <c r="C1527" s="11" t="s">
        <v>866</v>
      </c>
      <c r="D1527" s="11" t="s">
        <v>651</v>
      </c>
      <c r="E1527" s="11" t="s">
        <v>869</v>
      </c>
      <c r="F1527" s="12" t="n">
        <v>30375.0</v>
      </c>
      <c r="G1527" s="13" t="s">
        <v>52</v>
      </c>
      <c r="H1527" s="14" t="s">
        <v>108</v>
      </c>
      <c r="I1527" s="13" t="s">
        <v>202</v>
      </c>
      <c r="J1527" s="14" t="s">
        <v>196</v>
      </c>
      <c r="K1527" s="13" t="s">
        <v>202</v>
      </c>
      <c r="L1527" s="14" t="s">
        <v>342</v>
      </c>
      <c r="M1527" s="13" t="s">
        <v>205</v>
      </c>
      <c r="N1527" s="14" t="s">
        <v>75</v>
      </c>
      <c r="O1527" s="13" t="s">
        <v>205</v>
      </c>
      <c r="P1527" s="14" t="s">
        <v>74</v>
      </c>
      <c r="Q1527" s="13" t="s">
        <v>207</v>
      </c>
      <c r="R1527" s="14" t="s">
        <v>217</v>
      </c>
      <c r="S1527" s="15" t="n">
        <f>122.29</f>
        <v>122.29</v>
      </c>
      <c r="T1527" s="16" t="n">
        <f>567</f>
        <v>567.0</v>
      </c>
      <c r="U1527" s="16" t="n">
        <v>14.0</v>
      </c>
      <c r="V1527" s="16" t="n">
        <f>77145000</f>
        <v>7.7145E7</v>
      </c>
      <c r="W1527" s="16" t="n">
        <v>1707000.0</v>
      </c>
      <c r="X1527" s="16" t="str">
        <f>"－"</f>
        <v>－</v>
      </c>
      <c r="Y1527" s="13" t="s">
        <v>53</v>
      </c>
      <c r="Z1527" s="17" t="n">
        <f>154</f>
        <v>154.0</v>
      </c>
      <c r="AA1527" s="18" t="n">
        <f>7</f>
        <v>7.0</v>
      </c>
      <c r="AB1527" s="11" t="s">
        <v>870</v>
      </c>
    </row>
    <row r="1528">
      <c r="A1528" s="11" t="s">
        <v>46</v>
      </c>
      <c r="B1528" s="11" t="s">
        <v>865</v>
      </c>
      <c r="C1528" s="11" t="s">
        <v>866</v>
      </c>
      <c r="D1528" s="11" t="s">
        <v>651</v>
      </c>
      <c r="E1528" s="11" t="s">
        <v>869</v>
      </c>
      <c r="F1528" s="12" t="n">
        <v>30500.0</v>
      </c>
      <c r="G1528" s="13" t="s">
        <v>56</v>
      </c>
      <c r="H1528" s="14" t="s">
        <v>335</v>
      </c>
      <c r="I1528" s="13" t="s">
        <v>202</v>
      </c>
      <c r="J1528" s="14" t="s">
        <v>282</v>
      </c>
      <c r="K1528" s="13" t="s">
        <v>202</v>
      </c>
      <c r="L1528" s="14" t="s">
        <v>137</v>
      </c>
      <c r="M1528" s="13" t="s">
        <v>205</v>
      </c>
      <c r="N1528" s="14" t="s">
        <v>72</v>
      </c>
      <c r="O1528" s="13" t="s">
        <v>205</v>
      </c>
      <c r="P1528" s="14" t="s">
        <v>72</v>
      </c>
      <c r="Q1528" s="13" t="s">
        <v>207</v>
      </c>
      <c r="R1528" s="14" t="s">
        <v>81</v>
      </c>
      <c r="S1528" s="15" t="n">
        <f>98.83</f>
        <v>98.83</v>
      </c>
      <c r="T1528" s="16" t="n">
        <f>874</f>
        <v>874.0</v>
      </c>
      <c r="U1528" s="16" t="n">
        <v>118.0</v>
      </c>
      <c r="V1528" s="16" t="n">
        <f>110774000</f>
        <v>1.10774E8</v>
      </c>
      <c r="W1528" s="16" t="n">
        <v>1.7154E7</v>
      </c>
      <c r="X1528" s="16" t="str">
        <f>"－"</f>
        <v>－</v>
      </c>
      <c r="Y1528" s="13" t="s">
        <v>53</v>
      </c>
      <c r="Z1528" s="17" t="n">
        <f>77</f>
        <v>77.0</v>
      </c>
      <c r="AA1528" s="18" t="n">
        <f>6</f>
        <v>6.0</v>
      </c>
      <c r="AB1528" s="11" t="s">
        <v>870</v>
      </c>
    </row>
    <row r="1529">
      <c r="A1529" s="11" t="s">
        <v>46</v>
      </c>
      <c r="B1529" s="11" t="s">
        <v>865</v>
      </c>
      <c r="C1529" s="11" t="s">
        <v>866</v>
      </c>
      <c r="D1529" s="11" t="s">
        <v>651</v>
      </c>
      <c r="E1529" s="11" t="s">
        <v>869</v>
      </c>
      <c r="F1529" s="12" t="n">
        <v>30625.0</v>
      </c>
      <c r="G1529" s="13" t="s">
        <v>206</v>
      </c>
      <c r="H1529" s="14" t="s">
        <v>236</v>
      </c>
      <c r="I1529" s="13" t="s">
        <v>202</v>
      </c>
      <c r="J1529" s="14" t="s">
        <v>345</v>
      </c>
      <c r="K1529" s="13" t="s">
        <v>202</v>
      </c>
      <c r="L1529" s="14" t="s">
        <v>195</v>
      </c>
      <c r="M1529" s="13" t="s">
        <v>207</v>
      </c>
      <c r="N1529" s="14" t="s">
        <v>67</v>
      </c>
      <c r="O1529" s="13" t="s">
        <v>205</v>
      </c>
      <c r="P1529" s="14" t="s">
        <v>69</v>
      </c>
      <c r="Q1529" s="13" t="s">
        <v>207</v>
      </c>
      <c r="R1529" s="14" t="s">
        <v>71</v>
      </c>
      <c r="S1529" s="15" t="n">
        <f>75</f>
        <v>75.0</v>
      </c>
      <c r="T1529" s="16" t="n">
        <f>636</f>
        <v>636.0</v>
      </c>
      <c r="U1529" s="16" t="n">
        <v>79.0</v>
      </c>
      <c r="V1529" s="16" t="n">
        <f>57164000</f>
        <v>5.7164E7</v>
      </c>
      <c r="W1529" s="16" t="n">
        <v>9204000.0</v>
      </c>
      <c r="X1529" s="16" t="str">
        <f>"－"</f>
        <v>－</v>
      </c>
      <c r="Y1529" s="13" t="s">
        <v>53</v>
      </c>
      <c r="Z1529" s="17" t="n">
        <f>123</f>
        <v>123.0</v>
      </c>
      <c r="AA1529" s="18" t="n">
        <f>5</f>
        <v>5.0</v>
      </c>
      <c r="AB1529" s="11" t="s">
        <v>870</v>
      </c>
    </row>
    <row r="1530">
      <c r="A1530" s="11" t="s">
        <v>46</v>
      </c>
      <c r="B1530" s="11" t="s">
        <v>865</v>
      </c>
      <c r="C1530" s="11" t="s">
        <v>866</v>
      </c>
      <c r="D1530" s="11" t="s">
        <v>651</v>
      </c>
      <c r="E1530" s="11" t="s">
        <v>869</v>
      </c>
      <c r="F1530" s="12" t="n">
        <v>30750.0</v>
      </c>
      <c r="G1530" s="13" t="s">
        <v>202</v>
      </c>
      <c r="H1530" s="14" t="s">
        <v>286</v>
      </c>
      <c r="I1530" s="13" t="s">
        <v>202</v>
      </c>
      <c r="J1530" s="14" t="s">
        <v>131</v>
      </c>
      <c r="K1530" s="13" t="s">
        <v>202</v>
      </c>
      <c r="L1530" s="14" t="s">
        <v>124</v>
      </c>
      <c r="M1530" s="13" t="s">
        <v>207</v>
      </c>
      <c r="N1530" s="14" t="s">
        <v>62</v>
      </c>
      <c r="O1530" s="13" t="s">
        <v>207</v>
      </c>
      <c r="P1530" s="14" t="s">
        <v>62</v>
      </c>
      <c r="Q1530" s="13" t="s">
        <v>207</v>
      </c>
      <c r="R1530" s="14" t="s">
        <v>64</v>
      </c>
      <c r="S1530" s="15" t="n">
        <f>55.67</f>
        <v>55.67</v>
      </c>
      <c r="T1530" s="16" t="n">
        <f>358</f>
        <v>358.0</v>
      </c>
      <c r="U1530" s="16" t="n">
        <v>22.0</v>
      </c>
      <c r="V1530" s="16" t="n">
        <f>19397000</f>
        <v>1.9397E7</v>
      </c>
      <c r="W1530" s="16" t="n">
        <v>724000.0</v>
      </c>
      <c r="X1530" s="16" t="str">
        <f>"－"</f>
        <v>－</v>
      </c>
      <c r="Y1530" s="13" t="s">
        <v>53</v>
      </c>
      <c r="Z1530" s="17" t="n">
        <f>61</f>
        <v>61.0</v>
      </c>
      <c r="AA1530" s="18" t="n">
        <f>3</f>
        <v>3.0</v>
      </c>
      <c r="AB1530" s="11" t="s">
        <v>870</v>
      </c>
    </row>
    <row r="1531">
      <c r="A1531" s="11" t="s">
        <v>46</v>
      </c>
      <c r="B1531" s="11" t="s">
        <v>865</v>
      </c>
      <c r="C1531" s="11" t="s">
        <v>866</v>
      </c>
      <c r="D1531" s="11" t="s">
        <v>651</v>
      </c>
      <c r="E1531" s="11" t="s">
        <v>869</v>
      </c>
      <c r="F1531" s="12" t="n">
        <v>30875.0</v>
      </c>
      <c r="G1531" s="13" t="s">
        <v>202</v>
      </c>
      <c r="H1531" s="14" t="s">
        <v>348</v>
      </c>
      <c r="I1531" s="13" t="s">
        <v>202</v>
      </c>
      <c r="J1531" s="14" t="s">
        <v>261</v>
      </c>
      <c r="K1531" s="13" t="s">
        <v>288</v>
      </c>
      <c r="L1531" s="14" t="s">
        <v>117</v>
      </c>
      <c r="M1531" s="13" t="s">
        <v>207</v>
      </c>
      <c r="N1531" s="14" t="s">
        <v>59</v>
      </c>
      <c r="O1531" s="13" t="s">
        <v>207</v>
      </c>
      <c r="P1531" s="14" t="s">
        <v>59</v>
      </c>
      <c r="Q1531" s="13" t="s">
        <v>207</v>
      </c>
      <c r="R1531" s="14" t="s">
        <v>59</v>
      </c>
      <c r="S1531" s="15" t="n">
        <f>42.67</f>
        <v>42.67</v>
      </c>
      <c r="T1531" s="16" t="n">
        <f>279</f>
        <v>279.0</v>
      </c>
      <c r="U1531" s="16" t="n">
        <v>38.0</v>
      </c>
      <c r="V1531" s="16" t="n">
        <f>7997000</f>
        <v>7997000.0</v>
      </c>
      <c r="W1531" s="16" t="n">
        <v>448000.0</v>
      </c>
      <c r="X1531" s="16" t="str">
        <f>"－"</f>
        <v>－</v>
      </c>
      <c r="Y1531" s="13" t="s">
        <v>53</v>
      </c>
      <c r="Z1531" s="17" t="n">
        <f>100</f>
        <v>100.0</v>
      </c>
      <c r="AA1531" s="18" t="n">
        <f>3</f>
        <v>3.0</v>
      </c>
      <c r="AB1531" s="11" t="s">
        <v>870</v>
      </c>
    </row>
    <row r="1532">
      <c r="A1532" s="11" t="s">
        <v>46</v>
      </c>
      <c r="B1532" s="11" t="s">
        <v>865</v>
      </c>
      <c r="C1532" s="11" t="s">
        <v>866</v>
      </c>
      <c r="D1532" s="11" t="s">
        <v>651</v>
      </c>
      <c r="E1532" s="11" t="s">
        <v>869</v>
      </c>
      <c r="F1532" s="12" t="n">
        <v>31000.0</v>
      </c>
      <c r="G1532" s="13" t="s">
        <v>202</v>
      </c>
      <c r="H1532" s="14" t="s">
        <v>264</v>
      </c>
      <c r="I1532" s="13" t="s">
        <v>202</v>
      </c>
      <c r="J1532" s="14" t="s">
        <v>122</v>
      </c>
      <c r="K1532" s="13" t="s">
        <v>202</v>
      </c>
      <c r="L1532" s="14" t="s">
        <v>119</v>
      </c>
      <c r="M1532" s="13" t="s">
        <v>207</v>
      </c>
      <c r="N1532" s="14" t="s">
        <v>51</v>
      </c>
      <c r="O1532" s="13" t="s">
        <v>207</v>
      </c>
      <c r="P1532" s="14" t="s">
        <v>51</v>
      </c>
      <c r="Q1532" s="13" t="s">
        <v>207</v>
      </c>
      <c r="R1532" s="14" t="s">
        <v>51</v>
      </c>
      <c r="S1532" s="15" t="n">
        <f>33.33</f>
        <v>33.33</v>
      </c>
      <c r="T1532" s="16" t="n">
        <f>751</f>
        <v>751.0</v>
      </c>
      <c r="U1532" s="16" t="n">
        <v>52.0</v>
      </c>
      <c r="V1532" s="16" t="n">
        <f>18898000</f>
        <v>1.8898E7</v>
      </c>
      <c r="W1532" s="16" t="n">
        <v>559000.0</v>
      </c>
      <c r="X1532" s="16" t="str">
        <f>"－"</f>
        <v>－</v>
      </c>
      <c r="Y1532" s="13" t="s">
        <v>53</v>
      </c>
      <c r="Z1532" s="17" t="n">
        <f>218</f>
        <v>218.0</v>
      </c>
      <c r="AA1532" s="18" t="n">
        <f>3</f>
        <v>3.0</v>
      </c>
      <c r="AB1532" s="11" t="s">
        <v>870</v>
      </c>
    </row>
    <row r="1533">
      <c r="A1533" s="11" t="s">
        <v>46</v>
      </c>
      <c r="B1533" s="11" t="s">
        <v>865</v>
      </c>
      <c r="C1533" s="11" t="s">
        <v>866</v>
      </c>
      <c r="D1533" s="11" t="s">
        <v>651</v>
      </c>
      <c r="E1533" s="11" t="s">
        <v>869</v>
      </c>
      <c r="F1533" s="12" t="n">
        <v>31125.0</v>
      </c>
      <c r="G1533" s="13" t="s">
        <v>202</v>
      </c>
      <c r="H1533" s="14" t="s">
        <v>74</v>
      </c>
      <c r="I1533" s="13" t="s">
        <v>202</v>
      </c>
      <c r="J1533" s="14" t="s">
        <v>191</v>
      </c>
      <c r="K1533" s="13" t="s">
        <v>202</v>
      </c>
      <c r="L1533" s="14" t="s">
        <v>188</v>
      </c>
      <c r="M1533" s="13" t="s">
        <v>207</v>
      </c>
      <c r="N1533" s="14" t="s">
        <v>51</v>
      </c>
      <c r="O1533" s="13" t="s">
        <v>207</v>
      </c>
      <c r="P1533" s="14" t="s">
        <v>51</v>
      </c>
      <c r="Q1533" s="13" t="s">
        <v>207</v>
      </c>
      <c r="R1533" s="14" t="s">
        <v>51</v>
      </c>
      <c r="S1533" s="15" t="n">
        <f>19.33</f>
        <v>19.33</v>
      </c>
      <c r="T1533" s="16" t="n">
        <f>405</f>
        <v>405.0</v>
      </c>
      <c r="U1533" s="16" t="n">
        <v>33.0</v>
      </c>
      <c r="V1533" s="16" t="n">
        <f>10154000</f>
        <v>1.0154E7</v>
      </c>
      <c r="W1533" s="16" t="n">
        <v>308000.0</v>
      </c>
      <c r="X1533" s="16" t="str">
        <f>"－"</f>
        <v>－</v>
      </c>
      <c r="Y1533" s="13" t="s">
        <v>53</v>
      </c>
      <c r="Z1533" s="17" t="n">
        <f>177</f>
        <v>177.0</v>
      </c>
      <c r="AA1533" s="18" t="n">
        <f>3</f>
        <v>3.0</v>
      </c>
      <c r="AB1533" s="11" t="s">
        <v>870</v>
      </c>
    </row>
    <row r="1534">
      <c r="A1534" s="11" t="s">
        <v>46</v>
      </c>
      <c r="B1534" s="11" t="s">
        <v>865</v>
      </c>
      <c r="C1534" s="11" t="s">
        <v>866</v>
      </c>
      <c r="D1534" s="11" t="s">
        <v>651</v>
      </c>
      <c r="E1534" s="11" t="s">
        <v>869</v>
      </c>
      <c r="F1534" s="12" t="n">
        <v>31250.0</v>
      </c>
      <c r="G1534" s="13" t="s">
        <v>288</v>
      </c>
      <c r="H1534" s="14" t="s">
        <v>65</v>
      </c>
      <c r="I1534" s="13" t="s">
        <v>288</v>
      </c>
      <c r="J1534" s="14" t="s">
        <v>69</v>
      </c>
      <c r="K1534" s="13" t="s">
        <v>288</v>
      </c>
      <c r="L1534" s="14" t="s">
        <v>65</v>
      </c>
      <c r="M1534" s="13" t="s">
        <v>207</v>
      </c>
      <c r="N1534" s="14" t="s">
        <v>51</v>
      </c>
      <c r="O1534" s="13" t="s">
        <v>207</v>
      </c>
      <c r="P1534" s="14" t="s">
        <v>51</v>
      </c>
      <c r="Q1534" s="13" t="s">
        <v>207</v>
      </c>
      <c r="R1534" s="14" t="s">
        <v>51</v>
      </c>
      <c r="S1534" s="15" t="n">
        <f>1.5</f>
        <v>1.5</v>
      </c>
      <c r="T1534" s="16" t="n">
        <f>199</f>
        <v>199.0</v>
      </c>
      <c r="U1534" s="16" t="n">
        <v>16.0</v>
      </c>
      <c r="V1534" s="16" t="n">
        <f>340000</f>
        <v>340000.0</v>
      </c>
      <c r="W1534" s="16" t="n">
        <v>36000.0</v>
      </c>
      <c r="X1534" s="16" t="str">
        <f>"－"</f>
        <v>－</v>
      </c>
      <c r="Y1534" s="13" t="s">
        <v>53</v>
      </c>
      <c r="Z1534" s="17" t="n">
        <f>148</f>
        <v>148.0</v>
      </c>
      <c r="AA1534" s="18" t="n">
        <f>2</f>
        <v>2.0</v>
      </c>
      <c r="AB1534" s="11" t="s">
        <v>870</v>
      </c>
    </row>
    <row r="1535">
      <c r="A1535" s="11" t="s">
        <v>46</v>
      </c>
      <c r="B1535" s="11" t="s">
        <v>865</v>
      </c>
      <c r="C1535" s="11" t="s">
        <v>866</v>
      </c>
      <c r="D1535" s="11" t="s">
        <v>651</v>
      </c>
      <c r="E1535" s="11" t="s">
        <v>869</v>
      </c>
      <c r="F1535" s="12" t="n">
        <v>31375.0</v>
      </c>
      <c r="G1535" s="13" t="s">
        <v>288</v>
      </c>
      <c r="H1535" s="14" t="s">
        <v>62</v>
      </c>
      <c r="I1535" s="13" t="s">
        <v>288</v>
      </c>
      <c r="J1535" s="14" t="s">
        <v>62</v>
      </c>
      <c r="K1535" s="13" t="s">
        <v>288</v>
      </c>
      <c r="L1535" s="14" t="s">
        <v>51</v>
      </c>
      <c r="M1535" s="13" t="s">
        <v>207</v>
      </c>
      <c r="N1535" s="14" t="s">
        <v>51</v>
      </c>
      <c r="O1535" s="13" t="s">
        <v>288</v>
      </c>
      <c r="P1535" s="14" t="s">
        <v>51</v>
      </c>
      <c r="Q1535" s="13" t="s">
        <v>207</v>
      </c>
      <c r="R1535" s="14" t="s">
        <v>62</v>
      </c>
      <c r="S1535" s="15" t="n">
        <f>3</f>
        <v>3.0</v>
      </c>
      <c r="T1535" s="16" t="n">
        <f>97</f>
        <v>97.0</v>
      </c>
      <c r="U1535" s="16" t="n">
        <v>1.0</v>
      </c>
      <c r="V1535" s="16" t="n">
        <f>113000</f>
        <v>113000.0</v>
      </c>
      <c r="W1535" s="16" t="n">
        <v>1000.0</v>
      </c>
      <c r="X1535" s="16" t="str">
        <f>"－"</f>
        <v>－</v>
      </c>
      <c r="Y1535" s="13" t="s">
        <v>53</v>
      </c>
      <c r="Z1535" s="17" t="n">
        <f>45</f>
        <v>45.0</v>
      </c>
      <c r="AA1535" s="18" t="n">
        <f>2</f>
        <v>2.0</v>
      </c>
      <c r="AB1535" s="11" t="s">
        <v>870</v>
      </c>
    </row>
    <row r="1536">
      <c r="A1536" s="11" t="s">
        <v>46</v>
      </c>
      <c r="B1536" s="11" t="s">
        <v>865</v>
      </c>
      <c r="C1536" s="11" t="s">
        <v>866</v>
      </c>
      <c r="D1536" s="11" t="s">
        <v>651</v>
      </c>
      <c r="E1536" s="11" t="s">
        <v>869</v>
      </c>
      <c r="F1536" s="12" t="n">
        <v>31500.0</v>
      </c>
      <c r="G1536" s="13" t="s">
        <v>288</v>
      </c>
      <c r="H1536" s="14" t="s">
        <v>62</v>
      </c>
      <c r="I1536" s="13" t="s">
        <v>288</v>
      </c>
      <c r="J1536" s="14" t="s">
        <v>64</v>
      </c>
      <c r="K1536" s="13" t="s">
        <v>288</v>
      </c>
      <c r="L1536" s="14" t="s">
        <v>62</v>
      </c>
      <c r="M1536" s="13" t="s">
        <v>288</v>
      </c>
      <c r="N1536" s="14" t="s">
        <v>51</v>
      </c>
      <c r="O1536" s="13" t="s">
        <v>288</v>
      </c>
      <c r="P1536" s="14" t="s">
        <v>51</v>
      </c>
      <c r="Q1536" s="13" t="s">
        <v>207</v>
      </c>
      <c r="R1536" s="14" t="s">
        <v>51</v>
      </c>
      <c r="S1536" s="15" t="n">
        <f>1</f>
        <v>1.0</v>
      </c>
      <c r="T1536" s="16" t="n">
        <f>159</f>
        <v>159.0</v>
      </c>
      <c r="U1536" s="16" t="n">
        <v>10.0</v>
      </c>
      <c r="V1536" s="16" t="n">
        <f>408000</f>
        <v>408000.0</v>
      </c>
      <c r="W1536" s="16" t="n">
        <v>23000.0</v>
      </c>
      <c r="X1536" s="16" t="str">
        <f>"－"</f>
        <v>－</v>
      </c>
      <c r="Y1536" s="13" t="s">
        <v>53</v>
      </c>
      <c r="Z1536" s="17" t="n">
        <f>94</f>
        <v>94.0</v>
      </c>
      <c r="AA1536" s="18" t="n">
        <f>2</f>
        <v>2.0</v>
      </c>
      <c r="AB1536" s="11" t="s">
        <v>870</v>
      </c>
    </row>
    <row r="1537">
      <c r="A1537" s="11" t="s">
        <v>46</v>
      </c>
      <c r="B1537" s="11" t="s">
        <v>865</v>
      </c>
      <c r="C1537" s="11" t="s">
        <v>866</v>
      </c>
      <c r="D1537" s="11" t="s">
        <v>651</v>
      </c>
      <c r="E1537" s="11" t="s">
        <v>871</v>
      </c>
      <c r="F1537" s="12" t="n">
        <v>27500.0</v>
      </c>
      <c r="G1537" s="13" t="s">
        <v>58</v>
      </c>
      <c r="H1537" s="14" t="s">
        <v>425</v>
      </c>
      <c r="I1537" s="13" t="s">
        <v>58</v>
      </c>
      <c r="J1537" s="14" t="s">
        <v>425</v>
      </c>
      <c r="K1537" s="13"/>
      <c r="L1537" s="14"/>
      <c r="M1537" s="13" t="s">
        <v>58</v>
      </c>
      <c r="N1537" s="14" t="s">
        <v>425</v>
      </c>
      <c r="O1537" s="13"/>
      <c r="P1537" s="14"/>
      <c r="Q1537" s="13" t="s">
        <v>58</v>
      </c>
      <c r="R1537" s="14" t="s">
        <v>425</v>
      </c>
      <c r="S1537" s="15" t="n">
        <f>1150</f>
        <v>1150.0</v>
      </c>
      <c r="T1537" s="16" t="n">
        <f>5</f>
        <v>5.0</v>
      </c>
      <c r="U1537" s="16"/>
      <c r="V1537" s="16" t="n">
        <f>5750000</f>
        <v>5750000.0</v>
      </c>
      <c r="W1537" s="16"/>
      <c r="X1537" s="16" t="str">
        <f>"－"</f>
        <v>－</v>
      </c>
      <c r="Y1537" s="13" t="s">
        <v>53</v>
      </c>
      <c r="Z1537" s="17" t="str">
        <f>"－"</f>
        <v>－</v>
      </c>
      <c r="AA1537" s="18" t="n">
        <f>1</f>
        <v>1.0</v>
      </c>
      <c r="AB1537" s="11" t="s">
        <v>872</v>
      </c>
    </row>
    <row r="1538">
      <c r="A1538" s="11" t="s">
        <v>46</v>
      </c>
      <c r="B1538" s="11" t="s">
        <v>865</v>
      </c>
      <c r="C1538" s="11" t="s">
        <v>866</v>
      </c>
      <c r="D1538" s="11" t="s">
        <v>651</v>
      </c>
      <c r="E1538" s="11" t="s">
        <v>871</v>
      </c>
      <c r="F1538" s="12" t="n">
        <v>28500.0</v>
      </c>
      <c r="G1538" s="13"/>
      <c r="H1538" s="14" t="s">
        <v>57</v>
      </c>
      <c r="I1538" s="13"/>
      <c r="J1538" s="14" t="s">
        <v>57</v>
      </c>
      <c r="K1538" s="13"/>
      <c r="L1538" s="14"/>
      <c r="M1538" s="13"/>
      <c r="N1538" s="14" t="s">
        <v>57</v>
      </c>
      <c r="O1538" s="13"/>
      <c r="P1538" s="14"/>
      <c r="Q1538" s="13"/>
      <c r="R1538" s="14" t="s">
        <v>57</v>
      </c>
      <c r="S1538" s="15" t="str">
        <f>"－"</f>
        <v>－</v>
      </c>
      <c r="T1538" s="16" t="str">
        <f>"－"</f>
        <v>－</v>
      </c>
      <c r="U1538" s="16"/>
      <c r="V1538" s="16" t="str">
        <f>"－"</f>
        <v>－</v>
      </c>
      <c r="W1538" s="16"/>
      <c r="X1538" s="16" t="n">
        <f>250</f>
        <v>250.0</v>
      </c>
      <c r="Y1538" s="13" t="s">
        <v>53</v>
      </c>
      <c r="Z1538" s="17" t="str">
        <f>"－"</f>
        <v>－</v>
      </c>
      <c r="AA1538" s="18" t="str">
        <f>"－"</f>
        <v>－</v>
      </c>
      <c r="AB1538" s="11" t="s">
        <v>872</v>
      </c>
    </row>
    <row r="1539">
      <c r="A1539" s="11" t="s">
        <v>46</v>
      </c>
      <c r="B1539" s="11" t="s">
        <v>865</v>
      </c>
      <c r="C1539" s="11" t="s">
        <v>866</v>
      </c>
      <c r="D1539" s="11" t="s">
        <v>651</v>
      </c>
      <c r="E1539" s="11" t="s">
        <v>871</v>
      </c>
      <c r="F1539" s="12" t="n">
        <v>28625.0</v>
      </c>
      <c r="G1539" s="13" t="s">
        <v>61</v>
      </c>
      <c r="H1539" s="14" t="s">
        <v>376</v>
      </c>
      <c r="I1539" s="13" t="s">
        <v>61</v>
      </c>
      <c r="J1539" s="14" t="s">
        <v>376</v>
      </c>
      <c r="K1539" s="13"/>
      <c r="L1539" s="14"/>
      <c r="M1539" s="13" t="s">
        <v>61</v>
      </c>
      <c r="N1539" s="14" t="s">
        <v>376</v>
      </c>
      <c r="O1539" s="13"/>
      <c r="P1539" s="14"/>
      <c r="Q1539" s="13" t="s">
        <v>61</v>
      </c>
      <c r="R1539" s="14" t="s">
        <v>376</v>
      </c>
      <c r="S1539" s="15" t="n">
        <f>590</f>
        <v>590.0</v>
      </c>
      <c r="T1539" s="16" t="n">
        <f>5</f>
        <v>5.0</v>
      </c>
      <c r="U1539" s="16"/>
      <c r="V1539" s="16" t="n">
        <f>2950000</f>
        <v>2950000.0</v>
      </c>
      <c r="W1539" s="16"/>
      <c r="X1539" s="16" t="str">
        <f>"－"</f>
        <v>－</v>
      </c>
      <c r="Y1539" s="13" t="s">
        <v>53</v>
      </c>
      <c r="Z1539" s="17" t="str">
        <f>"－"</f>
        <v>－</v>
      </c>
      <c r="AA1539" s="18" t="n">
        <f>1</f>
        <v>1.0</v>
      </c>
      <c r="AB1539" s="11" t="s">
        <v>872</v>
      </c>
    </row>
    <row r="1540">
      <c r="A1540" s="11" t="s">
        <v>46</v>
      </c>
      <c r="B1540" s="11" t="s">
        <v>865</v>
      </c>
      <c r="C1540" s="11" t="s">
        <v>866</v>
      </c>
      <c r="D1540" s="11" t="s">
        <v>651</v>
      </c>
      <c r="E1540" s="11" t="s">
        <v>871</v>
      </c>
      <c r="F1540" s="12" t="n">
        <v>29625.0</v>
      </c>
      <c r="G1540" s="13" t="s">
        <v>56</v>
      </c>
      <c r="H1540" s="14" t="s">
        <v>257</v>
      </c>
      <c r="I1540" s="13" t="s">
        <v>215</v>
      </c>
      <c r="J1540" s="14" t="s">
        <v>290</v>
      </c>
      <c r="K1540" s="13"/>
      <c r="L1540" s="14"/>
      <c r="M1540" s="13" t="s">
        <v>210</v>
      </c>
      <c r="N1540" s="14" t="s">
        <v>232</v>
      </c>
      <c r="O1540" s="13"/>
      <c r="P1540" s="14"/>
      <c r="Q1540" s="13" t="s">
        <v>215</v>
      </c>
      <c r="R1540" s="14" t="s">
        <v>249</v>
      </c>
      <c r="S1540" s="15" t="n">
        <f>373.33</f>
        <v>373.33</v>
      </c>
      <c r="T1540" s="16" t="n">
        <f>16</f>
        <v>16.0</v>
      </c>
      <c r="U1540" s="16"/>
      <c r="V1540" s="16" t="n">
        <f>5995000</f>
        <v>5995000.0</v>
      </c>
      <c r="W1540" s="16"/>
      <c r="X1540" s="16" t="str">
        <f>"－"</f>
        <v>－</v>
      </c>
      <c r="Y1540" s="13" t="s">
        <v>53</v>
      </c>
      <c r="Z1540" s="17" t="n">
        <f>5</f>
        <v>5.0</v>
      </c>
      <c r="AA1540" s="18" t="n">
        <f>3</f>
        <v>3.0</v>
      </c>
      <c r="AB1540" s="11" t="s">
        <v>872</v>
      </c>
    </row>
    <row r="1541">
      <c r="A1541" s="11" t="s">
        <v>46</v>
      </c>
      <c r="B1541" s="11" t="s">
        <v>865</v>
      </c>
      <c r="C1541" s="11" t="s">
        <v>866</v>
      </c>
      <c r="D1541" s="11" t="s">
        <v>651</v>
      </c>
      <c r="E1541" s="11" t="s">
        <v>871</v>
      </c>
      <c r="F1541" s="12" t="n">
        <v>29750.0</v>
      </c>
      <c r="G1541" s="13" t="s">
        <v>210</v>
      </c>
      <c r="H1541" s="14" t="s">
        <v>185</v>
      </c>
      <c r="I1541" s="13" t="s">
        <v>215</v>
      </c>
      <c r="J1541" s="14" t="s">
        <v>237</v>
      </c>
      <c r="K1541" s="13"/>
      <c r="L1541" s="14"/>
      <c r="M1541" s="13" t="s">
        <v>210</v>
      </c>
      <c r="N1541" s="14" t="s">
        <v>286</v>
      </c>
      <c r="O1541" s="13"/>
      <c r="P1541" s="14"/>
      <c r="Q1541" s="13" t="s">
        <v>215</v>
      </c>
      <c r="R1541" s="14" t="s">
        <v>237</v>
      </c>
      <c r="S1541" s="15" t="n">
        <f>225</f>
        <v>225.0</v>
      </c>
      <c r="T1541" s="16" t="n">
        <f>115</f>
        <v>115.0</v>
      </c>
      <c r="U1541" s="16"/>
      <c r="V1541" s="16" t="n">
        <f>24795000</f>
        <v>2.4795E7</v>
      </c>
      <c r="W1541" s="16"/>
      <c r="X1541" s="16" t="str">
        <f>"－"</f>
        <v>－</v>
      </c>
      <c r="Y1541" s="13" t="s">
        <v>53</v>
      </c>
      <c r="Z1541" s="17" t="n">
        <f>24</f>
        <v>24.0</v>
      </c>
      <c r="AA1541" s="18" t="n">
        <f>2</f>
        <v>2.0</v>
      </c>
      <c r="AB1541" s="11" t="s">
        <v>872</v>
      </c>
    </row>
    <row r="1542">
      <c r="A1542" s="11" t="s">
        <v>46</v>
      </c>
      <c r="B1542" s="11" t="s">
        <v>865</v>
      </c>
      <c r="C1542" s="11" t="s">
        <v>866</v>
      </c>
      <c r="D1542" s="11" t="s">
        <v>651</v>
      </c>
      <c r="E1542" s="11" t="s">
        <v>871</v>
      </c>
      <c r="F1542" s="12" t="n">
        <v>29875.0</v>
      </c>
      <c r="G1542" s="13" t="s">
        <v>208</v>
      </c>
      <c r="H1542" s="14" t="s">
        <v>257</v>
      </c>
      <c r="I1542" s="13" t="s">
        <v>208</v>
      </c>
      <c r="J1542" s="14" t="s">
        <v>257</v>
      </c>
      <c r="K1542" s="13"/>
      <c r="L1542" s="14"/>
      <c r="M1542" s="13" t="s">
        <v>210</v>
      </c>
      <c r="N1542" s="14" t="s">
        <v>117</v>
      </c>
      <c r="O1542" s="13"/>
      <c r="P1542" s="14"/>
      <c r="Q1542" s="13" t="s">
        <v>215</v>
      </c>
      <c r="R1542" s="14" t="s">
        <v>141</v>
      </c>
      <c r="S1542" s="15" t="n">
        <f>265</f>
        <v>265.0</v>
      </c>
      <c r="T1542" s="16" t="n">
        <f>41</f>
        <v>41.0</v>
      </c>
      <c r="U1542" s="16"/>
      <c r="V1542" s="16" t="n">
        <f>10090000</f>
        <v>1.009E7</v>
      </c>
      <c r="W1542" s="16"/>
      <c r="X1542" s="16" t="str">
        <f>"－"</f>
        <v>－</v>
      </c>
      <c r="Y1542" s="13" t="s">
        <v>53</v>
      </c>
      <c r="Z1542" s="17" t="n">
        <f>7</f>
        <v>7.0</v>
      </c>
      <c r="AA1542" s="18" t="n">
        <f>3</f>
        <v>3.0</v>
      </c>
      <c r="AB1542" s="11" t="s">
        <v>872</v>
      </c>
    </row>
    <row r="1543">
      <c r="A1543" s="11" t="s">
        <v>46</v>
      </c>
      <c r="B1543" s="11" t="s">
        <v>865</v>
      </c>
      <c r="C1543" s="11" t="s">
        <v>866</v>
      </c>
      <c r="D1543" s="11" t="s">
        <v>651</v>
      </c>
      <c r="E1543" s="11" t="s">
        <v>871</v>
      </c>
      <c r="F1543" s="12" t="n">
        <v>30000.0</v>
      </c>
      <c r="G1543" s="13" t="s">
        <v>206</v>
      </c>
      <c r="H1543" s="14" t="s">
        <v>127</v>
      </c>
      <c r="I1543" s="13" t="s">
        <v>288</v>
      </c>
      <c r="J1543" s="14" t="s">
        <v>534</v>
      </c>
      <c r="K1543" s="13" t="s">
        <v>215</v>
      </c>
      <c r="L1543" s="14" t="s">
        <v>286</v>
      </c>
      <c r="M1543" s="13" t="s">
        <v>210</v>
      </c>
      <c r="N1543" s="14" t="s">
        <v>97</v>
      </c>
      <c r="O1543" s="13" t="s">
        <v>215</v>
      </c>
      <c r="P1543" s="14" t="s">
        <v>106</v>
      </c>
      <c r="Q1543" s="13" t="s">
        <v>215</v>
      </c>
      <c r="R1543" s="14" t="s">
        <v>134</v>
      </c>
      <c r="S1543" s="15" t="n">
        <f>294.29</f>
        <v>294.29</v>
      </c>
      <c r="T1543" s="16" t="n">
        <f>134</f>
        <v>134.0</v>
      </c>
      <c r="U1543" s="16" t="n">
        <v>12.0</v>
      </c>
      <c r="V1543" s="16" t="n">
        <f>25274000</f>
        <v>2.5274E7</v>
      </c>
      <c r="W1543" s="16" t="n">
        <v>1570000.0</v>
      </c>
      <c r="X1543" s="16" t="str">
        <f>"－"</f>
        <v>－</v>
      </c>
      <c r="Y1543" s="13" t="s">
        <v>53</v>
      </c>
      <c r="Z1543" s="17" t="n">
        <f>47</f>
        <v>47.0</v>
      </c>
      <c r="AA1543" s="18" t="n">
        <f>7</f>
        <v>7.0</v>
      </c>
      <c r="AB1543" s="11" t="s">
        <v>872</v>
      </c>
    </row>
    <row r="1544">
      <c r="A1544" s="11" t="s">
        <v>46</v>
      </c>
      <c r="B1544" s="11" t="s">
        <v>865</v>
      </c>
      <c r="C1544" s="11" t="s">
        <v>866</v>
      </c>
      <c r="D1544" s="11" t="s">
        <v>651</v>
      </c>
      <c r="E1544" s="11" t="s">
        <v>871</v>
      </c>
      <c r="F1544" s="12" t="n">
        <v>30125.0</v>
      </c>
      <c r="G1544" s="13" t="s">
        <v>206</v>
      </c>
      <c r="H1544" s="14" t="s">
        <v>286</v>
      </c>
      <c r="I1544" s="13" t="s">
        <v>211</v>
      </c>
      <c r="J1544" s="14" t="s">
        <v>151</v>
      </c>
      <c r="K1544" s="13" t="s">
        <v>215</v>
      </c>
      <c r="L1544" s="14" t="s">
        <v>125</v>
      </c>
      <c r="M1544" s="13" t="s">
        <v>210</v>
      </c>
      <c r="N1544" s="14" t="s">
        <v>89</v>
      </c>
      <c r="O1544" s="13" t="s">
        <v>210</v>
      </c>
      <c r="P1544" s="14" t="s">
        <v>217</v>
      </c>
      <c r="Q1544" s="13" t="s">
        <v>215</v>
      </c>
      <c r="R1544" s="14" t="s">
        <v>286</v>
      </c>
      <c r="S1544" s="15" t="n">
        <f>211.43</f>
        <v>211.43</v>
      </c>
      <c r="T1544" s="16" t="n">
        <f>216</f>
        <v>216.0</v>
      </c>
      <c r="U1544" s="16" t="n">
        <v>14.0</v>
      </c>
      <c r="V1544" s="16" t="n">
        <f>22332000</f>
        <v>2.2332E7</v>
      </c>
      <c r="W1544" s="16" t="n">
        <v>1305000.0</v>
      </c>
      <c r="X1544" s="16" t="str">
        <f>"－"</f>
        <v>－</v>
      </c>
      <c r="Y1544" s="13" t="s">
        <v>53</v>
      </c>
      <c r="Z1544" s="17" t="n">
        <f>62</f>
        <v>62.0</v>
      </c>
      <c r="AA1544" s="18" t="n">
        <f>7</f>
        <v>7.0</v>
      </c>
      <c r="AB1544" s="11" t="s">
        <v>872</v>
      </c>
    </row>
    <row r="1545">
      <c r="A1545" s="11" t="s">
        <v>46</v>
      </c>
      <c r="B1545" s="11" t="s">
        <v>865</v>
      </c>
      <c r="C1545" s="11" t="s">
        <v>866</v>
      </c>
      <c r="D1545" s="11" t="s">
        <v>651</v>
      </c>
      <c r="E1545" s="11" t="s">
        <v>871</v>
      </c>
      <c r="F1545" s="12" t="n">
        <v>30250.0</v>
      </c>
      <c r="G1545" s="13" t="s">
        <v>52</v>
      </c>
      <c r="H1545" s="14" t="s">
        <v>233</v>
      </c>
      <c r="I1545" s="13" t="s">
        <v>202</v>
      </c>
      <c r="J1545" s="14" t="s">
        <v>534</v>
      </c>
      <c r="K1545" s="13" t="s">
        <v>211</v>
      </c>
      <c r="L1545" s="14" t="s">
        <v>362</v>
      </c>
      <c r="M1545" s="13" t="s">
        <v>210</v>
      </c>
      <c r="N1545" s="14" t="s">
        <v>214</v>
      </c>
      <c r="O1545" s="13" t="s">
        <v>215</v>
      </c>
      <c r="P1545" s="14" t="s">
        <v>74</v>
      </c>
      <c r="Q1545" s="13" t="s">
        <v>215</v>
      </c>
      <c r="R1545" s="14" t="s">
        <v>276</v>
      </c>
      <c r="S1545" s="15" t="n">
        <f>217.25</f>
        <v>217.25</v>
      </c>
      <c r="T1545" s="16" t="n">
        <f>491</f>
        <v>491.0</v>
      </c>
      <c r="U1545" s="16" t="n">
        <v>24.0</v>
      </c>
      <c r="V1545" s="16" t="n">
        <f>51108000</f>
        <v>5.1108E7</v>
      </c>
      <c r="W1545" s="16" t="n">
        <v>2125000.0</v>
      </c>
      <c r="X1545" s="16" t="str">
        <f>"－"</f>
        <v>－</v>
      </c>
      <c r="Y1545" s="13" t="s">
        <v>53</v>
      </c>
      <c r="Z1545" s="17" t="n">
        <f>211</f>
        <v>211.0</v>
      </c>
      <c r="AA1545" s="18" t="n">
        <f>8</f>
        <v>8.0</v>
      </c>
      <c r="AB1545" s="11" t="s">
        <v>872</v>
      </c>
    </row>
    <row r="1546">
      <c r="A1546" s="11" t="s">
        <v>46</v>
      </c>
      <c r="B1546" s="11" t="s">
        <v>865</v>
      </c>
      <c r="C1546" s="11" t="s">
        <v>866</v>
      </c>
      <c r="D1546" s="11" t="s">
        <v>651</v>
      </c>
      <c r="E1546" s="11" t="s">
        <v>871</v>
      </c>
      <c r="F1546" s="12" t="n">
        <v>30375.0</v>
      </c>
      <c r="G1546" s="13" t="s">
        <v>207</v>
      </c>
      <c r="H1546" s="14" t="s">
        <v>135</v>
      </c>
      <c r="I1546" s="13" t="s">
        <v>211</v>
      </c>
      <c r="J1546" s="14" t="s">
        <v>134</v>
      </c>
      <c r="K1546" s="13" t="s">
        <v>211</v>
      </c>
      <c r="L1546" s="14" t="s">
        <v>125</v>
      </c>
      <c r="M1546" s="13" t="s">
        <v>215</v>
      </c>
      <c r="N1546" s="14" t="s">
        <v>181</v>
      </c>
      <c r="O1546" s="13" t="s">
        <v>215</v>
      </c>
      <c r="P1546" s="14" t="s">
        <v>70</v>
      </c>
      <c r="Q1546" s="13" t="s">
        <v>215</v>
      </c>
      <c r="R1546" s="14" t="s">
        <v>81</v>
      </c>
      <c r="S1546" s="15" t="n">
        <f>113.6</f>
        <v>113.6</v>
      </c>
      <c r="T1546" s="16" t="n">
        <f>677</f>
        <v>677.0</v>
      </c>
      <c r="U1546" s="16" t="n">
        <v>16.0</v>
      </c>
      <c r="V1546" s="16" t="n">
        <f>49164000</f>
        <v>4.9164E7</v>
      </c>
      <c r="W1546" s="16" t="n">
        <v>566000.0</v>
      </c>
      <c r="X1546" s="16" t="str">
        <f>"－"</f>
        <v>－</v>
      </c>
      <c r="Y1546" s="13" t="s">
        <v>53</v>
      </c>
      <c r="Z1546" s="17" t="n">
        <f>305</f>
        <v>305.0</v>
      </c>
      <c r="AA1546" s="18" t="n">
        <f>5</f>
        <v>5.0</v>
      </c>
      <c r="AB1546" s="11" t="s">
        <v>872</v>
      </c>
    </row>
    <row r="1547">
      <c r="A1547" s="11" t="s">
        <v>46</v>
      </c>
      <c r="B1547" s="11" t="s">
        <v>865</v>
      </c>
      <c r="C1547" s="11" t="s">
        <v>866</v>
      </c>
      <c r="D1547" s="11" t="s">
        <v>651</v>
      </c>
      <c r="E1547" s="11" t="s">
        <v>871</v>
      </c>
      <c r="F1547" s="12" t="n">
        <v>30500.0</v>
      </c>
      <c r="G1547" s="13" t="s">
        <v>205</v>
      </c>
      <c r="H1547" s="14" t="s">
        <v>128</v>
      </c>
      <c r="I1547" s="13" t="s">
        <v>207</v>
      </c>
      <c r="J1547" s="14" t="s">
        <v>232</v>
      </c>
      <c r="K1547" s="13" t="s">
        <v>202</v>
      </c>
      <c r="L1547" s="14" t="s">
        <v>180</v>
      </c>
      <c r="M1547" s="13" t="s">
        <v>215</v>
      </c>
      <c r="N1547" s="14" t="s">
        <v>67</v>
      </c>
      <c r="O1547" s="13" t="s">
        <v>210</v>
      </c>
      <c r="P1547" s="14" t="s">
        <v>68</v>
      </c>
      <c r="Q1547" s="13" t="s">
        <v>215</v>
      </c>
      <c r="R1547" s="14" t="s">
        <v>71</v>
      </c>
      <c r="S1547" s="15" t="n">
        <f>102.17</f>
        <v>102.17</v>
      </c>
      <c r="T1547" s="16" t="n">
        <f>787</f>
        <v>787.0</v>
      </c>
      <c r="U1547" s="16" t="n">
        <v>66.0</v>
      </c>
      <c r="V1547" s="16" t="n">
        <f>44487000</f>
        <v>4.4487E7</v>
      </c>
      <c r="W1547" s="16" t="n">
        <v>4355000.0</v>
      </c>
      <c r="X1547" s="16" t="str">
        <f>"－"</f>
        <v>－</v>
      </c>
      <c r="Y1547" s="13" t="s">
        <v>53</v>
      </c>
      <c r="Z1547" s="17" t="n">
        <f>256</f>
        <v>256.0</v>
      </c>
      <c r="AA1547" s="18" t="n">
        <f>6</f>
        <v>6.0</v>
      </c>
      <c r="AB1547" s="11" t="s">
        <v>872</v>
      </c>
    </row>
    <row r="1548">
      <c r="A1548" s="11" t="s">
        <v>46</v>
      </c>
      <c r="B1548" s="11" t="s">
        <v>865</v>
      </c>
      <c r="C1548" s="11" t="s">
        <v>866</v>
      </c>
      <c r="D1548" s="11" t="s">
        <v>651</v>
      </c>
      <c r="E1548" s="11" t="s">
        <v>871</v>
      </c>
      <c r="F1548" s="12" t="n">
        <v>30625.0</v>
      </c>
      <c r="G1548" s="13" t="s">
        <v>206</v>
      </c>
      <c r="H1548" s="14" t="s">
        <v>225</v>
      </c>
      <c r="I1548" s="13" t="s">
        <v>202</v>
      </c>
      <c r="J1548" s="14" t="s">
        <v>282</v>
      </c>
      <c r="K1548" s="13" t="s">
        <v>211</v>
      </c>
      <c r="L1548" s="14" t="s">
        <v>112</v>
      </c>
      <c r="M1548" s="13" t="s">
        <v>215</v>
      </c>
      <c r="N1548" s="14" t="s">
        <v>59</v>
      </c>
      <c r="O1548" s="13" t="s">
        <v>215</v>
      </c>
      <c r="P1548" s="14" t="s">
        <v>62</v>
      </c>
      <c r="Q1548" s="13" t="s">
        <v>215</v>
      </c>
      <c r="R1548" s="14" t="s">
        <v>59</v>
      </c>
      <c r="S1548" s="15" t="n">
        <f>107.88</f>
        <v>107.88</v>
      </c>
      <c r="T1548" s="16" t="n">
        <f>253</f>
        <v>253.0</v>
      </c>
      <c r="U1548" s="16" t="n">
        <v>30.0</v>
      </c>
      <c r="V1548" s="16" t="n">
        <f>10766000</f>
        <v>1.0766E7</v>
      </c>
      <c r="W1548" s="16" t="n">
        <v>507000.0</v>
      </c>
      <c r="X1548" s="16" t="str">
        <f>"－"</f>
        <v>－</v>
      </c>
      <c r="Y1548" s="13" t="s">
        <v>53</v>
      </c>
      <c r="Z1548" s="17" t="n">
        <f>76</f>
        <v>76.0</v>
      </c>
      <c r="AA1548" s="18" t="n">
        <f>8</f>
        <v>8.0</v>
      </c>
      <c r="AB1548" s="11" t="s">
        <v>872</v>
      </c>
    </row>
    <row r="1549">
      <c r="A1549" s="11" t="s">
        <v>46</v>
      </c>
      <c r="B1549" s="11" t="s">
        <v>865</v>
      </c>
      <c r="C1549" s="11" t="s">
        <v>866</v>
      </c>
      <c r="D1549" s="11" t="s">
        <v>651</v>
      </c>
      <c r="E1549" s="11" t="s">
        <v>871</v>
      </c>
      <c r="F1549" s="12" t="n">
        <v>30750.0</v>
      </c>
      <c r="G1549" s="13" t="s">
        <v>202</v>
      </c>
      <c r="H1549" s="14" t="s">
        <v>137</v>
      </c>
      <c r="I1549" s="13" t="s">
        <v>288</v>
      </c>
      <c r="J1549" s="14" t="s">
        <v>378</v>
      </c>
      <c r="K1549" s="13" t="s">
        <v>202</v>
      </c>
      <c r="L1549" s="14" t="s">
        <v>182</v>
      </c>
      <c r="M1549" s="13" t="s">
        <v>215</v>
      </c>
      <c r="N1549" s="14" t="s">
        <v>51</v>
      </c>
      <c r="O1549" s="13" t="s">
        <v>215</v>
      </c>
      <c r="P1549" s="14" t="s">
        <v>51</v>
      </c>
      <c r="Q1549" s="13" t="s">
        <v>215</v>
      </c>
      <c r="R1549" s="14" t="s">
        <v>59</v>
      </c>
      <c r="S1549" s="15" t="n">
        <f>95.71</f>
        <v>95.71</v>
      </c>
      <c r="T1549" s="16" t="n">
        <f>907</f>
        <v>907.0</v>
      </c>
      <c r="U1549" s="16" t="n">
        <v>142.0</v>
      </c>
      <c r="V1549" s="16" t="n">
        <f>54444000</f>
        <v>5.4444E7</v>
      </c>
      <c r="W1549" s="16" t="n">
        <v>1.1805E7</v>
      </c>
      <c r="X1549" s="16" t="str">
        <f>"－"</f>
        <v>－</v>
      </c>
      <c r="Y1549" s="13" t="s">
        <v>53</v>
      </c>
      <c r="Z1549" s="17" t="n">
        <f>209</f>
        <v>209.0</v>
      </c>
      <c r="AA1549" s="18" t="n">
        <f>7</f>
        <v>7.0</v>
      </c>
      <c r="AB1549" s="11" t="s">
        <v>872</v>
      </c>
    </row>
    <row r="1550">
      <c r="A1550" s="11" t="s">
        <v>46</v>
      </c>
      <c r="B1550" s="11" t="s">
        <v>865</v>
      </c>
      <c r="C1550" s="11" t="s">
        <v>866</v>
      </c>
      <c r="D1550" s="11" t="s">
        <v>651</v>
      </c>
      <c r="E1550" s="11" t="s">
        <v>871</v>
      </c>
      <c r="F1550" s="12" t="n">
        <v>30875.0</v>
      </c>
      <c r="G1550" s="13" t="s">
        <v>288</v>
      </c>
      <c r="H1550" s="14" t="s">
        <v>195</v>
      </c>
      <c r="I1550" s="13" t="s">
        <v>288</v>
      </c>
      <c r="J1550" s="14" t="s">
        <v>195</v>
      </c>
      <c r="K1550" s="13" t="s">
        <v>207</v>
      </c>
      <c r="L1550" s="14" t="s">
        <v>120</v>
      </c>
      <c r="M1550" s="13" t="s">
        <v>215</v>
      </c>
      <c r="N1550" s="14" t="s">
        <v>51</v>
      </c>
      <c r="O1550" s="13" t="s">
        <v>215</v>
      </c>
      <c r="P1550" s="14" t="s">
        <v>51</v>
      </c>
      <c r="Q1550" s="13" t="s">
        <v>215</v>
      </c>
      <c r="R1550" s="14" t="s">
        <v>51</v>
      </c>
      <c r="S1550" s="15" t="n">
        <f>68.17</f>
        <v>68.17</v>
      </c>
      <c r="T1550" s="16" t="n">
        <f>561</f>
        <v>561.0</v>
      </c>
      <c r="U1550" s="16" t="n">
        <v>57.0</v>
      </c>
      <c r="V1550" s="16" t="n">
        <f>12505000</f>
        <v>1.2505E7</v>
      </c>
      <c r="W1550" s="16" t="n">
        <v>1408000.0</v>
      </c>
      <c r="X1550" s="16" t="str">
        <f>"－"</f>
        <v>－</v>
      </c>
      <c r="Y1550" s="13" t="s">
        <v>53</v>
      </c>
      <c r="Z1550" s="17" t="n">
        <f>107</f>
        <v>107.0</v>
      </c>
      <c r="AA1550" s="18" t="n">
        <f>6</f>
        <v>6.0</v>
      </c>
      <c r="AB1550" s="11" t="s">
        <v>872</v>
      </c>
    </row>
    <row r="1551">
      <c r="A1551" s="11" t="s">
        <v>46</v>
      </c>
      <c r="B1551" s="11" t="s">
        <v>865</v>
      </c>
      <c r="C1551" s="11" t="s">
        <v>866</v>
      </c>
      <c r="D1551" s="11" t="s">
        <v>651</v>
      </c>
      <c r="E1551" s="11" t="s">
        <v>871</v>
      </c>
      <c r="F1551" s="12" t="n">
        <v>31000.0</v>
      </c>
      <c r="G1551" s="13" t="s">
        <v>288</v>
      </c>
      <c r="H1551" s="14" t="s">
        <v>118</v>
      </c>
      <c r="I1551" s="13" t="s">
        <v>207</v>
      </c>
      <c r="J1551" s="14" t="s">
        <v>120</v>
      </c>
      <c r="K1551" s="13" t="s">
        <v>288</v>
      </c>
      <c r="L1551" s="14" t="s">
        <v>119</v>
      </c>
      <c r="M1551" s="13" t="s">
        <v>215</v>
      </c>
      <c r="N1551" s="14" t="s">
        <v>51</v>
      </c>
      <c r="O1551" s="13" t="s">
        <v>215</v>
      </c>
      <c r="P1551" s="14" t="s">
        <v>51</v>
      </c>
      <c r="Q1551" s="13" t="s">
        <v>215</v>
      </c>
      <c r="R1551" s="14" t="s">
        <v>51</v>
      </c>
      <c r="S1551" s="15" t="n">
        <f>38.67</f>
        <v>38.67</v>
      </c>
      <c r="T1551" s="16" t="n">
        <f>699</f>
        <v>699.0</v>
      </c>
      <c r="U1551" s="16" t="n">
        <v>159.0</v>
      </c>
      <c r="V1551" s="16" t="n">
        <f>16703000</f>
        <v>1.6703E7</v>
      </c>
      <c r="W1551" s="16" t="n">
        <v>5230000.0</v>
      </c>
      <c r="X1551" s="16" t="str">
        <f>"－"</f>
        <v>－</v>
      </c>
      <c r="Y1551" s="13" t="s">
        <v>53</v>
      </c>
      <c r="Z1551" s="17" t="n">
        <f>286</f>
        <v>286.0</v>
      </c>
      <c r="AA1551" s="18" t="n">
        <f>6</f>
        <v>6.0</v>
      </c>
      <c r="AB1551" s="11" t="s">
        <v>872</v>
      </c>
    </row>
    <row r="1552">
      <c r="A1552" s="11" t="s">
        <v>46</v>
      </c>
      <c r="B1552" s="11" t="s">
        <v>865</v>
      </c>
      <c r="C1552" s="11" t="s">
        <v>866</v>
      </c>
      <c r="D1552" s="11" t="s">
        <v>651</v>
      </c>
      <c r="E1552" s="11" t="s">
        <v>871</v>
      </c>
      <c r="F1552" s="12" t="n">
        <v>31125.0</v>
      </c>
      <c r="G1552" s="13" t="s">
        <v>202</v>
      </c>
      <c r="H1552" s="14" t="s">
        <v>126</v>
      </c>
      <c r="I1552" s="13" t="s">
        <v>202</v>
      </c>
      <c r="J1552" s="14" t="s">
        <v>233</v>
      </c>
      <c r="K1552" s="13" t="s">
        <v>202</v>
      </c>
      <c r="L1552" s="14" t="s">
        <v>121</v>
      </c>
      <c r="M1552" s="13" t="s">
        <v>210</v>
      </c>
      <c r="N1552" s="14" t="s">
        <v>51</v>
      </c>
      <c r="O1552" s="13" t="s">
        <v>215</v>
      </c>
      <c r="P1552" s="14" t="s">
        <v>51</v>
      </c>
      <c r="Q1552" s="13" t="s">
        <v>215</v>
      </c>
      <c r="R1552" s="14" t="s">
        <v>51</v>
      </c>
      <c r="S1552" s="15" t="n">
        <f>51.71</f>
        <v>51.71</v>
      </c>
      <c r="T1552" s="16" t="n">
        <f>164</f>
        <v>164.0</v>
      </c>
      <c r="U1552" s="16" t="n">
        <v>30.0</v>
      </c>
      <c r="V1552" s="16" t="n">
        <f>4076000</f>
        <v>4076000.0</v>
      </c>
      <c r="W1552" s="16" t="n">
        <v>783000.0</v>
      </c>
      <c r="X1552" s="16" t="str">
        <f>"－"</f>
        <v>－</v>
      </c>
      <c r="Y1552" s="13" t="s">
        <v>53</v>
      </c>
      <c r="Z1552" s="17" t="n">
        <f>55</f>
        <v>55.0</v>
      </c>
      <c r="AA1552" s="18" t="n">
        <f>7</f>
        <v>7.0</v>
      </c>
      <c r="AB1552" s="11" t="s">
        <v>872</v>
      </c>
    </row>
    <row r="1553">
      <c r="A1553" s="11" t="s">
        <v>46</v>
      </c>
      <c r="B1553" s="11" t="s">
        <v>865</v>
      </c>
      <c r="C1553" s="11" t="s">
        <v>866</v>
      </c>
      <c r="D1553" s="11" t="s">
        <v>651</v>
      </c>
      <c r="E1553" s="11" t="s">
        <v>871</v>
      </c>
      <c r="F1553" s="12" t="n">
        <v>31250.0</v>
      </c>
      <c r="G1553" s="13" t="s">
        <v>207</v>
      </c>
      <c r="H1553" s="14" t="s">
        <v>90</v>
      </c>
      <c r="I1553" s="13" t="s">
        <v>207</v>
      </c>
      <c r="J1553" s="14" t="s">
        <v>90</v>
      </c>
      <c r="K1553" s="13" t="s">
        <v>208</v>
      </c>
      <c r="L1553" s="14" t="s">
        <v>334</v>
      </c>
      <c r="M1553" s="13" t="s">
        <v>210</v>
      </c>
      <c r="N1553" s="14" t="s">
        <v>51</v>
      </c>
      <c r="O1553" s="13" t="s">
        <v>210</v>
      </c>
      <c r="P1553" s="14" t="s">
        <v>51</v>
      </c>
      <c r="Q1553" s="13" t="s">
        <v>215</v>
      </c>
      <c r="R1553" s="14" t="s">
        <v>51</v>
      </c>
      <c r="S1553" s="15" t="n">
        <f>12.6</f>
        <v>12.6</v>
      </c>
      <c r="T1553" s="16" t="n">
        <f>134</f>
        <v>134.0</v>
      </c>
      <c r="U1553" s="16" t="n">
        <v>27.0</v>
      </c>
      <c r="V1553" s="16" t="n">
        <f>1604000</f>
        <v>1604000.0</v>
      </c>
      <c r="W1553" s="16" t="n">
        <v>185000.0</v>
      </c>
      <c r="X1553" s="16" t="str">
        <f>"－"</f>
        <v>－</v>
      </c>
      <c r="Y1553" s="13" t="s">
        <v>53</v>
      </c>
      <c r="Z1553" s="17" t="n">
        <f>49</f>
        <v>49.0</v>
      </c>
      <c r="AA1553" s="18" t="n">
        <f>5</f>
        <v>5.0</v>
      </c>
      <c r="AB1553" s="11" t="s">
        <v>872</v>
      </c>
    </row>
    <row r="1554">
      <c r="A1554" s="11" t="s">
        <v>46</v>
      </c>
      <c r="B1554" s="11" t="s">
        <v>865</v>
      </c>
      <c r="C1554" s="11" t="s">
        <v>866</v>
      </c>
      <c r="D1554" s="11" t="s">
        <v>651</v>
      </c>
      <c r="E1554" s="11" t="s">
        <v>871</v>
      </c>
      <c r="F1554" s="12" t="n">
        <v>31375.0</v>
      </c>
      <c r="G1554" s="13" t="s">
        <v>207</v>
      </c>
      <c r="H1554" s="14" t="s">
        <v>82</v>
      </c>
      <c r="I1554" s="13" t="s">
        <v>207</v>
      </c>
      <c r="J1554" s="14" t="s">
        <v>82</v>
      </c>
      <c r="K1554" s="13" t="s">
        <v>211</v>
      </c>
      <c r="L1554" s="14" t="s">
        <v>69</v>
      </c>
      <c r="M1554" s="13" t="s">
        <v>210</v>
      </c>
      <c r="N1554" s="14" t="s">
        <v>51</v>
      </c>
      <c r="O1554" s="13" t="s">
        <v>210</v>
      </c>
      <c r="P1554" s="14" t="s">
        <v>51</v>
      </c>
      <c r="Q1554" s="13" t="s">
        <v>215</v>
      </c>
      <c r="R1554" s="14" t="s">
        <v>51</v>
      </c>
      <c r="S1554" s="15" t="n">
        <f>10.2</f>
        <v>10.2</v>
      </c>
      <c r="T1554" s="16" t="n">
        <f>120</f>
        <v>120.0</v>
      </c>
      <c r="U1554" s="16" t="n">
        <v>13.0</v>
      </c>
      <c r="V1554" s="16" t="n">
        <f>322000</f>
        <v>322000.0</v>
      </c>
      <c r="W1554" s="16" t="n">
        <v>49000.0</v>
      </c>
      <c r="X1554" s="16" t="str">
        <f>"－"</f>
        <v>－</v>
      </c>
      <c r="Y1554" s="13" t="s">
        <v>53</v>
      </c>
      <c r="Z1554" s="17" t="n">
        <f>70</f>
        <v>70.0</v>
      </c>
      <c r="AA1554" s="18" t="n">
        <f>5</f>
        <v>5.0</v>
      </c>
      <c r="AB1554" s="11" t="s">
        <v>872</v>
      </c>
    </row>
    <row r="1555">
      <c r="A1555" s="11" t="s">
        <v>46</v>
      </c>
      <c r="B1555" s="11" t="s">
        <v>865</v>
      </c>
      <c r="C1555" s="11" t="s">
        <v>866</v>
      </c>
      <c r="D1555" s="11" t="s">
        <v>651</v>
      </c>
      <c r="E1555" s="11" t="s">
        <v>871</v>
      </c>
      <c r="F1555" s="12" t="n">
        <v>31500.0</v>
      </c>
      <c r="G1555" s="13" t="s">
        <v>288</v>
      </c>
      <c r="H1555" s="14" t="s">
        <v>335</v>
      </c>
      <c r="I1555" s="13" t="s">
        <v>288</v>
      </c>
      <c r="J1555" s="14" t="s">
        <v>94</v>
      </c>
      <c r="K1555" s="13" t="s">
        <v>207</v>
      </c>
      <c r="L1555" s="14" t="s">
        <v>189</v>
      </c>
      <c r="M1555" s="13" t="s">
        <v>210</v>
      </c>
      <c r="N1555" s="14" t="s">
        <v>51</v>
      </c>
      <c r="O1555" s="13" t="s">
        <v>210</v>
      </c>
      <c r="P1555" s="14" t="s">
        <v>51</v>
      </c>
      <c r="Q1555" s="13" t="s">
        <v>210</v>
      </c>
      <c r="R1555" s="14" t="s">
        <v>51</v>
      </c>
      <c r="S1555" s="15" t="n">
        <f>15.4</f>
        <v>15.4</v>
      </c>
      <c r="T1555" s="16" t="n">
        <f>400</f>
        <v>400.0</v>
      </c>
      <c r="U1555" s="16" t="n">
        <v>69.0</v>
      </c>
      <c r="V1555" s="16" t="n">
        <f>3168000</f>
        <v>3168000.0</v>
      </c>
      <c r="W1555" s="16" t="n">
        <v>559000.0</v>
      </c>
      <c r="X1555" s="16" t="str">
        <f>"－"</f>
        <v>－</v>
      </c>
      <c r="Y1555" s="13" t="s">
        <v>53</v>
      </c>
      <c r="Z1555" s="17" t="n">
        <f>187</f>
        <v>187.0</v>
      </c>
      <c r="AA1555" s="18" t="n">
        <f>5</f>
        <v>5.0</v>
      </c>
      <c r="AB1555" s="11" t="s">
        <v>872</v>
      </c>
    </row>
    <row r="1556">
      <c r="A1556" s="11" t="s">
        <v>46</v>
      </c>
      <c r="B1556" s="11" t="s">
        <v>865</v>
      </c>
      <c r="C1556" s="11" t="s">
        <v>866</v>
      </c>
      <c r="D1556" s="11" t="s">
        <v>651</v>
      </c>
      <c r="E1556" s="11" t="s">
        <v>874</v>
      </c>
      <c r="F1556" s="12" t="n">
        <v>28625.0</v>
      </c>
      <c r="G1556" s="13"/>
      <c r="H1556" s="14" t="s">
        <v>57</v>
      </c>
      <c r="I1556" s="13"/>
      <c r="J1556" s="14" t="s">
        <v>57</v>
      </c>
      <c r="K1556" s="13" t="s">
        <v>60</v>
      </c>
      <c r="L1556" s="14" t="s">
        <v>422</v>
      </c>
      <c r="M1556" s="13"/>
      <c r="N1556" s="14" t="s">
        <v>57</v>
      </c>
      <c r="O1556" s="13" t="s">
        <v>58</v>
      </c>
      <c r="P1556" s="14" t="s">
        <v>884</v>
      </c>
      <c r="Q1556" s="13"/>
      <c r="R1556" s="14" t="s">
        <v>57</v>
      </c>
      <c r="S1556" s="15" t="str">
        <f>"－"</f>
        <v>－</v>
      </c>
      <c r="T1556" s="16" t="n">
        <f>97</f>
        <v>97.0</v>
      </c>
      <c r="U1556" s="16" t="n">
        <v>97.0</v>
      </c>
      <c r="V1556" s="16" t="n">
        <f>53520000</f>
        <v>5.352E7</v>
      </c>
      <c r="W1556" s="16" t="n">
        <v>5.352E7</v>
      </c>
      <c r="X1556" s="16" t="str">
        <f>"－"</f>
        <v>－</v>
      </c>
      <c r="Y1556" s="13"/>
      <c r="Z1556" s="17" t="n">
        <f>97</f>
        <v>97.0</v>
      </c>
      <c r="AA1556" s="18" t="str">
        <f>"－"</f>
        <v>－</v>
      </c>
      <c r="AB1556" s="11" t="s">
        <v>875</v>
      </c>
    </row>
    <row r="1557">
      <c r="A1557" s="11" t="s">
        <v>46</v>
      </c>
      <c r="B1557" s="11" t="s">
        <v>865</v>
      </c>
      <c r="C1557" s="11" t="s">
        <v>866</v>
      </c>
      <c r="D1557" s="11" t="s">
        <v>651</v>
      </c>
      <c r="E1557" s="11" t="s">
        <v>874</v>
      </c>
      <c r="F1557" s="12" t="n">
        <v>28750.0</v>
      </c>
      <c r="G1557" s="13"/>
      <c r="H1557" s="14" t="s">
        <v>57</v>
      </c>
      <c r="I1557" s="13"/>
      <c r="J1557" s="14" t="s">
        <v>57</v>
      </c>
      <c r="K1557" s="13" t="s">
        <v>58</v>
      </c>
      <c r="L1557" s="14" t="s">
        <v>885</v>
      </c>
      <c r="M1557" s="13"/>
      <c r="N1557" s="14" t="s">
        <v>57</v>
      </c>
      <c r="O1557" s="13" t="s">
        <v>58</v>
      </c>
      <c r="P1557" s="14" t="s">
        <v>885</v>
      </c>
      <c r="Q1557" s="13"/>
      <c r="R1557" s="14" t="s">
        <v>57</v>
      </c>
      <c r="S1557" s="15" t="str">
        <f>"－"</f>
        <v>－</v>
      </c>
      <c r="T1557" s="16" t="n">
        <f>260</f>
        <v>260.0</v>
      </c>
      <c r="U1557" s="16" t="n">
        <v>260.0</v>
      </c>
      <c r="V1557" s="16" t="n">
        <f>127244520</f>
        <v>1.2724452E8</v>
      </c>
      <c r="W1557" s="16" t="n">
        <v>1.2724452E8</v>
      </c>
      <c r="X1557" s="16" t="str">
        <f>"－"</f>
        <v>－</v>
      </c>
      <c r="Y1557" s="13"/>
      <c r="Z1557" s="17" t="n">
        <f>260</f>
        <v>260.0</v>
      </c>
      <c r="AA1557" s="18" t="str">
        <f>"－"</f>
        <v>－</v>
      </c>
      <c r="AB1557" s="11" t="s">
        <v>875</v>
      </c>
    </row>
    <row r="1558">
      <c r="A1558" s="11" t="s">
        <v>46</v>
      </c>
      <c r="B1558" s="11" t="s">
        <v>865</v>
      </c>
      <c r="C1558" s="11" t="s">
        <v>866</v>
      </c>
      <c r="D1558" s="11" t="s">
        <v>651</v>
      </c>
      <c r="E1558" s="11" t="s">
        <v>874</v>
      </c>
      <c r="F1558" s="12" t="n">
        <v>29000.0</v>
      </c>
      <c r="G1558" s="13" t="s">
        <v>204</v>
      </c>
      <c r="H1558" s="14" t="s">
        <v>175</v>
      </c>
      <c r="I1558" s="13" t="s">
        <v>204</v>
      </c>
      <c r="J1558" s="14" t="s">
        <v>175</v>
      </c>
      <c r="K1558" s="13"/>
      <c r="L1558" s="14"/>
      <c r="M1558" s="13" t="s">
        <v>204</v>
      </c>
      <c r="N1558" s="14" t="s">
        <v>175</v>
      </c>
      <c r="O1558" s="13"/>
      <c r="P1558" s="14"/>
      <c r="Q1558" s="13" t="s">
        <v>204</v>
      </c>
      <c r="R1558" s="14" t="s">
        <v>175</v>
      </c>
      <c r="S1558" s="15" t="n">
        <f>460</f>
        <v>460.0</v>
      </c>
      <c r="T1558" s="16" t="n">
        <f>1</f>
        <v>1.0</v>
      </c>
      <c r="U1558" s="16"/>
      <c r="V1558" s="16" t="n">
        <f>460000</f>
        <v>460000.0</v>
      </c>
      <c r="W1558" s="16"/>
      <c r="X1558" s="16" t="str">
        <f>"－"</f>
        <v>－</v>
      </c>
      <c r="Y1558" s="13"/>
      <c r="Z1558" s="17" t="n">
        <f>1</f>
        <v>1.0</v>
      </c>
      <c r="AA1558" s="18" t="n">
        <f>1</f>
        <v>1.0</v>
      </c>
      <c r="AB1558" s="11" t="s">
        <v>875</v>
      </c>
    </row>
    <row r="1559">
      <c r="A1559" s="11" t="s">
        <v>46</v>
      </c>
      <c r="B1559" s="11" t="s">
        <v>865</v>
      </c>
      <c r="C1559" s="11" t="s">
        <v>866</v>
      </c>
      <c r="D1559" s="11" t="s">
        <v>651</v>
      </c>
      <c r="E1559" s="11" t="s">
        <v>874</v>
      </c>
      <c r="F1559" s="12" t="n">
        <v>29250.0</v>
      </c>
      <c r="G1559" s="13" t="s">
        <v>204</v>
      </c>
      <c r="H1559" s="14" t="s">
        <v>145</v>
      </c>
      <c r="I1559" s="13" t="s">
        <v>204</v>
      </c>
      <c r="J1559" s="14" t="s">
        <v>145</v>
      </c>
      <c r="K1559" s="13"/>
      <c r="L1559" s="14"/>
      <c r="M1559" s="13" t="s">
        <v>204</v>
      </c>
      <c r="N1559" s="14" t="s">
        <v>145</v>
      </c>
      <c r="O1559" s="13"/>
      <c r="P1559" s="14"/>
      <c r="Q1559" s="13" t="s">
        <v>204</v>
      </c>
      <c r="R1559" s="14" t="s">
        <v>145</v>
      </c>
      <c r="S1559" s="15" t="n">
        <f>380</f>
        <v>380.0</v>
      </c>
      <c r="T1559" s="16" t="n">
        <f>35</f>
        <v>35.0</v>
      </c>
      <c r="U1559" s="16"/>
      <c r="V1559" s="16" t="n">
        <f>13300000</f>
        <v>1.33E7</v>
      </c>
      <c r="W1559" s="16"/>
      <c r="X1559" s="16" t="str">
        <f>"－"</f>
        <v>－</v>
      </c>
      <c r="Y1559" s="13"/>
      <c r="Z1559" s="17" t="n">
        <f>35</f>
        <v>35.0</v>
      </c>
      <c r="AA1559" s="18" t="n">
        <f>1</f>
        <v>1.0</v>
      </c>
      <c r="AB1559" s="11" t="s">
        <v>875</v>
      </c>
    </row>
    <row r="1560">
      <c r="A1560" s="11" t="s">
        <v>46</v>
      </c>
      <c r="B1560" s="11" t="s">
        <v>865</v>
      </c>
      <c r="C1560" s="11" t="s">
        <v>866</v>
      </c>
      <c r="D1560" s="11" t="s">
        <v>651</v>
      </c>
      <c r="E1560" s="11" t="s">
        <v>874</v>
      </c>
      <c r="F1560" s="12" t="n">
        <v>29375.0</v>
      </c>
      <c r="G1560" s="13" t="s">
        <v>204</v>
      </c>
      <c r="H1560" s="14" t="s">
        <v>187</v>
      </c>
      <c r="I1560" s="13" t="s">
        <v>204</v>
      </c>
      <c r="J1560" s="14" t="s">
        <v>187</v>
      </c>
      <c r="K1560" s="13"/>
      <c r="L1560" s="14"/>
      <c r="M1560" s="13" t="s">
        <v>204</v>
      </c>
      <c r="N1560" s="14" t="s">
        <v>187</v>
      </c>
      <c r="O1560" s="13"/>
      <c r="P1560" s="14"/>
      <c r="Q1560" s="13" t="s">
        <v>204</v>
      </c>
      <c r="R1560" s="14" t="s">
        <v>187</v>
      </c>
      <c r="S1560" s="15" t="n">
        <f>350</f>
        <v>350.0</v>
      </c>
      <c r="T1560" s="16" t="n">
        <f>1</f>
        <v>1.0</v>
      </c>
      <c r="U1560" s="16"/>
      <c r="V1560" s="16" t="n">
        <f>350000</f>
        <v>350000.0</v>
      </c>
      <c r="W1560" s="16"/>
      <c r="X1560" s="16" t="str">
        <f>"－"</f>
        <v>－</v>
      </c>
      <c r="Y1560" s="13"/>
      <c r="Z1560" s="17" t="n">
        <f>1</f>
        <v>1.0</v>
      </c>
      <c r="AA1560" s="18" t="n">
        <f>1</f>
        <v>1.0</v>
      </c>
      <c r="AB1560" s="11" t="s">
        <v>875</v>
      </c>
    </row>
    <row r="1561">
      <c r="A1561" s="11" t="s">
        <v>46</v>
      </c>
      <c r="B1561" s="11" t="s">
        <v>865</v>
      </c>
      <c r="C1561" s="11" t="s">
        <v>866</v>
      </c>
      <c r="D1561" s="11" t="s">
        <v>651</v>
      </c>
      <c r="E1561" s="11" t="s">
        <v>874</v>
      </c>
      <c r="F1561" s="12" t="n">
        <v>29500.0</v>
      </c>
      <c r="G1561" s="13" t="s">
        <v>204</v>
      </c>
      <c r="H1561" s="14" t="s">
        <v>238</v>
      </c>
      <c r="I1561" s="13" t="s">
        <v>204</v>
      </c>
      <c r="J1561" s="14" t="s">
        <v>238</v>
      </c>
      <c r="K1561" s="13"/>
      <c r="L1561" s="14"/>
      <c r="M1561" s="13" t="s">
        <v>204</v>
      </c>
      <c r="N1561" s="14" t="s">
        <v>195</v>
      </c>
      <c r="O1561" s="13"/>
      <c r="P1561" s="14"/>
      <c r="Q1561" s="13" t="s">
        <v>204</v>
      </c>
      <c r="R1561" s="14" t="s">
        <v>195</v>
      </c>
      <c r="S1561" s="15" t="n">
        <f>250</f>
        <v>250.0</v>
      </c>
      <c r="T1561" s="16" t="n">
        <f>4</f>
        <v>4.0</v>
      </c>
      <c r="U1561" s="16"/>
      <c r="V1561" s="16" t="n">
        <f>1140000</f>
        <v>1140000.0</v>
      </c>
      <c r="W1561" s="16"/>
      <c r="X1561" s="16" t="str">
        <f>"－"</f>
        <v>－</v>
      </c>
      <c r="Y1561" s="13"/>
      <c r="Z1561" s="17" t="n">
        <f>3</f>
        <v>3.0</v>
      </c>
      <c r="AA1561" s="18" t="n">
        <f>1</f>
        <v>1.0</v>
      </c>
      <c r="AB1561" s="11" t="s">
        <v>875</v>
      </c>
    </row>
    <row r="1562">
      <c r="A1562" s="11" t="s">
        <v>46</v>
      </c>
      <c r="B1562" s="11" t="s">
        <v>865</v>
      </c>
      <c r="C1562" s="11" t="s">
        <v>866</v>
      </c>
      <c r="D1562" s="11" t="s">
        <v>651</v>
      </c>
      <c r="E1562" s="11" t="s">
        <v>874</v>
      </c>
      <c r="F1562" s="12" t="n">
        <v>29625.0</v>
      </c>
      <c r="G1562" s="13" t="s">
        <v>204</v>
      </c>
      <c r="H1562" s="14" t="s">
        <v>238</v>
      </c>
      <c r="I1562" s="13" t="s">
        <v>204</v>
      </c>
      <c r="J1562" s="14" t="s">
        <v>238</v>
      </c>
      <c r="K1562" s="13"/>
      <c r="L1562" s="14"/>
      <c r="M1562" s="13" t="s">
        <v>204</v>
      </c>
      <c r="N1562" s="14" t="s">
        <v>232</v>
      </c>
      <c r="O1562" s="13"/>
      <c r="P1562" s="14"/>
      <c r="Q1562" s="13" t="s">
        <v>204</v>
      </c>
      <c r="R1562" s="14" t="s">
        <v>232</v>
      </c>
      <c r="S1562" s="15" t="n">
        <f>200</f>
        <v>200.0</v>
      </c>
      <c r="T1562" s="16" t="n">
        <f>5</f>
        <v>5.0</v>
      </c>
      <c r="U1562" s="16"/>
      <c r="V1562" s="16" t="n">
        <f>1165000</f>
        <v>1165000.0</v>
      </c>
      <c r="W1562" s="16"/>
      <c r="X1562" s="16" t="str">
        <f>"－"</f>
        <v>－</v>
      </c>
      <c r="Y1562" s="13"/>
      <c r="Z1562" s="17" t="n">
        <f>5</f>
        <v>5.0</v>
      </c>
      <c r="AA1562" s="18" t="n">
        <f>1</f>
        <v>1.0</v>
      </c>
      <c r="AB1562" s="11" t="s">
        <v>875</v>
      </c>
    </row>
    <row r="1563">
      <c r="A1563" s="11" t="s">
        <v>46</v>
      </c>
      <c r="B1563" s="11" t="s">
        <v>865</v>
      </c>
      <c r="C1563" s="11" t="s">
        <v>866</v>
      </c>
      <c r="D1563" s="11" t="s">
        <v>651</v>
      </c>
      <c r="E1563" s="11" t="s">
        <v>874</v>
      </c>
      <c r="F1563" s="12" t="n">
        <v>29750.0</v>
      </c>
      <c r="G1563" s="13" t="s">
        <v>204</v>
      </c>
      <c r="H1563" s="14" t="s">
        <v>130</v>
      </c>
      <c r="I1563" s="13" t="s">
        <v>204</v>
      </c>
      <c r="J1563" s="14" t="s">
        <v>137</v>
      </c>
      <c r="K1563" s="13"/>
      <c r="L1563" s="14"/>
      <c r="M1563" s="13" t="s">
        <v>204</v>
      </c>
      <c r="N1563" s="14" t="s">
        <v>119</v>
      </c>
      <c r="O1563" s="13"/>
      <c r="P1563" s="14"/>
      <c r="Q1563" s="13" t="s">
        <v>204</v>
      </c>
      <c r="R1563" s="14" t="s">
        <v>129</v>
      </c>
      <c r="S1563" s="15" t="n">
        <f>170</f>
        <v>170.0</v>
      </c>
      <c r="T1563" s="16" t="n">
        <f>49</f>
        <v>49.0</v>
      </c>
      <c r="U1563" s="16"/>
      <c r="V1563" s="16" t="n">
        <f>8945000</f>
        <v>8945000.0</v>
      </c>
      <c r="W1563" s="16"/>
      <c r="X1563" s="16" t="str">
        <f>"－"</f>
        <v>－</v>
      </c>
      <c r="Y1563" s="13"/>
      <c r="Z1563" s="17" t="n">
        <f>45</f>
        <v>45.0</v>
      </c>
      <c r="AA1563" s="18" t="n">
        <f>1</f>
        <v>1.0</v>
      </c>
      <c r="AB1563" s="11" t="s">
        <v>875</v>
      </c>
    </row>
    <row r="1564">
      <c r="A1564" s="11" t="s">
        <v>46</v>
      </c>
      <c r="B1564" s="11" t="s">
        <v>865</v>
      </c>
      <c r="C1564" s="11" t="s">
        <v>866</v>
      </c>
      <c r="D1564" s="11" t="s">
        <v>651</v>
      </c>
      <c r="E1564" s="11" t="s">
        <v>874</v>
      </c>
      <c r="F1564" s="12" t="n">
        <v>29875.0</v>
      </c>
      <c r="G1564" s="13" t="s">
        <v>210</v>
      </c>
      <c r="H1564" s="14" t="s">
        <v>197</v>
      </c>
      <c r="I1564" s="13" t="s">
        <v>210</v>
      </c>
      <c r="J1564" s="14" t="s">
        <v>197</v>
      </c>
      <c r="K1564" s="13"/>
      <c r="L1564" s="14"/>
      <c r="M1564" s="13" t="s">
        <v>204</v>
      </c>
      <c r="N1564" s="14" t="s">
        <v>191</v>
      </c>
      <c r="O1564" s="13"/>
      <c r="P1564" s="14"/>
      <c r="Q1564" s="13" t="s">
        <v>204</v>
      </c>
      <c r="R1564" s="14" t="s">
        <v>115</v>
      </c>
      <c r="S1564" s="15" t="n">
        <f>303.33</f>
        <v>303.33</v>
      </c>
      <c r="T1564" s="16" t="n">
        <f>36</f>
        <v>36.0</v>
      </c>
      <c r="U1564" s="16"/>
      <c r="V1564" s="16" t="n">
        <f>4995000</f>
        <v>4995000.0</v>
      </c>
      <c r="W1564" s="16"/>
      <c r="X1564" s="16" t="str">
        <f>"－"</f>
        <v>－</v>
      </c>
      <c r="Y1564" s="13"/>
      <c r="Z1564" s="17" t="n">
        <f>32</f>
        <v>32.0</v>
      </c>
      <c r="AA1564" s="18" t="n">
        <f>3</f>
        <v>3.0</v>
      </c>
      <c r="AB1564" s="11" t="s">
        <v>875</v>
      </c>
    </row>
    <row r="1565">
      <c r="A1565" s="11" t="s">
        <v>46</v>
      </c>
      <c r="B1565" s="11" t="s">
        <v>865</v>
      </c>
      <c r="C1565" s="11" t="s">
        <v>866</v>
      </c>
      <c r="D1565" s="11" t="s">
        <v>651</v>
      </c>
      <c r="E1565" s="11" t="s">
        <v>874</v>
      </c>
      <c r="F1565" s="12" t="n">
        <v>30000.0</v>
      </c>
      <c r="G1565" s="13" t="s">
        <v>210</v>
      </c>
      <c r="H1565" s="14" t="s">
        <v>378</v>
      </c>
      <c r="I1565" s="13" t="s">
        <v>215</v>
      </c>
      <c r="J1565" s="14" t="s">
        <v>148</v>
      </c>
      <c r="K1565" s="13" t="s">
        <v>204</v>
      </c>
      <c r="L1565" s="14" t="s">
        <v>224</v>
      </c>
      <c r="M1565" s="13" t="s">
        <v>204</v>
      </c>
      <c r="N1565" s="14" t="s">
        <v>109</v>
      </c>
      <c r="O1565" s="13" t="s">
        <v>204</v>
      </c>
      <c r="P1565" s="14" t="s">
        <v>224</v>
      </c>
      <c r="Q1565" s="13" t="s">
        <v>204</v>
      </c>
      <c r="R1565" s="14" t="s">
        <v>341</v>
      </c>
      <c r="S1565" s="15" t="n">
        <f>279.33</f>
        <v>279.33</v>
      </c>
      <c r="T1565" s="16" t="n">
        <f>73</f>
        <v>73.0</v>
      </c>
      <c r="U1565" s="16" t="n">
        <v>1.0</v>
      </c>
      <c r="V1565" s="16" t="n">
        <f>10810000</f>
        <v>1.081E7</v>
      </c>
      <c r="W1565" s="16" t="n">
        <v>92000.0</v>
      </c>
      <c r="X1565" s="16" t="str">
        <f>"－"</f>
        <v>－</v>
      </c>
      <c r="Y1565" s="13"/>
      <c r="Z1565" s="17" t="n">
        <f>47</f>
        <v>47.0</v>
      </c>
      <c r="AA1565" s="18" t="n">
        <f>3</f>
        <v>3.0</v>
      </c>
      <c r="AB1565" s="11" t="s">
        <v>875</v>
      </c>
    </row>
    <row r="1566">
      <c r="A1566" s="11" t="s">
        <v>46</v>
      </c>
      <c r="B1566" s="11" t="s">
        <v>865</v>
      </c>
      <c r="C1566" s="11" t="s">
        <v>866</v>
      </c>
      <c r="D1566" s="11" t="s">
        <v>651</v>
      </c>
      <c r="E1566" s="11" t="s">
        <v>874</v>
      </c>
      <c r="F1566" s="12" t="n">
        <v>30125.0</v>
      </c>
      <c r="G1566" s="13" t="s">
        <v>215</v>
      </c>
      <c r="H1566" s="14" t="s">
        <v>130</v>
      </c>
      <c r="I1566" s="13" t="s">
        <v>215</v>
      </c>
      <c r="J1566" s="14" t="s">
        <v>130</v>
      </c>
      <c r="K1566" s="13" t="s">
        <v>204</v>
      </c>
      <c r="L1566" s="14" t="s">
        <v>118</v>
      </c>
      <c r="M1566" s="13" t="s">
        <v>204</v>
      </c>
      <c r="N1566" s="14" t="s">
        <v>109</v>
      </c>
      <c r="O1566" s="13" t="s">
        <v>204</v>
      </c>
      <c r="P1566" s="14" t="s">
        <v>117</v>
      </c>
      <c r="Q1566" s="13" t="s">
        <v>204</v>
      </c>
      <c r="R1566" s="14" t="s">
        <v>109</v>
      </c>
      <c r="S1566" s="15" t="n">
        <f>145</f>
        <v>145.0</v>
      </c>
      <c r="T1566" s="16" t="n">
        <f>43</f>
        <v>43.0</v>
      </c>
      <c r="U1566" s="16" t="n">
        <v>4.0</v>
      </c>
      <c r="V1566" s="16" t="n">
        <f>4754000</f>
        <v>4754000.0</v>
      </c>
      <c r="W1566" s="16" t="n">
        <v>445000.0</v>
      </c>
      <c r="X1566" s="16" t="str">
        <f>"－"</f>
        <v>－</v>
      </c>
      <c r="Y1566" s="13"/>
      <c r="Z1566" s="17" t="n">
        <f>40</f>
        <v>40.0</v>
      </c>
      <c r="AA1566" s="18" t="n">
        <f>2</f>
        <v>2.0</v>
      </c>
      <c r="AB1566" s="11" t="s">
        <v>875</v>
      </c>
    </row>
    <row r="1567">
      <c r="A1567" s="11" t="s">
        <v>46</v>
      </c>
      <c r="B1567" s="11" t="s">
        <v>865</v>
      </c>
      <c r="C1567" s="11" t="s">
        <v>866</v>
      </c>
      <c r="D1567" s="11" t="s">
        <v>651</v>
      </c>
      <c r="E1567" s="11" t="s">
        <v>874</v>
      </c>
      <c r="F1567" s="12" t="n">
        <v>30250.0</v>
      </c>
      <c r="G1567" s="13" t="s">
        <v>210</v>
      </c>
      <c r="H1567" s="14" t="s">
        <v>132</v>
      </c>
      <c r="I1567" s="13" t="s">
        <v>215</v>
      </c>
      <c r="J1567" s="14" t="s">
        <v>142</v>
      </c>
      <c r="K1567" s="13" t="s">
        <v>210</v>
      </c>
      <c r="L1567" s="14" t="s">
        <v>261</v>
      </c>
      <c r="M1567" s="13" t="s">
        <v>204</v>
      </c>
      <c r="N1567" s="14" t="s">
        <v>113</v>
      </c>
      <c r="O1567" s="13" t="s">
        <v>210</v>
      </c>
      <c r="P1567" s="14" t="s">
        <v>261</v>
      </c>
      <c r="Q1567" s="13" t="s">
        <v>204</v>
      </c>
      <c r="R1567" s="14" t="s">
        <v>113</v>
      </c>
      <c r="S1567" s="15" t="n">
        <f>171.67</f>
        <v>171.67</v>
      </c>
      <c r="T1567" s="16" t="n">
        <f>55</f>
        <v>55.0</v>
      </c>
      <c r="U1567" s="16" t="n">
        <v>1.0</v>
      </c>
      <c r="V1567" s="16" t="n">
        <f>6525000</f>
        <v>6525000.0</v>
      </c>
      <c r="W1567" s="16" t="n">
        <v>155000.0</v>
      </c>
      <c r="X1567" s="16" t="str">
        <f>"－"</f>
        <v>－</v>
      </c>
      <c r="Y1567" s="13"/>
      <c r="Z1567" s="17" t="n">
        <f>29</f>
        <v>29.0</v>
      </c>
      <c r="AA1567" s="18" t="n">
        <f>3</f>
        <v>3.0</v>
      </c>
      <c r="AB1567" s="11" t="s">
        <v>875</v>
      </c>
    </row>
    <row r="1568">
      <c r="A1568" s="11" t="s">
        <v>46</v>
      </c>
      <c r="B1568" s="11" t="s">
        <v>865</v>
      </c>
      <c r="C1568" s="11" t="s">
        <v>866</v>
      </c>
      <c r="D1568" s="11" t="s">
        <v>651</v>
      </c>
      <c r="E1568" s="11" t="s">
        <v>874</v>
      </c>
      <c r="F1568" s="12" t="n">
        <v>30375.0</v>
      </c>
      <c r="G1568" s="13" t="s">
        <v>211</v>
      </c>
      <c r="H1568" s="14" t="s">
        <v>143</v>
      </c>
      <c r="I1568" s="13" t="s">
        <v>211</v>
      </c>
      <c r="J1568" s="14" t="s">
        <v>143</v>
      </c>
      <c r="K1568" s="13"/>
      <c r="L1568" s="14"/>
      <c r="M1568" s="13" t="s">
        <v>204</v>
      </c>
      <c r="N1568" s="14" t="s">
        <v>113</v>
      </c>
      <c r="O1568" s="13"/>
      <c r="P1568" s="14"/>
      <c r="Q1568" s="13" t="s">
        <v>204</v>
      </c>
      <c r="R1568" s="14" t="s">
        <v>113</v>
      </c>
      <c r="S1568" s="15" t="n">
        <f>180</f>
        <v>180.0</v>
      </c>
      <c r="T1568" s="16" t="n">
        <f>48</f>
        <v>48.0</v>
      </c>
      <c r="U1568" s="16"/>
      <c r="V1568" s="16" t="n">
        <f>10655000</f>
        <v>1.0655E7</v>
      </c>
      <c r="W1568" s="16"/>
      <c r="X1568" s="16" t="str">
        <f>"－"</f>
        <v>－</v>
      </c>
      <c r="Y1568" s="13"/>
      <c r="Z1568" s="17" t="n">
        <f>20</f>
        <v>20.0</v>
      </c>
      <c r="AA1568" s="18" t="n">
        <f>3</f>
        <v>3.0</v>
      </c>
      <c r="AB1568" s="11" t="s">
        <v>875</v>
      </c>
    </row>
    <row r="1569">
      <c r="A1569" s="11" t="s">
        <v>46</v>
      </c>
      <c r="B1569" s="11" t="s">
        <v>865</v>
      </c>
      <c r="C1569" s="11" t="s">
        <v>866</v>
      </c>
      <c r="D1569" s="11" t="s">
        <v>651</v>
      </c>
      <c r="E1569" s="11" t="s">
        <v>874</v>
      </c>
      <c r="F1569" s="12" t="n">
        <v>30500.0</v>
      </c>
      <c r="G1569" s="13" t="s">
        <v>208</v>
      </c>
      <c r="H1569" s="14" t="s">
        <v>231</v>
      </c>
      <c r="I1569" s="13" t="s">
        <v>215</v>
      </c>
      <c r="J1569" s="14" t="s">
        <v>230</v>
      </c>
      <c r="K1569" s="13" t="s">
        <v>211</v>
      </c>
      <c r="L1569" s="14" t="s">
        <v>187</v>
      </c>
      <c r="M1569" s="13" t="s">
        <v>204</v>
      </c>
      <c r="N1569" s="14" t="s">
        <v>82</v>
      </c>
      <c r="O1569" s="13" t="s">
        <v>204</v>
      </c>
      <c r="P1569" s="14" t="s">
        <v>117</v>
      </c>
      <c r="Q1569" s="13" t="s">
        <v>204</v>
      </c>
      <c r="R1569" s="14" t="s">
        <v>82</v>
      </c>
      <c r="S1569" s="15" t="n">
        <f>130.75</f>
        <v>130.75</v>
      </c>
      <c r="T1569" s="16" t="n">
        <f>86</f>
        <v>86.0</v>
      </c>
      <c r="U1569" s="16" t="n">
        <v>2.0</v>
      </c>
      <c r="V1569" s="16" t="n">
        <f>8860000</f>
        <v>8860000.0</v>
      </c>
      <c r="W1569" s="16" t="n">
        <v>460000.0</v>
      </c>
      <c r="X1569" s="16" t="str">
        <f>"－"</f>
        <v>－</v>
      </c>
      <c r="Y1569" s="13"/>
      <c r="Z1569" s="17" t="n">
        <f>41</f>
        <v>41.0</v>
      </c>
      <c r="AA1569" s="18" t="n">
        <f>4</f>
        <v>4.0</v>
      </c>
      <c r="AB1569" s="11" t="s">
        <v>875</v>
      </c>
    </row>
    <row r="1570">
      <c r="A1570" s="11" t="s">
        <v>46</v>
      </c>
      <c r="B1570" s="11" t="s">
        <v>865</v>
      </c>
      <c r="C1570" s="11" t="s">
        <v>866</v>
      </c>
      <c r="D1570" s="11" t="s">
        <v>651</v>
      </c>
      <c r="E1570" s="11" t="s">
        <v>874</v>
      </c>
      <c r="F1570" s="12" t="n">
        <v>30625.0</v>
      </c>
      <c r="G1570" s="13" t="s">
        <v>210</v>
      </c>
      <c r="H1570" s="14" t="s">
        <v>116</v>
      </c>
      <c r="I1570" s="13" t="s">
        <v>215</v>
      </c>
      <c r="J1570" s="14" t="s">
        <v>123</v>
      </c>
      <c r="K1570" s="13" t="s">
        <v>204</v>
      </c>
      <c r="L1570" s="14" t="s">
        <v>269</v>
      </c>
      <c r="M1570" s="13" t="s">
        <v>204</v>
      </c>
      <c r="N1570" s="14" t="s">
        <v>93</v>
      </c>
      <c r="O1570" s="13" t="s">
        <v>204</v>
      </c>
      <c r="P1570" s="14" t="s">
        <v>269</v>
      </c>
      <c r="Q1570" s="13" t="s">
        <v>204</v>
      </c>
      <c r="R1570" s="14" t="s">
        <v>93</v>
      </c>
      <c r="S1570" s="15" t="n">
        <f>96</f>
        <v>96.0</v>
      </c>
      <c r="T1570" s="16" t="n">
        <f>27</f>
        <v>27.0</v>
      </c>
      <c r="U1570" s="16" t="n">
        <v>1.0</v>
      </c>
      <c r="V1570" s="16" t="n">
        <f>2196000</f>
        <v>2196000.0</v>
      </c>
      <c r="W1570" s="16" t="n">
        <v>63000.0</v>
      </c>
      <c r="X1570" s="16" t="str">
        <f>"－"</f>
        <v>－</v>
      </c>
      <c r="Y1570" s="13"/>
      <c r="Z1570" s="17" t="n">
        <f>15</f>
        <v>15.0</v>
      </c>
      <c r="AA1570" s="18" t="n">
        <f>3</f>
        <v>3.0</v>
      </c>
      <c r="AB1570" s="11" t="s">
        <v>875</v>
      </c>
    </row>
    <row r="1571">
      <c r="A1571" s="11" t="s">
        <v>46</v>
      </c>
      <c r="B1571" s="11" t="s">
        <v>865</v>
      </c>
      <c r="C1571" s="11" t="s">
        <v>866</v>
      </c>
      <c r="D1571" s="11" t="s">
        <v>651</v>
      </c>
      <c r="E1571" s="11" t="s">
        <v>874</v>
      </c>
      <c r="F1571" s="12" t="n">
        <v>30750.0</v>
      </c>
      <c r="G1571" s="13" t="s">
        <v>288</v>
      </c>
      <c r="H1571" s="14" t="s">
        <v>342</v>
      </c>
      <c r="I1571" s="13" t="s">
        <v>288</v>
      </c>
      <c r="J1571" s="14" t="s">
        <v>138</v>
      </c>
      <c r="K1571" s="13" t="s">
        <v>215</v>
      </c>
      <c r="L1571" s="14" t="s">
        <v>103</v>
      </c>
      <c r="M1571" s="13" t="s">
        <v>204</v>
      </c>
      <c r="N1571" s="14" t="s">
        <v>236</v>
      </c>
      <c r="O1571" s="13" t="s">
        <v>215</v>
      </c>
      <c r="P1571" s="14" t="s">
        <v>103</v>
      </c>
      <c r="Q1571" s="13" t="s">
        <v>204</v>
      </c>
      <c r="R1571" s="14" t="s">
        <v>236</v>
      </c>
      <c r="S1571" s="15" t="n">
        <f>131.8</f>
        <v>131.8</v>
      </c>
      <c r="T1571" s="16" t="n">
        <f>24</f>
        <v>24.0</v>
      </c>
      <c r="U1571" s="16" t="n">
        <v>1.0</v>
      </c>
      <c r="V1571" s="16" t="n">
        <f>2140000</f>
        <v>2140000.0</v>
      </c>
      <c r="W1571" s="16" t="n">
        <v>69000.0</v>
      </c>
      <c r="X1571" s="16" t="str">
        <f>"－"</f>
        <v>－</v>
      </c>
      <c r="Y1571" s="13"/>
      <c r="Z1571" s="17" t="n">
        <f>9</f>
        <v>9.0</v>
      </c>
      <c r="AA1571" s="18" t="n">
        <f>5</f>
        <v>5.0</v>
      </c>
      <c r="AB1571" s="11" t="s">
        <v>875</v>
      </c>
    </row>
    <row r="1572">
      <c r="A1572" s="11" t="s">
        <v>46</v>
      </c>
      <c r="B1572" s="11" t="s">
        <v>865</v>
      </c>
      <c r="C1572" s="11" t="s">
        <v>866</v>
      </c>
      <c r="D1572" s="11" t="s">
        <v>651</v>
      </c>
      <c r="E1572" s="11" t="s">
        <v>874</v>
      </c>
      <c r="F1572" s="12" t="n">
        <v>30875.0</v>
      </c>
      <c r="G1572" s="13" t="s">
        <v>208</v>
      </c>
      <c r="H1572" s="14" t="s">
        <v>116</v>
      </c>
      <c r="I1572" s="13" t="s">
        <v>208</v>
      </c>
      <c r="J1572" s="14" t="s">
        <v>121</v>
      </c>
      <c r="K1572" s="13" t="s">
        <v>215</v>
      </c>
      <c r="L1572" s="14" t="s">
        <v>112</v>
      </c>
      <c r="M1572" s="13" t="s">
        <v>204</v>
      </c>
      <c r="N1572" s="14" t="s">
        <v>77</v>
      </c>
      <c r="O1572" s="13" t="s">
        <v>215</v>
      </c>
      <c r="P1572" s="14" t="s">
        <v>112</v>
      </c>
      <c r="Q1572" s="13" t="s">
        <v>204</v>
      </c>
      <c r="R1572" s="14" t="s">
        <v>77</v>
      </c>
      <c r="S1572" s="15" t="n">
        <f>77.6</f>
        <v>77.6</v>
      </c>
      <c r="T1572" s="16" t="n">
        <f>66</f>
        <v>66.0</v>
      </c>
      <c r="U1572" s="16" t="n">
        <v>1.0</v>
      </c>
      <c r="V1572" s="16" t="n">
        <f>4608000</f>
        <v>4608000.0</v>
      </c>
      <c r="W1572" s="16" t="n">
        <v>85000.0</v>
      </c>
      <c r="X1572" s="16" t="str">
        <f>"－"</f>
        <v>－</v>
      </c>
      <c r="Y1572" s="13"/>
      <c r="Z1572" s="17" t="n">
        <f>47</f>
        <v>47.0</v>
      </c>
      <c r="AA1572" s="18" t="n">
        <f>5</f>
        <v>5.0</v>
      </c>
      <c r="AB1572" s="11" t="s">
        <v>875</v>
      </c>
    </row>
    <row r="1573">
      <c r="A1573" s="11" t="s">
        <v>46</v>
      </c>
      <c r="B1573" s="11" t="s">
        <v>865</v>
      </c>
      <c r="C1573" s="11" t="s">
        <v>866</v>
      </c>
      <c r="D1573" s="11" t="s">
        <v>651</v>
      </c>
      <c r="E1573" s="11" t="s">
        <v>874</v>
      </c>
      <c r="F1573" s="12" t="n">
        <v>31000.0</v>
      </c>
      <c r="G1573" s="13" t="s">
        <v>207</v>
      </c>
      <c r="H1573" s="14" t="s">
        <v>123</v>
      </c>
      <c r="I1573" s="13" t="s">
        <v>207</v>
      </c>
      <c r="J1573" s="14" t="s">
        <v>123</v>
      </c>
      <c r="K1573" s="13" t="s">
        <v>215</v>
      </c>
      <c r="L1573" s="14" t="s">
        <v>276</v>
      </c>
      <c r="M1573" s="13" t="s">
        <v>204</v>
      </c>
      <c r="N1573" s="14" t="s">
        <v>72</v>
      </c>
      <c r="O1573" s="13" t="s">
        <v>204</v>
      </c>
      <c r="P1573" s="14" t="s">
        <v>70</v>
      </c>
      <c r="Q1573" s="13" t="s">
        <v>204</v>
      </c>
      <c r="R1573" s="14" t="s">
        <v>181</v>
      </c>
      <c r="S1573" s="15" t="n">
        <f>84.67</f>
        <v>84.67</v>
      </c>
      <c r="T1573" s="16" t="n">
        <f>103</f>
        <v>103.0</v>
      </c>
      <c r="U1573" s="16" t="n">
        <v>12.0</v>
      </c>
      <c r="V1573" s="16" t="n">
        <f>4325000</f>
        <v>4325000.0</v>
      </c>
      <c r="W1573" s="16" t="n">
        <v>591000.0</v>
      </c>
      <c r="X1573" s="16" t="str">
        <f>"－"</f>
        <v>－</v>
      </c>
      <c r="Y1573" s="13"/>
      <c r="Z1573" s="17" t="n">
        <f>24</f>
        <v>24.0</v>
      </c>
      <c r="AA1573" s="18" t="n">
        <f>6</f>
        <v>6.0</v>
      </c>
      <c r="AB1573" s="11" t="s">
        <v>875</v>
      </c>
    </row>
    <row r="1574">
      <c r="A1574" s="11" t="s">
        <v>46</v>
      </c>
      <c r="B1574" s="11" t="s">
        <v>865</v>
      </c>
      <c r="C1574" s="11" t="s">
        <v>866</v>
      </c>
      <c r="D1574" s="11" t="s">
        <v>651</v>
      </c>
      <c r="E1574" s="11" t="s">
        <v>874</v>
      </c>
      <c r="F1574" s="12" t="n">
        <v>31125.0</v>
      </c>
      <c r="G1574" s="13" t="s">
        <v>208</v>
      </c>
      <c r="H1574" s="14" t="s">
        <v>341</v>
      </c>
      <c r="I1574" s="13" t="s">
        <v>208</v>
      </c>
      <c r="J1574" s="14" t="s">
        <v>341</v>
      </c>
      <c r="K1574" s="13" t="s">
        <v>215</v>
      </c>
      <c r="L1574" s="14" t="s">
        <v>113</v>
      </c>
      <c r="M1574" s="13" t="s">
        <v>204</v>
      </c>
      <c r="N1574" s="14" t="s">
        <v>78</v>
      </c>
      <c r="O1574" s="13" t="s">
        <v>215</v>
      </c>
      <c r="P1574" s="14" t="s">
        <v>113</v>
      </c>
      <c r="Q1574" s="13" t="s">
        <v>204</v>
      </c>
      <c r="R1574" s="14" t="s">
        <v>213</v>
      </c>
      <c r="S1574" s="15" t="n">
        <f>54.2</f>
        <v>54.2</v>
      </c>
      <c r="T1574" s="16" t="n">
        <f>46</f>
        <v>46.0</v>
      </c>
      <c r="U1574" s="16" t="n">
        <v>1.0</v>
      </c>
      <c r="V1574" s="16" t="n">
        <f>1523000</f>
        <v>1523000.0</v>
      </c>
      <c r="W1574" s="16" t="n">
        <v>50000.0</v>
      </c>
      <c r="X1574" s="16" t="str">
        <f>"－"</f>
        <v>－</v>
      </c>
      <c r="Y1574" s="13"/>
      <c r="Z1574" s="17" t="n">
        <f>25</f>
        <v>25.0</v>
      </c>
      <c r="AA1574" s="18" t="n">
        <f>5</f>
        <v>5.0</v>
      </c>
      <c r="AB1574" s="11" t="s">
        <v>875</v>
      </c>
    </row>
    <row r="1575">
      <c r="A1575" s="11" t="s">
        <v>46</v>
      </c>
      <c r="B1575" s="11" t="s">
        <v>865</v>
      </c>
      <c r="C1575" s="11" t="s">
        <v>866</v>
      </c>
      <c r="D1575" s="11" t="s">
        <v>651</v>
      </c>
      <c r="E1575" s="11" t="s">
        <v>874</v>
      </c>
      <c r="F1575" s="12" t="n">
        <v>31250.0</v>
      </c>
      <c r="G1575" s="13" t="s">
        <v>210</v>
      </c>
      <c r="H1575" s="14" t="s">
        <v>98</v>
      </c>
      <c r="I1575" s="13" t="s">
        <v>210</v>
      </c>
      <c r="J1575" s="14" t="s">
        <v>98</v>
      </c>
      <c r="K1575" s="13" t="s">
        <v>215</v>
      </c>
      <c r="L1575" s="14" t="s">
        <v>84</v>
      </c>
      <c r="M1575" s="13" t="s">
        <v>204</v>
      </c>
      <c r="N1575" s="14" t="s">
        <v>67</v>
      </c>
      <c r="O1575" s="13" t="s">
        <v>204</v>
      </c>
      <c r="P1575" s="14" t="s">
        <v>72</v>
      </c>
      <c r="Q1575" s="13" t="s">
        <v>204</v>
      </c>
      <c r="R1575" s="14" t="s">
        <v>67</v>
      </c>
      <c r="S1575" s="15" t="n">
        <f>24</f>
        <v>24.0</v>
      </c>
      <c r="T1575" s="16" t="n">
        <f>68</f>
        <v>68.0</v>
      </c>
      <c r="U1575" s="16" t="n">
        <v>17.0</v>
      </c>
      <c r="V1575" s="16" t="n">
        <f>1649000</f>
        <v>1649000.0</v>
      </c>
      <c r="W1575" s="16" t="n">
        <v>496000.0</v>
      </c>
      <c r="X1575" s="16" t="str">
        <f>"－"</f>
        <v>－</v>
      </c>
      <c r="Y1575" s="13"/>
      <c r="Z1575" s="17" t="n">
        <f>43</f>
        <v>43.0</v>
      </c>
      <c r="AA1575" s="18" t="n">
        <f>3</f>
        <v>3.0</v>
      </c>
      <c r="AB1575" s="11" t="s">
        <v>875</v>
      </c>
    </row>
    <row r="1576">
      <c r="A1576" s="11" t="s">
        <v>46</v>
      </c>
      <c r="B1576" s="11" t="s">
        <v>865</v>
      </c>
      <c r="C1576" s="11" t="s">
        <v>866</v>
      </c>
      <c r="D1576" s="11" t="s">
        <v>651</v>
      </c>
      <c r="E1576" s="11" t="s">
        <v>874</v>
      </c>
      <c r="F1576" s="12" t="n">
        <v>31375.0</v>
      </c>
      <c r="G1576" s="13" t="s">
        <v>211</v>
      </c>
      <c r="H1576" s="14" t="s">
        <v>112</v>
      </c>
      <c r="I1576" s="13" t="s">
        <v>211</v>
      </c>
      <c r="J1576" s="14" t="s">
        <v>112</v>
      </c>
      <c r="K1576" s="13" t="s">
        <v>211</v>
      </c>
      <c r="L1576" s="14" t="s">
        <v>100</v>
      </c>
      <c r="M1576" s="13" t="s">
        <v>204</v>
      </c>
      <c r="N1576" s="14" t="s">
        <v>66</v>
      </c>
      <c r="O1576" s="13" t="s">
        <v>211</v>
      </c>
      <c r="P1576" s="14" t="s">
        <v>100</v>
      </c>
      <c r="Q1576" s="13" t="s">
        <v>204</v>
      </c>
      <c r="R1576" s="14" t="s">
        <v>66</v>
      </c>
      <c r="S1576" s="15" t="n">
        <f>38</f>
        <v>38.0</v>
      </c>
      <c r="T1576" s="16" t="n">
        <f>14</f>
        <v>14.0</v>
      </c>
      <c r="U1576" s="16" t="n">
        <v>2.0</v>
      </c>
      <c r="V1576" s="16" t="n">
        <f>435000</f>
        <v>435000.0</v>
      </c>
      <c r="W1576" s="16" t="n">
        <v>108000.0</v>
      </c>
      <c r="X1576" s="16" t="str">
        <f>"－"</f>
        <v>－</v>
      </c>
      <c r="Y1576" s="13"/>
      <c r="Z1576" s="17" t="n">
        <f>8</f>
        <v>8.0</v>
      </c>
      <c r="AA1576" s="18" t="n">
        <f>3</f>
        <v>3.0</v>
      </c>
      <c r="AB1576" s="11" t="s">
        <v>875</v>
      </c>
    </row>
    <row r="1577">
      <c r="A1577" s="11" t="s">
        <v>46</v>
      </c>
      <c r="B1577" s="11" t="s">
        <v>865</v>
      </c>
      <c r="C1577" s="11" t="s">
        <v>866</v>
      </c>
      <c r="D1577" s="11" t="s">
        <v>651</v>
      </c>
      <c r="E1577" s="11" t="s">
        <v>874</v>
      </c>
      <c r="F1577" s="12" t="n">
        <v>31500.0</v>
      </c>
      <c r="G1577" s="13" t="s">
        <v>208</v>
      </c>
      <c r="H1577" s="14" t="s">
        <v>113</v>
      </c>
      <c r="I1577" s="13" t="s">
        <v>211</v>
      </c>
      <c r="J1577" s="14" t="s">
        <v>264</v>
      </c>
      <c r="K1577" s="13" t="s">
        <v>211</v>
      </c>
      <c r="L1577" s="14" t="s">
        <v>104</v>
      </c>
      <c r="M1577" s="13" t="s">
        <v>204</v>
      </c>
      <c r="N1577" s="14" t="s">
        <v>62</v>
      </c>
      <c r="O1577" s="13" t="s">
        <v>204</v>
      </c>
      <c r="P1577" s="14" t="s">
        <v>69</v>
      </c>
      <c r="Q1577" s="13" t="s">
        <v>204</v>
      </c>
      <c r="R1577" s="14" t="s">
        <v>64</v>
      </c>
      <c r="S1577" s="15" t="n">
        <f>26.2</f>
        <v>26.2</v>
      </c>
      <c r="T1577" s="16" t="n">
        <f>130</f>
        <v>130.0</v>
      </c>
      <c r="U1577" s="16" t="n">
        <v>4.0</v>
      </c>
      <c r="V1577" s="16" t="n">
        <f>1964000</f>
        <v>1964000.0</v>
      </c>
      <c r="W1577" s="16" t="n">
        <v>117000.0</v>
      </c>
      <c r="X1577" s="16" t="str">
        <f>"－"</f>
        <v>－</v>
      </c>
      <c r="Y1577" s="13"/>
      <c r="Z1577" s="17" t="n">
        <f>64</f>
        <v>64.0</v>
      </c>
      <c r="AA1577" s="18" t="n">
        <f>5</f>
        <v>5.0</v>
      </c>
      <c r="AB1577" s="11" t="s">
        <v>875</v>
      </c>
    </row>
    <row r="1578">
      <c r="A1578" s="11" t="s">
        <v>46</v>
      </c>
      <c r="B1578" s="11" t="s">
        <v>865</v>
      </c>
      <c r="C1578" s="11" t="s">
        <v>866</v>
      </c>
      <c r="D1578" s="11" t="s">
        <v>651</v>
      </c>
      <c r="E1578" s="11" t="s">
        <v>877</v>
      </c>
      <c r="F1578" s="12" t="n">
        <v>30250.0</v>
      </c>
      <c r="G1578" s="13"/>
      <c r="H1578" s="14" t="s">
        <v>57</v>
      </c>
      <c r="I1578" s="13"/>
      <c r="J1578" s="14" t="s">
        <v>57</v>
      </c>
      <c r="K1578" s="13" t="s">
        <v>208</v>
      </c>
      <c r="L1578" s="14" t="s">
        <v>886</v>
      </c>
      <c r="M1578" s="13"/>
      <c r="N1578" s="14" t="s">
        <v>57</v>
      </c>
      <c r="O1578" s="13" t="s">
        <v>208</v>
      </c>
      <c r="P1578" s="14" t="s">
        <v>886</v>
      </c>
      <c r="Q1578" s="13"/>
      <c r="R1578" s="14" t="s">
        <v>57</v>
      </c>
      <c r="S1578" s="15" t="str">
        <f>"－"</f>
        <v>－</v>
      </c>
      <c r="T1578" s="16" t="n">
        <f>240</f>
        <v>240.0</v>
      </c>
      <c r="U1578" s="16" t="n">
        <v>240.0</v>
      </c>
      <c r="V1578" s="16" t="n">
        <f>131013600</f>
        <v>1.310136E8</v>
      </c>
      <c r="W1578" s="16" t="n">
        <v>1.310136E8</v>
      </c>
      <c r="X1578" s="16" t="str">
        <f>"－"</f>
        <v>－</v>
      </c>
      <c r="Y1578" s="13"/>
      <c r="Z1578" s="17" t="n">
        <f>240</f>
        <v>240.0</v>
      </c>
      <c r="AA1578" s="18" t="str">
        <f>"－"</f>
        <v>－</v>
      </c>
      <c r="AB1578" s="11" t="s">
        <v>878</v>
      </c>
    </row>
    <row r="1579">
      <c r="A1579" s="11" t="s">
        <v>46</v>
      </c>
      <c r="B1579" s="11" t="s">
        <v>865</v>
      </c>
      <c r="C1579" s="11" t="s">
        <v>866</v>
      </c>
      <c r="D1579" s="11" t="s">
        <v>651</v>
      </c>
      <c r="E1579" s="11" t="s">
        <v>877</v>
      </c>
      <c r="F1579" s="12" t="n">
        <v>31000.0</v>
      </c>
      <c r="G1579" s="13" t="s">
        <v>204</v>
      </c>
      <c r="H1579" s="14" t="s">
        <v>109</v>
      </c>
      <c r="I1579" s="13" t="s">
        <v>204</v>
      </c>
      <c r="J1579" s="14" t="s">
        <v>109</v>
      </c>
      <c r="K1579" s="13"/>
      <c r="L1579" s="14"/>
      <c r="M1579" s="13" t="s">
        <v>204</v>
      </c>
      <c r="N1579" s="14" t="s">
        <v>109</v>
      </c>
      <c r="O1579" s="13"/>
      <c r="P1579" s="14"/>
      <c r="Q1579" s="13" t="s">
        <v>204</v>
      </c>
      <c r="R1579" s="14" t="s">
        <v>109</v>
      </c>
      <c r="S1579" s="15" t="n">
        <f>80</f>
        <v>80.0</v>
      </c>
      <c r="T1579" s="16" t="n">
        <f>2</f>
        <v>2.0</v>
      </c>
      <c r="U1579" s="16"/>
      <c r="V1579" s="16" t="n">
        <f>160000</f>
        <v>160000.0</v>
      </c>
      <c r="W1579" s="16"/>
      <c r="X1579" s="16" t="str">
        <f>"－"</f>
        <v>－</v>
      </c>
      <c r="Y1579" s="13"/>
      <c r="Z1579" s="17" t="n">
        <f>2</f>
        <v>2.0</v>
      </c>
      <c r="AA1579" s="18" t="n">
        <f>1</f>
        <v>1.0</v>
      </c>
      <c r="AB1579" s="11" t="s">
        <v>878</v>
      </c>
    </row>
    <row r="1580">
      <c r="A1580" s="11" t="s">
        <v>46</v>
      </c>
      <c r="B1580" s="11" t="s">
        <v>865</v>
      </c>
      <c r="C1580" s="11" t="s">
        <v>866</v>
      </c>
      <c r="D1580" s="11" t="s">
        <v>651</v>
      </c>
      <c r="E1580" s="11" t="s">
        <v>879</v>
      </c>
      <c r="F1580" s="12" t="n">
        <v>30000.0</v>
      </c>
      <c r="G1580" s="13"/>
      <c r="H1580" s="14" t="s">
        <v>57</v>
      </c>
      <c r="I1580" s="13"/>
      <c r="J1580" s="14" t="s">
        <v>57</v>
      </c>
      <c r="K1580" s="13" t="s">
        <v>204</v>
      </c>
      <c r="L1580" s="14" t="s">
        <v>196</v>
      </c>
      <c r="M1580" s="13"/>
      <c r="N1580" s="14" t="s">
        <v>57</v>
      </c>
      <c r="O1580" s="13" t="s">
        <v>204</v>
      </c>
      <c r="P1580" s="14" t="s">
        <v>196</v>
      </c>
      <c r="Q1580" s="13"/>
      <c r="R1580" s="14" t="s">
        <v>57</v>
      </c>
      <c r="S1580" s="15" t="str">
        <f>"－"</f>
        <v>－</v>
      </c>
      <c r="T1580" s="16" t="n">
        <f>240</f>
        <v>240.0</v>
      </c>
      <c r="U1580" s="16" t="n">
        <v>240.0</v>
      </c>
      <c r="V1580" s="16" t="n">
        <f>103200000</f>
        <v>1.032E8</v>
      </c>
      <c r="W1580" s="16" t="n">
        <v>1.032E8</v>
      </c>
      <c r="X1580" s="16" t="str">
        <f>"－"</f>
        <v>－</v>
      </c>
      <c r="Y1580" s="13"/>
      <c r="Z1580" s="17" t="n">
        <f>240</f>
        <v>240.0</v>
      </c>
      <c r="AA1580" s="18" t="str">
        <f>"－"</f>
        <v>－</v>
      </c>
      <c r="AB1580" s="11" t="s">
        <v>880</v>
      </c>
    </row>
    <row r="1581">
      <c r="A1581" s="11" t="s">
        <v>46</v>
      </c>
      <c r="B1581" s="11" t="s">
        <v>887</v>
      </c>
      <c r="C1581" s="11" t="s">
        <v>888</v>
      </c>
      <c r="D1581" s="11" t="s">
        <v>49</v>
      </c>
      <c r="E1581" s="11" t="s">
        <v>46</v>
      </c>
      <c r="F1581" s="12" t="n">
        <v>1200.0</v>
      </c>
      <c r="G1581" s="13"/>
      <c r="H1581" s="14" t="s">
        <v>57</v>
      </c>
      <c r="I1581" s="13"/>
      <c r="J1581" s="14" t="s">
        <v>57</v>
      </c>
      <c r="K1581" s="13"/>
      <c r="L1581" s="14"/>
      <c r="M1581" s="13"/>
      <c r="N1581" s="14" t="s">
        <v>57</v>
      </c>
      <c r="O1581" s="13"/>
      <c r="P1581" s="14"/>
      <c r="Q1581" s="13"/>
      <c r="R1581" s="14" t="s">
        <v>57</v>
      </c>
      <c r="S1581" s="15" t="str">
        <f>"－"</f>
        <v>－</v>
      </c>
      <c r="T1581" s="16" t="str">
        <f>"－"</f>
        <v>－</v>
      </c>
      <c r="U1581" s="16"/>
      <c r="V1581" s="16" t="str">
        <f>"－"</f>
        <v>－</v>
      </c>
      <c r="W1581" s="16"/>
      <c r="X1581" s="16" t="str">
        <f>"－"</f>
        <v>－</v>
      </c>
      <c r="Y1581" s="13" t="s">
        <v>53</v>
      </c>
      <c r="Z1581" s="17" t="n">
        <f>500</f>
        <v>500.0</v>
      </c>
      <c r="AA1581" s="18" t="str">
        <f>"－"</f>
        <v>－</v>
      </c>
      <c r="AB1581" s="11" t="s">
        <v>54</v>
      </c>
    </row>
    <row r="1582">
      <c r="A1582" s="11" t="s">
        <v>46</v>
      </c>
      <c r="B1582" s="11" t="s">
        <v>887</v>
      </c>
      <c r="C1582" s="11" t="s">
        <v>888</v>
      </c>
      <c r="D1582" s="11" t="s">
        <v>49</v>
      </c>
      <c r="E1582" s="11" t="s">
        <v>46</v>
      </c>
      <c r="F1582" s="12" t="n">
        <v>1250.0</v>
      </c>
      <c r="G1582" s="13"/>
      <c r="H1582" s="14" t="s">
        <v>57</v>
      </c>
      <c r="I1582" s="13"/>
      <c r="J1582" s="14" t="s">
        <v>57</v>
      </c>
      <c r="K1582" s="13"/>
      <c r="L1582" s="14"/>
      <c r="M1582" s="13"/>
      <c r="N1582" s="14" t="s">
        <v>57</v>
      </c>
      <c r="O1582" s="13"/>
      <c r="P1582" s="14"/>
      <c r="Q1582" s="13"/>
      <c r="R1582" s="14" t="s">
        <v>57</v>
      </c>
      <c r="S1582" s="15" t="str">
        <f>"－"</f>
        <v>－</v>
      </c>
      <c r="T1582" s="16" t="str">
        <f>"－"</f>
        <v>－</v>
      </c>
      <c r="U1582" s="16"/>
      <c r="V1582" s="16" t="str">
        <f>"－"</f>
        <v>－</v>
      </c>
      <c r="W1582" s="16"/>
      <c r="X1582" s="16" t="str">
        <f>"－"</f>
        <v>－</v>
      </c>
      <c r="Y1582" s="13" t="s">
        <v>53</v>
      </c>
      <c r="Z1582" s="17" t="n">
        <f>200</f>
        <v>200.0</v>
      </c>
      <c r="AA1582" s="18" t="str">
        <f>"－"</f>
        <v>－</v>
      </c>
      <c r="AB1582" s="11" t="s">
        <v>54</v>
      </c>
    </row>
    <row r="1583">
      <c r="A1583" s="11" t="s">
        <v>46</v>
      </c>
      <c r="B1583" s="11" t="s">
        <v>887</v>
      </c>
      <c r="C1583" s="11" t="s">
        <v>888</v>
      </c>
      <c r="D1583" s="11" t="s">
        <v>49</v>
      </c>
      <c r="E1583" s="11" t="s">
        <v>46</v>
      </c>
      <c r="F1583" s="12" t="n">
        <v>1675.0</v>
      </c>
      <c r="G1583" s="13"/>
      <c r="H1583" s="14" t="s">
        <v>57</v>
      </c>
      <c r="I1583" s="13"/>
      <c r="J1583" s="14" t="s">
        <v>57</v>
      </c>
      <c r="K1583" s="13"/>
      <c r="L1583" s="14"/>
      <c r="M1583" s="13"/>
      <c r="N1583" s="14" t="s">
        <v>57</v>
      </c>
      <c r="O1583" s="13"/>
      <c r="P1583" s="14"/>
      <c r="Q1583" s="13"/>
      <c r="R1583" s="14" t="s">
        <v>57</v>
      </c>
      <c r="S1583" s="15" t="str">
        <f>"－"</f>
        <v>－</v>
      </c>
      <c r="T1583" s="16" t="str">
        <f>"－"</f>
        <v>－</v>
      </c>
      <c r="U1583" s="16"/>
      <c r="V1583" s="16" t="str">
        <f>"－"</f>
        <v>－</v>
      </c>
      <c r="W1583" s="16"/>
      <c r="X1583" s="16" t="str">
        <f>"－"</f>
        <v>－</v>
      </c>
      <c r="Y1583" s="13" t="s">
        <v>53</v>
      </c>
      <c r="Z1583" s="17" t="n">
        <f>1056</f>
        <v>1056.0</v>
      </c>
      <c r="AA1583" s="18" t="str">
        <f>"－"</f>
        <v>－</v>
      </c>
      <c r="AB1583" s="11" t="s">
        <v>54</v>
      </c>
    </row>
    <row r="1584">
      <c r="A1584" s="11" t="s">
        <v>46</v>
      </c>
      <c r="B1584" s="11" t="s">
        <v>887</v>
      </c>
      <c r="C1584" s="11" t="s">
        <v>888</v>
      </c>
      <c r="D1584" s="11" t="s">
        <v>49</v>
      </c>
      <c r="E1584" s="11" t="s">
        <v>46</v>
      </c>
      <c r="F1584" s="12" t="n">
        <v>1700.0</v>
      </c>
      <c r="G1584" s="13"/>
      <c r="H1584" s="14" t="s">
        <v>57</v>
      </c>
      <c r="I1584" s="13"/>
      <c r="J1584" s="14" t="s">
        <v>57</v>
      </c>
      <c r="K1584" s="13"/>
      <c r="L1584" s="14"/>
      <c r="M1584" s="13"/>
      <c r="N1584" s="14" t="s">
        <v>57</v>
      </c>
      <c r="O1584" s="13"/>
      <c r="P1584" s="14"/>
      <c r="Q1584" s="13"/>
      <c r="R1584" s="14" t="s">
        <v>57</v>
      </c>
      <c r="S1584" s="15" t="str">
        <f>"－"</f>
        <v>－</v>
      </c>
      <c r="T1584" s="16" t="str">
        <f>"－"</f>
        <v>－</v>
      </c>
      <c r="U1584" s="16"/>
      <c r="V1584" s="16" t="str">
        <f>"－"</f>
        <v>－</v>
      </c>
      <c r="W1584" s="16"/>
      <c r="X1584" s="16" t="str">
        <f>"－"</f>
        <v>－</v>
      </c>
      <c r="Y1584" s="13" t="s">
        <v>53</v>
      </c>
      <c r="Z1584" s="17" t="n">
        <f>300</f>
        <v>300.0</v>
      </c>
      <c r="AA1584" s="18" t="str">
        <f>"－"</f>
        <v>－</v>
      </c>
      <c r="AB1584" s="11" t="s">
        <v>54</v>
      </c>
    </row>
    <row r="1585">
      <c r="A1585" s="11" t="s">
        <v>46</v>
      </c>
      <c r="B1585" s="11" t="s">
        <v>887</v>
      </c>
      <c r="C1585" s="11" t="s">
        <v>888</v>
      </c>
      <c r="D1585" s="11" t="s">
        <v>49</v>
      </c>
      <c r="E1585" s="11" t="s">
        <v>46</v>
      </c>
      <c r="F1585" s="12" t="n">
        <v>1925.0</v>
      </c>
      <c r="G1585" s="13"/>
      <c r="H1585" s="14" t="s">
        <v>57</v>
      </c>
      <c r="I1585" s="13"/>
      <c r="J1585" s="14" t="s">
        <v>57</v>
      </c>
      <c r="K1585" s="13" t="s">
        <v>56</v>
      </c>
      <c r="L1585" s="14" t="s">
        <v>51</v>
      </c>
      <c r="M1585" s="13"/>
      <c r="N1585" s="14" t="s">
        <v>57</v>
      </c>
      <c r="O1585" s="13" t="s">
        <v>56</v>
      </c>
      <c r="P1585" s="14" t="s">
        <v>51</v>
      </c>
      <c r="Q1585" s="13"/>
      <c r="R1585" s="14" t="s">
        <v>57</v>
      </c>
      <c r="S1585" s="15" t="str">
        <f>"－"</f>
        <v>－</v>
      </c>
      <c r="T1585" s="16" t="n">
        <f>645</f>
        <v>645.0</v>
      </c>
      <c r="U1585" s="16" t="n">
        <v>645.0</v>
      </c>
      <c r="V1585" s="16" t="n">
        <f>6450000</f>
        <v>6450000.0</v>
      </c>
      <c r="W1585" s="16" t="n">
        <v>6450000.0</v>
      </c>
      <c r="X1585" s="16" t="str">
        <f>"－"</f>
        <v>－</v>
      </c>
      <c r="Y1585" s="13" t="s">
        <v>53</v>
      </c>
      <c r="Z1585" s="17" t="n">
        <f>645</f>
        <v>645.0</v>
      </c>
      <c r="AA1585" s="18" t="str">
        <f>"－"</f>
        <v>－</v>
      </c>
      <c r="AB1585" s="11" t="s">
        <v>54</v>
      </c>
    </row>
    <row r="1586">
      <c r="A1586" s="11" t="s">
        <v>46</v>
      </c>
      <c r="B1586" s="11" t="s">
        <v>887</v>
      </c>
      <c r="C1586" s="11" t="s">
        <v>888</v>
      </c>
      <c r="D1586" s="11" t="s">
        <v>49</v>
      </c>
      <c r="E1586" s="11" t="s">
        <v>201</v>
      </c>
      <c r="F1586" s="12" t="n">
        <v>1150.0</v>
      </c>
      <c r="G1586" s="13"/>
      <c r="H1586" s="14" t="s">
        <v>57</v>
      </c>
      <c r="I1586" s="13"/>
      <c r="J1586" s="14" t="s">
        <v>57</v>
      </c>
      <c r="K1586" s="13"/>
      <c r="L1586" s="14"/>
      <c r="M1586" s="13"/>
      <c r="N1586" s="14" t="s">
        <v>57</v>
      </c>
      <c r="O1586" s="13"/>
      <c r="P1586" s="14"/>
      <c r="Q1586" s="13"/>
      <c r="R1586" s="14" t="s">
        <v>57</v>
      </c>
      <c r="S1586" s="15" t="str">
        <f>"－"</f>
        <v>－</v>
      </c>
      <c r="T1586" s="16" t="str">
        <f>"－"</f>
        <v>－</v>
      </c>
      <c r="U1586" s="16"/>
      <c r="V1586" s="16" t="str">
        <f>"－"</f>
        <v>－</v>
      </c>
      <c r="W1586" s="16"/>
      <c r="X1586" s="16" t="str">
        <f>"－"</f>
        <v>－</v>
      </c>
      <c r="Y1586" s="13"/>
      <c r="Z1586" s="17" t="n">
        <f>71</f>
        <v>71.0</v>
      </c>
      <c r="AA1586" s="18" t="str">
        <f>"－"</f>
        <v>－</v>
      </c>
      <c r="AB1586" s="11" t="s">
        <v>203</v>
      </c>
    </row>
    <row r="1587">
      <c r="A1587" s="11" t="s">
        <v>46</v>
      </c>
      <c r="B1587" s="11" t="s">
        <v>887</v>
      </c>
      <c r="C1587" s="11" t="s">
        <v>888</v>
      </c>
      <c r="D1587" s="11" t="s">
        <v>49</v>
      </c>
      <c r="E1587" s="11" t="s">
        <v>201</v>
      </c>
      <c r="F1587" s="12" t="n">
        <v>1200.0</v>
      </c>
      <c r="G1587" s="13"/>
      <c r="H1587" s="14" t="s">
        <v>57</v>
      </c>
      <c r="I1587" s="13"/>
      <c r="J1587" s="14" t="s">
        <v>57</v>
      </c>
      <c r="K1587" s="13"/>
      <c r="L1587" s="14"/>
      <c r="M1587" s="13"/>
      <c r="N1587" s="14" t="s">
        <v>57</v>
      </c>
      <c r="O1587" s="13"/>
      <c r="P1587" s="14"/>
      <c r="Q1587" s="13"/>
      <c r="R1587" s="14" t="s">
        <v>57</v>
      </c>
      <c r="S1587" s="15" t="str">
        <f>"－"</f>
        <v>－</v>
      </c>
      <c r="T1587" s="16" t="str">
        <f>"－"</f>
        <v>－</v>
      </c>
      <c r="U1587" s="16"/>
      <c r="V1587" s="16" t="str">
        <f>"－"</f>
        <v>－</v>
      </c>
      <c r="W1587" s="16"/>
      <c r="X1587" s="16" t="str">
        <f>"－"</f>
        <v>－</v>
      </c>
      <c r="Y1587" s="13"/>
      <c r="Z1587" s="17" t="n">
        <f>500</f>
        <v>500.0</v>
      </c>
      <c r="AA1587" s="18" t="str">
        <f>"－"</f>
        <v>－</v>
      </c>
      <c r="AB1587" s="11" t="s">
        <v>203</v>
      </c>
    </row>
    <row r="1588">
      <c r="A1588" s="11" t="s">
        <v>46</v>
      </c>
      <c r="B1588" s="11" t="s">
        <v>887</v>
      </c>
      <c r="C1588" s="11" t="s">
        <v>888</v>
      </c>
      <c r="D1588" s="11" t="s">
        <v>49</v>
      </c>
      <c r="E1588" s="11" t="s">
        <v>201</v>
      </c>
      <c r="F1588" s="12" t="n">
        <v>1250.0</v>
      </c>
      <c r="G1588" s="13"/>
      <c r="H1588" s="14" t="s">
        <v>57</v>
      </c>
      <c r="I1588" s="13"/>
      <c r="J1588" s="14" t="s">
        <v>57</v>
      </c>
      <c r="K1588" s="13"/>
      <c r="L1588" s="14"/>
      <c r="M1588" s="13"/>
      <c r="N1588" s="14" t="s">
        <v>57</v>
      </c>
      <c r="O1588" s="13"/>
      <c r="P1588" s="14"/>
      <c r="Q1588" s="13"/>
      <c r="R1588" s="14" t="s">
        <v>57</v>
      </c>
      <c r="S1588" s="15" t="str">
        <f>"－"</f>
        <v>－</v>
      </c>
      <c r="T1588" s="16" t="str">
        <f>"－"</f>
        <v>－</v>
      </c>
      <c r="U1588" s="16"/>
      <c r="V1588" s="16" t="str">
        <f>"－"</f>
        <v>－</v>
      </c>
      <c r="W1588" s="16"/>
      <c r="X1588" s="16" t="str">
        <f>"－"</f>
        <v>－</v>
      </c>
      <c r="Y1588" s="13"/>
      <c r="Z1588" s="17" t="n">
        <f>849</f>
        <v>849.0</v>
      </c>
      <c r="AA1588" s="18" t="str">
        <f>"－"</f>
        <v>－</v>
      </c>
      <c r="AB1588" s="11" t="s">
        <v>203</v>
      </c>
    </row>
    <row r="1589">
      <c r="A1589" s="11" t="s">
        <v>46</v>
      </c>
      <c r="B1589" s="11" t="s">
        <v>887</v>
      </c>
      <c r="C1589" s="11" t="s">
        <v>888</v>
      </c>
      <c r="D1589" s="11" t="s">
        <v>49</v>
      </c>
      <c r="E1589" s="11" t="s">
        <v>201</v>
      </c>
      <c r="F1589" s="12" t="n">
        <v>1300.0</v>
      </c>
      <c r="G1589" s="13"/>
      <c r="H1589" s="14" t="s">
        <v>57</v>
      </c>
      <c r="I1589" s="13"/>
      <c r="J1589" s="14" t="s">
        <v>57</v>
      </c>
      <c r="K1589" s="13"/>
      <c r="L1589" s="14"/>
      <c r="M1589" s="13"/>
      <c r="N1589" s="14" t="s">
        <v>57</v>
      </c>
      <c r="O1589" s="13"/>
      <c r="P1589" s="14"/>
      <c r="Q1589" s="13"/>
      <c r="R1589" s="14" t="s">
        <v>57</v>
      </c>
      <c r="S1589" s="15" t="str">
        <f>"－"</f>
        <v>－</v>
      </c>
      <c r="T1589" s="16" t="str">
        <f>"－"</f>
        <v>－</v>
      </c>
      <c r="U1589" s="16"/>
      <c r="V1589" s="16" t="str">
        <f>"－"</f>
        <v>－</v>
      </c>
      <c r="W1589" s="16"/>
      <c r="X1589" s="16" t="str">
        <f>"－"</f>
        <v>－</v>
      </c>
      <c r="Y1589" s="13"/>
      <c r="Z1589" s="17" t="n">
        <f>2909</f>
        <v>2909.0</v>
      </c>
      <c r="AA1589" s="18" t="str">
        <f>"－"</f>
        <v>－</v>
      </c>
      <c r="AB1589" s="11" t="s">
        <v>203</v>
      </c>
    </row>
    <row r="1590">
      <c r="A1590" s="11" t="s">
        <v>46</v>
      </c>
      <c r="B1590" s="11" t="s">
        <v>887</v>
      </c>
      <c r="C1590" s="11" t="s">
        <v>888</v>
      </c>
      <c r="D1590" s="11" t="s">
        <v>49</v>
      </c>
      <c r="E1590" s="11" t="s">
        <v>201</v>
      </c>
      <c r="F1590" s="12" t="n">
        <v>1350.0</v>
      </c>
      <c r="G1590" s="13"/>
      <c r="H1590" s="14" t="s">
        <v>57</v>
      </c>
      <c r="I1590" s="13"/>
      <c r="J1590" s="14" t="s">
        <v>57</v>
      </c>
      <c r="K1590" s="13"/>
      <c r="L1590" s="14"/>
      <c r="M1590" s="13"/>
      <c r="N1590" s="14" t="s">
        <v>57</v>
      </c>
      <c r="O1590" s="13"/>
      <c r="P1590" s="14"/>
      <c r="Q1590" s="13"/>
      <c r="R1590" s="14" t="s">
        <v>57</v>
      </c>
      <c r="S1590" s="15" t="str">
        <f>"－"</f>
        <v>－</v>
      </c>
      <c r="T1590" s="16" t="str">
        <f>"－"</f>
        <v>－</v>
      </c>
      <c r="U1590" s="16"/>
      <c r="V1590" s="16" t="str">
        <f>"－"</f>
        <v>－</v>
      </c>
      <c r="W1590" s="16"/>
      <c r="X1590" s="16" t="str">
        <f>"－"</f>
        <v>－</v>
      </c>
      <c r="Y1590" s="13"/>
      <c r="Z1590" s="17" t="n">
        <f>5827</f>
        <v>5827.0</v>
      </c>
      <c r="AA1590" s="18" t="str">
        <f>"－"</f>
        <v>－</v>
      </c>
      <c r="AB1590" s="11" t="s">
        <v>203</v>
      </c>
    </row>
    <row r="1591">
      <c r="A1591" s="11" t="s">
        <v>46</v>
      </c>
      <c r="B1591" s="11" t="s">
        <v>887</v>
      </c>
      <c r="C1591" s="11" t="s">
        <v>888</v>
      </c>
      <c r="D1591" s="11" t="s">
        <v>49</v>
      </c>
      <c r="E1591" s="11" t="s">
        <v>201</v>
      </c>
      <c r="F1591" s="12" t="n">
        <v>1400.0</v>
      </c>
      <c r="G1591" s="13"/>
      <c r="H1591" s="14" t="s">
        <v>57</v>
      </c>
      <c r="I1591" s="13"/>
      <c r="J1591" s="14" t="s">
        <v>57</v>
      </c>
      <c r="K1591" s="13"/>
      <c r="L1591" s="14"/>
      <c r="M1591" s="13"/>
      <c r="N1591" s="14" t="s">
        <v>57</v>
      </c>
      <c r="O1591" s="13"/>
      <c r="P1591" s="14"/>
      <c r="Q1591" s="13"/>
      <c r="R1591" s="14" t="s">
        <v>57</v>
      </c>
      <c r="S1591" s="15" t="str">
        <f>"－"</f>
        <v>－</v>
      </c>
      <c r="T1591" s="16" t="str">
        <f>"－"</f>
        <v>－</v>
      </c>
      <c r="U1591" s="16"/>
      <c r="V1591" s="16" t="str">
        <f>"－"</f>
        <v>－</v>
      </c>
      <c r="W1591" s="16"/>
      <c r="X1591" s="16" t="str">
        <f>"－"</f>
        <v>－</v>
      </c>
      <c r="Y1591" s="13"/>
      <c r="Z1591" s="17" t="n">
        <f>2711</f>
        <v>2711.0</v>
      </c>
      <c r="AA1591" s="18" t="str">
        <f>"－"</f>
        <v>－</v>
      </c>
      <c r="AB1591" s="11" t="s">
        <v>203</v>
      </c>
    </row>
    <row r="1592">
      <c r="A1592" s="11" t="s">
        <v>46</v>
      </c>
      <c r="B1592" s="11" t="s">
        <v>887</v>
      </c>
      <c r="C1592" s="11" t="s">
        <v>888</v>
      </c>
      <c r="D1592" s="11" t="s">
        <v>49</v>
      </c>
      <c r="E1592" s="11" t="s">
        <v>201</v>
      </c>
      <c r="F1592" s="12" t="n">
        <v>1450.0</v>
      </c>
      <c r="G1592" s="13"/>
      <c r="H1592" s="14" t="s">
        <v>57</v>
      </c>
      <c r="I1592" s="13"/>
      <c r="J1592" s="14" t="s">
        <v>57</v>
      </c>
      <c r="K1592" s="13"/>
      <c r="L1592" s="14"/>
      <c r="M1592" s="13"/>
      <c r="N1592" s="14" t="s">
        <v>57</v>
      </c>
      <c r="O1592" s="13"/>
      <c r="P1592" s="14"/>
      <c r="Q1592" s="13"/>
      <c r="R1592" s="14" t="s">
        <v>57</v>
      </c>
      <c r="S1592" s="15" t="str">
        <f>"－"</f>
        <v>－</v>
      </c>
      <c r="T1592" s="16" t="str">
        <f>"－"</f>
        <v>－</v>
      </c>
      <c r="U1592" s="16"/>
      <c r="V1592" s="16" t="str">
        <f>"－"</f>
        <v>－</v>
      </c>
      <c r="W1592" s="16"/>
      <c r="X1592" s="16" t="str">
        <f>"－"</f>
        <v>－</v>
      </c>
      <c r="Y1592" s="13"/>
      <c r="Z1592" s="17" t="n">
        <f>550</f>
        <v>550.0</v>
      </c>
      <c r="AA1592" s="18" t="str">
        <f>"－"</f>
        <v>－</v>
      </c>
      <c r="AB1592" s="11" t="s">
        <v>203</v>
      </c>
    </row>
    <row r="1593">
      <c r="A1593" s="11" t="s">
        <v>46</v>
      </c>
      <c r="B1593" s="11" t="s">
        <v>887</v>
      </c>
      <c r="C1593" s="11" t="s">
        <v>888</v>
      </c>
      <c r="D1593" s="11" t="s">
        <v>49</v>
      </c>
      <c r="E1593" s="11" t="s">
        <v>201</v>
      </c>
      <c r="F1593" s="12" t="n">
        <v>1500.0</v>
      </c>
      <c r="G1593" s="13"/>
      <c r="H1593" s="14" t="s">
        <v>57</v>
      </c>
      <c r="I1593" s="13"/>
      <c r="J1593" s="14" t="s">
        <v>57</v>
      </c>
      <c r="K1593" s="13"/>
      <c r="L1593" s="14"/>
      <c r="M1593" s="13"/>
      <c r="N1593" s="14" t="s">
        <v>57</v>
      </c>
      <c r="O1593" s="13"/>
      <c r="P1593" s="14"/>
      <c r="Q1593" s="13"/>
      <c r="R1593" s="14" t="s">
        <v>57</v>
      </c>
      <c r="S1593" s="15" t="str">
        <f>"－"</f>
        <v>－</v>
      </c>
      <c r="T1593" s="16" t="str">
        <f>"－"</f>
        <v>－</v>
      </c>
      <c r="U1593" s="16"/>
      <c r="V1593" s="16" t="str">
        <f>"－"</f>
        <v>－</v>
      </c>
      <c r="W1593" s="16"/>
      <c r="X1593" s="16" t="str">
        <f>"－"</f>
        <v>－</v>
      </c>
      <c r="Y1593" s="13"/>
      <c r="Z1593" s="17" t="n">
        <f>1094</f>
        <v>1094.0</v>
      </c>
      <c r="AA1593" s="18" t="str">
        <f>"－"</f>
        <v>－</v>
      </c>
      <c r="AB1593" s="11" t="s">
        <v>203</v>
      </c>
    </row>
    <row r="1594">
      <c r="A1594" s="11" t="s">
        <v>46</v>
      </c>
      <c r="B1594" s="11" t="s">
        <v>887</v>
      </c>
      <c r="C1594" s="11" t="s">
        <v>888</v>
      </c>
      <c r="D1594" s="11" t="s">
        <v>49</v>
      </c>
      <c r="E1594" s="11" t="s">
        <v>201</v>
      </c>
      <c r="F1594" s="12" t="n">
        <v>1550.0</v>
      </c>
      <c r="G1594" s="13"/>
      <c r="H1594" s="14" t="s">
        <v>57</v>
      </c>
      <c r="I1594" s="13"/>
      <c r="J1594" s="14" t="s">
        <v>57</v>
      </c>
      <c r="K1594" s="13"/>
      <c r="L1594" s="14"/>
      <c r="M1594" s="13"/>
      <c r="N1594" s="14" t="s">
        <v>57</v>
      </c>
      <c r="O1594" s="13"/>
      <c r="P1594" s="14"/>
      <c r="Q1594" s="13"/>
      <c r="R1594" s="14" t="s">
        <v>57</v>
      </c>
      <c r="S1594" s="15" t="str">
        <f>"－"</f>
        <v>－</v>
      </c>
      <c r="T1594" s="16" t="str">
        <f>"－"</f>
        <v>－</v>
      </c>
      <c r="U1594" s="16"/>
      <c r="V1594" s="16" t="str">
        <f>"－"</f>
        <v>－</v>
      </c>
      <c r="W1594" s="16"/>
      <c r="X1594" s="16" t="str">
        <f>"－"</f>
        <v>－</v>
      </c>
      <c r="Y1594" s="13"/>
      <c r="Z1594" s="17" t="n">
        <f>195</f>
        <v>195.0</v>
      </c>
      <c r="AA1594" s="18" t="str">
        <f>"－"</f>
        <v>－</v>
      </c>
      <c r="AB1594" s="11" t="s">
        <v>203</v>
      </c>
    </row>
    <row r="1595">
      <c r="A1595" s="11" t="s">
        <v>46</v>
      </c>
      <c r="B1595" s="11" t="s">
        <v>887</v>
      </c>
      <c r="C1595" s="11" t="s">
        <v>888</v>
      </c>
      <c r="D1595" s="11" t="s">
        <v>49</v>
      </c>
      <c r="E1595" s="11" t="s">
        <v>201</v>
      </c>
      <c r="F1595" s="12" t="n">
        <v>1575.0</v>
      </c>
      <c r="G1595" s="13"/>
      <c r="H1595" s="14" t="s">
        <v>57</v>
      </c>
      <c r="I1595" s="13"/>
      <c r="J1595" s="14" t="s">
        <v>57</v>
      </c>
      <c r="K1595" s="13"/>
      <c r="L1595" s="14"/>
      <c r="M1595" s="13"/>
      <c r="N1595" s="14" t="s">
        <v>57</v>
      </c>
      <c r="O1595" s="13"/>
      <c r="P1595" s="14"/>
      <c r="Q1595" s="13"/>
      <c r="R1595" s="14" t="s">
        <v>57</v>
      </c>
      <c r="S1595" s="15" t="str">
        <f>"－"</f>
        <v>－</v>
      </c>
      <c r="T1595" s="16" t="str">
        <f>"－"</f>
        <v>－</v>
      </c>
      <c r="U1595" s="16"/>
      <c r="V1595" s="16" t="str">
        <f>"－"</f>
        <v>－</v>
      </c>
      <c r="W1595" s="16"/>
      <c r="X1595" s="16" t="str">
        <f>"－"</f>
        <v>－</v>
      </c>
      <c r="Y1595" s="13"/>
      <c r="Z1595" s="17" t="n">
        <f>136</f>
        <v>136.0</v>
      </c>
      <c r="AA1595" s="18" t="str">
        <f>"－"</f>
        <v>－</v>
      </c>
      <c r="AB1595" s="11" t="s">
        <v>203</v>
      </c>
    </row>
    <row r="1596">
      <c r="A1596" s="11" t="s">
        <v>46</v>
      </c>
      <c r="B1596" s="11" t="s">
        <v>887</v>
      </c>
      <c r="C1596" s="11" t="s">
        <v>888</v>
      </c>
      <c r="D1596" s="11" t="s">
        <v>49</v>
      </c>
      <c r="E1596" s="11" t="s">
        <v>201</v>
      </c>
      <c r="F1596" s="12" t="n">
        <v>1600.0</v>
      </c>
      <c r="G1596" s="13"/>
      <c r="H1596" s="14" t="s">
        <v>57</v>
      </c>
      <c r="I1596" s="13"/>
      <c r="J1596" s="14" t="s">
        <v>57</v>
      </c>
      <c r="K1596" s="13"/>
      <c r="L1596" s="14"/>
      <c r="M1596" s="13"/>
      <c r="N1596" s="14" t="s">
        <v>57</v>
      </c>
      <c r="O1596" s="13"/>
      <c r="P1596" s="14"/>
      <c r="Q1596" s="13"/>
      <c r="R1596" s="14" t="s">
        <v>57</v>
      </c>
      <c r="S1596" s="15" t="str">
        <f>"－"</f>
        <v>－</v>
      </c>
      <c r="T1596" s="16" t="str">
        <f>"－"</f>
        <v>－</v>
      </c>
      <c r="U1596" s="16"/>
      <c r="V1596" s="16" t="str">
        <f>"－"</f>
        <v>－</v>
      </c>
      <c r="W1596" s="16"/>
      <c r="X1596" s="16" t="str">
        <f>"－"</f>
        <v>－</v>
      </c>
      <c r="Y1596" s="13"/>
      <c r="Z1596" s="17" t="n">
        <f>450</f>
        <v>450.0</v>
      </c>
      <c r="AA1596" s="18" t="str">
        <f>"－"</f>
        <v>－</v>
      </c>
      <c r="AB1596" s="11" t="s">
        <v>203</v>
      </c>
    </row>
    <row r="1597">
      <c r="A1597" s="11" t="s">
        <v>46</v>
      </c>
      <c r="B1597" s="11" t="s">
        <v>887</v>
      </c>
      <c r="C1597" s="11" t="s">
        <v>888</v>
      </c>
      <c r="D1597" s="11" t="s">
        <v>49</v>
      </c>
      <c r="E1597" s="11" t="s">
        <v>201</v>
      </c>
      <c r="F1597" s="12" t="n">
        <v>1650.0</v>
      </c>
      <c r="G1597" s="13"/>
      <c r="H1597" s="14" t="s">
        <v>57</v>
      </c>
      <c r="I1597" s="13"/>
      <c r="J1597" s="14" t="s">
        <v>57</v>
      </c>
      <c r="K1597" s="13"/>
      <c r="L1597" s="14"/>
      <c r="M1597" s="13"/>
      <c r="N1597" s="14" t="s">
        <v>57</v>
      </c>
      <c r="O1597" s="13"/>
      <c r="P1597" s="14"/>
      <c r="Q1597" s="13"/>
      <c r="R1597" s="14" t="s">
        <v>57</v>
      </c>
      <c r="S1597" s="15" t="str">
        <f>"－"</f>
        <v>－</v>
      </c>
      <c r="T1597" s="16" t="str">
        <f>"－"</f>
        <v>－</v>
      </c>
      <c r="U1597" s="16"/>
      <c r="V1597" s="16" t="str">
        <f>"－"</f>
        <v>－</v>
      </c>
      <c r="W1597" s="16"/>
      <c r="X1597" s="16" t="str">
        <f>"－"</f>
        <v>－</v>
      </c>
      <c r="Y1597" s="13"/>
      <c r="Z1597" s="17" t="n">
        <f>230</f>
        <v>230.0</v>
      </c>
      <c r="AA1597" s="18" t="str">
        <f>"－"</f>
        <v>－</v>
      </c>
      <c r="AB1597" s="11" t="s">
        <v>203</v>
      </c>
    </row>
    <row r="1598">
      <c r="A1598" s="11" t="s">
        <v>46</v>
      </c>
      <c r="B1598" s="11" t="s">
        <v>887</v>
      </c>
      <c r="C1598" s="11" t="s">
        <v>888</v>
      </c>
      <c r="D1598" s="11" t="s">
        <v>49</v>
      </c>
      <c r="E1598" s="11" t="s">
        <v>201</v>
      </c>
      <c r="F1598" s="12" t="n">
        <v>1700.0</v>
      </c>
      <c r="G1598" s="13"/>
      <c r="H1598" s="14" t="s">
        <v>57</v>
      </c>
      <c r="I1598" s="13"/>
      <c r="J1598" s="14" t="s">
        <v>57</v>
      </c>
      <c r="K1598" s="13"/>
      <c r="L1598" s="14"/>
      <c r="M1598" s="13"/>
      <c r="N1598" s="14" t="s">
        <v>57</v>
      </c>
      <c r="O1598" s="13"/>
      <c r="P1598" s="14"/>
      <c r="Q1598" s="13"/>
      <c r="R1598" s="14" t="s">
        <v>57</v>
      </c>
      <c r="S1598" s="15" t="str">
        <f>"－"</f>
        <v>－</v>
      </c>
      <c r="T1598" s="16" t="str">
        <f>"－"</f>
        <v>－</v>
      </c>
      <c r="U1598" s="16"/>
      <c r="V1598" s="16" t="str">
        <f>"－"</f>
        <v>－</v>
      </c>
      <c r="W1598" s="16"/>
      <c r="X1598" s="16" t="str">
        <f>"－"</f>
        <v>－</v>
      </c>
      <c r="Y1598" s="13"/>
      <c r="Z1598" s="17" t="n">
        <f>100</f>
        <v>100.0</v>
      </c>
      <c r="AA1598" s="18" t="str">
        <f>"－"</f>
        <v>－</v>
      </c>
      <c r="AB1598" s="11" t="s">
        <v>203</v>
      </c>
    </row>
    <row r="1599">
      <c r="A1599" s="11" t="s">
        <v>46</v>
      </c>
      <c r="B1599" s="11" t="s">
        <v>887</v>
      </c>
      <c r="C1599" s="11" t="s">
        <v>888</v>
      </c>
      <c r="D1599" s="11" t="s">
        <v>49</v>
      </c>
      <c r="E1599" s="11" t="s">
        <v>201</v>
      </c>
      <c r="F1599" s="12" t="n">
        <v>1750.0</v>
      </c>
      <c r="G1599" s="13"/>
      <c r="H1599" s="14" t="s">
        <v>57</v>
      </c>
      <c r="I1599" s="13"/>
      <c r="J1599" s="14" t="s">
        <v>57</v>
      </c>
      <c r="K1599" s="13"/>
      <c r="L1599" s="14"/>
      <c r="M1599" s="13"/>
      <c r="N1599" s="14" t="s">
        <v>57</v>
      </c>
      <c r="O1599" s="13"/>
      <c r="P1599" s="14"/>
      <c r="Q1599" s="13"/>
      <c r="R1599" s="14" t="s">
        <v>57</v>
      </c>
      <c r="S1599" s="15" t="str">
        <f>"－"</f>
        <v>－</v>
      </c>
      <c r="T1599" s="16" t="str">
        <f>"－"</f>
        <v>－</v>
      </c>
      <c r="U1599" s="16"/>
      <c r="V1599" s="16" t="str">
        <f>"－"</f>
        <v>－</v>
      </c>
      <c r="W1599" s="16"/>
      <c r="X1599" s="16" t="str">
        <f>"－"</f>
        <v>－</v>
      </c>
      <c r="Y1599" s="13"/>
      <c r="Z1599" s="17" t="n">
        <f>136</f>
        <v>136.0</v>
      </c>
      <c r="AA1599" s="18" t="str">
        <f>"－"</f>
        <v>－</v>
      </c>
      <c r="AB1599" s="11" t="s">
        <v>203</v>
      </c>
    </row>
    <row r="1600">
      <c r="A1600" s="11" t="s">
        <v>46</v>
      </c>
      <c r="B1600" s="11" t="s">
        <v>887</v>
      </c>
      <c r="C1600" s="11" t="s">
        <v>888</v>
      </c>
      <c r="D1600" s="11" t="s">
        <v>49</v>
      </c>
      <c r="E1600" s="11" t="s">
        <v>331</v>
      </c>
      <c r="F1600" s="12" t="n">
        <v>1100.0</v>
      </c>
      <c r="G1600" s="13"/>
      <c r="H1600" s="14" t="s">
        <v>57</v>
      </c>
      <c r="I1600" s="13"/>
      <c r="J1600" s="14" t="s">
        <v>57</v>
      </c>
      <c r="K1600" s="13"/>
      <c r="L1600" s="14"/>
      <c r="M1600" s="13"/>
      <c r="N1600" s="14" t="s">
        <v>57</v>
      </c>
      <c r="O1600" s="13"/>
      <c r="P1600" s="14"/>
      <c r="Q1600" s="13"/>
      <c r="R1600" s="14" t="s">
        <v>57</v>
      </c>
      <c r="S1600" s="15" t="str">
        <f>"－"</f>
        <v>－</v>
      </c>
      <c r="T1600" s="16" t="str">
        <f>"－"</f>
        <v>－</v>
      </c>
      <c r="U1600" s="16"/>
      <c r="V1600" s="16" t="str">
        <f>"－"</f>
        <v>－</v>
      </c>
      <c r="W1600" s="16"/>
      <c r="X1600" s="16" t="str">
        <f>"－"</f>
        <v>－</v>
      </c>
      <c r="Y1600" s="13"/>
      <c r="Z1600" s="17" t="n">
        <f>700</f>
        <v>700.0</v>
      </c>
      <c r="AA1600" s="18" t="str">
        <f>"－"</f>
        <v>－</v>
      </c>
      <c r="AB1600" s="11" t="s">
        <v>332</v>
      </c>
    </row>
    <row r="1601">
      <c r="A1601" s="11" t="s">
        <v>46</v>
      </c>
      <c r="B1601" s="11" t="s">
        <v>887</v>
      </c>
      <c r="C1601" s="11" t="s">
        <v>888</v>
      </c>
      <c r="D1601" s="11" t="s">
        <v>49</v>
      </c>
      <c r="E1601" s="11" t="s">
        <v>331</v>
      </c>
      <c r="F1601" s="12" t="n">
        <v>1200.0</v>
      </c>
      <c r="G1601" s="13"/>
      <c r="H1601" s="14" t="s">
        <v>57</v>
      </c>
      <c r="I1601" s="13"/>
      <c r="J1601" s="14" t="s">
        <v>57</v>
      </c>
      <c r="K1601" s="13"/>
      <c r="L1601" s="14"/>
      <c r="M1601" s="13"/>
      <c r="N1601" s="14" t="s">
        <v>57</v>
      </c>
      <c r="O1601" s="13"/>
      <c r="P1601" s="14"/>
      <c r="Q1601" s="13"/>
      <c r="R1601" s="14" t="s">
        <v>57</v>
      </c>
      <c r="S1601" s="15" t="str">
        <f>"－"</f>
        <v>－</v>
      </c>
      <c r="T1601" s="16" t="str">
        <f>"－"</f>
        <v>－</v>
      </c>
      <c r="U1601" s="16"/>
      <c r="V1601" s="16" t="str">
        <f>"－"</f>
        <v>－</v>
      </c>
      <c r="W1601" s="16"/>
      <c r="X1601" s="16" t="str">
        <f>"－"</f>
        <v>－</v>
      </c>
      <c r="Y1601" s="13"/>
      <c r="Z1601" s="17" t="n">
        <f>300</f>
        <v>300.0</v>
      </c>
      <c r="AA1601" s="18" t="str">
        <f>"－"</f>
        <v>－</v>
      </c>
      <c r="AB1601" s="11" t="s">
        <v>332</v>
      </c>
    </row>
    <row r="1602">
      <c r="A1602" s="11" t="s">
        <v>46</v>
      </c>
      <c r="B1602" s="11" t="s">
        <v>887</v>
      </c>
      <c r="C1602" s="11" t="s">
        <v>888</v>
      </c>
      <c r="D1602" s="11" t="s">
        <v>49</v>
      </c>
      <c r="E1602" s="11" t="s">
        <v>331</v>
      </c>
      <c r="F1602" s="12" t="n">
        <v>1250.0</v>
      </c>
      <c r="G1602" s="13"/>
      <c r="H1602" s="14" t="s">
        <v>57</v>
      </c>
      <c r="I1602" s="13"/>
      <c r="J1602" s="14" t="s">
        <v>57</v>
      </c>
      <c r="K1602" s="13"/>
      <c r="L1602" s="14"/>
      <c r="M1602" s="13"/>
      <c r="N1602" s="14" t="s">
        <v>57</v>
      </c>
      <c r="O1602" s="13"/>
      <c r="P1602" s="14"/>
      <c r="Q1602" s="13"/>
      <c r="R1602" s="14" t="s">
        <v>57</v>
      </c>
      <c r="S1602" s="15" t="str">
        <f>"－"</f>
        <v>－</v>
      </c>
      <c r="T1602" s="16" t="str">
        <f>"－"</f>
        <v>－</v>
      </c>
      <c r="U1602" s="16"/>
      <c r="V1602" s="16" t="str">
        <f>"－"</f>
        <v>－</v>
      </c>
      <c r="W1602" s="16"/>
      <c r="X1602" s="16" t="str">
        <f>"－"</f>
        <v>－</v>
      </c>
      <c r="Y1602" s="13"/>
      <c r="Z1602" s="17" t="n">
        <f>22</f>
        <v>22.0</v>
      </c>
      <c r="AA1602" s="18" t="str">
        <f>"－"</f>
        <v>－</v>
      </c>
      <c r="AB1602" s="11" t="s">
        <v>332</v>
      </c>
    </row>
    <row r="1603">
      <c r="A1603" s="11" t="s">
        <v>46</v>
      </c>
      <c r="B1603" s="11" t="s">
        <v>887</v>
      </c>
      <c r="C1603" s="11" t="s">
        <v>888</v>
      </c>
      <c r="D1603" s="11" t="s">
        <v>49</v>
      </c>
      <c r="E1603" s="11" t="s">
        <v>331</v>
      </c>
      <c r="F1603" s="12" t="n">
        <v>1550.0</v>
      </c>
      <c r="G1603" s="13"/>
      <c r="H1603" s="14" t="s">
        <v>57</v>
      </c>
      <c r="I1603" s="13"/>
      <c r="J1603" s="14" t="s">
        <v>57</v>
      </c>
      <c r="K1603" s="13" t="s">
        <v>52</v>
      </c>
      <c r="L1603" s="14" t="s">
        <v>889</v>
      </c>
      <c r="M1603" s="13"/>
      <c r="N1603" s="14" t="s">
        <v>57</v>
      </c>
      <c r="O1603" s="13" t="s">
        <v>52</v>
      </c>
      <c r="P1603" s="14" t="s">
        <v>890</v>
      </c>
      <c r="Q1603" s="13"/>
      <c r="R1603" s="14" t="s">
        <v>57</v>
      </c>
      <c r="S1603" s="15" t="str">
        <f>"－"</f>
        <v>－</v>
      </c>
      <c r="T1603" s="16" t="n">
        <f>726</f>
        <v>726.0</v>
      </c>
      <c r="U1603" s="16" t="n">
        <v>726.0</v>
      </c>
      <c r="V1603" s="16" t="n">
        <f>39001300</f>
        <v>3.90013E7</v>
      </c>
      <c r="W1603" s="16" t="n">
        <v>3.90013E7</v>
      </c>
      <c r="X1603" s="16" t="str">
        <f>"－"</f>
        <v>－</v>
      </c>
      <c r="Y1603" s="13"/>
      <c r="Z1603" s="17" t="n">
        <f>726</f>
        <v>726.0</v>
      </c>
      <c r="AA1603" s="18" t="str">
        <f>"－"</f>
        <v>－</v>
      </c>
      <c r="AB1603" s="11" t="s">
        <v>332</v>
      </c>
    </row>
    <row r="1604">
      <c r="A1604" s="11" t="s">
        <v>46</v>
      </c>
      <c r="B1604" s="11" t="s">
        <v>887</v>
      </c>
      <c r="C1604" s="11" t="s">
        <v>888</v>
      </c>
      <c r="D1604" s="11" t="s">
        <v>49</v>
      </c>
      <c r="E1604" s="11" t="s">
        <v>331</v>
      </c>
      <c r="F1604" s="12" t="n">
        <v>1600.0</v>
      </c>
      <c r="G1604" s="13"/>
      <c r="H1604" s="14" t="s">
        <v>57</v>
      </c>
      <c r="I1604" s="13"/>
      <c r="J1604" s="14" t="s">
        <v>57</v>
      </c>
      <c r="K1604" s="13"/>
      <c r="L1604" s="14"/>
      <c r="M1604" s="13"/>
      <c r="N1604" s="14" t="s">
        <v>57</v>
      </c>
      <c r="O1604" s="13"/>
      <c r="P1604" s="14"/>
      <c r="Q1604" s="13"/>
      <c r="R1604" s="14" t="s">
        <v>57</v>
      </c>
      <c r="S1604" s="15" t="str">
        <f>"－"</f>
        <v>－</v>
      </c>
      <c r="T1604" s="16" t="str">
        <f>"－"</f>
        <v>－</v>
      </c>
      <c r="U1604" s="16"/>
      <c r="V1604" s="16" t="str">
        <f>"－"</f>
        <v>－</v>
      </c>
      <c r="W1604" s="16"/>
      <c r="X1604" s="16" t="str">
        <f>"－"</f>
        <v>－</v>
      </c>
      <c r="Y1604" s="13"/>
      <c r="Z1604" s="17" t="n">
        <f>1654</f>
        <v>1654.0</v>
      </c>
      <c r="AA1604" s="18" t="str">
        <f>"－"</f>
        <v>－</v>
      </c>
      <c r="AB1604" s="11" t="s">
        <v>332</v>
      </c>
    </row>
    <row r="1605">
      <c r="A1605" s="11" t="s">
        <v>46</v>
      </c>
      <c r="B1605" s="11" t="s">
        <v>887</v>
      </c>
      <c r="C1605" s="11" t="s">
        <v>888</v>
      </c>
      <c r="D1605" s="11" t="s">
        <v>49</v>
      </c>
      <c r="E1605" s="11" t="s">
        <v>331</v>
      </c>
      <c r="F1605" s="12" t="n">
        <v>1625.0</v>
      </c>
      <c r="G1605" s="13"/>
      <c r="H1605" s="14" t="s">
        <v>57</v>
      </c>
      <c r="I1605" s="13"/>
      <c r="J1605" s="14" t="s">
        <v>57</v>
      </c>
      <c r="K1605" s="13" t="s">
        <v>52</v>
      </c>
      <c r="L1605" s="14" t="s">
        <v>891</v>
      </c>
      <c r="M1605" s="13"/>
      <c r="N1605" s="14" t="s">
        <v>57</v>
      </c>
      <c r="O1605" s="13" t="s">
        <v>52</v>
      </c>
      <c r="P1605" s="14" t="s">
        <v>891</v>
      </c>
      <c r="Q1605" s="13"/>
      <c r="R1605" s="14" t="s">
        <v>57</v>
      </c>
      <c r="S1605" s="15" t="str">
        <f>"－"</f>
        <v>－</v>
      </c>
      <c r="T1605" s="16" t="n">
        <f>366</f>
        <v>366.0</v>
      </c>
      <c r="U1605" s="16" t="n">
        <v>366.0</v>
      </c>
      <c r="V1605" s="16" t="n">
        <f>34440600</f>
        <v>3.44406E7</v>
      </c>
      <c r="W1605" s="16" t="n">
        <v>3.44406E7</v>
      </c>
      <c r="X1605" s="16" t="str">
        <f>"－"</f>
        <v>－</v>
      </c>
      <c r="Y1605" s="13"/>
      <c r="Z1605" s="17" t="n">
        <f>366</f>
        <v>366.0</v>
      </c>
      <c r="AA1605" s="18" t="str">
        <f>"－"</f>
        <v>－</v>
      </c>
      <c r="AB1605" s="11" t="s">
        <v>332</v>
      </c>
    </row>
    <row r="1606">
      <c r="A1606" s="11" t="s">
        <v>46</v>
      </c>
      <c r="B1606" s="11" t="s">
        <v>887</v>
      </c>
      <c r="C1606" s="11" t="s">
        <v>888</v>
      </c>
      <c r="D1606" s="11" t="s">
        <v>49</v>
      </c>
      <c r="E1606" s="11" t="s">
        <v>331</v>
      </c>
      <c r="F1606" s="12" t="n">
        <v>1725.0</v>
      </c>
      <c r="G1606" s="13"/>
      <c r="H1606" s="14" t="s">
        <v>57</v>
      </c>
      <c r="I1606" s="13"/>
      <c r="J1606" s="14" t="s">
        <v>57</v>
      </c>
      <c r="K1606" s="13"/>
      <c r="L1606" s="14"/>
      <c r="M1606" s="13"/>
      <c r="N1606" s="14" t="s">
        <v>57</v>
      </c>
      <c r="O1606" s="13"/>
      <c r="P1606" s="14"/>
      <c r="Q1606" s="13"/>
      <c r="R1606" s="14" t="s">
        <v>57</v>
      </c>
      <c r="S1606" s="15" t="str">
        <f>"－"</f>
        <v>－</v>
      </c>
      <c r="T1606" s="16" t="str">
        <f>"－"</f>
        <v>－</v>
      </c>
      <c r="U1606" s="16"/>
      <c r="V1606" s="16" t="str">
        <f>"－"</f>
        <v>－</v>
      </c>
      <c r="W1606" s="16"/>
      <c r="X1606" s="16" t="str">
        <f>"－"</f>
        <v>－</v>
      </c>
      <c r="Y1606" s="13"/>
      <c r="Z1606" s="17" t="n">
        <f>298</f>
        <v>298.0</v>
      </c>
      <c r="AA1606" s="18" t="str">
        <f>"－"</f>
        <v>－</v>
      </c>
      <c r="AB1606" s="11" t="s">
        <v>332</v>
      </c>
    </row>
    <row r="1607">
      <c r="A1607" s="11" t="s">
        <v>46</v>
      </c>
      <c r="B1607" s="11" t="s">
        <v>887</v>
      </c>
      <c r="C1607" s="11" t="s">
        <v>888</v>
      </c>
      <c r="D1607" s="11" t="s">
        <v>49</v>
      </c>
      <c r="E1607" s="11" t="s">
        <v>331</v>
      </c>
      <c r="F1607" s="12" t="n">
        <v>1750.0</v>
      </c>
      <c r="G1607" s="13"/>
      <c r="H1607" s="14" t="s">
        <v>57</v>
      </c>
      <c r="I1607" s="13"/>
      <c r="J1607" s="14" t="s">
        <v>57</v>
      </c>
      <c r="K1607" s="13" t="s">
        <v>50</v>
      </c>
      <c r="L1607" s="14" t="s">
        <v>892</v>
      </c>
      <c r="M1607" s="13"/>
      <c r="N1607" s="14" t="s">
        <v>57</v>
      </c>
      <c r="O1607" s="13" t="s">
        <v>50</v>
      </c>
      <c r="P1607" s="14" t="s">
        <v>892</v>
      </c>
      <c r="Q1607" s="13"/>
      <c r="R1607" s="14" t="s">
        <v>57</v>
      </c>
      <c r="S1607" s="15" t="str">
        <f>"－"</f>
        <v>－</v>
      </c>
      <c r="T1607" s="16" t="n">
        <f>545</f>
        <v>545.0</v>
      </c>
      <c r="U1607" s="16" t="n">
        <v>545.0</v>
      </c>
      <c r="V1607" s="16" t="n">
        <f>245575910</f>
        <v>2.4557591E8</v>
      </c>
      <c r="W1607" s="16" t="n">
        <v>2.4557591E8</v>
      </c>
      <c r="X1607" s="16" t="str">
        <f>"－"</f>
        <v>－</v>
      </c>
      <c r="Y1607" s="13"/>
      <c r="Z1607" s="17" t="n">
        <f>240</f>
        <v>240.0</v>
      </c>
      <c r="AA1607" s="18" t="str">
        <f>"－"</f>
        <v>－</v>
      </c>
      <c r="AB1607" s="11" t="s">
        <v>332</v>
      </c>
    </row>
    <row r="1608">
      <c r="A1608" s="11" t="s">
        <v>46</v>
      </c>
      <c r="B1608" s="11" t="s">
        <v>887</v>
      </c>
      <c r="C1608" s="11" t="s">
        <v>888</v>
      </c>
      <c r="D1608" s="11" t="s">
        <v>49</v>
      </c>
      <c r="E1608" s="11" t="s">
        <v>331</v>
      </c>
      <c r="F1608" s="12" t="n">
        <v>1800.0</v>
      </c>
      <c r="G1608" s="13"/>
      <c r="H1608" s="14" t="s">
        <v>57</v>
      </c>
      <c r="I1608" s="13"/>
      <c r="J1608" s="14" t="s">
        <v>57</v>
      </c>
      <c r="K1608" s="13" t="s">
        <v>288</v>
      </c>
      <c r="L1608" s="14" t="s">
        <v>893</v>
      </c>
      <c r="M1608" s="13"/>
      <c r="N1608" s="14" t="s">
        <v>57</v>
      </c>
      <c r="O1608" s="13" t="s">
        <v>204</v>
      </c>
      <c r="P1608" s="14" t="s">
        <v>894</v>
      </c>
      <c r="Q1608" s="13"/>
      <c r="R1608" s="14" t="s">
        <v>57</v>
      </c>
      <c r="S1608" s="15" t="str">
        <f>"－"</f>
        <v>－</v>
      </c>
      <c r="T1608" s="16" t="n">
        <f>3538</f>
        <v>3538.0</v>
      </c>
      <c r="U1608" s="16" t="n">
        <v>3538.0</v>
      </c>
      <c r="V1608" s="16" t="n">
        <f>676579291</f>
        <v>6.76579291E8</v>
      </c>
      <c r="W1608" s="16" t="n">
        <v>6.76579291E8</v>
      </c>
      <c r="X1608" s="16" t="str">
        <f>"－"</f>
        <v>－</v>
      </c>
      <c r="Y1608" s="13"/>
      <c r="Z1608" s="17" t="n">
        <f>1769</f>
        <v>1769.0</v>
      </c>
      <c r="AA1608" s="18" t="str">
        <f>"－"</f>
        <v>－</v>
      </c>
      <c r="AB1608" s="11" t="s">
        <v>332</v>
      </c>
    </row>
    <row r="1609">
      <c r="A1609" s="11" t="s">
        <v>46</v>
      </c>
      <c r="B1609" s="11" t="s">
        <v>887</v>
      </c>
      <c r="C1609" s="11" t="s">
        <v>888</v>
      </c>
      <c r="D1609" s="11" t="s">
        <v>49</v>
      </c>
      <c r="E1609" s="11" t="s">
        <v>331</v>
      </c>
      <c r="F1609" s="12" t="n">
        <v>1950.0</v>
      </c>
      <c r="G1609" s="13"/>
      <c r="H1609" s="14" t="s">
        <v>57</v>
      </c>
      <c r="I1609" s="13"/>
      <c r="J1609" s="14" t="s">
        <v>57</v>
      </c>
      <c r="K1609" s="13" t="s">
        <v>207</v>
      </c>
      <c r="L1609" s="14" t="s">
        <v>113</v>
      </c>
      <c r="M1609" s="13"/>
      <c r="N1609" s="14" t="s">
        <v>57</v>
      </c>
      <c r="O1609" s="13" t="s">
        <v>207</v>
      </c>
      <c r="P1609" s="14" t="s">
        <v>113</v>
      </c>
      <c r="Q1609" s="13"/>
      <c r="R1609" s="14" t="s">
        <v>57</v>
      </c>
      <c r="S1609" s="15" t="str">
        <f>"－"</f>
        <v>－</v>
      </c>
      <c r="T1609" s="16" t="n">
        <f>400</f>
        <v>400.0</v>
      </c>
      <c r="U1609" s="16" t="n">
        <v>400.0</v>
      </c>
      <c r="V1609" s="16" t="n">
        <f>200000000</f>
        <v>2.0E8</v>
      </c>
      <c r="W1609" s="16" t="n">
        <v>2.0E8</v>
      </c>
      <c r="X1609" s="16" t="str">
        <f>"－"</f>
        <v>－</v>
      </c>
      <c r="Y1609" s="13"/>
      <c r="Z1609" s="17" t="n">
        <f>400</f>
        <v>400.0</v>
      </c>
      <c r="AA1609" s="18" t="str">
        <f>"－"</f>
        <v>－</v>
      </c>
      <c r="AB1609" s="11" t="s">
        <v>332</v>
      </c>
    </row>
    <row r="1610">
      <c r="A1610" s="11" t="s">
        <v>46</v>
      </c>
      <c r="B1610" s="11" t="s">
        <v>887</v>
      </c>
      <c r="C1610" s="11" t="s">
        <v>888</v>
      </c>
      <c r="D1610" s="11" t="s">
        <v>49</v>
      </c>
      <c r="E1610" s="11" t="s">
        <v>408</v>
      </c>
      <c r="F1610" s="12" t="n">
        <v>1100.0</v>
      </c>
      <c r="G1610" s="13"/>
      <c r="H1610" s="14" t="s">
        <v>57</v>
      </c>
      <c r="I1610" s="13"/>
      <c r="J1610" s="14" t="s">
        <v>57</v>
      </c>
      <c r="K1610" s="13"/>
      <c r="L1610" s="14"/>
      <c r="M1610" s="13"/>
      <c r="N1610" s="14" t="s">
        <v>57</v>
      </c>
      <c r="O1610" s="13"/>
      <c r="P1610" s="14"/>
      <c r="Q1610" s="13"/>
      <c r="R1610" s="14" t="s">
        <v>57</v>
      </c>
      <c r="S1610" s="15" t="str">
        <f>"－"</f>
        <v>－</v>
      </c>
      <c r="T1610" s="16" t="str">
        <f>"－"</f>
        <v>－</v>
      </c>
      <c r="U1610" s="16"/>
      <c r="V1610" s="16" t="str">
        <f>"－"</f>
        <v>－</v>
      </c>
      <c r="W1610" s="16"/>
      <c r="X1610" s="16" t="str">
        <f>"－"</f>
        <v>－</v>
      </c>
      <c r="Y1610" s="13"/>
      <c r="Z1610" s="17" t="n">
        <f>200</f>
        <v>200.0</v>
      </c>
      <c r="AA1610" s="18" t="str">
        <f>"－"</f>
        <v>－</v>
      </c>
      <c r="AB1610" s="11" t="s">
        <v>410</v>
      </c>
    </row>
    <row r="1611">
      <c r="A1611" s="11" t="s">
        <v>46</v>
      </c>
      <c r="B1611" s="11" t="s">
        <v>887</v>
      </c>
      <c r="C1611" s="11" t="s">
        <v>888</v>
      </c>
      <c r="D1611" s="11" t="s">
        <v>49</v>
      </c>
      <c r="E1611" s="11" t="s">
        <v>408</v>
      </c>
      <c r="F1611" s="12" t="n">
        <v>1200.0</v>
      </c>
      <c r="G1611" s="13"/>
      <c r="H1611" s="14" t="s">
        <v>57</v>
      </c>
      <c r="I1611" s="13"/>
      <c r="J1611" s="14" t="s">
        <v>57</v>
      </c>
      <c r="K1611" s="13"/>
      <c r="L1611" s="14"/>
      <c r="M1611" s="13"/>
      <c r="N1611" s="14" t="s">
        <v>57</v>
      </c>
      <c r="O1611" s="13"/>
      <c r="P1611" s="14"/>
      <c r="Q1611" s="13"/>
      <c r="R1611" s="14" t="s">
        <v>57</v>
      </c>
      <c r="S1611" s="15" t="str">
        <f>"－"</f>
        <v>－</v>
      </c>
      <c r="T1611" s="16" t="str">
        <f>"－"</f>
        <v>－</v>
      </c>
      <c r="U1611" s="16"/>
      <c r="V1611" s="16" t="str">
        <f>"－"</f>
        <v>－</v>
      </c>
      <c r="W1611" s="16"/>
      <c r="X1611" s="16" t="str">
        <f>"－"</f>
        <v>－</v>
      </c>
      <c r="Y1611" s="13"/>
      <c r="Z1611" s="17" t="n">
        <f>200</f>
        <v>200.0</v>
      </c>
      <c r="AA1611" s="18" t="str">
        <f>"－"</f>
        <v>－</v>
      </c>
      <c r="AB1611" s="11" t="s">
        <v>410</v>
      </c>
    </row>
    <row r="1612">
      <c r="A1612" s="11" t="s">
        <v>46</v>
      </c>
      <c r="B1612" s="11" t="s">
        <v>887</v>
      </c>
      <c r="C1612" s="11" t="s">
        <v>888</v>
      </c>
      <c r="D1612" s="11" t="s">
        <v>49</v>
      </c>
      <c r="E1612" s="11" t="s">
        <v>408</v>
      </c>
      <c r="F1612" s="12" t="n">
        <v>1250.0</v>
      </c>
      <c r="G1612" s="13"/>
      <c r="H1612" s="14" t="s">
        <v>57</v>
      </c>
      <c r="I1612" s="13"/>
      <c r="J1612" s="14" t="s">
        <v>57</v>
      </c>
      <c r="K1612" s="13"/>
      <c r="L1612" s="14"/>
      <c r="M1612" s="13"/>
      <c r="N1612" s="14" t="s">
        <v>57</v>
      </c>
      <c r="O1612" s="13"/>
      <c r="P1612" s="14"/>
      <c r="Q1612" s="13"/>
      <c r="R1612" s="14" t="s">
        <v>57</v>
      </c>
      <c r="S1612" s="15" t="str">
        <f>"－"</f>
        <v>－</v>
      </c>
      <c r="T1612" s="16" t="str">
        <f>"－"</f>
        <v>－</v>
      </c>
      <c r="U1612" s="16"/>
      <c r="V1612" s="16" t="str">
        <f>"－"</f>
        <v>－</v>
      </c>
      <c r="W1612" s="16"/>
      <c r="X1612" s="16" t="str">
        <f>"－"</f>
        <v>－</v>
      </c>
      <c r="Y1612" s="13"/>
      <c r="Z1612" s="17" t="n">
        <f>200</f>
        <v>200.0</v>
      </c>
      <c r="AA1612" s="18" t="str">
        <f>"－"</f>
        <v>－</v>
      </c>
      <c r="AB1612" s="11" t="s">
        <v>410</v>
      </c>
    </row>
    <row r="1613">
      <c r="A1613" s="11" t="s">
        <v>46</v>
      </c>
      <c r="B1613" s="11" t="s">
        <v>887</v>
      </c>
      <c r="C1613" s="11" t="s">
        <v>888</v>
      </c>
      <c r="D1613" s="11" t="s">
        <v>49</v>
      </c>
      <c r="E1613" s="11" t="s">
        <v>408</v>
      </c>
      <c r="F1613" s="12" t="n">
        <v>1775.0</v>
      </c>
      <c r="G1613" s="13"/>
      <c r="H1613" s="14" t="s">
        <v>57</v>
      </c>
      <c r="I1613" s="13"/>
      <c r="J1613" s="14" t="s">
        <v>57</v>
      </c>
      <c r="K1613" s="13" t="s">
        <v>207</v>
      </c>
      <c r="L1613" s="14" t="s">
        <v>895</v>
      </c>
      <c r="M1613" s="13"/>
      <c r="N1613" s="14" t="s">
        <v>57</v>
      </c>
      <c r="O1613" s="13" t="s">
        <v>207</v>
      </c>
      <c r="P1613" s="14" t="s">
        <v>896</v>
      </c>
      <c r="Q1613" s="13"/>
      <c r="R1613" s="14" t="s">
        <v>57</v>
      </c>
      <c r="S1613" s="15" t="str">
        <f>"－"</f>
        <v>－</v>
      </c>
      <c r="T1613" s="16" t="n">
        <f>468</f>
        <v>468.0</v>
      </c>
      <c r="U1613" s="16" t="n">
        <v>468.0</v>
      </c>
      <c r="V1613" s="16" t="n">
        <f>148524500</f>
        <v>1.485245E8</v>
      </c>
      <c r="W1613" s="16" t="n">
        <v>1.485245E8</v>
      </c>
      <c r="X1613" s="16" t="str">
        <f>"－"</f>
        <v>－</v>
      </c>
      <c r="Y1613" s="13"/>
      <c r="Z1613" s="17" t="n">
        <f>468</f>
        <v>468.0</v>
      </c>
      <c r="AA1613" s="18" t="str">
        <f>"－"</f>
        <v>－</v>
      </c>
      <c r="AB1613" s="11" t="s">
        <v>410</v>
      </c>
    </row>
    <row r="1614">
      <c r="A1614" s="11" t="s">
        <v>46</v>
      </c>
      <c r="B1614" s="11" t="s">
        <v>887</v>
      </c>
      <c r="C1614" s="11" t="s">
        <v>888</v>
      </c>
      <c r="D1614" s="11" t="s">
        <v>49</v>
      </c>
      <c r="E1614" s="11" t="s">
        <v>408</v>
      </c>
      <c r="F1614" s="12" t="n">
        <v>1850.0</v>
      </c>
      <c r="G1614" s="13"/>
      <c r="H1614" s="14" t="s">
        <v>57</v>
      </c>
      <c r="I1614" s="13"/>
      <c r="J1614" s="14" t="s">
        <v>57</v>
      </c>
      <c r="K1614" s="13" t="s">
        <v>61</v>
      </c>
      <c r="L1614" s="14" t="s">
        <v>897</v>
      </c>
      <c r="M1614" s="13"/>
      <c r="N1614" s="14" t="s">
        <v>57</v>
      </c>
      <c r="O1614" s="13" t="s">
        <v>52</v>
      </c>
      <c r="P1614" s="14" t="s">
        <v>898</v>
      </c>
      <c r="Q1614" s="13"/>
      <c r="R1614" s="14" t="s">
        <v>57</v>
      </c>
      <c r="S1614" s="15" t="str">
        <f>"－"</f>
        <v>－</v>
      </c>
      <c r="T1614" s="16" t="n">
        <f>1175</f>
        <v>1175.0</v>
      </c>
      <c r="U1614" s="16" t="n">
        <v>1175.0</v>
      </c>
      <c r="V1614" s="16" t="n">
        <f>623292500</f>
        <v>6.232925E8</v>
      </c>
      <c r="W1614" s="16" t="n">
        <v>6.232925E8</v>
      </c>
      <c r="X1614" s="16" t="str">
        <f>"－"</f>
        <v>－</v>
      </c>
      <c r="Y1614" s="13"/>
      <c r="Z1614" s="17" t="n">
        <f>1175</f>
        <v>1175.0</v>
      </c>
      <c r="AA1614" s="18" t="str">
        <f>"－"</f>
        <v>－</v>
      </c>
      <c r="AB1614" s="11" t="s">
        <v>410</v>
      </c>
    </row>
    <row r="1615">
      <c r="A1615" s="11" t="s">
        <v>46</v>
      </c>
      <c r="B1615" s="11" t="s">
        <v>887</v>
      </c>
      <c r="C1615" s="11" t="s">
        <v>888</v>
      </c>
      <c r="D1615" s="11" t="s">
        <v>49</v>
      </c>
      <c r="E1615" s="11" t="s">
        <v>408</v>
      </c>
      <c r="F1615" s="12" t="n">
        <v>1875.0</v>
      </c>
      <c r="G1615" s="13"/>
      <c r="H1615" s="14" t="s">
        <v>57</v>
      </c>
      <c r="I1615" s="13"/>
      <c r="J1615" s="14" t="s">
        <v>57</v>
      </c>
      <c r="K1615" s="13" t="s">
        <v>207</v>
      </c>
      <c r="L1615" s="14" t="s">
        <v>899</v>
      </c>
      <c r="M1615" s="13"/>
      <c r="N1615" s="14" t="s">
        <v>57</v>
      </c>
      <c r="O1615" s="13" t="s">
        <v>207</v>
      </c>
      <c r="P1615" s="14" t="s">
        <v>899</v>
      </c>
      <c r="Q1615" s="13"/>
      <c r="R1615" s="14" t="s">
        <v>57</v>
      </c>
      <c r="S1615" s="15" t="str">
        <f>"－"</f>
        <v>－</v>
      </c>
      <c r="T1615" s="16" t="n">
        <f>360</f>
        <v>360.0</v>
      </c>
      <c r="U1615" s="16" t="n">
        <v>360.0</v>
      </c>
      <c r="V1615" s="16" t="n">
        <f>200880000</f>
        <v>2.0088E8</v>
      </c>
      <c r="W1615" s="16" t="n">
        <v>2.0088E8</v>
      </c>
      <c r="X1615" s="16" t="str">
        <f>"－"</f>
        <v>－</v>
      </c>
      <c r="Y1615" s="13"/>
      <c r="Z1615" s="17" t="n">
        <f>360</f>
        <v>360.0</v>
      </c>
      <c r="AA1615" s="18" t="str">
        <f>"－"</f>
        <v>－</v>
      </c>
      <c r="AB1615" s="11" t="s">
        <v>410</v>
      </c>
    </row>
    <row r="1616">
      <c r="A1616" s="11" t="s">
        <v>46</v>
      </c>
      <c r="B1616" s="11" t="s">
        <v>887</v>
      </c>
      <c r="C1616" s="11" t="s">
        <v>888</v>
      </c>
      <c r="D1616" s="11" t="s">
        <v>49</v>
      </c>
      <c r="E1616" s="11" t="s">
        <v>447</v>
      </c>
      <c r="F1616" s="12" t="n">
        <v>1000.0</v>
      </c>
      <c r="G1616" s="13"/>
      <c r="H1616" s="14" t="s">
        <v>57</v>
      </c>
      <c r="I1616" s="13"/>
      <c r="J1616" s="14" t="s">
        <v>57</v>
      </c>
      <c r="K1616" s="13"/>
      <c r="L1616" s="14"/>
      <c r="M1616" s="13"/>
      <c r="N1616" s="14" t="s">
        <v>57</v>
      </c>
      <c r="O1616" s="13"/>
      <c r="P1616" s="14"/>
      <c r="Q1616" s="13"/>
      <c r="R1616" s="14" t="s">
        <v>57</v>
      </c>
      <c r="S1616" s="15" t="str">
        <f>"－"</f>
        <v>－</v>
      </c>
      <c r="T1616" s="16" t="str">
        <f>"－"</f>
        <v>－</v>
      </c>
      <c r="U1616" s="16"/>
      <c r="V1616" s="16" t="str">
        <f>"－"</f>
        <v>－</v>
      </c>
      <c r="W1616" s="16"/>
      <c r="X1616" s="16" t="str">
        <f>"－"</f>
        <v>－</v>
      </c>
      <c r="Y1616" s="13"/>
      <c r="Z1616" s="17" t="n">
        <f>120</f>
        <v>120.0</v>
      </c>
      <c r="AA1616" s="18" t="str">
        <f>"－"</f>
        <v>－</v>
      </c>
      <c r="AB1616" s="11" t="s">
        <v>448</v>
      </c>
    </row>
    <row r="1617">
      <c r="A1617" s="11" t="s">
        <v>46</v>
      </c>
      <c r="B1617" s="11" t="s">
        <v>887</v>
      </c>
      <c r="C1617" s="11" t="s">
        <v>888</v>
      </c>
      <c r="D1617" s="11" t="s">
        <v>49</v>
      </c>
      <c r="E1617" s="11" t="s">
        <v>447</v>
      </c>
      <c r="F1617" s="12" t="n">
        <v>1250.0</v>
      </c>
      <c r="G1617" s="13"/>
      <c r="H1617" s="14" t="s">
        <v>57</v>
      </c>
      <c r="I1617" s="13"/>
      <c r="J1617" s="14" t="s">
        <v>57</v>
      </c>
      <c r="K1617" s="13"/>
      <c r="L1617" s="14"/>
      <c r="M1617" s="13"/>
      <c r="N1617" s="14" t="s">
        <v>57</v>
      </c>
      <c r="O1617" s="13"/>
      <c r="P1617" s="14"/>
      <c r="Q1617" s="13"/>
      <c r="R1617" s="14" t="s">
        <v>57</v>
      </c>
      <c r="S1617" s="15" t="str">
        <f>"－"</f>
        <v>－</v>
      </c>
      <c r="T1617" s="16" t="str">
        <f>"－"</f>
        <v>－</v>
      </c>
      <c r="U1617" s="16"/>
      <c r="V1617" s="16" t="str">
        <f>"－"</f>
        <v>－</v>
      </c>
      <c r="W1617" s="16"/>
      <c r="X1617" s="16" t="str">
        <f>"－"</f>
        <v>－</v>
      </c>
      <c r="Y1617" s="13"/>
      <c r="Z1617" s="17" t="n">
        <f>926</f>
        <v>926.0</v>
      </c>
      <c r="AA1617" s="18" t="str">
        <f>"－"</f>
        <v>－</v>
      </c>
      <c r="AB1617" s="11" t="s">
        <v>448</v>
      </c>
    </row>
    <row r="1618">
      <c r="A1618" s="11" t="s">
        <v>46</v>
      </c>
      <c r="B1618" s="11" t="s">
        <v>887</v>
      </c>
      <c r="C1618" s="11" t="s">
        <v>888</v>
      </c>
      <c r="D1618" s="11" t="s">
        <v>49</v>
      </c>
      <c r="E1618" s="11" t="s">
        <v>447</v>
      </c>
      <c r="F1618" s="12" t="n">
        <v>1300.0</v>
      </c>
      <c r="G1618" s="13"/>
      <c r="H1618" s="14" t="s">
        <v>57</v>
      </c>
      <c r="I1618" s="13"/>
      <c r="J1618" s="14" t="s">
        <v>57</v>
      </c>
      <c r="K1618" s="13"/>
      <c r="L1618" s="14"/>
      <c r="M1618" s="13"/>
      <c r="N1618" s="14" t="s">
        <v>57</v>
      </c>
      <c r="O1618" s="13"/>
      <c r="P1618" s="14"/>
      <c r="Q1618" s="13"/>
      <c r="R1618" s="14" t="s">
        <v>57</v>
      </c>
      <c r="S1618" s="15" t="str">
        <f>"－"</f>
        <v>－</v>
      </c>
      <c r="T1618" s="16" t="str">
        <f>"－"</f>
        <v>－</v>
      </c>
      <c r="U1618" s="16"/>
      <c r="V1618" s="16" t="str">
        <f>"－"</f>
        <v>－</v>
      </c>
      <c r="W1618" s="16"/>
      <c r="X1618" s="16" t="str">
        <f>"－"</f>
        <v>－</v>
      </c>
      <c r="Y1618" s="13"/>
      <c r="Z1618" s="17" t="n">
        <f>302</f>
        <v>302.0</v>
      </c>
      <c r="AA1618" s="18" t="str">
        <f>"－"</f>
        <v>－</v>
      </c>
      <c r="AB1618" s="11" t="s">
        <v>448</v>
      </c>
    </row>
    <row r="1619">
      <c r="A1619" s="11" t="s">
        <v>46</v>
      </c>
      <c r="B1619" s="11" t="s">
        <v>887</v>
      </c>
      <c r="C1619" s="11" t="s">
        <v>888</v>
      </c>
      <c r="D1619" s="11" t="s">
        <v>49</v>
      </c>
      <c r="E1619" s="11" t="s">
        <v>447</v>
      </c>
      <c r="F1619" s="12" t="n">
        <v>1350.0</v>
      </c>
      <c r="G1619" s="13"/>
      <c r="H1619" s="14" t="s">
        <v>57</v>
      </c>
      <c r="I1619" s="13"/>
      <c r="J1619" s="14" t="s">
        <v>57</v>
      </c>
      <c r="K1619" s="13"/>
      <c r="L1619" s="14"/>
      <c r="M1619" s="13"/>
      <c r="N1619" s="14" t="s">
        <v>57</v>
      </c>
      <c r="O1619" s="13"/>
      <c r="P1619" s="14"/>
      <c r="Q1619" s="13"/>
      <c r="R1619" s="14" t="s">
        <v>57</v>
      </c>
      <c r="S1619" s="15" t="str">
        <f>"－"</f>
        <v>－</v>
      </c>
      <c r="T1619" s="16" t="str">
        <f>"－"</f>
        <v>－</v>
      </c>
      <c r="U1619" s="16"/>
      <c r="V1619" s="16" t="str">
        <f>"－"</f>
        <v>－</v>
      </c>
      <c r="W1619" s="16"/>
      <c r="X1619" s="16" t="str">
        <f>"－"</f>
        <v>－</v>
      </c>
      <c r="Y1619" s="13"/>
      <c r="Z1619" s="17" t="n">
        <f>1900</f>
        <v>1900.0</v>
      </c>
      <c r="AA1619" s="18" t="str">
        <f>"－"</f>
        <v>－</v>
      </c>
      <c r="AB1619" s="11" t="s">
        <v>448</v>
      </c>
    </row>
    <row r="1620">
      <c r="A1620" s="11" t="s">
        <v>46</v>
      </c>
      <c r="B1620" s="11" t="s">
        <v>887</v>
      </c>
      <c r="C1620" s="11" t="s">
        <v>888</v>
      </c>
      <c r="D1620" s="11" t="s">
        <v>49</v>
      </c>
      <c r="E1620" s="11" t="s">
        <v>447</v>
      </c>
      <c r="F1620" s="12" t="n">
        <v>1400.0</v>
      </c>
      <c r="G1620" s="13"/>
      <c r="H1620" s="14" t="s">
        <v>57</v>
      </c>
      <c r="I1620" s="13"/>
      <c r="J1620" s="14" t="s">
        <v>57</v>
      </c>
      <c r="K1620" s="13"/>
      <c r="L1620" s="14"/>
      <c r="M1620" s="13"/>
      <c r="N1620" s="14" t="s">
        <v>57</v>
      </c>
      <c r="O1620" s="13"/>
      <c r="P1620" s="14"/>
      <c r="Q1620" s="13"/>
      <c r="R1620" s="14" t="s">
        <v>57</v>
      </c>
      <c r="S1620" s="15" t="str">
        <f>"－"</f>
        <v>－</v>
      </c>
      <c r="T1620" s="16" t="str">
        <f>"－"</f>
        <v>－</v>
      </c>
      <c r="U1620" s="16"/>
      <c r="V1620" s="16" t="str">
        <f>"－"</f>
        <v>－</v>
      </c>
      <c r="W1620" s="16"/>
      <c r="X1620" s="16" t="str">
        <f>"－"</f>
        <v>－</v>
      </c>
      <c r="Y1620" s="13"/>
      <c r="Z1620" s="17" t="n">
        <f>189</f>
        <v>189.0</v>
      </c>
      <c r="AA1620" s="18" t="str">
        <f>"－"</f>
        <v>－</v>
      </c>
      <c r="AB1620" s="11" t="s">
        <v>448</v>
      </c>
    </row>
    <row r="1621">
      <c r="A1621" s="11" t="s">
        <v>46</v>
      </c>
      <c r="B1621" s="11" t="s">
        <v>887</v>
      </c>
      <c r="C1621" s="11" t="s">
        <v>888</v>
      </c>
      <c r="D1621" s="11" t="s">
        <v>49</v>
      </c>
      <c r="E1621" s="11" t="s">
        <v>447</v>
      </c>
      <c r="F1621" s="12" t="n">
        <v>1500.0</v>
      </c>
      <c r="G1621" s="13"/>
      <c r="H1621" s="14" t="s">
        <v>57</v>
      </c>
      <c r="I1621" s="13"/>
      <c r="J1621" s="14" t="s">
        <v>57</v>
      </c>
      <c r="K1621" s="13"/>
      <c r="L1621" s="14"/>
      <c r="M1621" s="13"/>
      <c r="N1621" s="14" t="s">
        <v>57</v>
      </c>
      <c r="O1621" s="13"/>
      <c r="P1621" s="14"/>
      <c r="Q1621" s="13"/>
      <c r="R1621" s="14" t="s">
        <v>57</v>
      </c>
      <c r="S1621" s="15" t="str">
        <f>"－"</f>
        <v>－</v>
      </c>
      <c r="T1621" s="16" t="str">
        <f>"－"</f>
        <v>－</v>
      </c>
      <c r="U1621" s="16"/>
      <c r="V1621" s="16" t="str">
        <f>"－"</f>
        <v>－</v>
      </c>
      <c r="W1621" s="16"/>
      <c r="X1621" s="16" t="str">
        <f>"－"</f>
        <v>－</v>
      </c>
      <c r="Y1621" s="13"/>
      <c r="Z1621" s="17" t="n">
        <f>200</f>
        <v>200.0</v>
      </c>
      <c r="AA1621" s="18" t="str">
        <f>"－"</f>
        <v>－</v>
      </c>
      <c r="AB1621" s="11" t="s">
        <v>448</v>
      </c>
    </row>
    <row r="1622">
      <c r="A1622" s="11" t="s">
        <v>46</v>
      </c>
      <c r="B1622" s="11" t="s">
        <v>887</v>
      </c>
      <c r="C1622" s="11" t="s">
        <v>888</v>
      </c>
      <c r="D1622" s="11" t="s">
        <v>49</v>
      </c>
      <c r="E1622" s="11" t="s">
        <v>447</v>
      </c>
      <c r="F1622" s="12" t="n">
        <v>1550.0</v>
      </c>
      <c r="G1622" s="13"/>
      <c r="H1622" s="14" t="s">
        <v>57</v>
      </c>
      <c r="I1622" s="13"/>
      <c r="J1622" s="14" t="s">
        <v>57</v>
      </c>
      <c r="K1622" s="13"/>
      <c r="L1622" s="14"/>
      <c r="M1622" s="13"/>
      <c r="N1622" s="14" t="s">
        <v>57</v>
      </c>
      <c r="O1622" s="13"/>
      <c r="P1622" s="14"/>
      <c r="Q1622" s="13"/>
      <c r="R1622" s="14" t="s">
        <v>57</v>
      </c>
      <c r="S1622" s="15" t="str">
        <f>"－"</f>
        <v>－</v>
      </c>
      <c r="T1622" s="16" t="str">
        <f>"－"</f>
        <v>－</v>
      </c>
      <c r="U1622" s="16"/>
      <c r="V1622" s="16" t="str">
        <f>"－"</f>
        <v>－</v>
      </c>
      <c r="W1622" s="16"/>
      <c r="X1622" s="16" t="str">
        <f>"－"</f>
        <v>－</v>
      </c>
      <c r="Y1622" s="13"/>
      <c r="Z1622" s="17" t="n">
        <f>889</f>
        <v>889.0</v>
      </c>
      <c r="AA1622" s="18" t="str">
        <f>"－"</f>
        <v>－</v>
      </c>
      <c r="AB1622" s="11" t="s">
        <v>448</v>
      </c>
    </row>
    <row r="1623">
      <c r="A1623" s="11" t="s">
        <v>46</v>
      </c>
      <c r="B1623" s="11" t="s">
        <v>887</v>
      </c>
      <c r="C1623" s="11" t="s">
        <v>888</v>
      </c>
      <c r="D1623" s="11" t="s">
        <v>49</v>
      </c>
      <c r="E1623" s="11" t="s">
        <v>447</v>
      </c>
      <c r="F1623" s="12" t="n">
        <v>1600.0</v>
      </c>
      <c r="G1623" s="13"/>
      <c r="H1623" s="14" t="s">
        <v>57</v>
      </c>
      <c r="I1623" s="13"/>
      <c r="J1623" s="14" t="s">
        <v>57</v>
      </c>
      <c r="K1623" s="13"/>
      <c r="L1623" s="14"/>
      <c r="M1623" s="13"/>
      <c r="N1623" s="14" t="s">
        <v>57</v>
      </c>
      <c r="O1623" s="13"/>
      <c r="P1623" s="14"/>
      <c r="Q1623" s="13"/>
      <c r="R1623" s="14" t="s">
        <v>57</v>
      </c>
      <c r="S1623" s="15" t="str">
        <f>"－"</f>
        <v>－</v>
      </c>
      <c r="T1623" s="16" t="str">
        <f>"－"</f>
        <v>－</v>
      </c>
      <c r="U1623" s="16"/>
      <c r="V1623" s="16" t="str">
        <f>"－"</f>
        <v>－</v>
      </c>
      <c r="W1623" s="16"/>
      <c r="X1623" s="16" t="str">
        <f>"－"</f>
        <v>－</v>
      </c>
      <c r="Y1623" s="13"/>
      <c r="Z1623" s="17" t="n">
        <f>500</f>
        <v>500.0</v>
      </c>
      <c r="AA1623" s="18" t="str">
        <f>"－"</f>
        <v>－</v>
      </c>
      <c r="AB1623" s="11" t="s">
        <v>448</v>
      </c>
    </row>
    <row r="1624">
      <c r="A1624" s="11" t="s">
        <v>46</v>
      </c>
      <c r="B1624" s="11" t="s">
        <v>887</v>
      </c>
      <c r="C1624" s="11" t="s">
        <v>888</v>
      </c>
      <c r="D1624" s="11" t="s">
        <v>49</v>
      </c>
      <c r="E1624" s="11" t="s">
        <v>447</v>
      </c>
      <c r="F1624" s="12" t="n">
        <v>1700.0</v>
      </c>
      <c r="G1624" s="13"/>
      <c r="H1624" s="14" t="s">
        <v>57</v>
      </c>
      <c r="I1624" s="13"/>
      <c r="J1624" s="14" t="s">
        <v>57</v>
      </c>
      <c r="K1624" s="13"/>
      <c r="L1624" s="14"/>
      <c r="M1624" s="13"/>
      <c r="N1624" s="14" t="s">
        <v>57</v>
      </c>
      <c r="O1624" s="13"/>
      <c r="P1624" s="14"/>
      <c r="Q1624" s="13"/>
      <c r="R1624" s="14" t="s">
        <v>57</v>
      </c>
      <c r="S1624" s="15" t="str">
        <f>"－"</f>
        <v>－</v>
      </c>
      <c r="T1624" s="16" t="str">
        <f>"－"</f>
        <v>－</v>
      </c>
      <c r="U1624" s="16"/>
      <c r="V1624" s="16" t="str">
        <f>"－"</f>
        <v>－</v>
      </c>
      <c r="W1624" s="16"/>
      <c r="X1624" s="16" t="str">
        <f>"－"</f>
        <v>－</v>
      </c>
      <c r="Y1624" s="13"/>
      <c r="Z1624" s="17" t="n">
        <f>100</f>
        <v>100.0</v>
      </c>
      <c r="AA1624" s="18" t="str">
        <f>"－"</f>
        <v>－</v>
      </c>
      <c r="AB1624" s="11" t="s">
        <v>448</v>
      </c>
    </row>
    <row r="1625">
      <c r="A1625" s="11" t="s">
        <v>46</v>
      </c>
      <c r="B1625" s="11" t="s">
        <v>887</v>
      </c>
      <c r="C1625" s="11" t="s">
        <v>888</v>
      </c>
      <c r="D1625" s="11" t="s">
        <v>49</v>
      </c>
      <c r="E1625" s="11" t="s">
        <v>447</v>
      </c>
      <c r="F1625" s="12" t="n">
        <v>1850.0</v>
      </c>
      <c r="G1625" s="13"/>
      <c r="H1625" s="14" t="s">
        <v>57</v>
      </c>
      <c r="I1625" s="13"/>
      <c r="J1625" s="14" t="s">
        <v>57</v>
      </c>
      <c r="K1625" s="13" t="s">
        <v>61</v>
      </c>
      <c r="L1625" s="14" t="s">
        <v>900</v>
      </c>
      <c r="M1625" s="13"/>
      <c r="N1625" s="14" t="s">
        <v>57</v>
      </c>
      <c r="O1625" s="13" t="s">
        <v>61</v>
      </c>
      <c r="P1625" s="14" t="s">
        <v>900</v>
      </c>
      <c r="Q1625" s="13"/>
      <c r="R1625" s="14" t="s">
        <v>57</v>
      </c>
      <c r="S1625" s="15" t="str">
        <f>"－"</f>
        <v>－</v>
      </c>
      <c r="T1625" s="16" t="n">
        <f>120</f>
        <v>120.0</v>
      </c>
      <c r="U1625" s="16" t="n">
        <v>120.0</v>
      </c>
      <c r="V1625" s="16" t="n">
        <f>90132000</f>
        <v>9.0132E7</v>
      </c>
      <c r="W1625" s="16" t="n">
        <v>9.0132E7</v>
      </c>
      <c r="X1625" s="16" t="str">
        <f>"－"</f>
        <v>－</v>
      </c>
      <c r="Y1625" s="13"/>
      <c r="Z1625" s="17" t="n">
        <f>220</f>
        <v>220.0</v>
      </c>
      <c r="AA1625" s="18" t="str">
        <f>"－"</f>
        <v>－</v>
      </c>
      <c r="AB1625" s="11" t="s">
        <v>448</v>
      </c>
    </row>
    <row r="1626">
      <c r="A1626" s="11" t="s">
        <v>46</v>
      </c>
      <c r="B1626" s="11" t="s">
        <v>887</v>
      </c>
      <c r="C1626" s="11" t="s">
        <v>888</v>
      </c>
      <c r="D1626" s="11" t="s">
        <v>49</v>
      </c>
      <c r="E1626" s="11" t="s">
        <v>499</v>
      </c>
      <c r="F1626" s="12" t="n">
        <v>1200.0</v>
      </c>
      <c r="G1626" s="13"/>
      <c r="H1626" s="14" t="s">
        <v>57</v>
      </c>
      <c r="I1626" s="13"/>
      <c r="J1626" s="14" t="s">
        <v>57</v>
      </c>
      <c r="K1626" s="13"/>
      <c r="L1626" s="14"/>
      <c r="M1626" s="13"/>
      <c r="N1626" s="14" t="s">
        <v>57</v>
      </c>
      <c r="O1626" s="13"/>
      <c r="P1626" s="14"/>
      <c r="Q1626" s="13"/>
      <c r="R1626" s="14" t="s">
        <v>57</v>
      </c>
      <c r="S1626" s="15" t="str">
        <f>"－"</f>
        <v>－</v>
      </c>
      <c r="T1626" s="16" t="str">
        <f>"－"</f>
        <v>－</v>
      </c>
      <c r="U1626" s="16"/>
      <c r="V1626" s="16" t="str">
        <f>"－"</f>
        <v>－</v>
      </c>
      <c r="W1626" s="16"/>
      <c r="X1626" s="16" t="str">
        <f>"－"</f>
        <v>－</v>
      </c>
      <c r="Y1626" s="13"/>
      <c r="Z1626" s="17" t="n">
        <f>45</f>
        <v>45.0</v>
      </c>
      <c r="AA1626" s="18" t="str">
        <f>"－"</f>
        <v>－</v>
      </c>
      <c r="AB1626" s="11" t="s">
        <v>500</v>
      </c>
    </row>
    <row r="1627">
      <c r="A1627" s="11" t="s">
        <v>46</v>
      </c>
      <c r="B1627" s="11" t="s">
        <v>887</v>
      </c>
      <c r="C1627" s="11" t="s">
        <v>888</v>
      </c>
      <c r="D1627" s="11" t="s">
        <v>49</v>
      </c>
      <c r="E1627" s="11" t="s">
        <v>499</v>
      </c>
      <c r="F1627" s="12" t="n">
        <v>1250.0</v>
      </c>
      <c r="G1627" s="13"/>
      <c r="H1627" s="14" t="s">
        <v>57</v>
      </c>
      <c r="I1627" s="13"/>
      <c r="J1627" s="14" t="s">
        <v>57</v>
      </c>
      <c r="K1627" s="13"/>
      <c r="L1627" s="14"/>
      <c r="M1627" s="13"/>
      <c r="N1627" s="14" t="s">
        <v>57</v>
      </c>
      <c r="O1627" s="13"/>
      <c r="P1627" s="14"/>
      <c r="Q1627" s="13"/>
      <c r="R1627" s="14" t="s">
        <v>57</v>
      </c>
      <c r="S1627" s="15" t="str">
        <f>"－"</f>
        <v>－</v>
      </c>
      <c r="T1627" s="16" t="str">
        <f>"－"</f>
        <v>－</v>
      </c>
      <c r="U1627" s="16"/>
      <c r="V1627" s="16" t="str">
        <f>"－"</f>
        <v>－</v>
      </c>
      <c r="W1627" s="16"/>
      <c r="X1627" s="16" t="str">
        <f>"－"</f>
        <v>－</v>
      </c>
      <c r="Y1627" s="13"/>
      <c r="Z1627" s="17" t="n">
        <f>296</f>
        <v>296.0</v>
      </c>
      <c r="AA1627" s="18" t="str">
        <f>"－"</f>
        <v>－</v>
      </c>
      <c r="AB1627" s="11" t="s">
        <v>500</v>
      </c>
    </row>
    <row r="1628">
      <c r="A1628" s="11" t="s">
        <v>46</v>
      </c>
      <c r="B1628" s="11" t="s">
        <v>887</v>
      </c>
      <c r="C1628" s="11" t="s">
        <v>888</v>
      </c>
      <c r="D1628" s="11" t="s">
        <v>49</v>
      </c>
      <c r="E1628" s="11" t="s">
        <v>499</v>
      </c>
      <c r="F1628" s="12" t="n">
        <v>1350.0</v>
      </c>
      <c r="G1628" s="13"/>
      <c r="H1628" s="14" t="s">
        <v>57</v>
      </c>
      <c r="I1628" s="13"/>
      <c r="J1628" s="14" t="s">
        <v>57</v>
      </c>
      <c r="K1628" s="13"/>
      <c r="L1628" s="14"/>
      <c r="M1628" s="13"/>
      <c r="N1628" s="14" t="s">
        <v>57</v>
      </c>
      <c r="O1628" s="13"/>
      <c r="P1628" s="14"/>
      <c r="Q1628" s="13"/>
      <c r="R1628" s="14" t="s">
        <v>57</v>
      </c>
      <c r="S1628" s="15" t="str">
        <f>"－"</f>
        <v>－</v>
      </c>
      <c r="T1628" s="16" t="str">
        <f>"－"</f>
        <v>－</v>
      </c>
      <c r="U1628" s="16"/>
      <c r="V1628" s="16" t="str">
        <f>"－"</f>
        <v>－</v>
      </c>
      <c r="W1628" s="16"/>
      <c r="X1628" s="16" t="str">
        <f>"－"</f>
        <v>－</v>
      </c>
      <c r="Y1628" s="13"/>
      <c r="Z1628" s="17" t="n">
        <f>268</f>
        <v>268.0</v>
      </c>
      <c r="AA1628" s="18" t="str">
        <f>"－"</f>
        <v>－</v>
      </c>
      <c r="AB1628" s="11" t="s">
        <v>500</v>
      </c>
    </row>
    <row r="1629">
      <c r="A1629" s="11" t="s">
        <v>46</v>
      </c>
      <c r="B1629" s="11" t="s">
        <v>887</v>
      </c>
      <c r="C1629" s="11" t="s">
        <v>888</v>
      </c>
      <c r="D1629" s="11" t="s">
        <v>49</v>
      </c>
      <c r="E1629" s="11" t="s">
        <v>499</v>
      </c>
      <c r="F1629" s="12" t="n">
        <v>1400.0</v>
      </c>
      <c r="G1629" s="13"/>
      <c r="H1629" s="14" t="s">
        <v>57</v>
      </c>
      <c r="I1629" s="13"/>
      <c r="J1629" s="14" t="s">
        <v>57</v>
      </c>
      <c r="K1629" s="13"/>
      <c r="L1629" s="14"/>
      <c r="M1629" s="13"/>
      <c r="N1629" s="14" t="s">
        <v>57</v>
      </c>
      <c r="O1629" s="13"/>
      <c r="P1629" s="14"/>
      <c r="Q1629" s="13"/>
      <c r="R1629" s="14" t="s">
        <v>57</v>
      </c>
      <c r="S1629" s="15" t="str">
        <f>"－"</f>
        <v>－</v>
      </c>
      <c r="T1629" s="16" t="str">
        <f>"－"</f>
        <v>－</v>
      </c>
      <c r="U1629" s="16"/>
      <c r="V1629" s="16" t="str">
        <f>"－"</f>
        <v>－</v>
      </c>
      <c r="W1629" s="16"/>
      <c r="X1629" s="16" t="str">
        <f>"－"</f>
        <v>－</v>
      </c>
      <c r="Y1629" s="13"/>
      <c r="Z1629" s="17" t="n">
        <f>86</f>
        <v>86.0</v>
      </c>
      <c r="AA1629" s="18" t="str">
        <f>"－"</f>
        <v>－</v>
      </c>
      <c r="AB1629" s="11" t="s">
        <v>500</v>
      </c>
    </row>
    <row r="1630">
      <c r="A1630" s="11" t="s">
        <v>46</v>
      </c>
      <c r="B1630" s="11" t="s">
        <v>887</v>
      </c>
      <c r="C1630" s="11" t="s">
        <v>888</v>
      </c>
      <c r="D1630" s="11" t="s">
        <v>49</v>
      </c>
      <c r="E1630" s="11" t="s">
        <v>499</v>
      </c>
      <c r="F1630" s="12" t="n">
        <v>1450.0</v>
      </c>
      <c r="G1630" s="13"/>
      <c r="H1630" s="14" t="s">
        <v>57</v>
      </c>
      <c r="I1630" s="13"/>
      <c r="J1630" s="14" t="s">
        <v>57</v>
      </c>
      <c r="K1630" s="13"/>
      <c r="L1630" s="14"/>
      <c r="M1630" s="13"/>
      <c r="N1630" s="14" t="s">
        <v>57</v>
      </c>
      <c r="O1630" s="13"/>
      <c r="P1630" s="14"/>
      <c r="Q1630" s="13"/>
      <c r="R1630" s="14" t="s">
        <v>57</v>
      </c>
      <c r="S1630" s="15" t="str">
        <f>"－"</f>
        <v>－</v>
      </c>
      <c r="T1630" s="16" t="str">
        <f>"－"</f>
        <v>－</v>
      </c>
      <c r="U1630" s="16"/>
      <c r="V1630" s="16" t="str">
        <f>"－"</f>
        <v>－</v>
      </c>
      <c r="W1630" s="16"/>
      <c r="X1630" s="16" t="str">
        <f>"－"</f>
        <v>－</v>
      </c>
      <c r="Y1630" s="13"/>
      <c r="Z1630" s="17" t="n">
        <f>7813</f>
        <v>7813.0</v>
      </c>
      <c r="AA1630" s="18" t="str">
        <f>"－"</f>
        <v>－</v>
      </c>
      <c r="AB1630" s="11" t="s">
        <v>500</v>
      </c>
    </row>
    <row r="1631">
      <c r="A1631" s="11" t="s">
        <v>46</v>
      </c>
      <c r="B1631" s="11" t="s">
        <v>887</v>
      </c>
      <c r="C1631" s="11" t="s">
        <v>888</v>
      </c>
      <c r="D1631" s="11" t="s">
        <v>49</v>
      </c>
      <c r="E1631" s="11" t="s">
        <v>499</v>
      </c>
      <c r="F1631" s="12" t="n">
        <v>1700.0</v>
      </c>
      <c r="G1631" s="13"/>
      <c r="H1631" s="14" t="s">
        <v>57</v>
      </c>
      <c r="I1631" s="13"/>
      <c r="J1631" s="14" t="s">
        <v>57</v>
      </c>
      <c r="K1631" s="13"/>
      <c r="L1631" s="14"/>
      <c r="M1631" s="13"/>
      <c r="N1631" s="14" t="s">
        <v>57</v>
      </c>
      <c r="O1631" s="13"/>
      <c r="P1631" s="14"/>
      <c r="Q1631" s="13"/>
      <c r="R1631" s="14" t="s">
        <v>57</v>
      </c>
      <c r="S1631" s="15" t="str">
        <f>"－"</f>
        <v>－</v>
      </c>
      <c r="T1631" s="16" t="str">
        <f>"－"</f>
        <v>－</v>
      </c>
      <c r="U1631" s="16"/>
      <c r="V1631" s="16" t="str">
        <f>"－"</f>
        <v>－</v>
      </c>
      <c r="W1631" s="16"/>
      <c r="X1631" s="16" t="str">
        <f>"－"</f>
        <v>－</v>
      </c>
      <c r="Y1631" s="13"/>
      <c r="Z1631" s="17" t="n">
        <f>395</f>
        <v>395.0</v>
      </c>
      <c r="AA1631" s="18" t="str">
        <f>"－"</f>
        <v>－</v>
      </c>
      <c r="AB1631" s="11" t="s">
        <v>500</v>
      </c>
    </row>
    <row r="1632">
      <c r="A1632" s="11" t="s">
        <v>46</v>
      </c>
      <c r="B1632" s="11" t="s">
        <v>887</v>
      </c>
      <c r="C1632" s="11" t="s">
        <v>888</v>
      </c>
      <c r="D1632" s="11" t="s">
        <v>49</v>
      </c>
      <c r="E1632" s="11" t="s">
        <v>499</v>
      </c>
      <c r="F1632" s="12" t="n">
        <v>1750.0</v>
      </c>
      <c r="G1632" s="13"/>
      <c r="H1632" s="14" t="s">
        <v>57</v>
      </c>
      <c r="I1632" s="13"/>
      <c r="J1632" s="14" t="s">
        <v>57</v>
      </c>
      <c r="K1632" s="13"/>
      <c r="L1632" s="14"/>
      <c r="M1632" s="13"/>
      <c r="N1632" s="14" t="s">
        <v>57</v>
      </c>
      <c r="O1632" s="13"/>
      <c r="P1632" s="14"/>
      <c r="Q1632" s="13"/>
      <c r="R1632" s="14" t="s">
        <v>57</v>
      </c>
      <c r="S1632" s="15" t="str">
        <f>"－"</f>
        <v>－</v>
      </c>
      <c r="T1632" s="16" t="str">
        <f>"－"</f>
        <v>－</v>
      </c>
      <c r="U1632" s="16"/>
      <c r="V1632" s="16" t="str">
        <f>"－"</f>
        <v>－</v>
      </c>
      <c r="W1632" s="16"/>
      <c r="X1632" s="16" t="str">
        <f>"－"</f>
        <v>－</v>
      </c>
      <c r="Y1632" s="13"/>
      <c r="Z1632" s="17" t="n">
        <f>100</f>
        <v>100.0</v>
      </c>
      <c r="AA1632" s="18" t="str">
        <f>"－"</f>
        <v>－</v>
      </c>
      <c r="AB1632" s="11" t="s">
        <v>500</v>
      </c>
    </row>
    <row r="1633">
      <c r="A1633" s="11" t="s">
        <v>46</v>
      </c>
      <c r="B1633" s="11" t="s">
        <v>887</v>
      </c>
      <c r="C1633" s="11" t="s">
        <v>888</v>
      </c>
      <c r="D1633" s="11" t="s">
        <v>49</v>
      </c>
      <c r="E1633" s="11" t="s">
        <v>526</v>
      </c>
      <c r="F1633" s="12" t="n">
        <v>850.0</v>
      </c>
      <c r="G1633" s="13"/>
      <c r="H1633" s="14" t="s">
        <v>57</v>
      </c>
      <c r="I1633" s="13"/>
      <c r="J1633" s="14" t="s">
        <v>57</v>
      </c>
      <c r="K1633" s="13"/>
      <c r="L1633" s="14"/>
      <c r="M1633" s="13"/>
      <c r="N1633" s="14" t="s">
        <v>57</v>
      </c>
      <c r="O1633" s="13"/>
      <c r="P1633" s="14"/>
      <c r="Q1633" s="13"/>
      <c r="R1633" s="14" t="s">
        <v>57</v>
      </c>
      <c r="S1633" s="15" t="str">
        <f>"－"</f>
        <v>－</v>
      </c>
      <c r="T1633" s="16" t="str">
        <f>"－"</f>
        <v>－</v>
      </c>
      <c r="U1633" s="16"/>
      <c r="V1633" s="16" t="str">
        <f>"－"</f>
        <v>－</v>
      </c>
      <c r="W1633" s="16"/>
      <c r="X1633" s="16" t="str">
        <f>"－"</f>
        <v>－</v>
      </c>
      <c r="Y1633" s="13"/>
      <c r="Z1633" s="17" t="n">
        <f>62</f>
        <v>62.0</v>
      </c>
      <c r="AA1633" s="18" t="str">
        <f>"－"</f>
        <v>－</v>
      </c>
      <c r="AB1633" s="11" t="s">
        <v>527</v>
      </c>
    </row>
    <row r="1634">
      <c r="A1634" s="11" t="s">
        <v>46</v>
      </c>
      <c r="B1634" s="11" t="s">
        <v>887</v>
      </c>
      <c r="C1634" s="11" t="s">
        <v>888</v>
      </c>
      <c r="D1634" s="11" t="s">
        <v>49</v>
      </c>
      <c r="E1634" s="11" t="s">
        <v>526</v>
      </c>
      <c r="F1634" s="12" t="n">
        <v>1000.0</v>
      </c>
      <c r="G1634" s="13"/>
      <c r="H1634" s="14" t="s">
        <v>57</v>
      </c>
      <c r="I1634" s="13"/>
      <c r="J1634" s="14" t="s">
        <v>57</v>
      </c>
      <c r="K1634" s="13"/>
      <c r="L1634" s="14"/>
      <c r="M1634" s="13"/>
      <c r="N1634" s="14" t="s">
        <v>57</v>
      </c>
      <c r="O1634" s="13"/>
      <c r="P1634" s="14"/>
      <c r="Q1634" s="13"/>
      <c r="R1634" s="14" t="s">
        <v>57</v>
      </c>
      <c r="S1634" s="15" t="str">
        <f>"－"</f>
        <v>－</v>
      </c>
      <c r="T1634" s="16" t="str">
        <f>"－"</f>
        <v>－</v>
      </c>
      <c r="U1634" s="16"/>
      <c r="V1634" s="16" t="str">
        <f>"－"</f>
        <v>－</v>
      </c>
      <c r="W1634" s="16"/>
      <c r="X1634" s="16" t="str">
        <f>"－"</f>
        <v>－</v>
      </c>
      <c r="Y1634" s="13"/>
      <c r="Z1634" s="17" t="n">
        <f>3450</f>
        <v>3450.0</v>
      </c>
      <c r="AA1634" s="18" t="str">
        <f>"－"</f>
        <v>－</v>
      </c>
      <c r="AB1634" s="11" t="s">
        <v>527</v>
      </c>
    </row>
    <row r="1635">
      <c r="A1635" s="11" t="s">
        <v>46</v>
      </c>
      <c r="B1635" s="11" t="s">
        <v>887</v>
      </c>
      <c r="C1635" s="11" t="s">
        <v>888</v>
      </c>
      <c r="D1635" s="11" t="s">
        <v>49</v>
      </c>
      <c r="E1635" s="11" t="s">
        <v>526</v>
      </c>
      <c r="F1635" s="12" t="n">
        <v>1100.0</v>
      </c>
      <c r="G1635" s="13"/>
      <c r="H1635" s="14" t="s">
        <v>57</v>
      </c>
      <c r="I1635" s="13"/>
      <c r="J1635" s="14" t="s">
        <v>57</v>
      </c>
      <c r="K1635" s="13"/>
      <c r="L1635" s="14"/>
      <c r="M1635" s="13"/>
      <c r="N1635" s="14" t="s">
        <v>57</v>
      </c>
      <c r="O1635" s="13"/>
      <c r="P1635" s="14"/>
      <c r="Q1635" s="13"/>
      <c r="R1635" s="14" t="s">
        <v>57</v>
      </c>
      <c r="S1635" s="15" t="str">
        <f>"－"</f>
        <v>－</v>
      </c>
      <c r="T1635" s="16" t="str">
        <f>"－"</f>
        <v>－</v>
      </c>
      <c r="U1635" s="16"/>
      <c r="V1635" s="16" t="str">
        <f>"－"</f>
        <v>－</v>
      </c>
      <c r="W1635" s="16"/>
      <c r="X1635" s="16" t="str">
        <f>"－"</f>
        <v>－</v>
      </c>
      <c r="Y1635" s="13"/>
      <c r="Z1635" s="17" t="n">
        <f>300</f>
        <v>300.0</v>
      </c>
      <c r="AA1635" s="18" t="str">
        <f>"－"</f>
        <v>－</v>
      </c>
      <c r="AB1635" s="11" t="s">
        <v>527</v>
      </c>
    </row>
    <row r="1636">
      <c r="A1636" s="11" t="s">
        <v>46</v>
      </c>
      <c r="B1636" s="11" t="s">
        <v>887</v>
      </c>
      <c r="C1636" s="11" t="s">
        <v>888</v>
      </c>
      <c r="D1636" s="11" t="s">
        <v>49</v>
      </c>
      <c r="E1636" s="11" t="s">
        <v>526</v>
      </c>
      <c r="F1636" s="12" t="n">
        <v>1150.0</v>
      </c>
      <c r="G1636" s="13"/>
      <c r="H1636" s="14" t="s">
        <v>57</v>
      </c>
      <c r="I1636" s="13"/>
      <c r="J1636" s="14" t="s">
        <v>57</v>
      </c>
      <c r="K1636" s="13"/>
      <c r="L1636" s="14"/>
      <c r="M1636" s="13"/>
      <c r="N1636" s="14" t="s">
        <v>57</v>
      </c>
      <c r="O1636" s="13"/>
      <c r="P1636" s="14"/>
      <c r="Q1636" s="13"/>
      <c r="R1636" s="14" t="s">
        <v>57</v>
      </c>
      <c r="S1636" s="15" t="str">
        <f>"－"</f>
        <v>－</v>
      </c>
      <c r="T1636" s="16" t="str">
        <f>"－"</f>
        <v>－</v>
      </c>
      <c r="U1636" s="16"/>
      <c r="V1636" s="16" t="str">
        <f>"－"</f>
        <v>－</v>
      </c>
      <c r="W1636" s="16"/>
      <c r="X1636" s="16" t="str">
        <f>"－"</f>
        <v>－</v>
      </c>
      <c r="Y1636" s="13"/>
      <c r="Z1636" s="17" t="n">
        <f>1658</f>
        <v>1658.0</v>
      </c>
      <c r="AA1636" s="18" t="str">
        <f>"－"</f>
        <v>－</v>
      </c>
      <c r="AB1636" s="11" t="s">
        <v>527</v>
      </c>
    </row>
    <row r="1637">
      <c r="A1637" s="11" t="s">
        <v>46</v>
      </c>
      <c r="B1637" s="11" t="s">
        <v>887</v>
      </c>
      <c r="C1637" s="11" t="s">
        <v>888</v>
      </c>
      <c r="D1637" s="11" t="s">
        <v>49</v>
      </c>
      <c r="E1637" s="11" t="s">
        <v>526</v>
      </c>
      <c r="F1637" s="12" t="n">
        <v>1250.0</v>
      </c>
      <c r="G1637" s="13"/>
      <c r="H1637" s="14" t="s">
        <v>57</v>
      </c>
      <c r="I1637" s="13"/>
      <c r="J1637" s="14" t="s">
        <v>57</v>
      </c>
      <c r="K1637" s="13"/>
      <c r="L1637" s="14"/>
      <c r="M1637" s="13"/>
      <c r="N1637" s="14" t="s">
        <v>57</v>
      </c>
      <c r="O1637" s="13"/>
      <c r="P1637" s="14"/>
      <c r="Q1637" s="13"/>
      <c r="R1637" s="14" t="s">
        <v>57</v>
      </c>
      <c r="S1637" s="15" t="str">
        <f>"－"</f>
        <v>－</v>
      </c>
      <c r="T1637" s="16" t="str">
        <f>"－"</f>
        <v>－</v>
      </c>
      <c r="U1637" s="16"/>
      <c r="V1637" s="16" t="str">
        <f>"－"</f>
        <v>－</v>
      </c>
      <c r="W1637" s="16"/>
      <c r="X1637" s="16" t="str">
        <f>"－"</f>
        <v>－</v>
      </c>
      <c r="Y1637" s="13"/>
      <c r="Z1637" s="17" t="n">
        <f>132</f>
        <v>132.0</v>
      </c>
      <c r="AA1637" s="18" t="str">
        <f>"－"</f>
        <v>－</v>
      </c>
      <c r="AB1637" s="11" t="s">
        <v>527</v>
      </c>
    </row>
    <row r="1638">
      <c r="A1638" s="11" t="s">
        <v>46</v>
      </c>
      <c r="B1638" s="11" t="s">
        <v>887</v>
      </c>
      <c r="C1638" s="11" t="s">
        <v>888</v>
      </c>
      <c r="D1638" s="11" t="s">
        <v>49</v>
      </c>
      <c r="E1638" s="11" t="s">
        <v>526</v>
      </c>
      <c r="F1638" s="12" t="n">
        <v>1300.0</v>
      </c>
      <c r="G1638" s="13"/>
      <c r="H1638" s="14" t="s">
        <v>57</v>
      </c>
      <c r="I1638" s="13"/>
      <c r="J1638" s="14" t="s">
        <v>57</v>
      </c>
      <c r="K1638" s="13"/>
      <c r="L1638" s="14"/>
      <c r="M1638" s="13"/>
      <c r="N1638" s="14" t="s">
        <v>57</v>
      </c>
      <c r="O1638" s="13"/>
      <c r="P1638" s="14"/>
      <c r="Q1638" s="13"/>
      <c r="R1638" s="14" t="s">
        <v>57</v>
      </c>
      <c r="S1638" s="15" t="str">
        <f>"－"</f>
        <v>－</v>
      </c>
      <c r="T1638" s="16" t="str">
        <f>"－"</f>
        <v>－</v>
      </c>
      <c r="U1638" s="16"/>
      <c r="V1638" s="16" t="str">
        <f>"－"</f>
        <v>－</v>
      </c>
      <c r="W1638" s="16"/>
      <c r="X1638" s="16" t="str">
        <f>"－"</f>
        <v>－</v>
      </c>
      <c r="Y1638" s="13"/>
      <c r="Z1638" s="17" t="n">
        <f>4662</f>
        <v>4662.0</v>
      </c>
      <c r="AA1638" s="18" t="str">
        <f>"－"</f>
        <v>－</v>
      </c>
      <c r="AB1638" s="11" t="s">
        <v>527</v>
      </c>
    </row>
    <row r="1639">
      <c r="A1639" s="11" t="s">
        <v>46</v>
      </c>
      <c r="B1639" s="11" t="s">
        <v>887</v>
      </c>
      <c r="C1639" s="11" t="s">
        <v>888</v>
      </c>
      <c r="D1639" s="11" t="s">
        <v>49</v>
      </c>
      <c r="E1639" s="11" t="s">
        <v>526</v>
      </c>
      <c r="F1639" s="12" t="n">
        <v>1400.0</v>
      </c>
      <c r="G1639" s="13"/>
      <c r="H1639" s="14" t="s">
        <v>57</v>
      </c>
      <c r="I1639" s="13"/>
      <c r="J1639" s="14" t="s">
        <v>57</v>
      </c>
      <c r="K1639" s="13"/>
      <c r="L1639" s="14"/>
      <c r="M1639" s="13"/>
      <c r="N1639" s="14" t="s">
        <v>57</v>
      </c>
      <c r="O1639" s="13"/>
      <c r="P1639" s="14"/>
      <c r="Q1639" s="13"/>
      <c r="R1639" s="14" t="s">
        <v>57</v>
      </c>
      <c r="S1639" s="15" t="str">
        <f>"－"</f>
        <v>－</v>
      </c>
      <c r="T1639" s="16" t="str">
        <f>"－"</f>
        <v>－</v>
      </c>
      <c r="U1639" s="16"/>
      <c r="V1639" s="16" t="str">
        <f>"－"</f>
        <v>－</v>
      </c>
      <c r="W1639" s="16"/>
      <c r="X1639" s="16" t="str">
        <f>"－"</f>
        <v>－</v>
      </c>
      <c r="Y1639" s="13"/>
      <c r="Z1639" s="17" t="n">
        <f>3157</f>
        <v>3157.0</v>
      </c>
      <c r="AA1639" s="18" t="str">
        <f>"－"</f>
        <v>－</v>
      </c>
      <c r="AB1639" s="11" t="s">
        <v>527</v>
      </c>
    </row>
    <row r="1640">
      <c r="A1640" s="11" t="s">
        <v>46</v>
      </c>
      <c r="B1640" s="11" t="s">
        <v>887</v>
      </c>
      <c r="C1640" s="11" t="s">
        <v>888</v>
      </c>
      <c r="D1640" s="11" t="s">
        <v>49</v>
      </c>
      <c r="E1640" s="11" t="s">
        <v>526</v>
      </c>
      <c r="F1640" s="12" t="n">
        <v>1450.0</v>
      </c>
      <c r="G1640" s="13"/>
      <c r="H1640" s="14" t="s">
        <v>57</v>
      </c>
      <c r="I1640" s="13"/>
      <c r="J1640" s="14" t="s">
        <v>57</v>
      </c>
      <c r="K1640" s="13"/>
      <c r="L1640" s="14"/>
      <c r="M1640" s="13"/>
      <c r="N1640" s="14" t="s">
        <v>57</v>
      </c>
      <c r="O1640" s="13"/>
      <c r="P1640" s="14"/>
      <c r="Q1640" s="13"/>
      <c r="R1640" s="14" t="s">
        <v>57</v>
      </c>
      <c r="S1640" s="15" t="str">
        <f>"－"</f>
        <v>－</v>
      </c>
      <c r="T1640" s="16" t="str">
        <f>"－"</f>
        <v>－</v>
      </c>
      <c r="U1640" s="16"/>
      <c r="V1640" s="16" t="str">
        <f>"－"</f>
        <v>－</v>
      </c>
      <c r="W1640" s="16"/>
      <c r="X1640" s="16" t="str">
        <f>"－"</f>
        <v>－</v>
      </c>
      <c r="Y1640" s="13"/>
      <c r="Z1640" s="17" t="n">
        <f>813</f>
        <v>813.0</v>
      </c>
      <c r="AA1640" s="18" t="str">
        <f>"－"</f>
        <v>－</v>
      </c>
      <c r="AB1640" s="11" t="s">
        <v>527</v>
      </c>
    </row>
    <row r="1641">
      <c r="A1641" s="11" t="s">
        <v>46</v>
      </c>
      <c r="B1641" s="11" t="s">
        <v>887</v>
      </c>
      <c r="C1641" s="11" t="s">
        <v>888</v>
      </c>
      <c r="D1641" s="11" t="s">
        <v>49</v>
      </c>
      <c r="E1641" s="11" t="s">
        <v>526</v>
      </c>
      <c r="F1641" s="12" t="n">
        <v>1500.0</v>
      </c>
      <c r="G1641" s="13"/>
      <c r="H1641" s="14" t="s">
        <v>57</v>
      </c>
      <c r="I1641" s="13"/>
      <c r="J1641" s="14" t="s">
        <v>57</v>
      </c>
      <c r="K1641" s="13"/>
      <c r="L1641" s="14"/>
      <c r="M1641" s="13"/>
      <c r="N1641" s="14" t="s">
        <v>57</v>
      </c>
      <c r="O1641" s="13"/>
      <c r="P1641" s="14"/>
      <c r="Q1641" s="13"/>
      <c r="R1641" s="14" t="s">
        <v>57</v>
      </c>
      <c r="S1641" s="15" t="str">
        <f>"－"</f>
        <v>－</v>
      </c>
      <c r="T1641" s="16" t="str">
        <f>"－"</f>
        <v>－</v>
      </c>
      <c r="U1641" s="16"/>
      <c r="V1641" s="16" t="str">
        <f>"－"</f>
        <v>－</v>
      </c>
      <c r="W1641" s="16"/>
      <c r="X1641" s="16" t="str">
        <f>"－"</f>
        <v>－</v>
      </c>
      <c r="Y1641" s="13"/>
      <c r="Z1641" s="17" t="n">
        <f>7031</f>
        <v>7031.0</v>
      </c>
      <c r="AA1641" s="18" t="str">
        <f>"－"</f>
        <v>－</v>
      </c>
      <c r="AB1641" s="11" t="s">
        <v>527</v>
      </c>
    </row>
    <row r="1642">
      <c r="A1642" s="11" t="s">
        <v>46</v>
      </c>
      <c r="B1642" s="11" t="s">
        <v>887</v>
      </c>
      <c r="C1642" s="11" t="s">
        <v>888</v>
      </c>
      <c r="D1642" s="11" t="s">
        <v>49</v>
      </c>
      <c r="E1642" s="11" t="s">
        <v>526</v>
      </c>
      <c r="F1642" s="12" t="n">
        <v>1550.0</v>
      </c>
      <c r="G1642" s="13"/>
      <c r="H1642" s="14" t="s">
        <v>57</v>
      </c>
      <c r="I1642" s="13"/>
      <c r="J1642" s="14" t="s">
        <v>57</v>
      </c>
      <c r="K1642" s="13" t="s">
        <v>211</v>
      </c>
      <c r="L1642" s="14" t="s">
        <v>901</v>
      </c>
      <c r="M1642" s="13"/>
      <c r="N1642" s="14" t="s">
        <v>57</v>
      </c>
      <c r="O1642" s="13" t="s">
        <v>211</v>
      </c>
      <c r="P1642" s="14" t="s">
        <v>901</v>
      </c>
      <c r="Q1642" s="13"/>
      <c r="R1642" s="14" t="s">
        <v>57</v>
      </c>
      <c r="S1642" s="15" t="str">
        <f>"－"</f>
        <v>－</v>
      </c>
      <c r="T1642" s="16" t="n">
        <f>44</f>
        <v>44.0</v>
      </c>
      <c r="U1642" s="16" t="n">
        <v>44.0</v>
      </c>
      <c r="V1642" s="16" t="n">
        <f>20722372</f>
        <v>2.0722372E7</v>
      </c>
      <c r="W1642" s="16" t="n">
        <v>2.0722372E7</v>
      </c>
      <c r="X1642" s="16" t="str">
        <f>"－"</f>
        <v>－</v>
      </c>
      <c r="Y1642" s="13"/>
      <c r="Z1642" s="17" t="n">
        <f>650</f>
        <v>650.0</v>
      </c>
      <c r="AA1642" s="18" t="str">
        <f>"－"</f>
        <v>－</v>
      </c>
      <c r="AB1642" s="11" t="s">
        <v>527</v>
      </c>
    </row>
    <row r="1643">
      <c r="A1643" s="11" t="s">
        <v>46</v>
      </c>
      <c r="B1643" s="11" t="s">
        <v>887</v>
      </c>
      <c r="C1643" s="11" t="s">
        <v>888</v>
      </c>
      <c r="D1643" s="11" t="s">
        <v>49</v>
      </c>
      <c r="E1643" s="11" t="s">
        <v>526</v>
      </c>
      <c r="F1643" s="12" t="n">
        <v>1600.0</v>
      </c>
      <c r="G1643" s="13"/>
      <c r="H1643" s="14" t="s">
        <v>57</v>
      </c>
      <c r="I1643" s="13"/>
      <c r="J1643" s="14" t="s">
        <v>57</v>
      </c>
      <c r="K1643" s="13" t="s">
        <v>60</v>
      </c>
      <c r="L1643" s="14" t="s">
        <v>104</v>
      </c>
      <c r="M1643" s="13"/>
      <c r="N1643" s="14" t="s">
        <v>57</v>
      </c>
      <c r="O1643" s="13" t="s">
        <v>60</v>
      </c>
      <c r="P1643" s="14" t="s">
        <v>104</v>
      </c>
      <c r="Q1643" s="13"/>
      <c r="R1643" s="14" t="s">
        <v>57</v>
      </c>
      <c r="S1643" s="15" t="str">
        <f>"－"</f>
        <v>－</v>
      </c>
      <c r="T1643" s="16" t="n">
        <f>150</f>
        <v>150.0</v>
      </c>
      <c r="U1643" s="16" t="n">
        <v>150.0</v>
      </c>
      <c r="V1643" s="16" t="n">
        <f>96000000</f>
        <v>9.6E7</v>
      </c>
      <c r="W1643" s="16" t="n">
        <v>9.6E7</v>
      </c>
      <c r="X1643" s="16" t="str">
        <f>"－"</f>
        <v>－</v>
      </c>
      <c r="Y1643" s="13"/>
      <c r="Z1643" s="17" t="n">
        <f>3168</f>
        <v>3168.0</v>
      </c>
      <c r="AA1643" s="18" t="str">
        <f>"－"</f>
        <v>－</v>
      </c>
      <c r="AB1643" s="11" t="s">
        <v>527</v>
      </c>
    </row>
    <row r="1644">
      <c r="A1644" s="11" t="s">
        <v>46</v>
      </c>
      <c r="B1644" s="11" t="s">
        <v>887</v>
      </c>
      <c r="C1644" s="11" t="s">
        <v>888</v>
      </c>
      <c r="D1644" s="11" t="s">
        <v>49</v>
      </c>
      <c r="E1644" s="11" t="s">
        <v>526</v>
      </c>
      <c r="F1644" s="12" t="n">
        <v>1650.0</v>
      </c>
      <c r="G1644" s="13"/>
      <c r="H1644" s="14" t="s">
        <v>57</v>
      </c>
      <c r="I1644" s="13"/>
      <c r="J1644" s="14" t="s">
        <v>57</v>
      </c>
      <c r="K1644" s="13"/>
      <c r="L1644" s="14"/>
      <c r="M1644" s="13"/>
      <c r="N1644" s="14" t="s">
        <v>57</v>
      </c>
      <c r="O1644" s="13"/>
      <c r="P1644" s="14"/>
      <c r="Q1644" s="13"/>
      <c r="R1644" s="14" t="s">
        <v>57</v>
      </c>
      <c r="S1644" s="15" t="str">
        <f>"－"</f>
        <v>－</v>
      </c>
      <c r="T1644" s="16" t="str">
        <f>"－"</f>
        <v>－</v>
      </c>
      <c r="U1644" s="16"/>
      <c r="V1644" s="16" t="str">
        <f>"－"</f>
        <v>－</v>
      </c>
      <c r="W1644" s="16"/>
      <c r="X1644" s="16" t="str">
        <f>"－"</f>
        <v>－</v>
      </c>
      <c r="Y1644" s="13"/>
      <c r="Z1644" s="17" t="n">
        <f>328</f>
        <v>328.0</v>
      </c>
      <c r="AA1644" s="18" t="str">
        <f>"－"</f>
        <v>－</v>
      </c>
      <c r="AB1644" s="11" t="s">
        <v>527</v>
      </c>
    </row>
    <row r="1645">
      <c r="A1645" s="11" t="s">
        <v>46</v>
      </c>
      <c r="B1645" s="11" t="s">
        <v>887</v>
      </c>
      <c r="C1645" s="11" t="s">
        <v>888</v>
      </c>
      <c r="D1645" s="11" t="s">
        <v>49</v>
      </c>
      <c r="E1645" s="11" t="s">
        <v>526</v>
      </c>
      <c r="F1645" s="12" t="n">
        <v>1700.0</v>
      </c>
      <c r="G1645" s="13"/>
      <c r="H1645" s="14" t="s">
        <v>57</v>
      </c>
      <c r="I1645" s="13"/>
      <c r="J1645" s="14" t="s">
        <v>57</v>
      </c>
      <c r="K1645" s="13"/>
      <c r="L1645" s="14"/>
      <c r="M1645" s="13"/>
      <c r="N1645" s="14" t="s">
        <v>57</v>
      </c>
      <c r="O1645" s="13"/>
      <c r="P1645" s="14"/>
      <c r="Q1645" s="13"/>
      <c r="R1645" s="14" t="s">
        <v>57</v>
      </c>
      <c r="S1645" s="15" t="str">
        <f>"－"</f>
        <v>－</v>
      </c>
      <c r="T1645" s="16" t="str">
        <f>"－"</f>
        <v>－</v>
      </c>
      <c r="U1645" s="16"/>
      <c r="V1645" s="16" t="str">
        <f>"－"</f>
        <v>－</v>
      </c>
      <c r="W1645" s="16"/>
      <c r="X1645" s="16" t="str">
        <f>"－"</f>
        <v>－</v>
      </c>
      <c r="Y1645" s="13"/>
      <c r="Z1645" s="17" t="n">
        <f>200</f>
        <v>200.0</v>
      </c>
      <c r="AA1645" s="18" t="str">
        <f>"－"</f>
        <v>－</v>
      </c>
      <c r="AB1645" s="11" t="s">
        <v>527</v>
      </c>
    </row>
    <row r="1646">
      <c r="A1646" s="11" t="s">
        <v>46</v>
      </c>
      <c r="B1646" s="11" t="s">
        <v>887</v>
      </c>
      <c r="C1646" s="11" t="s">
        <v>888</v>
      </c>
      <c r="D1646" s="11" t="s">
        <v>49</v>
      </c>
      <c r="E1646" s="11" t="s">
        <v>526</v>
      </c>
      <c r="F1646" s="12" t="n">
        <v>1750.0</v>
      </c>
      <c r="G1646" s="13"/>
      <c r="H1646" s="14" t="s">
        <v>57</v>
      </c>
      <c r="I1646" s="13"/>
      <c r="J1646" s="14" t="s">
        <v>57</v>
      </c>
      <c r="K1646" s="13"/>
      <c r="L1646" s="14"/>
      <c r="M1646" s="13"/>
      <c r="N1646" s="14" t="s">
        <v>57</v>
      </c>
      <c r="O1646" s="13"/>
      <c r="P1646" s="14"/>
      <c r="Q1646" s="13"/>
      <c r="R1646" s="14" t="s">
        <v>57</v>
      </c>
      <c r="S1646" s="15" t="str">
        <f>"－"</f>
        <v>－</v>
      </c>
      <c r="T1646" s="16" t="str">
        <f>"－"</f>
        <v>－</v>
      </c>
      <c r="U1646" s="16"/>
      <c r="V1646" s="16" t="str">
        <f>"－"</f>
        <v>－</v>
      </c>
      <c r="W1646" s="16"/>
      <c r="X1646" s="16" t="str">
        <f>"－"</f>
        <v>－</v>
      </c>
      <c r="Y1646" s="13"/>
      <c r="Z1646" s="17" t="n">
        <f>100</f>
        <v>100.0</v>
      </c>
      <c r="AA1646" s="18" t="str">
        <f>"－"</f>
        <v>－</v>
      </c>
      <c r="AB1646" s="11" t="s">
        <v>527</v>
      </c>
    </row>
    <row r="1647">
      <c r="A1647" s="11" t="s">
        <v>46</v>
      </c>
      <c r="B1647" s="11" t="s">
        <v>887</v>
      </c>
      <c r="C1647" s="11" t="s">
        <v>888</v>
      </c>
      <c r="D1647" s="11" t="s">
        <v>49</v>
      </c>
      <c r="E1647" s="11" t="s">
        <v>526</v>
      </c>
      <c r="F1647" s="12" t="n">
        <v>1900.0</v>
      </c>
      <c r="G1647" s="13"/>
      <c r="H1647" s="14" t="s">
        <v>57</v>
      </c>
      <c r="I1647" s="13"/>
      <c r="J1647" s="14" t="s">
        <v>57</v>
      </c>
      <c r="K1647" s="13" t="s">
        <v>211</v>
      </c>
      <c r="L1647" s="14" t="s">
        <v>123</v>
      </c>
      <c r="M1647" s="13"/>
      <c r="N1647" s="14" t="s">
        <v>57</v>
      </c>
      <c r="O1647" s="13" t="s">
        <v>211</v>
      </c>
      <c r="P1647" s="14" t="s">
        <v>123</v>
      </c>
      <c r="Q1647" s="13"/>
      <c r="R1647" s="14" t="s">
        <v>57</v>
      </c>
      <c r="S1647" s="15" t="str">
        <f>"－"</f>
        <v>－</v>
      </c>
      <c r="T1647" s="16" t="n">
        <f>225</f>
        <v>225.0</v>
      </c>
      <c r="U1647" s="16" t="n">
        <v>225.0</v>
      </c>
      <c r="V1647" s="16" t="n">
        <f>337500000</f>
        <v>3.375E8</v>
      </c>
      <c r="W1647" s="16" t="n">
        <v>3.375E8</v>
      </c>
      <c r="X1647" s="16" t="str">
        <f>"－"</f>
        <v>－</v>
      </c>
      <c r="Y1647" s="13"/>
      <c r="Z1647" s="17" t="n">
        <f>225</f>
        <v>225.0</v>
      </c>
      <c r="AA1647" s="18" t="str">
        <f>"－"</f>
        <v>－</v>
      </c>
      <c r="AB1647" s="11" t="s">
        <v>527</v>
      </c>
    </row>
    <row r="1648">
      <c r="A1648" s="11" t="s">
        <v>46</v>
      </c>
      <c r="B1648" s="11" t="s">
        <v>887</v>
      </c>
      <c r="C1648" s="11" t="s">
        <v>888</v>
      </c>
      <c r="D1648" s="11" t="s">
        <v>49</v>
      </c>
      <c r="E1648" s="11" t="s">
        <v>572</v>
      </c>
      <c r="F1648" s="12" t="n">
        <v>1500.0</v>
      </c>
      <c r="G1648" s="13"/>
      <c r="H1648" s="14" t="s">
        <v>57</v>
      </c>
      <c r="I1648" s="13"/>
      <c r="J1648" s="14" t="s">
        <v>57</v>
      </c>
      <c r="K1648" s="13"/>
      <c r="L1648" s="14"/>
      <c r="M1648" s="13"/>
      <c r="N1648" s="14" t="s">
        <v>57</v>
      </c>
      <c r="O1648" s="13"/>
      <c r="P1648" s="14"/>
      <c r="Q1648" s="13"/>
      <c r="R1648" s="14" t="s">
        <v>57</v>
      </c>
      <c r="S1648" s="15" t="str">
        <f>"－"</f>
        <v>－</v>
      </c>
      <c r="T1648" s="16" t="str">
        <f>"－"</f>
        <v>－</v>
      </c>
      <c r="U1648" s="16"/>
      <c r="V1648" s="16" t="str">
        <f>"－"</f>
        <v>－</v>
      </c>
      <c r="W1648" s="16"/>
      <c r="X1648" s="16" t="str">
        <f>"－"</f>
        <v>－</v>
      </c>
      <c r="Y1648" s="13"/>
      <c r="Z1648" s="17" t="n">
        <f>644</f>
        <v>644.0</v>
      </c>
      <c r="AA1648" s="18" t="str">
        <f>"－"</f>
        <v>－</v>
      </c>
      <c r="AB1648" s="11" t="s">
        <v>574</v>
      </c>
    </row>
    <row r="1649">
      <c r="A1649" s="11" t="s">
        <v>46</v>
      </c>
      <c r="B1649" s="11" t="s">
        <v>887</v>
      </c>
      <c r="C1649" s="11" t="s">
        <v>888</v>
      </c>
      <c r="D1649" s="11" t="s">
        <v>49</v>
      </c>
      <c r="E1649" s="11" t="s">
        <v>572</v>
      </c>
      <c r="F1649" s="12" t="n">
        <v>1550.0</v>
      </c>
      <c r="G1649" s="13"/>
      <c r="H1649" s="14" t="s">
        <v>57</v>
      </c>
      <c r="I1649" s="13"/>
      <c r="J1649" s="14" t="s">
        <v>57</v>
      </c>
      <c r="K1649" s="13" t="s">
        <v>211</v>
      </c>
      <c r="L1649" s="14" t="s">
        <v>267</v>
      </c>
      <c r="M1649" s="13"/>
      <c r="N1649" s="14" t="s">
        <v>57</v>
      </c>
      <c r="O1649" s="13" t="s">
        <v>211</v>
      </c>
      <c r="P1649" s="14" t="s">
        <v>267</v>
      </c>
      <c r="Q1649" s="13"/>
      <c r="R1649" s="14" t="s">
        <v>57</v>
      </c>
      <c r="S1649" s="15" t="str">
        <f>"－"</f>
        <v>－</v>
      </c>
      <c r="T1649" s="16" t="n">
        <f>69</f>
        <v>69.0</v>
      </c>
      <c r="U1649" s="16" t="n">
        <v>69.0</v>
      </c>
      <c r="V1649" s="16" t="n">
        <f>40710000</f>
        <v>4.071E7</v>
      </c>
      <c r="W1649" s="16" t="n">
        <v>4.071E7</v>
      </c>
      <c r="X1649" s="16" t="str">
        <f>"－"</f>
        <v>－</v>
      </c>
      <c r="Y1649" s="13"/>
      <c r="Z1649" s="17" t="n">
        <f>69</f>
        <v>69.0</v>
      </c>
      <c r="AA1649" s="18" t="str">
        <f>"－"</f>
        <v>－</v>
      </c>
      <c r="AB1649" s="11" t="s">
        <v>574</v>
      </c>
    </row>
    <row r="1650">
      <c r="A1650" s="11" t="s">
        <v>46</v>
      </c>
      <c r="B1650" s="11" t="s">
        <v>887</v>
      </c>
      <c r="C1650" s="11" t="s">
        <v>888</v>
      </c>
      <c r="D1650" s="11" t="s">
        <v>49</v>
      </c>
      <c r="E1650" s="11" t="s">
        <v>572</v>
      </c>
      <c r="F1650" s="12" t="n">
        <v>1600.0</v>
      </c>
      <c r="G1650" s="13"/>
      <c r="H1650" s="14" t="s">
        <v>57</v>
      </c>
      <c r="I1650" s="13"/>
      <c r="J1650" s="14" t="s">
        <v>57</v>
      </c>
      <c r="K1650" s="13"/>
      <c r="L1650" s="14"/>
      <c r="M1650" s="13"/>
      <c r="N1650" s="14" t="s">
        <v>57</v>
      </c>
      <c r="O1650" s="13"/>
      <c r="P1650" s="14"/>
      <c r="Q1650" s="13"/>
      <c r="R1650" s="14" t="s">
        <v>57</v>
      </c>
      <c r="S1650" s="15" t="str">
        <f>"－"</f>
        <v>－</v>
      </c>
      <c r="T1650" s="16" t="str">
        <f>"－"</f>
        <v>－</v>
      </c>
      <c r="U1650" s="16"/>
      <c r="V1650" s="16" t="str">
        <f>"－"</f>
        <v>－</v>
      </c>
      <c r="W1650" s="16"/>
      <c r="X1650" s="16" t="str">
        <f>"－"</f>
        <v>－</v>
      </c>
      <c r="Y1650" s="13"/>
      <c r="Z1650" s="17" t="n">
        <f>12144</f>
        <v>12144.0</v>
      </c>
      <c r="AA1650" s="18" t="str">
        <f>"－"</f>
        <v>－</v>
      </c>
      <c r="AB1650" s="11" t="s">
        <v>574</v>
      </c>
    </row>
    <row r="1651">
      <c r="A1651" s="11" t="s">
        <v>46</v>
      </c>
      <c r="B1651" s="11" t="s">
        <v>887</v>
      </c>
      <c r="C1651" s="11" t="s">
        <v>888</v>
      </c>
      <c r="D1651" s="11" t="s">
        <v>49</v>
      </c>
      <c r="E1651" s="11" t="s">
        <v>580</v>
      </c>
      <c r="F1651" s="12" t="n">
        <v>1100.0</v>
      </c>
      <c r="G1651" s="13"/>
      <c r="H1651" s="14" t="s">
        <v>57</v>
      </c>
      <c r="I1651" s="13"/>
      <c r="J1651" s="14" t="s">
        <v>57</v>
      </c>
      <c r="K1651" s="13"/>
      <c r="L1651" s="14"/>
      <c r="M1651" s="13"/>
      <c r="N1651" s="14" t="s">
        <v>57</v>
      </c>
      <c r="O1651" s="13"/>
      <c r="P1651" s="14"/>
      <c r="Q1651" s="13"/>
      <c r="R1651" s="14" t="s">
        <v>57</v>
      </c>
      <c r="S1651" s="15" t="str">
        <f>"－"</f>
        <v>－</v>
      </c>
      <c r="T1651" s="16" t="str">
        <f>"－"</f>
        <v>－</v>
      </c>
      <c r="U1651" s="16"/>
      <c r="V1651" s="16" t="str">
        <f>"－"</f>
        <v>－</v>
      </c>
      <c r="W1651" s="16"/>
      <c r="X1651" s="16" t="str">
        <f>"－"</f>
        <v>－</v>
      </c>
      <c r="Y1651" s="13"/>
      <c r="Z1651" s="17" t="n">
        <f>91</f>
        <v>91.0</v>
      </c>
      <c r="AA1651" s="18" t="str">
        <f>"－"</f>
        <v>－</v>
      </c>
      <c r="AB1651" s="11" t="s">
        <v>581</v>
      </c>
    </row>
    <row r="1652">
      <c r="A1652" s="11" t="s">
        <v>46</v>
      </c>
      <c r="B1652" s="11" t="s">
        <v>887</v>
      </c>
      <c r="C1652" s="11" t="s">
        <v>888</v>
      </c>
      <c r="D1652" s="11" t="s">
        <v>49</v>
      </c>
      <c r="E1652" s="11" t="s">
        <v>580</v>
      </c>
      <c r="F1652" s="12" t="n">
        <v>1350.0</v>
      </c>
      <c r="G1652" s="13"/>
      <c r="H1652" s="14" t="s">
        <v>57</v>
      </c>
      <c r="I1652" s="13"/>
      <c r="J1652" s="14" t="s">
        <v>57</v>
      </c>
      <c r="K1652" s="13"/>
      <c r="L1652" s="14"/>
      <c r="M1652" s="13"/>
      <c r="N1652" s="14" t="s">
        <v>57</v>
      </c>
      <c r="O1652" s="13"/>
      <c r="P1652" s="14"/>
      <c r="Q1652" s="13"/>
      <c r="R1652" s="14" t="s">
        <v>57</v>
      </c>
      <c r="S1652" s="15" t="str">
        <f>"－"</f>
        <v>－</v>
      </c>
      <c r="T1652" s="16" t="str">
        <f>"－"</f>
        <v>－</v>
      </c>
      <c r="U1652" s="16"/>
      <c r="V1652" s="16" t="str">
        <f>"－"</f>
        <v>－</v>
      </c>
      <c r="W1652" s="16"/>
      <c r="X1652" s="16" t="str">
        <f>"－"</f>
        <v>－</v>
      </c>
      <c r="Y1652" s="13"/>
      <c r="Z1652" s="17" t="n">
        <f>200</f>
        <v>200.0</v>
      </c>
      <c r="AA1652" s="18" t="str">
        <f>"－"</f>
        <v>－</v>
      </c>
      <c r="AB1652" s="11" t="s">
        <v>581</v>
      </c>
    </row>
    <row r="1653">
      <c r="A1653" s="11" t="s">
        <v>46</v>
      </c>
      <c r="B1653" s="11" t="s">
        <v>887</v>
      </c>
      <c r="C1653" s="11" t="s">
        <v>888</v>
      </c>
      <c r="D1653" s="11" t="s">
        <v>49</v>
      </c>
      <c r="E1653" s="11" t="s">
        <v>580</v>
      </c>
      <c r="F1653" s="12" t="n">
        <v>1400.0</v>
      </c>
      <c r="G1653" s="13"/>
      <c r="H1653" s="14" t="s">
        <v>57</v>
      </c>
      <c r="I1653" s="13"/>
      <c r="J1653" s="14" t="s">
        <v>57</v>
      </c>
      <c r="K1653" s="13"/>
      <c r="L1653" s="14"/>
      <c r="M1653" s="13"/>
      <c r="N1653" s="14" t="s">
        <v>57</v>
      </c>
      <c r="O1653" s="13"/>
      <c r="P1653" s="14"/>
      <c r="Q1653" s="13"/>
      <c r="R1653" s="14" t="s">
        <v>57</v>
      </c>
      <c r="S1653" s="15" t="str">
        <f>"－"</f>
        <v>－</v>
      </c>
      <c r="T1653" s="16" t="str">
        <f>"－"</f>
        <v>－</v>
      </c>
      <c r="U1653" s="16"/>
      <c r="V1653" s="16" t="str">
        <f>"－"</f>
        <v>－</v>
      </c>
      <c r="W1653" s="16"/>
      <c r="X1653" s="16" t="str">
        <f>"－"</f>
        <v>－</v>
      </c>
      <c r="Y1653" s="13"/>
      <c r="Z1653" s="17" t="n">
        <f>91</f>
        <v>91.0</v>
      </c>
      <c r="AA1653" s="18" t="str">
        <f>"－"</f>
        <v>－</v>
      </c>
      <c r="AB1653" s="11" t="s">
        <v>581</v>
      </c>
    </row>
    <row r="1654">
      <c r="A1654" s="11" t="s">
        <v>46</v>
      </c>
      <c r="B1654" s="11" t="s">
        <v>887</v>
      </c>
      <c r="C1654" s="11" t="s">
        <v>888</v>
      </c>
      <c r="D1654" s="11" t="s">
        <v>49</v>
      </c>
      <c r="E1654" s="11" t="s">
        <v>580</v>
      </c>
      <c r="F1654" s="12" t="n">
        <v>1550.0</v>
      </c>
      <c r="G1654" s="13"/>
      <c r="H1654" s="14" t="s">
        <v>57</v>
      </c>
      <c r="I1654" s="13"/>
      <c r="J1654" s="14" t="s">
        <v>57</v>
      </c>
      <c r="K1654" s="13"/>
      <c r="L1654" s="14"/>
      <c r="M1654" s="13"/>
      <c r="N1654" s="14" t="s">
        <v>57</v>
      </c>
      <c r="O1654" s="13"/>
      <c r="P1654" s="14"/>
      <c r="Q1654" s="13"/>
      <c r="R1654" s="14" t="s">
        <v>57</v>
      </c>
      <c r="S1654" s="15" t="str">
        <f>"－"</f>
        <v>－</v>
      </c>
      <c r="T1654" s="16" t="str">
        <f>"－"</f>
        <v>－</v>
      </c>
      <c r="U1654" s="16"/>
      <c r="V1654" s="16" t="str">
        <f>"－"</f>
        <v>－</v>
      </c>
      <c r="W1654" s="16"/>
      <c r="X1654" s="16" t="str">
        <f>"－"</f>
        <v>－</v>
      </c>
      <c r="Y1654" s="13"/>
      <c r="Z1654" s="17" t="n">
        <f>170</f>
        <v>170.0</v>
      </c>
      <c r="AA1654" s="18" t="str">
        <f>"－"</f>
        <v>－</v>
      </c>
      <c r="AB1654" s="11" t="s">
        <v>581</v>
      </c>
    </row>
    <row r="1655">
      <c r="A1655" s="11" t="s">
        <v>46</v>
      </c>
      <c r="B1655" s="11" t="s">
        <v>887</v>
      </c>
      <c r="C1655" s="11" t="s">
        <v>888</v>
      </c>
      <c r="D1655" s="11" t="s">
        <v>49</v>
      </c>
      <c r="E1655" s="11" t="s">
        <v>593</v>
      </c>
      <c r="F1655" s="12" t="n">
        <v>1550.0</v>
      </c>
      <c r="G1655" s="13"/>
      <c r="H1655" s="14" t="s">
        <v>57</v>
      </c>
      <c r="I1655" s="13"/>
      <c r="J1655" s="14" t="s">
        <v>57</v>
      </c>
      <c r="K1655" s="13"/>
      <c r="L1655" s="14"/>
      <c r="M1655" s="13"/>
      <c r="N1655" s="14" t="s">
        <v>57</v>
      </c>
      <c r="O1655" s="13"/>
      <c r="P1655" s="14"/>
      <c r="Q1655" s="13"/>
      <c r="R1655" s="14" t="s">
        <v>57</v>
      </c>
      <c r="S1655" s="15" t="str">
        <f>"－"</f>
        <v>－</v>
      </c>
      <c r="T1655" s="16" t="str">
        <f>"－"</f>
        <v>－</v>
      </c>
      <c r="U1655" s="16"/>
      <c r="V1655" s="16" t="str">
        <f>"－"</f>
        <v>－</v>
      </c>
      <c r="W1655" s="16"/>
      <c r="X1655" s="16" t="str">
        <f>"－"</f>
        <v>－</v>
      </c>
      <c r="Y1655" s="13"/>
      <c r="Z1655" s="17" t="n">
        <f>50</f>
        <v>50.0</v>
      </c>
      <c r="AA1655" s="18" t="str">
        <f>"－"</f>
        <v>－</v>
      </c>
      <c r="AB1655" s="11" t="s">
        <v>594</v>
      </c>
    </row>
    <row r="1656">
      <c r="A1656" s="11" t="s">
        <v>46</v>
      </c>
      <c r="B1656" s="11" t="s">
        <v>887</v>
      </c>
      <c r="C1656" s="11" t="s">
        <v>888</v>
      </c>
      <c r="D1656" s="11" t="s">
        <v>49</v>
      </c>
      <c r="E1656" s="11" t="s">
        <v>593</v>
      </c>
      <c r="F1656" s="12" t="n">
        <v>1600.0</v>
      </c>
      <c r="G1656" s="13"/>
      <c r="H1656" s="14" t="s">
        <v>57</v>
      </c>
      <c r="I1656" s="13"/>
      <c r="J1656" s="14" t="s">
        <v>57</v>
      </c>
      <c r="K1656" s="13" t="s">
        <v>60</v>
      </c>
      <c r="L1656" s="14" t="s">
        <v>902</v>
      </c>
      <c r="M1656" s="13"/>
      <c r="N1656" s="14" t="s">
        <v>57</v>
      </c>
      <c r="O1656" s="13" t="s">
        <v>60</v>
      </c>
      <c r="P1656" s="14" t="s">
        <v>902</v>
      </c>
      <c r="Q1656" s="13"/>
      <c r="R1656" s="14" t="s">
        <v>57</v>
      </c>
      <c r="S1656" s="15" t="str">
        <f>"－"</f>
        <v>－</v>
      </c>
      <c r="T1656" s="16" t="n">
        <f>100</f>
        <v>100.0</v>
      </c>
      <c r="U1656" s="16" t="n">
        <v>100.0</v>
      </c>
      <c r="V1656" s="16" t="n">
        <f>123000000</f>
        <v>1.23E8</v>
      </c>
      <c r="W1656" s="16" t="n">
        <v>1.23E8</v>
      </c>
      <c r="X1656" s="16" t="str">
        <f>"－"</f>
        <v>－</v>
      </c>
      <c r="Y1656" s="13"/>
      <c r="Z1656" s="17" t="n">
        <f>100</f>
        <v>100.0</v>
      </c>
      <c r="AA1656" s="18" t="str">
        <f>"－"</f>
        <v>－</v>
      </c>
      <c r="AB1656" s="11" t="s">
        <v>594</v>
      </c>
    </row>
    <row r="1657">
      <c r="A1657" s="11" t="s">
        <v>46</v>
      </c>
      <c r="B1657" s="11" t="s">
        <v>887</v>
      </c>
      <c r="C1657" s="11" t="s">
        <v>888</v>
      </c>
      <c r="D1657" s="11" t="s">
        <v>49</v>
      </c>
      <c r="E1657" s="11" t="s">
        <v>593</v>
      </c>
      <c r="F1657" s="12" t="n">
        <v>1700.0</v>
      </c>
      <c r="G1657" s="13"/>
      <c r="H1657" s="14" t="s">
        <v>57</v>
      </c>
      <c r="I1657" s="13"/>
      <c r="J1657" s="14" t="s">
        <v>57</v>
      </c>
      <c r="K1657" s="13"/>
      <c r="L1657" s="14"/>
      <c r="M1657" s="13"/>
      <c r="N1657" s="14" t="s">
        <v>57</v>
      </c>
      <c r="O1657" s="13"/>
      <c r="P1657" s="14"/>
      <c r="Q1657" s="13"/>
      <c r="R1657" s="14" t="s">
        <v>57</v>
      </c>
      <c r="S1657" s="15" t="str">
        <f>"－"</f>
        <v>－</v>
      </c>
      <c r="T1657" s="16" t="str">
        <f>"－"</f>
        <v>－</v>
      </c>
      <c r="U1657" s="16"/>
      <c r="V1657" s="16" t="str">
        <f>"－"</f>
        <v>－</v>
      </c>
      <c r="W1657" s="16"/>
      <c r="X1657" s="16" t="str">
        <f>"－"</f>
        <v>－</v>
      </c>
      <c r="Y1657" s="13"/>
      <c r="Z1657" s="17" t="n">
        <f>140</f>
        <v>140.0</v>
      </c>
      <c r="AA1657" s="18" t="str">
        <f>"－"</f>
        <v>－</v>
      </c>
      <c r="AB1657" s="11" t="s">
        <v>594</v>
      </c>
    </row>
    <row r="1658">
      <c r="A1658" s="11" t="s">
        <v>46</v>
      </c>
      <c r="B1658" s="11" t="s">
        <v>887</v>
      </c>
      <c r="C1658" s="11" t="s">
        <v>888</v>
      </c>
      <c r="D1658" s="11" t="s">
        <v>49</v>
      </c>
      <c r="E1658" s="11" t="s">
        <v>626</v>
      </c>
      <c r="F1658" s="12" t="n">
        <v>1100.0</v>
      </c>
      <c r="G1658" s="13"/>
      <c r="H1658" s="14" t="s">
        <v>57</v>
      </c>
      <c r="I1658" s="13"/>
      <c r="J1658" s="14" t="s">
        <v>57</v>
      </c>
      <c r="K1658" s="13" t="s">
        <v>202</v>
      </c>
      <c r="L1658" s="14" t="s">
        <v>903</v>
      </c>
      <c r="M1658" s="13"/>
      <c r="N1658" s="14" t="s">
        <v>57</v>
      </c>
      <c r="O1658" s="13" t="s">
        <v>202</v>
      </c>
      <c r="P1658" s="14" t="s">
        <v>903</v>
      </c>
      <c r="Q1658" s="13"/>
      <c r="R1658" s="14" t="s">
        <v>57</v>
      </c>
      <c r="S1658" s="15" t="str">
        <f>"－"</f>
        <v>－</v>
      </c>
      <c r="T1658" s="16" t="n">
        <f>900</f>
        <v>900.0</v>
      </c>
      <c r="U1658" s="16" t="n">
        <v>900.0</v>
      </c>
      <c r="V1658" s="16" t="n">
        <f>436725000</f>
        <v>4.36725E8</v>
      </c>
      <c r="W1658" s="16" t="n">
        <v>4.36725E8</v>
      </c>
      <c r="X1658" s="16" t="str">
        <f>"－"</f>
        <v>－</v>
      </c>
      <c r="Y1658" s="13"/>
      <c r="Z1658" s="17" t="n">
        <f>900</f>
        <v>900.0</v>
      </c>
      <c r="AA1658" s="18" t="str">
        <f>"－"</f>
        <v>－</v>
      </c>
      <c r="AB1658" s="11" t="s">
        <v>627</v>
      </c>
    </row>
    <row r="1659">
      <c r="A1659" s="11" t="s">
        <v>46</v>
      </c>
      <c r="B1659" s="11" t="s">
        <v>887</v>
      </c>
      <c r="C1659" s="11" t="s">
        <v>888</v>
      </c>
      <c r="D1659" s="11" t="s">
        <v>49</v>
      </c>
      <c r="E1659" s="11" t="s">
        <v>626</v>
      </c>
      <c r="F1659" s="12" t="n">
        <v>1200.0</v>
      </c>
      <c r="G1659" s="13"/>
      <c r="H1659" s="14" t="s">
        <v>57</v>
      </c>
      <c r="I1659" s="13"/>
      <c r="J1659" s="14" t="s">
        <v>57</v>
      </c>
      <c r="K1659" s="13" t="s">
        <v>202</v>
      </c>
      <c r="L1659" s="14" t="s">
        <v>218</v>
      </c>
      <c r="M1659" s="13"/>
      <c r="N1659" s="14" t="s">
        <v>57</v>
      </c>
      <c r="O1659" s="13" t="s">
        <v>202</v>
      </c>
      <c r="P1659" s="14" t="s">
        <v>218</v>
      </c>
      <c r="Q1659" s="13"/>
      <c r="R1659" s="14" t="s">
        <v>57</v>
      </c>
      <c r="S1659" s="15" t="str">
        <f>"－"</f>
        <v>－</v>
      </c>
      <c r="T1659" s="16" t="n">
        <f>900</f>
        <v>900.0</v>
      </c>
      <c r="U1659" s="16" t="n">
        <v>900.0</v>
      </c>
      <c r="V1659" s="16" t="n">
        <f>549000000</f>
        <v>5.49E8</v>
      </c>
      <c r="W1659" s="16" t="n">
        <v>5.49E8</v>
      </c>
      <c r="X1659" s="16" t="str">
        <f>"－"</f>
        <v>－</v>
      </c>
      <c r="Y1659" s="13"/>
      <c r="Z1659" s="17" t="n">
        <f>900</f>
        <v>900.0</v>
      </c>
      <c r="AA1659" s="18" t="str">
        <f>"－"</f>
        <v>－</v>
      </c>
      <c r="AB1659" s="11" t="s">
        <v>627</v>
      </c>
    </row>
    <row r="1660">
      <c r="A1660" s="11" t="s">
        <v>46</v>
      </c>
      <c r="B1660" s="11" t="s">
        <v>887</v>
      </c>
      <c r="C1660" s="11" t="s">
        <v>888</v>
      </c>
      <c r="D1660" s="11" t="s">
        <v>49</v>
      </c>
      <c r="E1660" s="11" t="s">
        <v>626</v>
      </c>
      <c r="F1660" s="12" t="n">
        <v>1400.0</v>
      </c>
      <c r="G1660" s="13"/>
      <c r="H1660" s="14" t="s">
        <v>57</v>
      </c>
      <c r="I1660" s="13"/>
      <c r="J1660" s="14" t="s">
        <v>57</v>
      </c>
      <c r="K1660" s="13" t="s">
        <v>202</v>
      </c>
      <c r="L1660" s="14" t="s">
        <v>235</v>
      </c>
      <c r="M1660" s="13"/>
      <c r="N1660" s="14" t="s">
        <v>57</v>
      </c>
      <c r="O1660" s="13" t="s">
        <v>202</v>
      </c>
      <c r="P1660" s="14" t="s">
        <v>235</v>
      </c>
      <c r="Q1660" s="13"/>
      <c r="R1660" s="14" t="s">
        <v>57</v>
      </c>
      <c r="S1660" s="15" t="str">
        <f>"－"</f>
        <v>－</v>
      </c>
      <c r="T1660" s="16" t="n">
        <f>900</f>
        <v>900.0</v>
      </c>
      <c r="U1660" s="16" t="n">
        <v>900.0</v>
      </c>
      <c r="V1660" s="16" t="n">
        <f>864000000</f>
        <v>8.64E8</v>
      </c>
      <c r="W1660" s="16" t="n">
        <v>8.64E8</v>
      </c>
      <c r="X1660" s="16" t="str">
        <f>"－"</f>
        <v>－</v>
      </c>
      <c r="Y1660" s="13"/>
      <c r="Z1660" s="17" t="n">
        <f>900</f>
        <v>900.0</v>
      </c>
      <c r="AA1660" s="18" t="str">
        <f>"－"</f>
        <v>－</v>
      </c>
      <c r="AB1660" s="11" t="s">
        <v>627</v>
      </c>
    </row>
    <row r="1661">
      <c r="A1661" s="11" t="s">
        <v>46</v>
      </c>
      <c r="B1661" s="11" t="s">
        <v>887</v>
      </c>
      <c r="C1661" s="11" t="s">
        <v>888</v>
      </c>
      <c r="D1661" s="11" t="s">
        <v>49</v>
      </c>
      <c r="E1661" s="11" t="s">
        <v>626</v>
      </c>
      <c r="F1661" s="12" t="n">
        <v>1550.0</v>
      </c>
      <c r="G1661" s="13"/>
      <c r="H1661" s="14" t="s">
        <v>57</v>
      </c>
      <c r="I1661" s="13"/>
      <c r="J1661" s="14" t="s">
        <v>57</v>
      </c>
      <c r="K1661" s="13" t="s">
        <v>202</v>
      </c>
      <c r="L1661" s="14" t="s">
        <v>120</v>
      </c>
      <c r="M1661" s="13"/>
      <c r="N1661" s="14" t="s">
        <v>57</v>
      </c>
      <c r="O1661" s="13" t="s">
        <v>202</v>
      </c>
      <c r="P1661" s="14" t="s">
        <v>120</v>
      </c>
      <c r="Q1661" s="13"/>
      <c r="R1661" s="14" t="s">
        <v>57</v>
      </c>
      <c r="S1661" s="15" t="str">
        <f>"－"</f>
        <v>－</v>
      </c>
      <c r="T1661" s="16" t="n">
        <f>900</f>
        <v>900.0</v>
      </c>
      <c r="U1661" s="16" t="n">
        <v>900.0</v>
      </c>
      <c r="V1661" s="16" t="n">
        <f>1215000000</f>
        <v>1.215E9</v>
      </c>
      <c r="W1661" s="16" t="n">
        <v>1.215E9</v>
      </c>
      <c r="X1661" s="16" t="str">
        <f>"－"</f>
        <v>－</v>
      </c>
      <c r="Y1661" s="13"/>
      <c r="Z1661" s="17" t="n">
        <f>900</f>
        <v>900.0</v>
      </c>
      <c r="AA1661" s="18" t="str">
        <f>"－"</f>
        <v>－</v>
      </c>
      <c r="AB1661" s="11" t="s">
        <v>627</v>
      </c>
    </row>
    <row r="1662">
      <c r="A1662" s="11" t="s">
        <v>46</v>
      </c>
      <c r="B1662" s="11" t="s">
        <v>887</v>
      </c>
      <c r="C1662" s="11" t="s">
        <v>888</v>
      </c>
      <c r="D1662" s="11" t="s">
        <v>651</v>
      </c>
      <c r="E1662" s="11" t="s">
        <v>46</v>
      </c>
      <c r="F1662" s="12" t="n">
        <v>1850.0</v>
      </c>
      <c r="G1662" s="13"/>
      <c r="H1662" s="14" t="s">
        <v>57</v>
      </c>
      <c r="I1662" s="13"/>
      <c r="J1662" s="14" t="s">
        <v>57</v>
      </c>
      <c r="K1662" s="13"/>
      <c r="L1662" s="14"/>
      <c r="M1662" s="13"/>
      <c r="N1662" s="14" t="s">
        <v>57</v>
      </c>
      <c r="O1662" s="13"/>
      <c r="P1662" s="14"/>
      <c r="Q1662" s="13"/>
      <c r="R1662" s="14" t="s">
        <v>57</v>
      </c>
      <c r="S1662" s="15" t="str">
        <f>"－"</f>
        <v>－</v>
      </c>
      <c r="T1662" s="16" t="str">
        <f>"－"</f>
        <v>－</v>
      </c>
      <c r="U1662" s="16"/>
      <c r="V1662" s="16" t="str">
        <f>"－"</f>
        <v>－</v>
      </c>
      <c r="W1662" s="16"/>
      <c r="X1662" s="16" t="n">
        <f>500</f>
        <v>500.0</v>
      </c>
      <c r="Y1662" s="13" t="s">
        <v>53</v>
      </c>
      <c r="Z1662" s="17" t="str">
        <f>"－"</f>
        <v>－</v>
      </c>
      <c r="AA1662" s="18" t="str">
        <f>"－"</f>
        <v>－</v>
      </c>
      <c r="AB1662" s="11" t="s">
        <v>54</v>
      </c>
    </row>
    <row r="1663">
      <c r="A1663" s="11" t="s">
        <v>46</v>
      </c>
      <c r="B1663" s="11" t="s">
        <v>887</v>
      </c>
      <c r="C1663" s="11" t="s">
        <v>888</v>
      </c>
      <c r="D1663" s="11" t="s">
        <v>651</v>
      </c>
      <c r="E1663" s="11" t="s">
        <v>46</v>
      </c>
      <c r="F1663" s="12" t="n">
        <v>1900.0</v>
      </c>
      <c r="G1663" s="13"/>
      <c r="H1663" s="14" t="s">
        <v>57</v>
      </c>
      <c r="I1663" s="13"/>
      <c r="J1663" s="14" t="s">
        <v>57</v>
      </c>
      <c r="K1663" s="13"/>
      <c r="L1663" s="14"/>
      <c r="M1663" s="13"/>
      <c r="N1663" s="14" t="s">
        <v>57</v>
      </c>
      <c r="O1663" s="13"/>
      <c r="P1663" s="14"/>
      <c r="Q1663" s="13"/>
      <c r="R1663" s="14" t="s">
        <v>57</v>
      </c>
      <c r="S1663" s="15" t="str">
        <f>"－"</f>
        <v>－</v>
      </c>
      <c r="T1663" s="16" t="str">
        <f>"－"</f>
        <v>－</v>
      </c>
      <c r="U1663" s="16"/>
      <c r="V1663" s="16" t="str">
        <f>"－"</f>
        <v>－</v>
      </c>
      <c r="W1663" s="16"/>
      <c r="X1663" s="16" t="n">
        <f>500</f>
        <v>500.0</v>
      </c>
      <c r="Y1663" s="13" t="s">
        <v>53</v>
      </c>
      <c r="Z1663" s="17" t="str">
        <f>"－"</f>
        <v>－</v>
      </c>
      <c r="AA1663" s="18" t="str">
        <f>"－"</f>
        <v>－</v>
      </c>
      <c r="AB1663" s="11" t="s">
        <v>54</v>
      </c>
    </row>
    <row r="1664">
      <c r="A1664" s="11" t="s">
        <v>46</v>
      </c>
      <c r="B1664" s="11" t="s">
        <v>887</v>
      </c>
      <c r="C1664" s="11" t="s">
        <v>888</v>
      </c>
      <c r="D1664" s="11" t="s">
        <v>651</v>
      </c>
      <c r="E1664" s="11" t="s">
        <v>46</v>
      </c>
      <c r="F1664" s="12" t="n">
        <v>1925.0</v>
      </c>
      <c r="G1664" s="13"/>
      <c r="H1664" s="14" t="s">
        <v>57</v>
      </c>
      <c r="I1664" s="13"/>
      <c r="J1664" s="14" t="s">
        <v>57</v>
      </c>
      <c r="K1664" s="13" t="s">
        <v>56</v>
      </c>
      <c r="L1664" s="14" t="s">
        <v>51</v>
      </c>
      <c r="M1664" s="13"/>
      <c r="N1664" s="14" t="s">
        <v>57</v>
      </c>
      <c r="O1664" s="13" t="s">
        <v>56</v>
      </c>
      <c r="P1664" s="14" t="s">
        <v>51</v>
      </c>
      <c r="Q1664" s="13"/>
      <c r="R1664" s="14" t="s">
        <v>57</v>
      </c>
      <c r="S1664" s="15" t="str">
        <f>"－"</f>
        <v>－</v>
      </c>
      <c r="T1664" s="16" t="n">
        <f>645</f>
        <v>645.0</v>
      </c>
      <c r="U1664" s="16" t="n">
        <v>645.0</v>
      </c>
      <c r="V1664" s="16" t="n">
        <f>6450000</f>
        <v>6450000.0</v>
      </c>
      <c r="W1664" s="16" t="n">
        <v>6450000.0</v>
      </c>
      <c r="X1664" s="16" t="n">
        <f>645</f>
        <v>645.0</v>
      </c>
      <c r="Y1664" s="13" t="s">
        <v>53</v>
      </c>
      <c r="Z1664" s="17" t="str">
        <f>"－"</f>
        <v>－</v>
      </c>
      <c r="AA1664" s="18" t="str">
        <f>"－"</f>
        <v>－</v>
      </c>
      <c r="AB1664" s="11" t="s">
        <v>54</v>
      </c>
    </row>
    <row r="1665">
      <c r="A1665" s="11" t="s">
        <v>46</v>
      </c>
      <c r="B1665" s="11" t="s">
        <v>887</v>
      </c>
      <c r="C1665" s="11" t="s">
        <v>888</v>
      </c>
      <c r="D1665" s="11" t="s">
        <v>651</v>
      </c>
      <c r="E1665" s="11" t="s">
        <v>46</v>
      </c>
      <c r="F1665" s="12" t="n">
        <v>2000.0</v>
      </c>
      <c r="G1665" s="13"/>
      <c r="H1665" s="14" t="s">
        <v>57</v>
      </c>
      <c r="I1665" s="13"/>
      <c r="J1665" s="14" t="s">
        <v>57</v>
      </c>
      <c r="K1665" s="13"/>
      <c r="L1665" s="14"/>
      <c r="M1665" s="13"/>
      <c r="N1665" s="14" t="s">
        <v>57</v>
      </c>
      <c r="O1665" s="13"/>
      <c r="P1665" s="14"/>
      <c r="Q1665" s="13"/>
      <c r="R1665" s="14" t="s">
        <v>57</v>
      </c>
      <c r="S1665" s="15" t="str">
        <f>"－"</f>
        <v>－</v>
      </c>
      <c r="T1665" s="16" t="str">
        <f>"－"</f>
        <v>－</v>
      </c>
      <c r="U1665" s="16"/>
      <c r="V1665" s="16" t="str">
        <f>"－"</f>
        <v>－</v>
      </c>
      <c r="W1665" s="16"/>
      <c r="X1665" s="16" t="str">
        <f>"－"</f>
        <v>－</v>
      </c>
      <c r="Y1665" s="13" t="s">
        <v>53</v>
      </c>
      <c r="Z1665" s="17" t="n">
        <f>200</f>
        <v>200.0</v>
      </c>
      <c r="AA1665" s="18" t="str">
        <f>"－"</f>
        <v>－</v>
      </c>
      <c r="AB1665" s="11" t="s">
        <v>54</v>
      </c>
    </row>
    <row r="1666">
      <c r="A1666" s="11" t="s">
        <v>46</v>
      </c>
      <c r="B1666" s="11" t="s">
        <v>887</v>
      </c>
      <c r="C1666" s="11" t="s">
        <v>888</v>
      </c>
      <c r="D1666" s="11" t="s">
        <v>651</v>
      </c>
      <c r="E1666" s="11" t="s">
        <v>201</v>
      </c>
      <c r="F1666" s="12" t="n">
        <v>1250.0</v>
      </c>
      <c r="G1666" s="13"/>
      <c r="H1666" s="14" t="s">
        <v>57</v>
      </c>
      <c r="I1666" s="13"/>
      <c r="J1666" s="14" t="s">
        <v>57</v>
      </c>
      <c r="K1666" s="13"/>
      <c r="L1666" s="14"/>
      <c r="M1666" s="13"/>
      <c r="N1666" s="14" t="s">
        <v>57</v>
      </c>
      <c r="O1666" s="13"/>
      <c r="P1666" s="14"/>
      <c r="Q1666" s="13"/>
      <c r="R1666" s="14" t="s">
        <v>57</v>
      </c>
      <c r="S1666" s="15" t="str">
        <f>"－"</f>
        <v>－</v>
      </c>
      <c r="T1666" s="16" t="str">
        <f>"－"</f>
        <v>－</v>
      </c>
      <c r="U1666" s="16"/>
      <c r="V1666" s="16" t="str">
        <f>"－"</f>
        <v>－</v>
      </c>
      <c r="W1666" s="16"/>
      <c r="X1666" s="16" t="str">
        <f>"－"</f>
        <v>－</v>
      </c>
      <c r="Y1666" s="13"/>
      <c r="Z1666" s="17" t="n">
        <f>260</f>
        <v>260.0</v>
      </c>
      <c r="AA1666" s="18" t="str">
        <f>"－"</f>
        <v>－</v>
      </c>
      <c r="AB1666" s="11" t="s">
        <v>203</v>
      </c>
    </row>
    <row r="1667">
      <c r="A1667" s="11" t="s">
        <v>46</v>
      </c>
      <c r="B1667" s="11" t="s">
        <v>887</v>
      </c>
      <c r="C1667" s="11" t="s">
        <v>888</v>
      </c>
      <c r="D1667" s="11" t="s">
        <v>651</v>
      </c>
      <c r="E1667" s="11" t="s">
        <v>201</v>
      </c>
      <c r="F1667" s="12" t="n">
        <v>1400.0</v>
      </c>
      <c r="G1667" s="13"/>
      <c r="H1667" s="14" t="s">
        <v>57</v>
      </c>
      <c r="I1667" s="13"/>
      <c r="J1667" s="14" t="s">
        <v>57</v>
      </c>
      <c r="K1667" s="13"/>
      <c r="L1667" s="14"/>
      <c r="M1667" s="13"/>
      <c r="N1667" s="14" t="s">
        <v>57</v>
      </c>
      <c r="O1667" s="13"/>
      <c r="P1667" s="14"/>
      <c r="Q1667" s="13"/>
      <c r="R1667" s="14" t="s">
        <v>57</v>
      </c>
      <c r="S1667" s="15" t="str">
        <f>"－"</f>
        <v>－</v>
      </c>
      <c r="T1667" s="16" t="str">
        <f>"－"</f>
        <v>－</v>
      </c>
      <c r="U1667" s="16"/>
      <c r="V1667" s="16" t="str">
        <f>"－"</f>
        <v>－</v>
      </c>
      <c r="W1667" s="16"/>
      <c r="X1667" s="16" t="str">
        <f>"－"</f>
        <v>－</v>
      </c>
      <c r="Y1667" s="13"/>
      <c r="Z1667" s="17" t="n">
        <f>300</f>
        <v>300.0</v>
      </c>
      <c r="AA1667" s="18" t="str">
        <f>"－"</f>
        <v>－</v>
      </c>
      <c r="AB1667" s="11" t="s">
        <v>203</v>
      </c>
    </row>
    <row r="1668">
      <c r="A1668" s="11" t="s">
        <v>46</v>
      </c>
      <c r="B1668" s="11" t="s">
        <v>887</v>
      </c>
      <c r="C1668" s="11" t="s">
        <v>888</v>
      </c>
      <c r="D1668" s="11" t="s">
        <v>651</v>
      </c>
      <c r="E1668" s="11" t="s">
        <v>201</v>
      </c>
      <c r="F1668" s="12" t="n">
        <v>1550.0</v>
      </c>
      <c r="G1668" s="13"/>
      <c r="H1668" s="14" t="s">
        <v>57</v>
      </c>
      <c r="I1668" s="13"/>
      <c r="J1668" s="14" t="s">
        <v>57</v>
      </c>
      <c r="K1668" s="13"/>
      <c r="L1668" s="14"/>
      <c r="M1668" s="13"/>
      <c r="N1668" s="14" t="s">
        <v>57</v>
      </c>
      <c r="O1668" s="13"/>
      <c r="P1668" s="14"/>
      <c r="Q1668" s="13"/>
      <c r="R1668" s="14" t="s">
        <v>57</v>
      </c>
      <c r="S1668" s="15" t="str">
        <f>"－"</f>
        <v>－</v>
      </c>
      <c r="T1668" s="16" t="str">
        <f>"－"</f>
        <v>－</v>
      </c>
      <c r="U1668" s="16"/>
      <c r="V1668" s="16" t="str">
        <f>"－"</f>
        <v>－</v>
      </c>
      <c r="W1668" s="16"/>
      <c r="X1668" s="16" t="str">
        <f>"－"</f>
        <v>－</v>
      </c>
      <c r="Y1668" s="13"/>
      <c r="Z1668" s="17" t="n">
        <f>195</f>
        <v>195.0</v>
      </c>
      <c r="AA1668" s="18" t="str">
        <f>"－"</f>
        <v>－</v>
      </c>
      <c r="AB1668" s="11" t="s">
        <v>203</v>
      </c>
    </row>
    <row r="1669">
      <c r="A1669" s="11" t="s">
        <v>46</v>
      </c>
      <c r="B1669" s="11" t="s">
        <v>887</v>
      </c>
      <c r="C1669" s="11" t="s">
        <v>888</v>
      </c>
      <c r="D1669" s="11" t="s">
        <v>651</v>
      </c>
      <c r="E1669" s="11" t="s">
        <v>201</v>
      </c>
      <c r="F1669" s="12" t="n">
        <v>1650.0</v>
      </c>
      <c r="G1669" s="13"/>
      <c r="H1669" s="14" t="s">
        <v>57</v>
      </c>
      <c r="I1669" s="13"/>
      <c r="J1669" s="14" t="s">
        <v>57</v>
      </c>
      <c r="K1669" s="13"/>
      <c r="L1669" s="14"/>
      <c r="M1669" s="13"/>
      <c r="N1669" s="14" t="s">
        <v>57</v>
      </c>
      <c r="O1669" s="13"/>
      <c r="P1669" s="14"/>
      <c r="Q1669" s="13"/>
      <c r="R1669" s="14" t="s">
        <v>57</v>
      </c>
      <c r="S1669" s="15" t="str">
        <f>"－"</f>
        <v>－</v>
      </c>
      <c r="T1669" s="16" t="str">
        <f>"－"</f>
        <v>－</v>
      </c>
      <c r="U1669" s="16"/>
      <c r="V1669" s="16" t="str">
        <f>"－"</f>
        <v>－</v>
      </c>
      <c r="W1669" s="16"/>
      <c r="X1669" s="16" t="str">
        <f>"－"</f>
        <v>－</v>
      </c>
      <c r="Y1669" s="13"/>
      <c r="Z1669" s="17" t="n">
        <f>530</f>
        <v>530.0</v>
      </c>
      <c r="AA1669" s="18" t="str">
        <f>"－"</f>
        <v>－</v>
      </c>
      <c r="AB1669" s="11" t="s">
        <v>203</v>
      </c>
    </row>
    <row r="1670">
      <c r="A1670" s="11" t="s">
        <v>46</v>
      </c>
      <c r="B1670" s="11" t="s">
        <v>887</v>
      </c>
      <c r="C1670" s="11" t="s">
        <v>888</v>
      </c>
      <c r="D1670" s="11" t="s">
        <v>651</v>
      </c>
      <c r="E1670" s="11" t="s">
        <v>201</v>
      </c>
      <c r="F1670" s="12" t="n">
        <v>1850.0</v>
      </c>
      <c r="G1670" s="13"/>
      <c r="H1670" s="14" t="s">
        <v>57</v>
      </c>
      <c r="I1670" s="13"/>
      <c r="J1670" s="14" t="s">
        <v>57</v>
      </c>
      <c r="K1670" s="13"/>
      <c r="L1670" s="14"/>
      <c r="M1670" s="13"/>
      <c r="N1670" s="14" t="s">
        <v>57</v>
      </c>
      <c r="O1670" s="13"/>
      <c r="P1670" s="14"/>
      <c r="Q1670" s="13"/>
      <c r="R1670" s="14" t="s">
        <v>57</v>
      </c>
      <c r="S1670" s="15" t="str">
        <f>"－"</f>
        <v>－</v>
      </c>
      <c r="T1670" s="16" t="str">
        <f>"－"</f>
        <v>－</v>
      </c>
      <c r="U1670" s="16"/>
      <c r="V1670" s="16" t="str">
        <f>"－"</f>
        <v>－</v>
      </c>
      <c r="W1670" s="16"/>
      <c r="X1670" s="16" t="str">
        <f>"－"</f>
        <v>－</v>
      </c>
      <c r="Y1670" s="13"/>
      <c r="Z1670" s="17" t="n">
        <f>2300</f>
        <v>2300.0</v>
      </c>
      <c r="AA1670" s="18" t="str">
        <f>"－"</f>
        <v>－</v>
      </c>
      <c r="AB1670" s="11" t="s">
        <v>203</v>
      </c>
    </row>
    <row r="1671">
      <c r="A1671" s="11" t="s">
        <v>46</v>
      </c>
      <c r="B1671" s="11" t="s">
        <v>887</v>
      </c>
      <c r="C1671" s="11" t="s">
        <v>888</v>
      </c>
      <c r="D1671" s="11" t="s">
        <v>651</v>
      </c>
      <c r="E1671" s="11" t="s">
        <v>201</v>
      </c>
      <c r="F1671" s="12" t="n">
        <v>1900.0</v>
      </c>
      <c r="G1671" s="13"/>
      <c r="H1671" s="14" t="s">
        <v>57</v>
      </c>
      <c r="I1671" s="13"/>
      <c r="J1671" s="14" t="s">
        <v>57</v>
      </c>
      <c r="K1671" s="13" t="s">
        <v>205</v>
      </c>
      <c r="L1671" s="14" t="s">
        <v>904</v>
      </c>
      <c r="M1671" s="13"/>
      <c r="N1671" s="14" t="s">
        <v>57</v>
      </c>
      <c r="O1671" s="13" t="s">
        <v>205</v>
      </c>
      <c r="P1671" s="14" t="s">
        <v>904</v>
      </c>
      <c r="Q1671" s="13"/>
      <c r="R1671" s="14" t="s">
        <v>57</v>
      </c>
      <c r="S1671" s="15" t="str">
        <f>"－"</f>
        <v>－</v>
      </c>
      <c r="T1671" s="16" t="n">
        <f>425</f>
        <v>425.0</v>
      </c>
      <c r="U1671" s="16" t="n">
        <v>425.0</v>
      </c>
      <c r="V1671" s="16" t="n">
        <f>294950000</f>
        <v>2.9495E8</v>
      </c>
      <c r="W1671" s="16" t="n">
        <v>2.9495E8</v>
      </c>
      <c r="X1671" s="16" t="str">
        <f>"－"</f>
        <v>－</v>
      </c>
      <c r="Y1671" s="13"/>
      <c r="Z1671" s="17" t="n">
        <f>425</f>
        <v>425.0</v>
      </c>
      <c r="AA1671" s="18" t="str">
        <f>"－"</f>
        <v>－</v>
      </c>
      <c r="AB1671" s="11" t="s">
        <v>203</v>
      </c>
    </row>
    <row r="1672">
      <c r="A1672" s="11" t="s">
        <v>46</v>
      </c>
      <c r="B1672" s="11" t="s">
        <v>887</v>
      </c>
      <c r="C1672" s="11" t="s">
        <v>888</v>
      </c>
      <c r="D1672" s="11" t="s">
        <v>651</v>
      </c>
      <c r="E1672" s="11" t="s">
        <v>201</v>
      </c>
      <c r="F1672" s="12" t="n">
        <v>2000.0</v>
      </c>
      <c r="G1672" s="13"/>
      <c r="H1672" s="14" t="s">
        <v>57</v>
      </c>
      <c r="I1672" s="13"/>
      <c r="J1672" s="14" t="s">
        <v>57</v>
      </c>
      <c r="K1672" s="13" t="s">
        <v>205</v>
      </c>
      <c r="L1672" s="14" t="s">
        <v>78</v>
      </c>
      <c r="M1672" s="13"/>
      <c r="N1672" s="14" t="s">
        <v>57</v>
      </c>
      <c r="O1672" s="13" t="s">
        <v>205</v>
      </c>
      <c r="P1672" s="14" t="s">
        <v>78</v>
      </c>
      <c r="Q1672" s="13"/>
      <c r="R1672" s="14" t="s">
        <v>57</v>
      </c>
      <c r="S1672" s="15" t="str">
        <f>"－"</f>
        <v>－</v>
      </c>
      <c r="T1672" s="16" t="n">
        <f>425</f>
        <v>425.0</v>
      </c>
      <c r="U1672" s="16" t="n">
        <v>425.0</v>
      </c>
      <c r="V1672" s="16" t="n">
        <f>72250000</f>
        <v>7.225E7</v>
      </c>
      <c r="W1672" s="16" t="n">
        <v>7.225E7</v>
      </c>
      <c r="X1672" s="16" t="str">
        <f>"－"</f>
        <v>－</v>
      </c>
      <c r="Y1672" s="13"/>
      <c r="Z1672" s="17" t="n">
        <f>425</f>
        <v>425.0</v>
      </c>
      <c r="AA1672" s="18" t="str">
        <f>"－"</f>
        <v>－</v>
      </c>
      <c r="AB1672" s="11" t="s">
        <v>203</v>
      </c>
    </row>
    <row r="1673">
      <c r="A1673" s="11" t="s">
        <v>46</v>
      </c>
      <c r="B1673" s="11" t="s">
        <v>887</v>
      </c>
      <c r="C1673" s="11" t="s">
        <v>888</v>
      </c>
      <c r="D1673" s="11" t="s">
        <v>651</v>
      </c>
      <c r="E1673" s="11" t="s">
        <v>331</v>
      </c>
      <c r="F1673" s="12" t="n">
        <v>1850.0</v>
      </c>
      <c r="G1673" s="13"/>
      <c r="H1673" s="14" t="s">
        <v>57</v>
      </c>
      <c r="I1673" s="13"/>
      <c r="J1673" s="14" t="s">
        <v>57</v>
      </c>
      <c r="K1673" s="13"/>
      <c r="L1673" s="14"/>
      <c r="M1673" s="13"/>
      <c r="N1673" s="14" t="s">
        <v>57</v>
      </c>
      <c r="O1673" s="13"/>
      <c r="P1673" s="14"/>
      <c r="Q1673" s="13"/>
      <c r="R1673" s="14" t="s">
        <v>57</v>
      </c>
      <c r="S1673" s="15" t="str">
        <f>"－"</f>
        <v>－</v>
      </c>
      <c r="T1673" s="16" t="str">
        <f>"－"</f>
        <v>－</v>
      </c>
      <c r="U1673" s="16"/>
      <c r="V1673" s="16" t="str">
        <f>"－"</f>
        <v>－</v>
      </c>
      <c r="W1673" s="16"/>
      <c r="X1673" s="16" t="str">
        <f>"－"</f>
        <v>－</v>
      </c>
      <c r="Y1673" s="13"/>
      <c r="Z1673" s="17" t="n">
        <f>300</f>
        <v>300.0</v>
      </c>
      <c r="AA1673" s="18" t="str">
        <f>"－"</f>
        <v>－</v>
      </c>
      <c r="AB1673" s="11" t="s">
        <v>332</v>
      </c>
    </row>
    <row r="1674">
      <c r="A1674" s="11" t="s">
        <v>46</v>
      </c>
      <c r="B1674" s="11" t="s">
        <v>887</v>
      </c>
      <c r="C1674" s="11" t="s">
        <v>888</v>
      </c>
      <c r="D1674" s="11" t="s">
        <v>651</v>
      </c>
      <c r="E1674" s="11" t="s">
        <v>331</v>
      </c>
      <c r="F1674" s="12" t="n">
        <v>1900.0</v>
      </c>
      <c r="G1674" s="13"/>
      <c r="H1674" s="14" t="s">
        <v>57</v>
      </c>
      <c r="I1674" s="13"/>
      <c r="J1674" s="14" t="s">
        <v>57</v>
      </c>
      <c r="K1674" s="13" t="s">
        <v>204</v>
      </c>
      <c r="L1674" s="14" t="s">
        <v>905</v>
      </c>
      <c r="M1674" s="13"/>
      <c r="N1674" s="14" t="s">
        <v>57</v>
      </c>
      <c r="O1674" s="13" t="s">
        <v>204</v>
      </c>
      <c r="P1674" s="14" t="s">
        <v>906</v>
      </c>
      <c r="Q1674" s="13"/>
      <c r="R1674" s="14" t="s">
        <v>57</v>
      </c>
      <c r="S1674" s="15" t="str">
        <f>"－"</f>
        <v>－</v>
      </c>
      <c r="T1674" s="16" t="n">
        <f>200</f>
        <v>200.0</v>
      </c>
      <c r="U1674" s="16" t="n">
        <v>200.0</v>
      </c>
      <c r="V1674" s="16" t="n">
        <f>75900000</f>
        <v>7.59E7</v>
      </c>
      <c r="W1674" s="16" t="n">
        <v>7.59E7</v>
      </c>
      <c r="X1674" s="16" t="str">
        <f>"－"</f>
        <v>－</v>
      </c>
      <c r="Y1674" s="13"/>
      <c r="Z1674" s="17" t="n">
        <f>300</f>
        <v>300.0</v>
      </c>
      <c r="AA1674" s="18" t="str">
        <f>"－"</f>
        <v>－</v>
      </c>
      <c r="AB1674" s="11" t="s">
        <v>332</v>
      </c>
    </row>
    <row r="1675">
      <c r="A1675" s="11" t="s">
        <v>46</v>
      </c>
      <c r="B1675" s="11" t="s">
        <v>887</v>
      </c>
      <c r="C1675" s="11" t="s">
        <v>888</v>
      </c>
      <c r="D1675" s="11" t="s">
        <v>651</v>
      </c>
      <c r="E1675" s="11" t="s">
        <v>331</v>
      </c>
      <c r="F1675" s="12" t="n">
        <v>1950.0</v>
      </c>
      <c r="G1675" s="13"/>
      <c r="H1675" s="14" t="s">
        <v>57</v>
      </c>
      <c r="I1675" s="13"/>
      <c r="J1675" s="14" t="s">
        <v>57</v>
      </c>
      <c r="K1675" s="13" t="s">
        <v>207</v>
      </c>
      <c r="L1675" s="14" t="s">
        <v>113</v>
      </c>
      <c r="M1675" s="13"/>
      <c r="N1675" s="14" t="s">
        <v>57</v>
      </c>
      <c r="O1675" s="13" t="s">
        <v>207</v>
      </c>
      <c r="P1675" s="14" t="s">
        <v>113</v>
      </c>
      <c r="Q1675" s="13"/>
      <c r="R1675" s="14" t="s">
        <v>57</v>
      </c>
      <c r="S1675" s="15" t="str">
        <f>"－"</f>
        <v>－</v>
      </c>
      <c r="T1675" s="16" t="n">
        <f>400</f>
        <v>400.0</v>
      </c>
      <c r="U1675" s="16" t="n">
        <v>400.0</v>
      </c>
      <c r="V1675" s="16" t="n">
        <f>200000000</f>
        <v>2.0E8</v>
      </c>
      <c r="W1675" s="16" t="n">
        <v>2.0E8</v>
      </c>
      <c r="X1675" s="16" t="str">
        <f>"－"</f>
        <v>－</v>
      </c>
      <c r="Y1675" s="13"/>
      <c r="Z1675" s="17" t="n">
        <f>400</f>
        <v>400.0</v>
      </c>
      <c r="AA1675" s="18" t="str">
        <f>"－"</f>
        <v>－</v>
      </c>
      <c r="AB1675" s="11" t="s">
        <v>332</v>
      </c>
    </row>
    <row r="1676">
      <c r="A1676" s="11" t="s">
        <v>46</v>
      </c>
      <c r="B1676" s="11" t="s">
        <v>887</v>
      </c>
      <c r="C1676" s="11" t="s">
        <v>888</v>
      </c>
      <c r="D1676" s="11" t="s">
        <v>651</v>
      </c>
      <c r="E1676" s="11" t="s">
        <v>331</v>
      </c>
      <c r="F1676" s="12" t="n">
        <v>1975.0</v>
      </c>
      <c r="G1676" s="13"/>
      <c r="H1676" s="14" t="s">
        <v>57</v>
      </c>
      <c r="I1676" s="13"/>
      <c r="J1676" s="14" t="s">
        <v>57</v>
      </c>
      <c r="K1676" s="13"/>
      <c r="L1676" s="14"/>
      <c r="M1676" s="13"/>
      <c r="N1676" s="14" t="s">
        <v>57</v>
      </c>
      <c r="O1676" s="13"/>
      <c r="P1676" s="14"/>
      <c r="Q1676" s="13"/>
      <c r="R1676" s="14" t="s">
        <v>57</v>
      </c>
      <c r="S1676" s="15" t="str">
        <f>"－"</f>
        <v>－</v>
      </c>
      <c r="T1676" s="16" t="str">
        <f>"－"</f>
        <v>－</v>
      </c>
      <c r="U1676" s="16"/>
      <c r="V1676" s="16" t="str">
        <f>"－"</f>
        <v>－</v>
      </c>
      <c r="W1676" s="16"/>
      <c r="X1676" s="16" t="str">
        <f>"－"</f>
        <v>－</v>
      </c>
      <c r="Y1676" s="13"/>
      <c r="Z1676" s="17" t="n">
        <f>560</f>
        <v>560.0</v>
      </c>
      <c r="AA1676" s="18" t="str">
        <f>"－"</f>
        <v>－</v>
      </c>
      <c r="AB1676" s="11" t="s">
        <v>332</v>
      </c>
    </row>
    <row r="1677">
      <c r="A1677" s="11" t="s">
        <v>46</v>
      </c>
      <c r="B1677" s="11" t="s">
        <v>887</v>
      </c>
      <c r="C1677" s="11" t="s">
        <v>888</v>
      </c>
      <c r="D1677" s="11" t="s">
        <v>651</v>
      </c>
      <c r="E1677" s="11" t="s">
        <v>331</v>
      </c>
      <c r="F1677" s="12" t="n">
        <v>2100.0</v>
      </c>
      <c r="G1677" s="13"/>
      <c r="H1677" s="14" t="s">
        <v>57</v>
      </c>
      <c r="I1677" s="13"/>
      <c r="J1677" s="14" t="s">
        <v>57</v>
      </c>
      <c r="K1677" s="13" t="s">
        <v>205</v>
      </c>
      <c r="L1677" s="14" t="s">
        <v>907</v>
      </c>
      <c r="M1677" s="13"/>
      <c r="N1677" s="14" t="s">
        <v>57</v>
      </c>
      <c r="O1677" s="13" t="s">
        <v>205</v>
      </c>
      <c r="P1677" s="14" t="s">
        <v>907</v>
      </c>
      <c r="Q1677" s="13"/>
      <c r="R1677" s="14" t="s">
        <v>57</v>
      </c>
      <c r="S1677" s="15" t="str">
        <f>"－"</f>
        <v>－</v>
      </c>
      <c r="T1677" s="16" t="n">
        <f>100</f>
        <v>100.0</v>
      </c>
      <c r="U1677" s="16" t="n">
        <v>100.0</v>
      </c>
      <c r="V1677" s="16" t="n">
        <f>9100000</f>
        <v>9100000.0</v>
      </c>
      <c r="W1677" s="16" t="n">
        <v>9100000.0</v>
      </c>
      <c r="X1677" s="16" t="str">
        <f>"－"</f>
        <v>－</v>
      </c>
      <c r="Y1677" s="13"/>
      <c r="Z1677" s="17" t="n">
        <f>300</f>
        <v>300.0</v>
      </c>
      <c r="AA1677" s="18" t="str">
        <f>"－"</f>
        <v>－</v>
      </c>
      <c r="AB1677" s="11" t="s">
        <v>332</v>
      </c>
    </row>
    <row r="1678">
      <c r="A1678" s="11" t="s">
        <v>46</v>
      </c>
      <c r="B1678" s="11" t="s">
        <v>887</v>
      </c>
      <c r="C1678" s="11" t="s">
        <v>888</v>
      </c>
      <c r="D1678" s="11" t="s">
        <v>651</v>
      </c>
      <c r="E1678" s="11" t="s">
        <v>408</v>
      </c>
      <c r="F1678" s="12" t="n">
        <v>1900.0</v>
      </c>
      <c r="G1678" s="13"/>
      <c r="H1678" s="14" t="s">
        <v>57</v>
      </c>
      <c r="I1678" s="13"/>
      <c r="J1678" s="14" t="s">
        <v>57</v>
      </c>
      <c r="K1678" s="13"/>
      <c r="L1678" s="14"/>
      <c r="M1678" s="13"/>
      <c r="N1678" s="14" t="s">
        <v>57</v>
      </c>
      <c r="O1678" s="13"/>
      <c r="P1678" s="14"/>
      <c r="Q1678" s="13"/>
      <c r="R1678" s="14" t="s">
        <v>57</v>
      </c>
      <c r="S1678" s="15" t="str">
        <f>"－"</f>
        <v>－</v>
      </c>
      <c r="T1678" s="16" t="str">
        <f>"－"</f>
        <v>－</v>
      </c>
      <c r="U1678" s="16"/>
      <c r="V1678" s="16" t="str">
        <f>"－"</f>
        <v>－</v>
      </c>
      <c r="W1678" s="16"/>
      <c r="X1678" s="16" t="str">
        <f>"－"</f>
        <v>－</v>
      </c>
      <c r="Y1678" s="13"/>
      <c r="Z1678" s="17" t="n">
        <f>200</f>
        <v>200.0</v>
      </c>
      <c r="AA1678" s="18" t="str">
        <f>"－"</f>
        <v>－</v>
      </c>
      <c r="AB1678" s="11" t="s">
        <v>410</v>
      </c>
    </row>
    <row r="1679">
      <c r="A1679" s="11" t="s">
        <v>46</v>
      </c>
      <c r="B1679" s="11" t="s">
        <v>887</v>
      </c>
      <c r="C1679" s="11" t="s">
        <v>888</v>
      </c>
      <c r="D1679" s="11" t="s">
        <v>651</v>
      </c>
      <c r="E1679" s="11" t="s">
        <v>408</v>
      </c>
      <c r="F1679" s="12" t="n">
        <v>2000.0</v>
      </c>
      <c r="G1679" s="13"/>
      <c r="H1679" s="14" t="s">
        <v>57</v>
      </c>
      <c r="I1679" s="13"/>
      <c r="J1679" s="14" t="s">
        <v>57</v>
      </c>
      <c r="K1679" s="13" t="s">
        <v>207</v>
      </c>
      <c r="L1679" s="14" t="s">
        <v>908</v>
      </c>
      <c r="M1679" s="13"/>
      <c r="N1679" s="14" t="s">
        <v>57</v>
      </c>
      <c r="O1679" s="13" t="s">
        <v>208</v>
      </c>
      <c r="P1679" s="14" t="s">
        <v>909</v>
      </c>
      <c r="Q1679" s="13"/>
      <c r="R1679" s="14" t="s">
        <v>57</v>
      </c>
      <c r="S1679" s="15" t="str">
        <f>"－"</f>
        <v>－</v>
      </c>
      <c r="T1679" s="16" t="n">
        <f>150</f>
        <v>150.0</v>
      </c>
      <c r="U1679" s="16" t="n">
        <v>150.0</v>
      </c>
      <c r="V1679" s="16" t="n">
        <f>63085000</f>
        <v>6.3085E7</v>
      </c>
      <c r="W1679" s="16" t="n">
        <v>6.3085E7</v>
      </c>
      <c r="X1679" s="16" t="str">
        <f>"－"</f>
        <v>－</v>
      </c>
      <c r="Y1679" s="13"/>
      <c r="Z1679" s="17" t="n">
        <f>50</f>
        <v>50.0</v>
      </c>
      <c r="AA1679" s="18" t="str">
        <f>"－"</f>
        <v>－</v>
      </c>
      <c r="AB1679" s="11" t="s">
        <v>410</v>
      </c>
    </row>
    <row r="1680">
      <c r="A1680" s="11" t="s">
        <v>46</v>
      </c>
      <c r="B1680" s="11" t="s">
        <v>887</v>
      </c>
      <c r="C1680" s="11" t="s">
        <v>888</v>
      </c>
      <c r="D1680" s="11" t="s">
        <v>651</v>
      </c>
      <c r="E1680" s="11" t="s">
        <v>408</v>
      </c>
      <c r="F1680" s="12" t="n">
        <v>2050.0</v>
      </c>
      <c r="G1680" s="13"/>
      <c r="H1680" s="14" t="s">
        <v>57</v>
      </c>
      <c r="I1680" s="13"/>
      <c r="J1680" s="14" t="s">
        <v>57</v>
      </c>
      <c r="K1680" s="13" t="s">
        <v>52</v>
      </c>
      <c r="L1680" s="14" t="s">
        <v>83</v>
      </c>
      <c r="M1680" s="13"/>
      <c r="N1680" s="14" t="s">
        <v>57</v>
      </c>
      <c r="O1680" s="13" t="s">
        <v>61</v>
      </c>
      <c r="P1680" s="14" t="s">
        <v>910</v>
      </c>
      <c r="Q1680" s="13"/>
      <c r="R1680" s="14" t="s">
        <v>57</v>
      </c>
      <c r="S1680" s="15" t="str">
        <f>"－"</f>
        <v>－</v>
      </c>
      <c r="T1680" s="16" t="n">
        <f>1175</f>
        <v>1175.0</v>
      </c>
      <c r="U1680" s="16" t="n">
        <v>1175.0</v>
      </c>
      <c r="V1680" s="16" t="n">
        <f>273310000</f>
        <v>2.7331E8</v>
      </c>
      <c r="W1680" s="16" t="n">
        <v>2.7331E8</v>
      </c>
      <c r="X1680" s="16" t="str">
        <f>"－"</f>
        <v>－</v>
      </c>
      <c r="Y1680" s="13"/>
      <c r="Z1680" s="17" t="n">
        <f>1375</f>
        <v>1375.0</v>
      </c>
      <c r="AA1680" s="18" t="str">
        <f>"－"</f>
        <v>－</v>
      </c>
      <c r="AB1680" s="11" t="s">
        <v>410</v>
      </c>
    </row>
    <row r="1681">
      <c r="A1681" s="11" t="s">
        <v>46</v>
      </c>
      <c r="B1681" s="11" t="s">
        <v>887</v>
      </c>
      <c r="C1681" s="11" t="s">
        <v>888</v>
      </c>
      <c r="D1681" s="11" t="s">
        <v>651</v>
      </c>
      <c r="E1681" s="11" t="s">
        <v>447</v>
      </c>
      <c r="F1681" s="12" t="n">
        <v>1600.0</v>
      </c>
      <c r="G1681" s="13"/>
      <c r="H1681" s="14" t="s">
        <v>57</v>
      </c>
      <c r="I1681" s="13"/>
      <c r="J1681" s="14" t="s">
        <v>57</v>
      </c>
      <c r="K1681" s="13"/>
      <c r="L1681" s="14"/>
      <c r="M1681" s="13"/>
      <c r="N1681" s="14" t="s">
        <v>57</v>
      </c>
      <c r="O1681" s="13"/>
      <c r="P1681" s="14"/>
      <c r="Q1681" s="13"/>
      <c r="R1681" s="14" t="s">
        <v>57</v>
      </c>
      <c r="S1681" s="15" t="str">
        <f>"－"</f>
        <v>－</v>
      </c>
      <c r="T1681" s="16" t="str">
        <f>"－"</f>
        <v>－</v>
      </c>
      <c r="U1681" s="16"/>
      <c r="V1681" s="16" t="str">
        <f>"－"</f>
        <v>－</v>
      </c>
      <c r="W1681" s="16"/>
      <c r="X1681" s="16" t="str">
        <f>"－"</f>
        <v>－</v>
      </c>
      <c r="Y1681" s="13"/>
      <c r="Z1681" s="17" t="n">
        <f>390</f>
        <v>390.0</v>
      </c>
      <c r="AA1681" s="18" t="str">
        <f>"－"</f>
        <v>－</v>
      </c>
      <c r="AB1681" s="11" t="s">
        <v>448</v>
      </c>
    </row>
    <row r="1682">
      <c r="A1682" s="11" t="s">
        <v>46</v>
      </c>
      <c r="B1682" s="11" t="s">
        <v>887</v>
      </c>
      <c r="C1682" s="11" t="s">
        <v>888</v>
      </c>
      <c r="D1682" s="11" t="s">
        <v>651</v>
      </c>
      <c r="E1682" s="11" t="s">
        <v>447</v>
      </c>
      <c r="F1682" s="12" t="n">
        <v>1800.0</v>
      </c>
      <c r="G1682" s="13"/>
      <c r="H1682" s="14" t="s">
        <v>57</v>
      </c>
      <c r="I1682" s="13"/>
      <c r="J1682" s="14" t="s">
        <v>57</v>
      </c>
      <c r="K1682" s="13"/>
      <c r="L1682" s="14"/>
      <c r="M1682" s="13"/>
      <c r="N1682" s="14" t="s">
        <v>57</v>
      </c>
      <c r="O1682" s="13"/>
      <c r="P1682" s="14"/>
      <c r="Q1682" s="13"/>
      <c r="R1682" s="14" t="s">
        <v>57</v>
      </c>
      <c r="S1682" s="15" t="str">
        <f>"－"</f>
        <v>－</v>
      </c>
      <c r="T1682" s="16" t="str">
        <f>"－"</f>
        <v>－</v>
      </c>
      <c r="U1682" s="16"/>
      <c r="V1682" s="16" t="str">
        <f>"－"</f>
        <v>－</v>
      </c>
      <c r="W1682" s="16"/>
      <c r="X1682" s="16" t="str">
        <f>"－"</f>
        <v>－</v>
      </c>
      <c r="Y1682" s="13"/>
      <c r="Z1682" s="17" t="n">
        <f>931</f>
        <v>931.0</v>
      </c>
      <c r="AA1682" s="18" t="str">
        <f>"－"</f>
        <v>－</v>
      </c>
      <c r="AB1682" s="11" t="s">
        <v>448</v>
      </c>
    </row>
    <row r="1683">
      <c r="A1683" s="11" t="s">
        <v>46</v>
      </c>
      <c r="B1683" s="11" t="s">
        <v>887</v>
      </c>
      <c r="C1683" s="11" t="s">
        <v>888</v>
      </c>
      <c r="D1683" s="11" t="s">
        <v>651</v>
      </c>
      <c r="E1683" s="11" t="s">
        <v>447</v>
      </c>
      <c r="F1683" s="12" t="n">
        <v>1850.0</v>
      </c>
      <c r="G1683" s="13"/>
      <c r="H1683" s="14" t="s">
        <v>57</v>
      </c>
      <c r="I1683" s="13"/>
      <c r="J1683" s="14" t="s">
        <v>57</v>
      </c>
      <c r="K1683" s="13" t="s">
        <v>61</v>
      </c>
      <c r="L1683" s="14" t="s">
        <v>911</v>
      </c>
      <c r="M1683" s="13"/>
      <c r="N1683" s="14" t="s">
        <v>57</v>
      </c>
      <c r="O1683" s="13" t="s">
        <v>61</v>
      </c>
      <c r="P1683" s="14" t="s">
        <v>911</v>
      </c>
      <c r="Q1683" s="13"/>
      <c r="R1683" s="14" t="s">
        <v>57</v>
      </c>
      <c r="S1683" s="15" t="str">
        <f>"－"</f>
        <v>－</v>
      </c>
      <c r="T1683" s="16" t="n">
        <f>120</f>
        <v>120.0</v>
      </c>
      <c r="U1683" s="16" t="n">
        <v>120.0</v>
      </c>
      <c r="V1683" s="16" t="n">
        <f>116748000</f>
        <v>1.16748E8</v>
      </c>
      <c r="W1683" s="16" t="n">
        <v>1.16748E8</v>
      </c>
      <c r="X1683" s="16" t="str">
        <f>"－"</f>
        <v>－</v>
      </c>
      <c r="Y1683" s="13"/>
      <c r="Z1683" s="17" t="n">
        <f>558</f>
        <v>558.0</v>
      </c>
      <c r="AA1683" s="18" t="str">
        <f>"－"</f>
        <v>－</v>
      </c>
      <c r="AB1683" s="11" t="s">
        <v>448</v>
      </c>
    </row>
    <row r="1684">
      <c r="A1684" s="11" t="s">
        <v>46</v>
      </c>
      <c r="B1684" s="11" t="s">
        <v>887</v>
      </c>
      <c r="C1684" s="11" t="s">
        <v>888</v>
      </c>
      <c r="D1684" s="11" t="s">
        <v>651</v>
      </c>
      <c r="E1684" s="11" t="s">
        <v>447</v>
      </c>
      <c r="F1684" s="12" t="n">
        <v>1900.0</v>
      </c>
      <c r="G1684" s="13"/>
      <c r="H1684" s="14" t="s">
        <v>57</v>
      </c>
      <c r="I1684" s="13"/>
      <c r="J1684" s="14" t="s">
        <v>57</v>
      </c>
      <c r="K1684" s="13"/>
      <c r="L1684" s="14"/>
      <c r="M1684" s="13"/>
      <c r="N1684" s="14" t="s">
        <v>57</v>
      </c>
      <c r="O1684" s="13"/>
      <c r="P1684" s="14"/>
      <c r="Q1684" s="13"/>
      <c r="R1684" s="14" t="s">
        <v>57</v>
      </c>
      <c r="S1684" s="15" t="str">
        <f>"－"</f>
        <v>－</v>
      </c>
      <c r="T1684" s="16" t="str">
        <f>"－"</f>
        <v>－</v>
      </c>
      <c r="U1684" s="16"/>
      <c r="V1684" s="16" t="str">
        <f>"－"</f>
        <v>－</v>
      </c>
      <c r="W1684" s="16"/>
      <c r="X1684" s="16" t="str">
        <f>"－"</f>
        <v>－</v>
      </c>
      <c r="Y1684" s="13"/>
      <c r="Z1684" s="17" t="n">
        <f>10</f>
        <v>10.0</v>
      </c>
      <c r="AA1684" s="18" t="str">
        <f>"－"</f>
        <v>－</v>
      </c>
      <c r="AB1684" s="11" t="s">
        <v>448</v>
      </c>
    </row>
    <row r="1685">
      <c r="A1685" s="11" t="s">
        <v>46</v>
      </c>
      <c r="B1685" s="11" t="s">
        <v>887</v>
      </c>
      <c r="C1685" s="11" t="s">
        <v>888</v>
      </c>
      <c r="D1685" s="11" t="s">
        <v>651</v>
      </c>
      <c r="E1685" s="11" t="s">
        <v>447</v>
      </c>
      <c r="F1685" s="12" t="n">
        <v>2000.0</v>
      </c>
      <c r="G1685" s="13"/>
      <c r="H1685" s="14" t="s">
        <v>57</v>
      </c>
      <c r="I1685" s="13"/>
      <c r="J1685" s="14" t="s">
        <v>57</v>
      </c>
      <c r="K1685" s="13" t="s">
        <v>202</v>
      </c>
      <c r="L1685" s="14" t="s">
        <v>912</v>
      </c>
      <c r="M1685" s="13"/>
      <c r="N1685" s="14" t="s">
        <v>57</v>
      </c>
      <c r="O1685" s="13" t="s">
        <v>202</v>
      </c>
      <c r="P1685" s="14" t="s">
        <v>912</v>
      </c>
      <c r="Q1685" s="13"/>
      <c r="R1685" s="14" t="s">
        <v>57</v>
      </c>
      <c r="S1685" s="15" t="str">
        <f>"－"</f>
        <v>－</v>
      </c>
      <c r="T1685" s="16" t="n">
        <f>200</f>
        <v>200.0</v>
      </c>
      <c r="U1685" s="16" t="n">
        <v>200.0</v>
      </c>
      <c r="V1685" s="16" t="n">
        <f>134600000</f>
        <v>1.346E8</v>
      </c>
      <c r="W1685" s="16" t="n">
        <v>1.346E8</v>
      </c>
      <c r="X1685" s="16" t="str">
        <f>"－"</f>
        <v>－</v>
      </c>
      <c r="Y1685" s="13"/>
      <c r="Z1685" s="17" t="str">
        <f>"－"</f>
        <v>－</v>
      </c>
      <c r="AA1685" s="18" t="str">
        <f>"－"</f>
        <v>－</v>
      </c>
      <c r="AB1685" s="11" t="s">
        <v>448</v>
      </c>
    </row>
    <row r="1686">
      <c r="A1686" s="11" t="s">
        <v>46</v>
      </c>
      <c r="B1686" s="11" t="s">
        <v>887</v>
      </c>
      <c r="C1686" s="11" t="s">
        <v>888</v>
      </c>
      <c r="D1686" s="11" t="s">
        <v>651</v>
      </c>
      <c r="E1686" s="11" t="s">
        <v>499</v>
      </c>
      <c r="F1686" s="12" t="n">
        <v>1650.0</v>
      </c>
      <c r="G1686" s="13"/>
      <c r="H1686" s="14" t="s">
        <v>57</v>
      </c>
      <c r="I1686" s="13"/>
      <c r="J1686" s="14" t="s">
        <v>57</v>
      </c>
      <c r="K1686" s="13"/>
      <c r="L1686" s="14"/>
      <c r="M1686" s="13"/>
      <c r="N1686" s="14" t="s">
        <v>57</v>
      </c>
      <c r="O1686" s="13"/>
      <c r="P1686" s="14"/>
      <c r="Q1686" s="13"/>
      <c r="R1686" s="14" t="s">
        <v>57</v>
      </c>
      <c r="S1686" s="15" t="str">
        <f>"－"</f>
        <v>－</v>
      </c>
      <c r="T1686" s="16" t="str">
        <f>"－"</f>
        <v>－</v>
      </c>
      <c r="U1686" s="16"/>
      <c r="V1686" s="16" t="str">
        <f>"－"</f>
        <v>－</v>
      </c>
      <c r="W1686" s="16"/>
      <c r="X1686" s="16" t="str">
        <f>"－"</f>
        <v>－</v>
      </c>
      <c r="Y1686" s="13"/>
      <c r="Z1686" s="17" t="n">
        <f>403</f>
        <v>403.0</v>
      </c>
      <c r="AA1686" s="18" t="str">
        <f>"－"</f>
        <v>－</v>
      </c>
      <c r="AB1686" s="11" t="s">
        <v>500</v>
      </c>
    </row>
    <row r="1687">
      <c r="A1687" s="11" t="s">
        <v>46</v>
      </c>
      <c r="B1687" s="11" t="s">
        <v>887</v>
      </c>
      <c r="C1687" s="11" t="s">
        <v>888</v>
      </c>
      <c r="D1687" s="11" t="s">
        <v>651</v>
      </c>
      <c r="E1687" s="11" t="s">
        <v>499</v>
      </c>
      <c r="F1687" s="12" t="n">
        <v>1700.0</v>
      </c>
      <c r="G1687" s="13"/>
      <c r="H1687" s="14" t="s">
        <v>57</v>
      </c>
      <c r="I1687" s="13"/>
      <c r="J1687" s="14" t="s">
        <v>57</v>
      </c>
      <c r="K1687" s="13"/>
      <c r="L1687" s="14"/>
      <c r="M1687" s="13"/>
      <c r="N1687" s="14" t="s">
        <v>57</v>
      </c>
      <c r="O1687" s="13"/>
      <c r="P1687" s="14"/>
      <c r="Q1687" s="13"/>
      <c r="R1687" s="14" t="s">
        <v>57</v>
      </c>
      <c r="S1687" s="15" t="str">
        <f>"－"</f>
        <v>－</v>
      </c>
      <c r="T1687" s="16" t="str">
        <f>"－"</f>
        <v>－</v>
      </c>
      <c r="U1687" s="16"/>
      <c r="V1687" s="16" t="str">
        <f>"－"</f>
        <v>－</v>
      </c>
      <c r="W1687" s="16"/>
      <c r="X1687" s="16" t="str">
        <f>"－"</f>
        <v>－</v>
      </c>
      <c r="Y1687" s="13"/>
      <c r="Z1687" s="17" t="n">
        <f>1292</f>
        <v>1292.0</v>
      </c>
      <c r="AA1687" s="18" t="str">
        <f>"－"</f>
        <v>－</v>
      </c>
      <c r="AB1687" s="11" t="s">
        <v>500</v>
      </c>
    </row>
    <row r="1688">
      <c r="A1688" s="11" t="s">
        <v>46</v>
      </c>
      <c r="B1688" s="11" t="s">
        <v>887</v>
      </c>
      <c r="C1688" s="11" t="s">
        <v>888</v>
      </c>
      <c r="D1688" s="11" t="s">
        <v>651</v>
      </c>
      <c r="E1688" s="11" t="s">
        <v>499</v>
      </c>
      <c r="F1688" s="12" t="n">
        <v>1750.0</v>
      </c>
      <c r="G1688" s="13"/>
      <c r="H1688" s="14" t="s">
        <v>57</v>
      </c>
      <c r="I1688" s="13"/>
      <c r="J1688" s="14" t="s">
        <v>57</v>
      </c>
      <c r="K1688" s="13"/>
      <c r="L1688" s="14"/>
      <c r="M1688" s="13"/>
      <c r="N1688" s="14" t="s">
        <v>57</v>
      </c>
      <c r="O1688" s="13"/>
      <c r="P1688" s="14"/>
      <c r="Q1688" s="13"/>
      <c r="R1688" s="14" t="s">
        <v>57</v>
      </c>
      <c r="S1688" s="15" t="str">
        <f>"－"</f>
        <v>－</v>
      </c>
      <c r="T1688" s="16" t="str">
        <f>"－"</f>
        <v>－</v>
      </c>
      <c r="U1688" s="16"/>
      <c r="V1688" s="16" t="str">
        <f>"－"</f>
        <v>－</v>
      </c>
      <c r="W1688" s="16"/>
      <c r="X1688" s="16" t="str">
        <f>"－"</f>
        <v>－</v>
      </c>
      <c r="Y1688" s="13"/>
      <c r="Z1688" s="17" t="n">
        <f>2838</f>
        <v>2838.0</v>
      </c>
      <c r="AA1688" s="18" t="str">
        <f>"－"</f>
        <v>－</v>
      </c>
      <c r="AB1688" s="11" t="s">
        <v>500</v>
      </c>
    </row>
    <row r="1689">
      <c r="A1689" s="11" t="s">
        <v>46</v>
      </c>
      <c r="B1689" s="11" t="s">
        <v>887</v>
      </c>
      <c r="C1689" s="11" t="s">
        <v>888</v>
      </c>
      <c r="D1689" s="11" t="s">
        <v>651</v>
      </c>
      <c r="E1689" s="11" t="s">
        <v>526</v>
      </c>
      <c r="F1689" s="12" t="n">
        <v>1300.0</v>
      </c>
      <c r="G1689" s="13"/>
      <c r="H1689" s="14" t="s">
        <v>57</v>
      </c>
      <c r="I1689" s="13"/>
      <c r="J1689" s="14" t="s">
        <v>57</v>
      </c>
      <c r="K1689" s="13"/>
      <c r="L1689" s="14"/>
      <c r="M1689" s="13"/>
      <c r="N1689" s="14" t="s">
        <v>57</v>
      </c>
      <c r="O1689" s="13"/>
      <c r="P1689" s="14"/>
      <c r="Q1689" s="13"/>
      <c r="R1689" s="14" t="s">
        <v>57</v>
      </c>
      <c r="S1689" s="15" t="str">
        <f>"－"</f>
        <v>－</v>
      </c>
      <c r="T1689" s="16" t="str">
        <f>"－"</f>
        <v>－</v>
      </c>
      <c r="U1689" s="16"/>
      <c r="V1689" s="16" t="str">
        <f>"－"</f>
        <v>－</v>
      </c>
      <c r="W1689" s="16"/>
      <c r="X1689" s="16" t="str">
        <f>"－"</f>
        <v>－</v>
      </c>
      <c r="Y1689" s="13"/>
      <c r="Z1689" s="17" t="n">
        <f>62</f>
        <v>62.0</v>
      </c>
      <c r="AA1689" s="18" t="str">
        <f>"－"</f>
        <v>－</v>
      </c>
      <c r="AB1689" s="11" t="s">
        <v>527</v>
      </c>
    </row>
    <row r="1690">
      <c r="A1690" s="11" t="s">
        <v>46</v>
      </c>
      <c r="B1690" s="11" t="s">
        <v>887</v>
      </c>
      <c r="C1690" s="11" t="s">
        <v>888</v>
      </c>
      <c r="D1690" s="11" t="s">
        <v>651</v>
      </c>
      <c r="E1690" s="11" t="s">
        <v>526</v>
      </c>
      <c r="F1690" s="12" t="n">
        <v>1400.0</v>
      </c>
      <c r="G1690" s="13"/>
      <c r="H1690" s="14" t="s">
        <v>57</v>
      </c>
      <c r="I1690" s="13"/>
      <c r="J1690" s="14" t="s">
        <v>57</v>
      </c>
      <c r="K1690" s="13"/>
      <c r="L1690" s="14"/>
      <c r="M1690" s="13"/>
      <c r="N1690" s="14" t="s">
        <v>57</v>
      </c>
      <c r="O1690" s="13"/>
      <c r="P1690" s="14"/>
      <c r="Q1690" s="13"/>
      <c r="R1690" s="14" t="s">
        <v>57</v>
      </c>
      <c r="S1690" s="15" t="str">
        <f>"－"</f>
        <v>－</v>
      </c>
      <c r="T1690" s="16" t="str">
        <f>"－"</f>
        <v>－</v>
      </c>
      <c r="U1690" s="16"/>
      <c r="V1690" s="16" t="str">
        <f>"－"</f>
        <v>－</v>
      </c>
      <c r="W1690" s="16"/>
      <c r="X1690" s="16" t="str">
        <f>"－"</f>
        <v>－</v>
      </c>
      <c r="Y1690" s="13"/>
      <c r="Z1690" s="17" t="n">
        <f>62</f>
        <v>62.0</v>
      </c>
      <c r="AA1690" s="18" t="str">
        <f>"－"</f>
        <v>－</v>
      </c>
      <c r="AB1690" s="11" t="s">
        <v>527</v>
      </c>
    </row>
    <row r="1691">
      <c r="A1691" s="11" t="s">
        <v>46</v>
      </c>
      <c r="B1691" s="11" t="s">
        <v>887</v>
      </c>
      <c r="C1691" s="11" t="s">
        <v>888</v>
      </c>
      <c r="D1691" s="11" t="s">
        <v>651</v>
      </c>
      <c r="E1691" s="11" t="s">
        <v>526</v>
      </c>
      <c r="F1691" s="12" t="n">
        <v>1450.0</v>
      </c>
      <c r="G1691" s="13"/>
      <c r="H1691" s="14" t="s">
        <v>57</v>
      </c>
      <c r="I1691" s="13"/>
      <c r="J1691" s="14" t="s">
        <v>57</v>
      </c>
      <c r="K1691" s="13"/>
      <c r="L1691" s="14"/>
      <c r="M1691" s="13"/>
      <c r="N1691" s="14" t="s">
        <v>57</v>
      </c>
      <c r="O1691" s="13"/>
      <c r="P1691" s="14"/>
      <c r="Q1691" s="13"/>
      <c r="R1691" s="14" t="s">
        <v>57</v>
      </c>
      <c r="S1691" s="15" t="str">
        <f>"－"</f>
        <v>－</v>
      </c>
      <c r="T1691" s="16" t="str">
        <f>"－"</f>
        <v>－</v>
      </c>
      <c r="U1691" s="16"/>
      <c r="V1691" s="16" t="str">
        <f>"－"</f>
        <v>－</v>
      </c>
      <c r="W1691" s="16"/>
      <c r="X1691" s="16" t="str">
        <f>"－"</f>
        <v>－</v>
      </c>
      <c r="Y1691" s="13"/>
      <c r="Z1691" s="17" t="n">
        <f>420</f>
        <v>420.0</v>
      </c>
      <c r="AA1691" s="18" t="str">
        <f>"－"</f>
        <v>－</v>
      </c>
      <c r="AB1691" s="11" t="s">
        <v>527</v>
      </c>
    </row>
    <row r="1692">
      <c r="A1692" s="11" t="s">
        <v>46</v>
      </c>
      <c r="B1692" s="11" t="s">
        <v>887</v>
      </c>
      <c r="C1692" s="11" t="s">
        <v>888</v>
      </c>
      <c r="D1692" s="11" t="s">
        <v>651</v>
      </c>
      <c r="E1692" s="11" t="s">
        <v>526</v>
      </c>
      <c r="F1692" s="12" t="n">
        <v>1550.0</v>
      </c>
      <c r="G1692" s="13"/>
      <c r="H1692" s="14" t="s">
        <v>57</v>
      </c>
      <c r="I1692" s="13"/>
      <c r="J1692" s="14" t="s">
        <v>57</v>
      </c>
      <c r="K1692" s="13"/>
      <c r="L1692" s="14"/>
      <c r="M1692" s="13"/>
      <c r="N1692" s="14" t="s">
        <v>57</v>
      </c>
      <c r="O1692" s="13"/>
      <c r="P1692" s="14"/>
      <c r="Q1692" s="13"/>
      <c r="R1692" s="14" t="s">
        <v>57</v>
      </c>
      <c r="S1692" s="15" t="str">
        <f>"－"</f>
        <v>－</v>
      </c>
      <c r="T1692" s="16" t="str">
        <f>"－"</f>
        <v>－</v>
      </c>
      <c r="U1692" s="16"/>
      <c r="V1692" s="16" t="str">
        <f>"－"</f>
        <v>－</v>
      </c>
      <c r="W1692" s="16"/>
      <c r="X1692" s="16" t="str">
        <f>"－"</f>
        <v>－</v>
      </c>
      <c r="Y1692" s="13"/>
      <c r="Z1692" s="17" t="n">
        <f>150</f>
        <v>150.0</v>
      </c>
      <c r="AA1692" s="18" t="str">
        <f>"－"</f>
        <v>－</v>
      </c>
      <c r="AB1692" s="11" t="s">
        <v>527</v>
      </c>
    </row>
    <row r="1693">
      <c r="A1693" s="11" t="s">
        <v>46</v>
      </c>
      <c r="B1693" s="11" t="s">
        <v>887</v>
      </c>
      <c r="C1693" s="11" t="s">
        <v>888</v>
      </c>
      <c r="D1693" s="11" t="s">
        <v>651</v>
      </c>
      <c r="E1693" s="11" t="s">
        <v>526</v>
      </c>
      <c r="F1693" s="12" t="n">
        <v>1600.0</v>
      </c>
      <c r="G1693" s="13"/>
      <c r="H1693" s="14" t="s">
        <v>57</v>
      </c>
      <c r="I1693" s="13"/>
      <c r="J1693" s="14" t="s">
        <v>57</v>
      </c>
      <c r="K1693" s="13"/>
      <c r="L1693" s="14"/>
      <c r="M1693" s="13"/>
      <c r="N1693" s="14" t="s">
        <v>57</v>
      </c>
      <c r="O1693" s="13"/>
      <c r="P1693" s="14"/>
      <c r="Q1693" s="13"/>
      <c r="R1693" s="14" t="s">
        <v>57</v>
      </c>
      <c r="S1693" s="15" t="str">
        <f>"－"</f>
        <v>－</v>
      </c>
      <c r="T1693" s="16" t="str">
        <f>"－"</f>
        <v>－</v>
      </c>
      <c r="U1693" s="16"/>
      <c r="V1693" s="16" t="str">
        <f>"－"</f>
        <v>－</v>
      </c>
      <c r="W1693" s="16"/>
      <c r="X1693" s="16" t="str">
        <f>"－"</f>
        <v>－</v>
      </c>
      <c r="Y1693" s="13"/>
      <c r="Z1693" s="17" t="n">
        <f>72</f>
        <v>72.0</v>
      </c>
      <c r="AA1693" s="18" t="str">
        <f>"－"</f>
        <v>－</v>
      </c>
      <c r="AB1693" s="11" t="s">
        <v>527</v>
      </c>
    </row>
    <row r="1694">
      <c r="A1694" s="11" t="s">
        <v>46</v>
      </c>
      <c r="B1694" s="11" t="s">
        <v>887</v>
      </c>
      <c r="C1694" s="11" t="s">
        <v>888</v>
      </c>
      <c r="D1694" s="11" t="s">
        <v>651</v>
      </c>
      <c r="E1694" s="11" t="s">
        <v>526</v>
      </c>
      <c r="F1694" s="12" t="n">
        <v>1650.0</v>
      </c>
      <c r="G1694" s="13"/>
      <c r="H1694" s="14" t="s">
        <v>57</v>
      </c>
      <c r="I1694" s="13"/>
      <c r="J1694" s="14" t="s">
        <v>57</v>
      </c>
      <c r="K1694" s="13"/>
      <c r="L1694" s="14"/>
      <c r="M1694" s="13"/>
      <c r="N1694" s="14" t="s">
        <v>57</v>
      </c>
      <c r="O1694" s="13"/>
      <c r="P1694" s="14"/>
      <c r="Q1694" s="13"/>
      <c r="R1694" s="14" t="s">
        <v>57</v>
      </c>
      <c r="S1694" s="15" t="str">
        <f>"－"</f>
        <v>－</v>
      </c>
      <c r="T1694" s="16" t="str">
        <f>"－"</f>
        <v>－</v>
      </c>
      <c r="U1694" s="16"/>
      <c r="V1694" s="16" t="str">
        <f>"－"</f>
        <v>－</v>
      </c>
      <c r="W1694" s="16"/>
      <c r="X1694" s="16" t="str">
        <f>"－"</f>
        <v>－</v>
      </c>
      <c r="Y1694" s="13"/>
      <c r="Z1694" s="17" t="n">
        <f>319</f>
        <v>319.0</v>
      </c>
      <c r="AA1694" s="18" t="str">
        <f>"－"</f>
        <v>－</v>
      </c>
      <c r="AB1694" s="11" t="s">
        <v>527</v>
      </c>
    </row>
    <row r="1695">
      <c r="A1695" s="11" t="s">
        <v>46</v>
      </c>
      <c r="B1695" s="11" t="s">
        <v>887</v>
      </c>
      <c r="C1695" s="11" t="s">
        <v>888</v>
      </c>
      <c r="D1695" s="11" t="s">
        <v>651</v>
      </c>
      <c r="E1695" s="11" t="s">
        <v>526</v>
      </c>
      <c r="F1695" s="12" t="n">
        <v>1700.0</v>
      </c>
      <c r="G1695" s="13"/>
      <c r="H1695" s="14" t="s">
        <v>57</v>
      </c>
      <c r="I1695" s="13"/>
      <c r="J1695" s="14" t="s">
        <v>57</v>
      </c>
      <c r="K1695" s="13"/>
      <c r="L1695" s="14"/>
      <c r="M1695" s="13"/>
      <c r="N1695" s="14" t="s">
        <v>57</v>
      </c>
      <c r="O1695" s="13"/>
      <c r="P1695" s="14"/>
      <c r="Q1695" s="13"/>
      <c r="R1695" s="14" t="s">
        <v>57</v>
      </c>
      <c r="S1695" s="15" t="str">
        <f>"－"</f>
        <v>－</v>
      </c>
      <c r="T1695" s="16" t="str">
        <f>"－"</f>
        <v>－</v>
      </c>
      <c r="U1695" s="16"/>
      <c r="V1695" s="16" t="str">
        <f>"－"</f>
        <v>－</v>
      </c>
      <c r="W1695" s="16"/>
      <c r="X1695" s="16" t="str">
        <f>"－"</f>
        <v>－</v>
      </c>
      <c r="Y1695" s="13"/>
      <c r="Z1695" s="17" t="n">
        <f>600</f>
        <v>600.0</v>
      </c>
      <c r="AA1695" s="18" t="str">
        <f>"－"</f>
        <v>－</v>
      </c>
      <c r="AB1695" s="11" t="s">
        <v>527</v>
      </c>
    </row>
    <row r="1696">
      <c r="A1696" s="11" t="s">
        <v>46</v>
      </c>
      <c r="B1696" s="11" t="s">
        <v>887</v>
      </c>
      <c r="C1696" s="11" t="s">
        <v>888</v>
      </c>
      <c r="D1696" s="11" t="s">
        <v>651</v>
      </c>
      <c r="E1696" s="11" t="s">
        <v>526</v>
      </c>
      <c r="F1696" s="12" t="n">
        <v>1750.0</v>
      </c>
      <c r="G1696" s="13"/>
      <c r="H1696" s="14" t="s">
        <v>57</v>
      </c>
      <c r="I1696" s="13"/>
      <c r="J1696" s="14" t="s">
        <v>57</v>
      </c>
      <c r="K1696" s="13"/>
      <c r="L1696" s="14"/>
      <c r="M1696" s="13"/>
      <c r="N1696" s="14" t="s">
        <v>57</v>
      </c>
      <c r="O1696" s="13"/>
      <c r="P1696" s="14"/>
      <c r="Q1696" s="13"/>
      <c r="R1696" s="14" t="s">
        <v>57</v>
      </c>
      <c r="S1696" s="15" t="str">
        <f>"－"</f>
        <v>－</v>
      </c>
      <c r="T1696" s="16" t="str">
        <f>"－"</f>
        <v>－</v>
      </c>
      <c r="U1696" s="16"/>
      <c r="V1696" s="16" t="str">
        <f>"－"</f>
        <v>－</v>
      </c>
      <c r="W1696" s="16"/>
      <c r="X1696" s="16" t="str">
        <f>"－"</f>
        <v>－</v>
      </c>
      <c r="Y1696" s="13"/>
      <c r="Z1696" s="17" t="n">
        <f>100</f>
        <v>100.0</v>
      </c>
      <c r="AA1696" s="18" t="str">
        <f>"－"</f>
        <v>－</v>
      </c>
      <c r="AB1696" s="11" t="s">
        <v>527</v>
      </c>
    </row>
    <row r="1697">
      <c r="A1697" s="11" t="s">
        <v>46</v>
      </c>
      <c r="B1697" s="11" t="s">
        <v>887</v>
      </c>
      <c r="C1697" s="11" t="s">
        <v>888</v>
      </c>
      <c r="D1697" s="11" t="s">
        <v>651</v>
      </c>
      <c r="E1697" s="11" t="s">
        <v>526</v>
      </c>
      <c r="F1697" s="12" t="n">
        <v>1850.0</v>
      </c>
      <c r="G1697" s="13"/>
      <c r="H1697" s="14" t="s">
        <v>57</v>
      </c>
      <c r="I1697" s="13"/>
      <c r="J1697" s="14" t="s">
        <v>57</v>
      </c>
      <c r="K1697" s="13"/>
      <c r="L1697" s="14"/>
      <c r="M1697" s="13"/>
      <c r="N1697" s="14" t="s">
        <v>57</v>
      </c>
      <c r="O1697" s="13"/>
      <c r="P1697" s="14"/>
      <c r="Q1697" s="13"/>
      <c r="R1697" s="14" t="s">
        <v>57</v>
      </c>
      <c r="S1697" s="15" t="str">
        <f>"－"</f>
        <v>－</v>
      </c>
      <c r="T1697" s="16" t="str">
        <f>"－"</f>
        <v>－</v>
      </c>
      <c r="U1697" s="16"/>
      <c r="V1697" s="16" t="str">
        <f>"－"</f>
        <v>－</v>
      </c>
      <c r="W1697" s="16"/>
      <c r="X1697" s="16" t="str">
        <f>"－"</f>
        <v>－</v>
      </c>
      <c r="Y1697" s="13"/>
      <c r="Z1697" s="17" t="n">
        <f>712</f>
        <v>712.0</v>
      </c>
      <c r="AA1697" s="18" t="str">
        <f>"－"</f>
        <v>－</v>
      </c>
      <c r="AB1697" s="11" t="s">
        <v>527</v>
      </c>
    </row>
    <row r="1698">
      <c r="A1698" s="11" t="s">
        <v>46</v>
      </c>
      <c r="B1698" s="11" t="s">
        <v>887</v>
      </c>
      <c r="C1698" s="11" t="s">
        <v>888</v>
      </c>
      <c r="D1698" s="11" t="s">
        <v>651</v>
      </c>
      <c r="E1698" s="11" t="s">
        <v>526</v>
      </c>
      <c r="F1698" s="12" t="n">
        <v>1900.0</v>
      </c>
      <c r="G1698" s="13"/>
      <c r="H1698" s="14" t="s">
        <v>57</v>
      </c>
      <c r="I1698" s="13"/>
      <c r="J1698" s="14" t="s">
        <v>57</v>
      </c>
      <c r="K1698" s="13" t="s">
        <v>211</v>
      </c>
      <c r="L1698" s="14" t="s">
        <v>913</v>
      </c>
      <c r="M1698" s="13"/>
      <c r="N1698" s="14" t="s">
        <v>57</v>
      </c>
      <c r="O1698" s="13" t="s">
        <v>211</v>
      </c>
      <c r="P1698" s="14" t="s">
        <v>914</v>
      </c>
      <c r="Q1698" s="13"/>
      <c r="R1698" s="14" t="s">
        <v>57</v>
      </c>
      <c r="S1698" s="15" t="str">
        <f>"－"</f>
        <v>－</v>
      </c>
      <c r="T1698" s="16" t="n">
        <f>225</f>
        <v>225.0</v>
      </c>
      <c r="U1698" s="16" t="n">
        <v>225.0</v>
      </c>
      <c r="V1698" s="16" t="n">
        <f>309425000</f>
        <v>3.09425E8</v>
      </c>
      <c r="W1698" s="16" t="n">
        <v>3.09425E8</v>
      </c>
      <c r="X1698" s="16" t="str">
        <f>"－"</f>
        <v>－</v>
      </c>
      <c r="Y1698" s="13"/>
      <c r="Z1698" s="17" t="n">
        <f>225</f>
        <v>225.0</v>
      </c>
      <c r="AA1698" s="18" t="str">
        <f>"－"</f>
        <v>－</v>
      </c>
      <c r="AB1698" s="11" t="s">
        <v>527</v>
      </c>
    </row>
    <row r="1699">
      <c r="A1699" s="11" t="s">
        <v>46</v>
      </c>
      <c r="B1699" s="11" t="s">
        <v>887</v>
      </c>
      <c r="C1699" s="11" t="s">
        <v>888</v>
      </c>
      <c r="D1699" s="11" t="s">
        <v>651</v>
      </c>
      <c r="E1699" s="11" t="s">
        <v>580</v>
      </c>
      <c r="F1699" s="12" t="n">
        <v>1700.0</v>
      </c>
      <c r="G1699" s="13"/>
      <c r="H1699" s="14" t="s">
        <v>57</v>
      </c>
      <c r="I1699" s="13"/>
      <c r="J1699" s="14" t="s">
        <v>57</v>
      </c>
      <c r="K1699" s="13"/>
      <c r="L1699" s="14"/>
      <c r="M1699" s="13"/>
      <c r="N1699" s="14" t="s">
        <v>57</v>
      </c>
      <c r="O1699" s="13"/>
      <c r="P1699" s="14"/>
      <c r="Q1699" s="13"/>
      <c r="R1699" s="14" t="s">
        <v>57</v>
      </c>
      <c r="S1699" s="15" t="str">
        <f>"－"</f>
        <v>－</v>
      </c>
      <c r="T1699" s="16" t="str">
        <f>"－"</f>
        <v>－</v>
      </c>
      <c r="U1699" s="16"/>
      <c r="V1699" s="16" t="str">
        <f>"－"</f>
        <v>－</v>
      </c>
      <c r="W1699" s="16"/>
      <c r="X1699" s="16" t="str">
        <f>"－"</f>
        <v>－</v>
      </c>
      <c r="Y1699" s="13"/>
      <c r="Z1699" s="17" t="n">
        <f>91</f>
        <v>91.0</v>
      </c>
      <c r="AA1699" s="18" t="str">
        <f>"－"</f>
        <v>－</v>
      </c>
      <c r="AB1699" s="11" t="s">
        <v>581</v>
      </c>
    </row>
    <row r="1700">
      <c r="A1700" s="11" t="s">
        <v>46</v>
      </c>
      <c r="B1700" s="11" t="s">
        <v>887</v>
      </c>
      <c r="C1700" s="11" t="s">
        <v>888</v>
      </c>
      <c r="D1700" s="11" t="s">
        <v>651</v>
      </c>
      <c r="E1700" s="11" t="s">
        <v>580</v>
      </c>
      <c r="F1700" s="12" t="n">
        <v>1900.0</v>
      </c>
      <c r="G1700" s="13"/>
      <c r="H1700" s="14" t="s">
        <v>57</v>
      </c>
      <c r="I1700" s="13"/>
      <c r="J1700" s="14" t="s">
        <v>57</v>
      </c>
      <c r="K1700" s="13"/>
      <c r="L1700" s="14"/>
      <c r="M1700" s="13"/>
      <c r="N1700" s="14" t="s">
        <v>57</v>
      </c>
      <c r="O1700" s="13"/>
      <c r="P1700" s="14"/>
      <c r="Q1700" s="13"/>
      <c r="R1700" s="14" t="s">
        <v>57</v>
      </c>
      <c r="S1700" s="15" t="str">
        <f>"－"</f>
        <v>－</v>
      </c>
      <c r="T1700" s="16" t="str">
        <f>"－"</f>
        <v>－</v>
      </c>
      <c r="U1700" s="16"/>
      <c r="V1700" s="16" t="str">
        <f>"－"</f>
        <v>－</v>
      </c>
      <c r="W1700" s="16"/>
      <c r="X1700" s="16" t="str">
        <f>"－"</f>
        <v>－</v>
      </c>
      <c r="Y1700" s="13"/>
      <c r="Z1700" s="17" t="n">
        <f>96</f>
        <v>96.0</v>
      </c>
      <c r="AA1700" s="18" t="str">
        <f>"－"</f>
        <v>－</v>
      </c>
      <c r="AB1700" s="11" t="s">
        <v>581</v>
      </c>
    </row>
    <row r="1701">
      <c r="A1701" s="11" t="s">
        <v>46</v>
      </c>
      <c r="B1701" s="11" t="s">
        <v>887</v>
      </c>
      <c r="C1701" s="11" t="s">
        <v>888</v>
      </c>
      <c r="D1701" s="11" t="s">
        <v>651</v>
      </c>
      <c r="E1701" s="11" t="s">
        <v>593</v>
      </c>
      <c r="F1701" s="12" t="n">
        <v>1550.0</v>
      </c>
      <c r="G1701" s="13"/>
      <c r="H1701" s="14" t="s">
        <v>57</v>
      </c>
      <c r="I1701" s="13"/>
      <c r="J1701" s="14" t="s">
        <v>57</v>
      </c>
      <c r="K1701" s="13"/>
      <c r="L1701" s="14"/>
      <c r="M1701" s="13"/>
      <c r="N1701" s="14" t="s">
        <v>57</v>
      </c>
      <c r="O1701" s="13"/>
      <c r="P1701" s="14"/>
      <c r="Q1701" s="13"/>
      <c r="R1701" s="14" t="s">
        <v>57</v>
      </c>
      <c r="S1701" s="15" t="str">
        <f>"－"</f>
        <v>－</v>
      </c>
      <c r="T1701" s="16" t="str">
        <f>"－"</f>
        <v>－</v>
      </c>
      <c r="U1701" s="16"/>
      <c r="V1701" s="16" t="str">
        <f>"－"</f>
        <v>－</v>
      </c>
      <c r="W1701" s="16"/>
      <c r="X1701" s="16" t="str">
        <f>"－"</f>
        <v>－</v>
      </c>
      <c r="Y1701" s="13"/>
      <c r="Z1701" s="17" t="n">
        <f>50</f>
        <v>50.0</v>
      </c>
      <c r="AA1701" s="18" t="str">
        <f>"－"</f>
        <v>－</v>
      </c>
      <c r="AB1701" s="11" t="s">
        <v>594</v>
      </c>
    </row>
    <row r="1702">
      <c r="A1702" s="11" t="s">
        <v>46</v>
      </c>
      <c r="B1702" s="11" t="s">
        <v>887</v>
      </c>
      <c r="C1702" s="11" t="s">
        <v>888</v>
      </c>
      <c r="D1702" s="11" t="s">
        <v>651</v>
      </c>
      <c r="E1702" s="11" t="s">
        <v>593</v>
      </c>
      <c r="F1702" s="12" t="n">
        <v>1700.0</v>
      </c>
      <c r="G1702" s="13"/>
      <c r="H1702" s="14" t="s">
        <v>57</v>
      </c>
      <c r="I1702" s="13"/>
      <c r="J1702" s="14" t="s">
        <v>57</v>
      </c>
      <c r="K1702" s="13"/>
      <c r="L1702" s="14"/>
      <c r="M1702" s="13"/>
      <c r="N1702" s="14" t="s">
        <v>57</v>
      </c>
      <c r="O1702" s="13"/>
      <c r="P1702" s="14"/>
      <c r="Q1702" s="13"/>
      <c r="R1702" s="14" t="s">
        <v>57</v>
      </c>
      <c r="S1702" s="15" t="str">
        <f>"－"</f>
        <v>－</v>
      </c>
      <c r="T1702" s="16" t="str">
        <f>"－"</f>
        <v>－</v>
      </c>
      <c r="U1702" s="16"/>
      <c r="V1702" s="16" t="str">
        <f>"－"</f>
        <v>－</v>
      </c>
      <c r="W1702" s="16"/>
      <c r="X1702" s="16" t="str">
        <f>"－"</f>
        <v>－</v>
      </c>
      <c r="Y1702" s="13"/>
      <c r="Z1702" s="17" t="n">
        <f>70</f>
        <v>70.0</v>
      </c>
      <c r="AA1702" s="18" t="str">
        <f>"－"</f>
        <v>－</v>
      </c>
      <c r="AB1702" s="11" t="s">
        <v>594</v>
      </c>
    </row>
    <row r="1703">
      <c r="A1703" s="11" t="s">
        <v>46</v>
      </c>
      <c r="B1703" s="11" t="s">
        <v>887</v>
      </c>
      <c r="C1703" s="11" t="s">
        <v>888</v>
      </c>
      <c r="D1703" s="11" t="s">
        <v>651</v>
      </c>
      <c r="E1703" s="11" t="s">
        <v>593</v>
      </c>
      <c r="F1703" s="12" t="n">
        <v>1900.0</v>
      </c>
      <c r="G1703" s="13"/>
      <c r="H1703" s="14" t="s">
        <v>57</v>
      </c>
      <c r="I1703" s="13"/>
      <c r="J1703" s="14" t="s">
        <v>57</v>
      </c>
      <c r="K1703" s="13"/>
      <c r="L1703" s="14"/>
      <c r="M1703" s="13"/>
      <c r="N1703" s="14" t="s">
        <v>57</v>
      </c>
      <c r="O1703" s="13"/>
      <c r="P1703" s="14"/>
      <c r="Q1703" s="13"/>
      <c r="R1703" s="14" t="s">
        <v>57</v>
      </c>
      <c r="S1703" s="15" t="str">
        <f>"－"</f>
        <v>－</v>
      </c>
      <c r="T1703" s="16" t="str">
        <f>"－"</f>
        <v>－</v>
      </c>
      <c r="U1703" s="16"/>
      <c r="V1703" s="16" t="str">
        <f>"－"</f>
        <v>－</v>
      </c>
      <c r="W1703" s="16"/>
      <c r="X1703" s="16" t="str">
        <f>"－"</f>
        <v>－</v>
      </c>
      <c r="Y1703" s="13"/>
      <c r="Z1703" s="17" t="n">
        <f>97</f>
        <v>97.0</v>
      </c>
      <c r="AA1703" s="18" t="str">
        <f>"－"</f>
        <v>－</v>
      </c>
      <c r="AB1703" s="11" t="s">
        <v>594</v>
      </c>
    </row>
  </sheetData>
  <mergeCells count="31">
    <mergeCell ref="AB3:AB5"/>
    <mergeCell ref="W4:W5"/>
    <mergeCell ref="O4:P4"/>
    <mergeCell ref="T4:T5"/>
    <mergeCell ref="S3:S5"/>
    <mergeCell ref="T3:U3"/>
    <mergeCell ref="V3:W3"/>
    <mergeCell ref="U4:U5"/>
    <mergeCell ref="V4:V5"/>
    <mergeCell ref="R4:R5"/>
    <mergeCell ref="Q4:Q5"/>
    <mergeCell ref="G3:R3"/>
    <mergeCell ref="H4:H5"/>
    <mergeCell ref="G4:G5"/>
    <mergeCell ref="J4:J5"/>
    <mergeCell ref="I4:I5"/>
    <mergeCell ref="A1:J1"/>
    <mergeCell ref="Y6:Z6"/>
    <mergeCell ref="F3:F5"/>
    <mergeCell ref="X3:X5"/>
    <mergeCell ref="AA3:AA5"/>
    <mergeCell ref="D3:D5"/>
    <mergeCell ref="Y3:Z5"/>
    <mergeCell ref="A3:A5"/>
    <mergeCell ref="A2:J2"/>
    <mergeCell ref="K4:L4"/>
    <mergeCell ref="E3:E5"/>
    <mergeCell ref="N4:N5"/>
    <mergeCell ref="M4:M5"/>
    <mergeCell ref="B3:B6"/>
    <mergeCell ref="C3:C6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38" useFirstPageNumber="1"/>
  <headerFooter>
    <oddFooter>&amp;C&amp;P/&amp;N&amp;RCopyright (c) Japan Exchange Group,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BO_DM0002</vt:lpstr>
      <vt:lpstr>BO_DM0002!Print_Titles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2018-03-22T08:16:38Z</cp:lastPrinted>
  <dcterms:modified xsi:type="dcterms:W3CDTF">2020-09-02T23:51:52Z</dcterms:modified>
</cp:coreProperties>
</file>