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windowHeight="6660" windowWidth="16425" xWindow="-15" yWindow="-15"/>
  </bookViews>
  <sheets>
    <sheet name="BO_DM0005" r:id="rId1" sheetId="9"/>
  </sheets>
  <definedNames>
    <definedName localSheetId="0" name="_xlnm.Print_Titles">BO_DM0005!$1:$6</definedName>
  </definedNames>
  <calcPr calcId="145621"/>
</workbook>
</file>

<file path=xl/sharedStrings.xml><?xml version="1.0" encoding="utf-8"?>
<sst xmlns="http://schemas.openxmlformats.org/spreadsheetml/2006/main" count="1138" uniqueCount="364">
  <si>
    <t>年月</t>
  </si>
  <si>
    <t>限月取引</t>
  </si>
  <si>
    <t xml:space="preserve"> </t>
  </si>
  <si>
    <t>　</t>
  </si>
  <si>
    <t>Contract Month</t>
  </si>
  <si>
    <t>取引期間</t>
    <rPh eb="2" sb="0">
      <t>トリヒキ</t>
    </rPh>
    <rPh eb="4" sb="2">
      <t>キカン</t>
    </rPh>
    <phoneticPr fontId="6"/>
  </si>
  <si>
    <t>日</t>
    <rPh eb="1" sb="0">
      <t>ヒ</t>
    </rPh>
    <phoneticPr fontId="6"/>
  </si>
  <si>
    <t>商品等</t>
    <rPh eb="2" sb="0">
      <t>ショウヒン</t>
    </rPh>
    <rPh eb="3" sb="2">
      <t>トウ</t>
    </rPh>
    <phoneticPr fontId="6"/>
  </si>
  <si>
    <t>Days 
Traded</t>
    <phoneticPr fontId="6"/>
  </si>
  <si>
    <t>Open 
Interest(unit)</t>
    <phoneticPr fontId="6"/>
  </si>
  <si>
    <t>J-NET(￥)</t>
    <phoneticPr fontId="6"/>
  </si>
  <si>
    <t>Trading 
Value(￥)</t>
    <phoneticPr fontId="6"/>
  </si>
  <si>
    <t>J-NET(unit)</t>
    <phoneticPr fontId="6"/>
  </si>
  <si>
    <t>Trading Volume(unit)</t>
    <phoneticPr fontId="6"/>
  </si>
  <si>
    <t>Date</t>
    <phoneticPr fontId="6"/>
  </si>
  <si>
    <t>Trading
Period</t>
    <phoneticPr fontId="6"/>
  </si>
  <si>
    <t>Year/Month</t>
    <phoneticPr fontId="6"/>
  </si>
  <si>
    <t>日</t>
    <phoneticPr fontId="6"/>
  </si>
  <si>
    <t>うちJ-NET
取引（円）</t>
    <phoneticPr fontId="6"/>
  </si>
  <si>
    <t>うちJ-NET
取引（単位）</t>
    <phoneticPr fontId="6"/>
  </si>
  <si>
    <t>値付
日数</t>
    <phoneticPr fontId="6"/>
  </si>
  <si>
    <t>建玉現在高
（単位）</t>
    <phoneticPr fontId="6"/>
  </si>
  <si>
    <t>取引金額（円）</t>
    <phoneticPr fontId="6"/>
  </si>
  <si>
    <t>取引高（単位）</t>
    <phoneticPr fontId="6"/>
  </si>
  <si>
    <t>値  段  Price</t>
    <phoneticPr fontId="6"/>
  </si>
  <si>
    <t>Products</t>
    <phoneticPr fontId="6"/>
  </si>
  <si>
    <t>商品先物相場表</t>
    <rPh eb="2" sb="0">
      <t>ショウヒン</t>
    </rPh>
    <rPh eb="4" sb="2">
      <t>サキモノ</t>
    </rPh>
    <phoneticPr fontId="6"/>
  </si>
  <si>
    <t>Commodity Futures Quotations</t>
    <phoneticPr fontId="6"/>
  </si>
  <si>
    <t>早受渡・申告受渡高
（単位）</t>
    <rPh eb="1" sb="0">
      <t>ハヤ</t>
    </rPh>
    <rPh eb="3" sb="1">
      <t>ウケワタシ</t>
    </rPh>
    <rPh eb="6" sb="4">
      <t>シンコク</t>
    </rPh>
    <rPh eb="8" sb="6">
      <t>ウケワタシ</t>
    </rPh>
    <rPh eb="9" sb="8">
      <t>ダカ</t>
    </rPh>
    <rPh eb="13" sb="11">
      <t>タンイ</t>
    </rPh>
    <phoneticPr fontId="6"/>
  </si>
  <si>
    <t>Early Delivery, Declared Delivery Volume(unit)</t>
    <phoneticPr fontId="6"/>
  </si>
  <si>
    <t>平均清算数値
（円）</t>
    <phoneticPr fontId="6"/>
  </si>
  <si>
    <t>始　値（円）</t>
    <phoneticPr fontId="6"/>
  </si>
  <si>
    <t>高　値（円）</t>
    <phoneticPr fontId="6"/>
  </si>
  <si>
    <t>安　値（円）</t>
    <phoneticPr fontId="6"/>
  </si>
  <si>
    <t>終　値（円）</t>
    <phoneticPr fontId="6"/>
  </si>
  <si>
    <t>うちJ-NET取引
（円）</t>
    <phoneticPr fontId="6"/>
  </si>
  <si>
    <t>Open(￥)</t>
    <phoneticPr fontId="6"/>
  </si>
  <si>
    <t>High(￥)</t>
    <phoneticPr fontId="6"/>
  </si>
  <si>
    <t>J-NET(￥)</t>
    <phoneticPr fontId="6"/>
  </si>
  <si>
    <t>Low(￥)</t>
    <phoneticPr fontId="6"/>
  </si>
  <si>
    <t>Close(￥)</t>
    <phoneticPr fontId="6"/>
  </si>
  <si>
    <t>Average
Settlement
Price(￥)</t>
    <phoneticPr fontId="6"/>
  </si>
  <si>
    <t>2021/04</t>
  </si>
  <si>
    <t>金標準先物</t>
  </si>
  <si>
    <t>Gold Standard Futures</t>
  </si>
  <si>
    <t>2020/04/27</t>
  </si>
  <si>
    <t>2021/04/26</t>
  </si>
  <si>
    <t>01</t>
  </si>
  <si>
    <t>5,997</t>
  </si>
  <si>
    <t>22</t>
  </si>
  <si>
    <t>6,249</t>
  </si>
  <si>
    <t>26</t>
  </si>
  <si>
    <t>6,151</t>
  </si>
  <si>
    <t>*</t>
  </si>
  <si>
    <t>2021/06</t>
  </si>
  <si>
    <t>2020/06/26</t>
  </si>
  <si>
    <t>2021/06/25</t>
  </si>
  <si>
    <t>6,004</t>
  </si>
  <si>
    <t>6,200.0000</t>
  </si>
  <si>
    <t>6,000</t>
  </si>
  <si>
    <t>30</t>
  </si>
  <si>
    <t>6,196</t>
  </si>
  <si>
    <t>2021/08</t>
  </si>
  <si>
    <t>2020/08/27</t>
  </si>
  <si>
    <t>2021/08/26</t>
  </si>
  <si>
    <t>6,008</t>
  </si>
  <si>
    <t>6,252</t>
  </si>
  <si>
    <t>6,001</t>
  </si>
  <si>
    <t>6,195</t>
  </si>
  <si>
    <t>2021/10</t>
  </si>
  <si>
    <t>2020/10/28</t>
  </si>
  <si>
    <t>2021/10/26</t>
  </si>
  <si>
    <t>6,015</t>
  </si>
  <si>
    <t>6,251</t>
  </si>
  <si>
    <t>6,003</t>
  </si>
  <si>
    <t>6,192</t>
  </si>
  <si>
    <t>2021/12</t>
  </si>
  <si>
    <t>2020/12/24</t>
  </si>
  <si>
    <t>2021/12/23</t>
  </si>
  <si>
    <t>6,012</t>
  </si>
  <si>
    <t>5,998</t>
  </si>
  <si>
    <t>6,188</t>
  </si>
  <si>
    <t>2022/02</t>
  </si>
  <si>
    <t>2021/02/24</t>
  </si>
  <si>
    <t>2022/02/22</t>
  </si>
  <si>
    <t>6,010</t>
  </si>
  <si>
    <t>6,243</t>
  </si>
  <si>
    <t>14</t>
  </si>
  <si>
    <t>6,113.0000</t>
  </si>
  <si>
    <t>5,993</t>
  </si>
  <si>
    <t>6,185</t>
  </si>
  <si>
    <t>2022/04</t>
  </si>
  <si>
    <t>2021/04/27</t>
  </si>
  <si>
    <t>2022/04/25</t>
  </si>
  <si>
    <t>27</t>
  </si>
  <si>
    <t>6,222</t>
  </si>
  <si>
    <t>6,176</t>
  </si>
  <si>
    <t>6,186</t>
  </si>
  <si>
    <t>金ミニ先物</t>
  </si>
  <si>
    <t>Gold Mini Futures</t>
  </si>
  <si>
    <t>2021/04/23</t>
  </si>
  <si>
    <t>6,237</t>
  </si>
  <si>
    <t>23</t>
  </si>
  <si>
    <t>6,210</t>
  </si>
  <si>
    <t>2021/06/24</t>
  </si>
  <si>
    <t>6,240</t>
  </si>
  <si>
    <t>06</t>
  </si>
  <si>
    <t>6,150.0000</t>
  </si>
  <si>
    <t>2021/08/25</t>
  </si>
  <si>
    <t>6,065</t>
  </si>
  <si>
    <t>6,248</t>
  </si>
  <si>
    <t>6,187</t>
  </si>
  <si>
    <t>2021/10/25</t>
  </si>
  <si>
    <t>6,013</t>
  </si>
  <si>
    <t>6,005</t>
  </si>
  <si>
    <t>2021/12/22</t>
  </si>
  <si>
    <t>6,011</t>
  </si>
  <si>
    <t>6,247</t>
  </si>
  <si>
    <t>2022/02/21</t>
  </si>
  <si>
    <t>6,242</t>
  </si>
  <si>
    <t>5,992</t>
  </si>
  <si>
    <t>2022/04/22</t>
  </si>
  <si>
    <t>6,191</t>
  </si>
  <si>
    <t>6,177</t>
  </si>
  <si>
    <t>金限日先物</t>
  </si>
  <si>
    <t>Gold Rolling-Spot Futures</t>
  </si>
  <si>
    <t>－</t>
  </si>
  <si>
    <t>6,088</t>
  </si>
  <si>
    <t>6,318</t>
  </si>
  <si>
    <t>6,076</t>
  </si>
  <si>
    <t>6,256</t>
  </si>
  <si>
    <t>銀先物</t>
  </si>
  <si>
    <t>Silver Futures</t>
  </si>
  <si>
    <t>05</t>
  </si>
  <si>
    <t>89.9</t>
  </si>
  <si>
    <t>90.5</t>
  </si>
  <si>
    <t>88.0</t>
  </si>
  <si>
    <t>16</t>
  </si>
  <si>
    <t>89.4</t>
  </si>
  <si>
    <t>87.5</t>
  </si>
  <si>
    <t>92.0</t>
  </si>
  <si>
    <t>90.4</t>
  </si>
  <si>
    <t>87.4</t>
  </si>
  <si>
    <t>86.9</t>
  </si>
  <si>
    <t>90.9</t>
  </si>
  <si>
    <t>91.8</t>
  </si>
  <si>
    <t>86.8</t>
  </si>
  <si>
    <t>90.6</t>
  </si>
  <si>
    <t>86.2</t>
  </si>
  <si>
    <t>92.1</t>
  </si>
  <si>
    <t>85.9</t>
  </si>
  <si>
    <t>90.7</t>
  </si>
  <si>
    <t>92.6</t>
  </si>
  <si>
    <t>86.7</t>
  </si>
  <si>
    <t>91.4</t>
  </si>
  <si>
    <t>28</t>
  </si>
  <si>
    <t>93.5</t>
  </si>
  <si>
    <t>白金標準先物</t>
  </si>
  <si>
    <t>Platinum Standard Futures</t>
  </si>
  <si>
    <t>4,170</t>
  </si>
  <si>
    <t>07</t>
  </si>
  <si>
    <t>4,384</t>
  </si>
  <si>
    <t>4,187.0000</t>
  </si>
  <si>
    <t>4,060</t>
  </si>
  <si>
    <t>4,238</t>
  </si>
  <si>
    <t>4,213</t>
  </si>
  <si>
    <t>4,379</t>
  </si>
  <si>
    <t>4,274.0000</t>
  </si>
  <si>
    <t>4,058</t>
  </si>
  <si>
    <t>4,229</t>
  </si>
  <si>
    <t>4,163</t>
  </si>
  <si>
    <t>4,376</t>
  </si>
  <si>
    <t>4,055</t>
  </si>
  <si>
    <t>4,228</t>
  </si>
  <si>
    <t>4,159</t>
  </si>
  <si>
    <t>08</t>
  </si>
  <si>
    <t>4,373</t>
  </si>
  <si>
    <t>4,217</t>
  </si>
  <si>
    <t>4,165</t>
  </si>
  <si>
    <t>4,377</t>
  </si>
  <si>
    <t>4,061</t>
  </si>
  <si>
    <t>4,225</t>
  </si>
  <si>
    <t>4,378</t>
  </si>
  <si>
    <t>4,223.0000</t>
  </si>
  <si>
    <t>4,063</t>
  </si>
  <si>
    <t>4,190.0000</t>
  </si>
  <si>
    <t>4,300</t>
  </si>
  <si>
    <t>4,350</t>
  </si>
  <si>
    <t>4,231</t>
  </si>
  <si>
    <t>白金ミニ先物</t>
  </si>
  <si>
    <t>Platinum Mini Futures</t>
  </si>
  <si>
    <t>4,175</t>
  </si>
  <si>
    <t>4,089</t>
  </si>
  <si>
    <t>4,189</t>
  </si>
  <si>
    <t>4,290</t>
  </si>
  <si>
    <t>4,091</t>
  </si>
  <si>
    <t>4,325</t>
  </si>
  <si>
    <t>02</t>
  </si>
  <si>
    <t>4,241</t>
  </si>
  <si>
    <t>4,330</t>
  </si>
  <si>
    <t>4,215</t>
  </si>
  <si>
    <t>4,338</t>
  </si>
  <si>
    <t>4,095</t>
  </si>
  <si>
    <t>4,275</t>
  </si>
  <si>
    <t>4,370</t>
  </si>
  <si>
    <t>4,214</t>
  </si>
  <si>
    <t>4,164</t>
  </si>
  <si>
    <t>4,374</t>
  </si>
  <si>
    <t>4,306</t>
  </si>
  <si>
    <t>4,345</t>
  </si>
  <si>
    <t>4,216</t>
  </si>
  <si>
    <t>白金限日先物</t>
  </si>
  <si>
    <t>Platinum Rolling-Spot Futures</t>
  </si>
  <si>
    <t>4,258</t>
  </si>
  <si>
    <t>4,425</t>
  </si>
  <si>
    <t>4,151</t>
  </si>
  <si>
    <t>4,289</t>
  </si>
  <si>
    <t>パラジウム先物</t>
  </si>
  <si>
    <t>Palladium Futures</t>
  </si>
  <si>
    <t>9,512</t>
  </si>
  <si>
    <t>20</t>
  </si>
  <si>
    <t>9,896</t>
  </si>
  <si>
    <t>21</t>
  </si>
  <si>
    <t>9,859</t>
  </si>
  <si>
    <t>10,067</t>
  </si>
  <si>
    <t>9,251</t>
  </si>
  <si>
    <t>10,182</t>
  </si>
  <si>
    <t>09</t>
  </si>
  <si>
    <t>9,317</t>
  </si>
  <si>
    <t>10,200</t>
  </si>
  <si>
    <t>9,371</t>
  </si>
  <si>
    <t>10,281</t>
  </si>
  <si>
    <t>9,294</t>
  </si>
  <si>
    <t>9,493</t>
  </si>
  <si>
    <t>10,141</t>
  </si>
  <si>
    <t>13</t>
  </si>
  <si>
    <t>9,293</t>
  </si>
  <si>
    <t>10,048</t>
  </si>
  <si>
    <t>10,000</t>
  </si>
  <si>
    <t>10,070</t>
  </si>
  <si>
    <t>10,040</t>
  </si>
  <si>
    <t>ゴム（RSS3）先物</t>
  </si>
  <si>
    <t>RSS3 Rubber Futures</t>
  </si>
  <si>
    <t>2020/10/27</t>
  </si>
  <si>
    <t>241.6</t>
  </si>
  <si>
    <t>245.8</t>
  </si>
  <si>
    <t>222.7000</t>
  </si>
  <si>
    <t>214.2</t>
  </si>
  <si>
    <t>219.9000</t>
  </si>
  <si>
    <t>224.0</t>
  </si>
  <si>
    <t>2021/05</t>
  </si>
  <si>
    <t>2020/11/25</t>
  </si>
  <si>
    <t>2021/05/25</t>
  </si>
  <si>
    <t>239.5</t>
  </si>
  <si>
    <t>244.4</t>
  </si>
  <si>
    <t>243.4000</t>
  </si>
  <si>
    <t>219.0</t>
  </si>
  <si>
    <t>221.3000</t>
  </si>
  <si>
    <t>237.5</t>
  </si>
  <si>
    <t>2020/12/23</t>
  </si>
  <si>
    <t>239.9</t>
  </si>
  <si>
    <t>247.5</t>
  </si>
  <si>
    <t>221.3</t>
  </si>
  <si>
    <t>2021/07</t>
  </si>
  <si>
    <t>2021/01/26</t>
  </si>
  <si>
    <t>2021/07/26</t>
  </si>
  <si>
    <t>241.0</t>
  </si>
  <si>
    <t>250.0</t>
  </si>
  <si>
    <t>247.8000</t>
  </si>
  <si>
    <t>222.3</t>
  </si>
  <si>
    <t>222.5000</t>
  </si>
  <si>
    <t>244.1</t>
  </si>
  <si>
    <t>2021/02/22</t>
  </si>
  <si>
    <t>239.2</t>
  </si>
  <si>
    <t>251.7</t>
  </si>
  <si>
    <t>236.4000</t>
  </si>
  <si>
    <t>221.7</t>
  </si>
  <si>
    <t>235.4000</t>
  </si>
  <si>
    <t>245.6</t>
  </si>
  <si>
    <t>2021/09</t>
  </si>
  <si>
    <t>2021/03/26</t>
  </si>
  <si>
    <t>2021/09/24</t>
  </si>
  <si>
    <t>242.1</t>
  </si>
  <si>
    <t>253.7</t>
  </si>
  <si>
    <t>250.6000</t>
  </si>
  <si>
    <t>222.5</t>
  </si>
  <si>
    <t>15</t>
  </si>
  <si>
    <t>232.0000</t>
  </si>
  <si>
    <t>244.0</t>
  </si>
  <si>
    <t>234.2</t>
  </si>
  <si>
    <t>244.9</t>
  </si>
  <si>
    <t>225.9</t>
  </si>
  <si>
    <t>ゴム（TSR20）先物</t>
  </si>
  <si>
    <t>TSR20 Rubber Futures</t>
  </si>
  <si>
    <t>2020/11/02</t>
  </si>
  <si>
    <t>2021/04/30</t>
  </si>
  <si>
    <t>2020/12/01</t>
  </si>
  <si>
    <t>2021/05/31</t>
  </si>
  <si>
    <t>2021/01/04</t>
  </si>
  <si>
    <t>2021/06/30</t>
  </si>
  <si>
    <t>2021/02/01</t>
  </si>
  <si>
    <t>2021/07/30</t>
  </si>
  <si>
    <t>178.6</t>
  </si>
  <si>
    <t>19</t>
  </si>
  <si>
    <t>175.7000</t>
  </si>
  <si>
    <t>175.0</t>
  </si>
  <si>
    <t>2021/03/01</t>
  </si>
  <si>
    <t>2021/08/31</t>
  </si>
  <si>
    <t>2021/04/01</t>
  </si>
  <si>
    <t>2021/09/30</t>
  </si>
  <si>
    <t>とうもろこし先物</t>
  </si>
  <si>
    <t>Corn Futures</t>
  </si>
  <si>
    <t>2020/04/16</t>
  </si>
  <si>
    <t>2021/04/15</t>
  </si>
  <si>
    <t>29,800</t>
  </si>
  <si>
    <t>32,800</t>
  </si>
  <si>
    <t>32,800.0000</t>
  </si>
  <si>
    <t>2020/06/16</t>
  </si>
  <si>
    <t>2021/06/15</t>
  </si>
  <si>
    <t>35,380</t>
  </si>
  <si>
    <t>39,840</t>
  </si>
  <si>
    <t>33,700</t>
  </si>
  <si>
    <t>39,830</t>
  </si>
  <si>
    <t>2020/08/17</t>
  </si>
  <si>
    <t>2021/08/13</t>
  </si>
  <si>
    <t>30,050</t>
  </si>
  <si>
    <t>40,130</t>
  </si>
  <si>
    <t>39,920</t>
  </si>
  <si>
    <t>2021/11</t>
  </si>
  <si>
    <t>2020/10/16</t>
  </si>
  <si>
    <t>2021/10/15</t>
  </si>
  <si>
    <t>29,990</t>
  </si>
  <si>
    <t>38,550</t>
  </si>
  <si>
    <t>37,520</t>
  </si>
  <si>
    <t>2022/01</t>
  </si>
  <si>
    <t>2020/12/16</t>
  </si>
  <si>
    <t>2021/12/15</t>
  </si>
  <si>
    <t>29,100</t>
  </si>
  <si>
    <t>35,700</t>
  </si>
  <si>
    <t>34,750</t>
  </si>
  <si>
    <t>2022/03</t>
  </si>
  <si>
    <t>2021/02/16</t>
  </si>
  <si>
    <t>2022/02/15</t>
  </si>
  <si>
    <t>29,790</t>
  </si>
  <si>
    <t>35,350</t>
  </si>
  <si>
    <t>29,710</t>
  </si>
  <si>
    <t>33,820</t>
  </si>
  <si>
    <t>2022/05</t>
  </si>
  <si>
    <t>2021/04/16</t>
  </si>
  <si>
    <t>2022/04/15</t>
  </si>
  <si>
    <t>32,090</t>
  </si>
  <si>
    <t>35,200</t>
  </si>
  <si>
    <t>32,780.0000</t>
  </si>
  <si>
    <t>31,910</t>
  </si>
  <si>
    <t>一般大豆先物</t>
  </si>
  <si>
    <t>Soybean Futures</t>
  </si>
  <si>
    <t>小豆先物</t>
  </si>
  <si>
    <t>Azuki (Red Bean) Futures</t>
  </si>
  <si>
    <t>2020/11/26</t>
  </si>
  <si>
    <t>2021/05/26</t>
  </si>
  <si>
    <t>2021/01/27</t>
  </si>
  <si>
    <t>2021/07/27</t>
  </si>
  <si>
    <t>2021/03/29</t>
  </si>
  <si>
    <t>2021/09/27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</si>
</sst>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  <numFmt numFmtId="189" formatCode="#0"/>
  </numFmts>
  <fonts count="97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name val="明朝"/>
      <family val="3"/>
      <charset val="128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name val="ＭＳ Ｐゴシック"/>
      <family val="2"/>
      <scheme val="minor"/>
    </font>
    <font>
      <sz val="5"/>
      <name val="ＭＳ 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1953">
    <xf borderId="0" fillId="0" fontId="0" numFmtId="0"/>
    <xf applyAlignment="0" applyBorder="0" applyFill="0" applyFont="0" applyProtection="0" borderId="0" fillId="0" fontId="5" numFmtId="38"/>
    <xf applyAlignment="0" applyBorder="0" applyFill="0" borderId="0" fillId="0" fontId="8" numFmtId="176"/>
    <xf applyAlignment="0" applyNumberFormat="0" applyProtection="0" borderId="1" fillId="0" fontId="9" numFmtId="0">
      <alignment horizontal="left" vertical="center"/>
    </xf>
    <xf borderId="2" fillId="0" fontId="9" numFmtId="0">
      <alignment horizontal="left" vertical="center"/>
    </xf>
    <xf borderId="0" fillId="0" fontId="10" numFmtId="177"/>
    <xf borderId="0" fillId="0" fontId="11" numFmtId="0"/>
    <xf borderId="0" fillId="0" fontId="12" numFmtId="0"/>
    <xf applyBorder="0" applyFill="0" applyNumberFormat="0" applyProtection="0" borderId="3" fillId="2" fontId="13" numFmtId="49"/>
    <xf borderId="0" fillId="0" fontId="7" numFmtId="0">
      <alignment vertical="center"/>
    </xf>
    <xf borderId="0" fillId="0" fontId="14" numFmtId="0"/>
    <xf borderId="0" fillId="0" fontId="14" numFmtId="0">
      <alignment vertical="center"/>
    </xf>
    <xf borderId="0" fillId="0" fontId="16" numFmtId="178"/>
    <xf borderId="0" fillId="0" fontId="5" numFmtId="0"/>
    <xf borderId="0" fillId="0" fontId="5" numFmtId="0"/>
    <xf borderId="0" fillId="0" fontId="1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19" numFmtId="9"/>
    <xf borderId="0" fillId="0" fontId="20" numFmtId="0"/>
    <xf borderId="0" fillId="0" fontId="5" numFmtId="0"/>
    <xf applyAlignment="0" applyBorder="0" applyNumberFormat="0" applyProtection="0" borderId="0" fillId="3" fontId="8" numFmtId="0"/>
    <xf applyAlignment="0" applyBorder="0" applyNumberFormat="0" applyProtection="0" borderId="0" fillId="4" fontId="8" numFmtId="0"/>
    <xf applyAlignment="0" applyBorder="0" applyNumberFormat="0" applyProtection="0" borderId="0" fillId="5" fontId="8" numFmtId="0"/>
    <xf applyAlignment="0" applyBorder="0" applyNumberFormat="0" applyProtection="0" borderId="0" fillId="6" fontId="8" numFmtId="0"/>
    <xf applyAlignment="0" applyBorder="0" applyNumberFormat="0" applyProtection="0" borderId="0" fillId="7" fontId="8" numFmtId="0"/>
    <xf applyAlignment="0" applyBorder="0" applyNumberFormat="0" applyProtection="0" borderId="0" fillId="8" fontId="8" numFmtId="0"/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9" fontId="8" numFmtId="0"/>
    <xf applyAlignment="0" applyBorder="0" applyNumberFormat="0" applyProtection="0" borderId="0" fillId="10" fontId="8" numFmtId="0"/>
    <xf applyAlignment="0" applyBorder="0" applyNumberFormat="0" applyProtection="0" borderId="0" fillId="11" fontId="8" numFmtId="0"/>
    <xf applyAlignment="0" applyBorder="0" applyNumberFormat="0" applyProtection="0" borderId="0" fillId="6" fontId="8" numFmtId="0"/>
    <xf applyAlignment="0" applyBorder="0" applyNumberFormat="0" applyProtection="0" borderId="0" fillId="9" fontId="8" numFmtId="0"/>
    <xf applyAlignment="0" applyBorder="0" applyNumberFormat="0" applyProtection="0" borderId="0" fillId="12" fontId="8" numFmtId="0"/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3" fontId="22" numFmtId="0"/>
    <xf applyAlignment="0" applyBorder="0" applyNumberFormat="0" applyProtection="0" borderId="0" fillId="10" fontId="22" numFmtId="0"/>
    <xf applyAlignment="0" applyBorder="0" applyNumberFormat="0" applyProtection="0" borderId="0" fillId="11" fontId="22" numFmtId="0"/>
    <xf applyAlignment="0" applyBorder="0" applyNumberFormat="0" applyProtection="0" borderId="0" fillId="14" fontId="22" numFmtId="0"/>
    <xf applyAlignment="0" applyBorder="0" applyNumberFormat="0" applyProtection="0" borderId="0" fillId="15" fontId="22" numFmtId="0"/>
    <xf applyAlignment="0" applyBorder="0" applyNumberFormat="0" applyProtection="0" borderId="0" fillId="16" fontId="22" numFmtId="0"/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7" fontId="22" numFmtId="0"/>
    <xf applyAlignment="0" applyBorder="0" applyNumberFormat="0" applyProtection="0" borderId="0" fillId="18" fontId="22" numFmtId="0"/>
    <xf applyAlignment="0" applyBorder="0" applyNumberFormat="0" applyProtection="0" borderId="0" fillId="19" fontId="22" numFmtId="0"/>
    <xf applyAlignment="0" applyBorder="0" applyNumberFormat="0" applyProtection="0" borderId="0" fillId="14" fontId="22" numFmtId="0"/>
    <xf applyAlignment="0" applyBorder="0" applyNumberFormat="0" applyProtection="0" borderId="0" fillId="15" fontId="22" numFmtId="0"/>
    <xf applyAlignment="0" applyBorder="0" applyNumberFormat="0" applyProtection="0" borderId="0" fillId="20" fontId="22" numFmtId="0"/>
    <xf borderId="0" fillId="0" fontId="24" numFmtId="0">
      <alignment horizontal="center" wrapText="1"/>
      <protection locked="0"/>
    </xf>
    <xf borderId="0" fillId="0" fontId="25" numFmtId="0"/>
    <xf applyAlignment="0" applyBorder="0" applyNumberFormat="0" applyProtection="0" borderId="0" fillId="4" fontId="26" numFmtId="0"/>
    <xf applyAlignment="0" applyBorder="0" applyFill="0" applyNumberFormat="0" applyProtection="0" borderId="0" fillId="0" fontId="27" numFmtId="0"/>
    <xf applyAlignment="0" applyBorder="0" applyFill="0" borderId="0" fillId="0" fontId="7" numFmtId="179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0" fillId="21" fontId="28" numFmtId="0"/>
    <xf applyAlignment="0" applyNumberFormat="0" applyProtection="0" borderId="11" fillId="22" fontId="29" numFmtId="0"/>
    <xf borderId="0" fillId="0" fontId="30" numFmtId="0">
      <alignment vertical="top" wrapText="1"/>
    </xf>
    <xf applyAlignment="0" applyBorder="0" applyFill="0" applyFont="0" applyProtection="0" borderId="0" fillId="0" fontId="11" numFmtId="41"/>
    <xf applyAlignment="0" applyBorder="0" applyFill="0" applyFont="0" applyProtection="0" borderId="0" fillId="0" fontId="11" numFmtId="43"/>
    <xf applyAlignment="0" applyBorder="0" applyFill="0" applyFont="0" applyProtection="0" borderId="0" fillId="0" fontId="11" numFmtId="180"/>
    <xf applyAlignment="0" applyBorder="0" applyFill="0" applyFont="0" applyProtection="0" borderId="0" fillId="0" fontId="11" numFmtId="181"/>
    <xf borderId="0" fillId="0" fontId="31" numFmtId="0">
      <alignment horizontal="left"/>
    </xf>
    <xf applyAlignment="0" applyBorder="0" applyFill="0" applyNumberFormat="0" applyProtection="0" borderId="0" fillId="0" fontId="32" numFmtId="0"/>
    <xf applyAlignment="0" applyBorder="0" applyNumberFormat="0" applyProtection="0" borderId="0" fillId="5" fontId="33" numFmtId="0"/>
    <xf applyAlignment="0" applyBorder="0" applyNumberFormat="0" applyProtection="0" borderId="0" fillId="23" fontId="34" numFmtId="38"/>
    <xf borderId="0" fillId="24" fontId="35" numFmtId="0"/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borderId="2" fillId="0" fontId="9" numFmtId="0">
      <alignment horizontal="left" vertical="center"/>
    </xf>
    <xf applyAlignment="0" applyFill="0" applyNumberFormat="0" applyProtection="0" borderId="12" fillId="0" fontId="36" numFmtId="0"/>
    <xf applyAlignment="0" applyFill="0" applyNumberFormat="0" applyProtection="0" borderId="13" fillId="0" fontId="37" numFmtId="0"/>
    <xf applyAlignment="0" applyFill="0" applyNumberFormat="0" applyProtection="0" borderId="14" fillId="0" fontId="38" numFmtId="0"/>
    <xf applyAlignment="0" applyBorder="0" applyFill="0" applyNumberFormat="0" applyProtection="0" borderId="0" fillId="0" fontId="38" numFmtId="0"/>
    <xf applyBorder="0" borderId="0" fillId="0" fontId="7" numFmtId="0"/>
    <xf applyAlignment="0" applyNumberFormat="0" applyProtection="0" borderId="10" fillId="8" fontId="39" numFmtId="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applyAlignment="0" applyNumberFormat="0" applyProtection="0" borderId="10" fillId="8" fontId="39" numFmtId="0"/>
    <xf borderId="0" fillId="0" fontId="7" numFmtId="0"/>
    <xf applyAlignment="0" applyFill="0" applyNumberFormat="0" applyProtection="0" borderId="15" fillId="0" fontId="40" numFmtId="0"/>
    <xf applyAlignment="0" applyBorder="0" applyFill="0" applyFont="0" applyProtection="0" borderId="0" fillId="0" fontId="41" numFmtId="38"/>
    <xf applyAlignment="0" applyBorder="0" applyFill="0" applyFont="0" applyProtection="0" borderId="0" fillId="0" fontId="41" numFmtId="40"/>
    <xf applyAlignment="0" applyBorder="0" applyFill="0" applyFont="0" applyProtection="0" borderId="0" fillId="0" fontId="41" numFmtId="182"/>
    <xf applyAlignment="0" applyBorder="0" applyFill="0" applyFont="0" applyProtection="0" borderId="0" fillId="0" fontId="41" numFmtId="183"/>
    <xf applyAlignment="0" applyBorder="0" applyNumberFormat="0" applyProtection="0" borderId="0" fillId="26" fontId="42" numFmtId="0"/>
    <xf borderId="0" fillId="0" fontId="43" numFmtId="37"/>
    <xf borderId="0" fillId="0" fontId="7" numFmtId="184"/>
    <xf borderId="0" fillId="0" fontId="7" numFmtId="184"/>
    <xf borderId="0" fillId="0" fontId="10" numFmtId="177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Font="0" applyNumberFormat="0" applyProtection="0" borderId="16" fillId="27" fontId="11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applyAlignment="0" applyNumberFormat="0" applyProtection="0" borderId="17" fillId="21" fontId="44" numFmtId="0"/>
    <xf borderId="0" fillId="0" fontId="24" numFmtId="14">
      <alignment horizontal="center" wrapText="1"/>
      <protection locked="0"/>
    </xf>
    <xf applyAlignment="0" applyBorder="0" applyFill="0" applyFont="0" applyProtection="0" borderId="0" fillId="0" fontId="11" numFmtId="10"/>
    <xf borderId="0" fillId="0" fontId="31" numFmtId="4">
      <alignment horizontal="right"/>
    </xf>
    <xf applyAlignment="0" applyBorder="0" applyFill="0" applyFont="0" applyNumberFormat="0" applyProtection="0" borderId="0" fillId="0" fontId="45" numFmtId="0">
      <alignment horizontal="left"/>
    </xf>
    <xf borderId="18" fillId="0" fontId="46" numFmtId="0">
      <alignment horizontal="center"/>
    </xf>
    <xf applyAlignment="0" applyBorder="0" applyFill="0" applyFont="0" applyNumberFormat="0" borderId="0" fillId="0" fontId="47" numFmtId="0"/>
    <xf borderId="0" fillId="0" fontId="48" numFmtId="4">
      <alignment horizontal="right"/>
    </xf>
    <xf borderId="0" fillId="0" fontId="49" numFmtId="0">
      <alignment horizontal="left"/>
    </xf>
    <xf borderId="0" fillId="0" fontId="50" numFmtId="0"/>
    <xf borderId="0" fillId="0" fontId="51" numFmtId="0">
      <alignment horizontal="center"/>
    </xf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Fill="0" applyNumberFormat="0" applyProtection="0" borderId="19" fillId="0" fontId="52" numFmtId="0"/>
    <xf applyAlignment="0" applyBorder="0" applyFill="0" applyNumberFormat="0" applyProtection="0" borderId="0" fillId="0" fontId="53" numFmtId="0"/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borderId="0" fillId="0" fontId="54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NumberFormat="0" applyProtection="0" borderId="11" fillId="22" fontId="56" numFmtId="0">
      <alignment vertical="center"/>
    </xf>
    <xf applyAlignment="0" applyNumberFormat="0" applyProtection="0" borderId="11" fillId="22" fontId="56" numFmtId="0">
      <alignment vertical="center"/>
    </xf>
    <xf applyAlignment="0" applyNumberFormat="0" applyProtection="0" borderId="11" fillId="22" fontId="56" numFmtId="0">
      <alignment vertical="center"/>
    </xf>
    <xf applyAlignment="0" applyNumberFormat="0" applyProtection="0" borderId="11" fillId="22" fontId="56" numFmtId="0">
      <alignment vertical="center"/>
    </xf>
    <xf applyAlignment="0" applyNumberFormat="0" applyProtection="0" borderId="11" fillId="22" fontId="56" numFmtId="0">
      <alignment vertical="center"/>
    </xf>
    <xf applyAlignment="0" applyNumberFormat="0" applyProtection="0" borderId="11" fillId="22" fontId="56" numFmtId="0">
      <alignment vertical="center"/>
    </xf>
    <xf applyAlignment="0" applyNumberFormat="0" applyProtection="0" borderId="11" fillId="22" fontId="56" numFmtId="0">
      <alignment vertical="center"/>
    </xf>
    <xf applyAlignment="0" applyNumberFormat="0" applyProtection="0" borderId="11" fillId="22" fontId="56" numFmtId="0">
      <alignment vertical="center"/>
    </xf>
    <xf borderId="0" fillId="0" fontId="57" numFmtId="0"/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Fill="0" applyFont="0" applyProtection="0" borderId="0" fillId="0" fontId="5" numFmtId="9"/>
    <xf applyAlignment="0" applyBorder="0" applyFill="0" applyFont="0" applyProtection="0" borderId="0" fillId="0" fontId="5" numFmtId="9">
      <alignment vertical="center"/>
    </xf>
    <xf applyAlignment="0" applyBorder="0" applyFill="0" applyFont="0" applyProtection="0" borderId="0" fillId="0" fontId="5" numFmtId="9"/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61" numFmtId="0">
      <alignment vertical="top"/>
      <protection locked="0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21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7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ont="0" applyNumberFormat="0" applyProtection="0" borderId="16" fillId="27" fontId="5" numFmtId="0">
      <alignment vertical="center"/>
    </xf>
    <xf applyAlignment="0" applyFill="0" applyNumberFormat="0" applyProtection="0" borderId="15" fillId="0" fontId="62" numFmtId="0">
      <alignment vertical="center"/>
    </xf>
    <xf applyAlignment="0" applyFill="0" applyNumberFormat="0" applyProtection="0" borderId="15" fillId="0" fontId="62" numFmtId="0">
      <alignment vertical="center"/>
    </xf>
    <xf applyAlignment="0" applyFill="0" applyNumberFormat="0" applyProtection="0" borderId="15" fillId="0" fontId="62" numFmtId="0">
      <alignment vertical="center"/>
    </xf>
    <xf applyAlignment="0" applyFill="0" applyNumberFormat="0" applyProtection="0" borderId="15" fillId="0" fontId="62" numFmtId="0">
      <alignment vertical="center"/>
    </xf>
    <xf applyAlignment="0" applyFill="0" applyNumberFormat="0" applyProtection="0" borderId="15" fillId="0" fontId="62" numFmtId="0">
      <alignment vertical="center"/>
    </xf>
    <xf applyAlignment="0" applyFill="0" applyNumberFormat="0" applyProtection="0" borderId="15" fillId="0" fontId="62" numFmtId="0">
      <alignment vertical="center"/>
    </xf>
    <xf applyAlignment="0" applyFill="0" applyNumberFormat="0" applyProtection="0" borderId="15" fillId="0" fontId="62" numFmtId="0">
      <alignment vertical="center"/>
    </xf>
    <xf applyAlignment="0" applyFill="0" applyNumberFormat="0" applyProtection="0" borderId="15" fillId="0" fontId="62" numFmtId="0">
      <alignment vertical="center"/>
    </xf>
    <xf borderId="0" fillId="0" fontId="12" numFmtId="0"/>
    <xf borderId="0" fillId="0" fontId="12" numFmtId="0"/>
    <xf borderId="0" fillId="0" fontId="12" numFmtId="0"/>
    <xf borderId="0" fillId="0" fontId="12" numFmtId="0"/>
    <xf borderId="0" fillId="0" fontId="12" numFmtId="0"/>
    <xf borderId="0" fillId="0" fontId="12" numFmtId="0"/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NumberFormat="0" applyProtection="0" borderId="10" fillId="21" fontId="64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Font="0" applyProtection="0" borderId="0" fillId="0" fontId="11" numFmtId="43"/>
    <xf applyAlignment="0" applyBorder="0" applyFill="0" applyFont="0" applyProtection="0" borderId="0" fillId="0" fontId="66" numFmtId="38"/>
    <xf applyAlignment="0" applyBorder="0" applyFill="0" applyFont="0" applyProtection="0" borderId="0" fillId="0" fontId="17" numFmtId="38">
      <alignment vertical="center"/>
    </xf>
    <xf applyAlignment="0" applyBorder="0" applyFill="0" applyFont="0" applyProtection="0" borderId="0" fillId="0" fontId="67" numFmtId="38"/>
    <xf applyAlignment="0" applyBorder="0" applyFill="0" applyFont="0" applyProtection="0" borderId="0" fillId="0" fontId="5" numFmtId="38">
      <alignment vertical="center"/>
    </xf>
    <xf applyAlignment="0" applyBorder="0" applyFill="0" applyFont="0" applyProtection="0" borderId="0" fillId="0" fontId="5" numFmtId="38"/>
    <xf applyAlignment="0" applyBorder="0" applyFill="0" applyFont="0" applyProtection="0" borderId="0" fillId="0" fontId="67" numFmtId="38"/>
    <xf applyAlignment="0" applyBorder="0" applyFill="0" applyFont="0" applyProtection="0" borderId="0" fillId="0" fontId="5" numFmtId="38"/>
    <xf applyAlignment="0" applyBorder="0" applyFill="0" applyFont="0" applyProtection="0" borderId="0" fillId="0" fontId="5" numFmtId="38">
      <alignment vertical="center"/>
    </xf>
    <xf applyAlignment="0" applyBorder="0" applyFill="0" applyFont="0" applyProtection="0" borderId="0" fillId="0" fontId="5" numFmtId="38"/>
    <xf applyAlignment="0" applyBorder="0" applyFill="0" applyFont="0" applyProtection="0" borderId="0" fillId="0" fontId="5" numFmtId="38">
      <alignment vertical="center"/>
    </xf>
    <xf applyAlignment="0" applyBorder="0" applyFill="0" applyFont="0" applyProtection="0" borderId="0" fillId="0" fontId="5" numFmtId="38">
      <alignment vertical="center"/>
    </xf>
    <xf applyAlignment="0" applyBorder="0" applyFill="0" applyFont="0" applyProtection="0" borderId="0" fillId="0" fontId="11" numFmtId="185"/>
    <xf applyAlignment="0" applyBorder="0" applyFill="0" applyFont="0" applyProtection="0" borderId="0" fillId="0" fontId="5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5" numFmtId="38"/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5" numFmtId="38">
      <alignment vertical="center"/>
    </xf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5" numFmtId="38">
      <alignment vertical="center"/>
    </xf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5" numFmtId="38"/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5" numFmtId="38"/>
    <xf applyAlignment="0" applyFill="0" applyNumberFormat="0" applyProtection="0" borderId="12" fillId="0" fontId="68" numFmtId="0">
      <alignment vertical="center"/>
    </xf>
    <xf applyAlignment="0" applyFill="0" applyNumberFormat="0" applyProtection="0" borderId="12" fillId="0" fontId="68" numFmtId="0">
      <alignment vertical="center"/>
    </xf>
    <xf applyAlignment="0" applyFill="0" applyNumberFormat="0" applyProtection="0" borderId="12" fillId="0" fontId="68" numFmtId="0">
      <alignment vertical="center"/>
    </xf>
    <xf applyAlignment="0" applyFill="0" applyNumberFormat="0" applyProtection="0" borderId="12" fillId="0" fontId="68" numFmtId="0">
      <alignment vertical="center"/>
    </xf>
    <xf applyAlignment="0" applyFill="0" applyNumberFormat="0" applyProtection="0" borderId="12" fillId="0" fontId="68" numFmtId="0">
      <alignment vertical="center"/>
    </xf>
    <xf applyAlignment="0" applyFill="0" applyNumberFormat="0" applyProtection="0" borderId="12" fillId="0" fontId="68" numFmtId="0">
      <alignment vertical="center"/>
    </xf>
    <xf applyAlignment="0" applyFill="0" applyNumberFormat="0" applyProtection="0" borderId="12" fillId="0" fontId="68" numFmtId="0">
      <alignment vertical="center"/>
    </xf>
    <xf applyAlignment="0" applyFill="0" applyNumberFormat="0" applyProtection="0" borderId="12" fillId="0" fontId="68" numFmtId="0">
      <alignment vertical="center"/>
    </xf>
    <xf applyAlignment="0" applyFill="0" applyNumberFormat="0" applyProtection="0" borderId="13" fillId="0" fontId="69" numFmtId="0">
      <alignment vertical="center"/>
    </xf>
    <xf applyAlignment="0" applyFill="0" applyNumberFormat="0" applyProtection="0" borderId="13" fillId="0" fontId="69" numFmtId="0">
      <alignment vertical="center"/>
    </xf>
    <xf applyAlignment="0" applyFill="0" applyNumberFormat="0" applyProtection="0" borderId="13" fillId="0" fontId="69" numFmtId="0">
      <alignment vertical="center"/>
    </xf>
    <xf applyAlignment="0" applyFill="0" applyNumberFormat="0" applyProtection="0" borderId="13" fillId="0" fontId="69" numFmtId="0">
      <alignment vertical="center"/>
    </xf>
    <xf applyAlignment="0" applyFill="0" applyNumberFormat="0" applyProtection="0" borderId="13" fillId="0" fontId="69" numFmtId="0">
      <alignment vertical="center"/>
    </xf>
    <xf applyAlignment="0" applyFill="0" applyNumberFormat="0" applyProtection="0" borderId="13" fillId="0" fontId="69" numFmtId="0">
      <alignment vertical="center"/>
    </xf>
    <xf applyAlignment="0" applyFill="0" applyNumberFormat="0" applyProtection="0" borderId="13" fillId="0" fontId="69" numFmtId="0">
      <alignment vertical="center"/>
    </xf>
    <xf applyAlignment="0" applyFill="0" applyNumberFormat="0" applyProtection="0" borderId="13" fillId="0" fontId="69" numFmtId="0">
      <alignment vertical="center"/>
    </xf>
    <xf applyAlignment="0" applyFill="0" applyNumberFormat="0" applyProtection="0" borderId="14" fillId="0" fontId="70" numFmtId="0">
      <alignment vertical="center"/>
    </xf>
    <xf applyAlignment="0" applyFill="0" applyNumberFormat="0" applyProtection="0" borderId="14" fillId="0" fontId="70" numFmtId="0">
      <alignment vertical="center"/>
    </xf>
    <xf applyAlignment="0" applyFill="0" applyNumberFormat="0" applyProtection="0" borderId="14" fillId="0" fontId="70" numFmtId="0">
      <alignment vertical="center"/>
    </xf>
    <xf applyAlignment="0" applyFill="0" applyNumberFormat="0" applyProtection="0" borderId="14" fillId="0" fontId="70" numFmtId="0">
      <alignment vertical="center"/>
    </xf>
    <xf applyAlignment="0" applyFill="0" applyNumberFormat="0" applyProtection="0" borderId="14" fillId="0" fontId="70" numFmtId="0">
      <alignment vertical="center"/>
    </xf>
    <xf applyAlignment="0" applyFill="0" applyNumberFormat="0" applyProtection="0" borderId="14" fillId="0" fontId="70" numFmtId="0">
      <alignment vertical="center"/>
    </xf>
    <xf applyAlignment="0" applyFill="0" applyNumberFormat="0" applyProtection="0" borderId="14" fillId="0" fontId="70" numFmtId="0">
      <alignment vertical="center"/>
    </xf>
    <xf applyAlignment="0" applyFill="0" applyNumberFormat="0" applyProtection="0" borderId="14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borderId="0" fillId="0" fontId="71" numFmtId="0"/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Fill="0" applyNumberFormat="0" applyProtection="0" borderId="19" fillId="0" fontId="72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applyAlignment="0" applyNumberFormat="0" applyProtection="0" borderId="17" fillId="21" fontId="73" numFmtId="0">
      <alignment vertical="center"/>
    </xf>
    <xf borderId="0" fillId="0" fontId="12" numFmtId="186"/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Font="0" applyProtection="0" borderId="0" fillId="0" fontId="11" numFmtId="187"/>
    <xf applyAlignment="0" applyBorder="0" applyFill="0" applyFont="0" applyProtection="0" borderId="0" fillId="0" fontId="11" numFmtId="188"/>
    <xf applyAlignment="0" applyBorder="0" applyFill="0" applyFont="0" applyProtection="0" borderId="0" fillId="0" fontId="7" numFmtId="8"/>
    <xf applyAlignment="0" applyBorder="0" applyFill="0" applyFont="0" applyProtection="0" borderId="0" fillId="0" fontId="7" numFmtId="8"/>
    <xf applyAlignment="0" applyBorder="0" applyFill="0" applyFont="0" applyProtection="0" borderId="0" fillId="0" fontId="7" numFmtId="8"/>
    <xf applyAlignment="0" applyBorder="0" applyFill="0" applyFont="0" applyProtection="0" borderId="0" fillId="0" fontId="7" numFmtId="8"/>
    <xf applyAlignment="0" applyBorder="0" applyFill="0" applyFont="0" applyProtection="0" borderId="0" fillId="0" fontId="7" numFmtId="8"/>
    <xf applyAlignment="0" applyBorder="0" applyFill="0" applyFont="0" applyProtection="0" borderId="0" fillId="0" fontId="7" numFmtId="8"/>
    <xf applyAlignment="0" applyBorder="0" applyFill="0" applyFont="0" applyProtection="0" borderId="0" fillId="0" fontId="5" numFmtId="6"/>
    <xf applyAlignment="0" applyBorder="0" applyFill="0" applyFont="0" applyProtection="0" borderId="0" fillId="0" fontId="14" numFmtId="6">
      <alignment vertical="center"/>
    </xf>
    <xf applyAlignment="0" applyBorder="0" applyFill="0" applyFont="0" applyProtection="0" borderId="0" fillId="0" fontId="75" numFmtId="6">
      <alignment vertical="center"/>
    </xf>
    <xf applyAlignment="0" applyBorder="0" applyFill="0" applyFont="0" applyProtection="0" borderId="0" fillId="0" fontId="14" numFmtId="6">
      <alignment vertical="center"/>
    </xf>
    <xf applyAlignment="0" applyBorder="0" applyFill="0" applyFont="0" applyProtection="0" borderId="0" fillId="0" fontId="14" numFmtId="6">
      <alignment vertical="center"/>
    </xf>
    <xf applyAlignment="0" applyBorder="0" applyFill="0" applyFont="0" applyProtection="0" borderId="0" fillId="0" fontId="5" numFmtId="6"/>
    <xf applyAlignment="0" applyBorder="0" applyFill="0" applyFont="0" applyProtection="0" borderId="0" fillId="0" fontId="7" numFmtId="6">
      <alignment vertical="center"/>
    </xf>
    <xf applyAlignment="0" applyBorder="0" applyFill="0" applyFont="0" applyProtection="0" borderId="0" fillId="0" fontId="5" numFmtId="6"/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applyAlignment="0" applyNumberFormat="0" applyProtection="0" borderId="10" fillId="8" fontId="76" numFmtId="0">
      <alignment vertical="center"/>
    </xf>
    <xf borderId="0" fillId="0" fontId="15" numFmtId="0">
      <alignment vertical="center"/>
    </xf>
    <xf borderId="0" fillId="0" fontId="1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7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77" numFmtId="0">
      <alignment vertical="center"/>
    </xf>
    <xf borderId="0" fillId="0" fontId="77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17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/>
    <xf borderId="0" fillId="0" fontId="19" numFmtId="0"/>
    <xf borderId="0" fillId="0" fontId="17" numFmtId="0">
      <alignment vertical="center"/>
    </xf>
    <xf borderId="0" fillId="0" fontId="19" numFmtId="0"/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/>
    <xf borderId="0" fillId="0" fontId="14" numFmtId="0">
      <alignment vertical="center"/>
    </xf>
    <xf borderId="0" fillId="0" fontId="5" numFmtId="0"/>
    <xf borderId="0" fillId="0" fontId="78" numFmtId="0">
      <alignment vertical="center"/>
    </xf>
    <xf borderId="0" fillId="0" fontId="14" numFmtId="0">
      <alignment vertical="center"/>
    </xf>
    <xf borderId="0" fillId="0" fontId="5" numFmtId="0"/>
    <xf borderId="0" fillId="0" fontId="5" numFmtId="0"/>
    <xf borderId="0" fillId="0" fontId="5" numFmtId="0"/>
    <xf borderId="0" fillId="0" fontId="18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21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/>
    <xf borderId="0" fillId="0" fontId="1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/>
    <xf borderId="0" fillId="0" fontId="14" numFmtId="0"/>
    <xf borderId="0" fillId="0" fontId="14" numFmtId="0">
      <alignment vertical="center"/>
    </xf>
    <xf borderId="0" fillId="0" fontId="79" numFmtId="0">
      <alignment vertical="center"/>
    </xf>
    <xf borderId="0" fillId="0" fontId="14" numFmtId="0"/>
    <xf borderId="0" fillId="0" fontId="79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7" numFmtId="0">
      <alignment vertical="center"/>
    </xf>
    <xf borderId="0" fillId="0" fontId="5" numFmtId="0">
      <alignment vertical="center"/>
    </xf>
    <xf borderId="0" fillId="0" fontId="5" numFmtId="0"/>
    <xf borderId="0" fillId="0" fontId="80" numFmtId="0">
      <alignment vertical="center"/>
    </xf>
    <xf borderId="0" fillId="0" fontId="5" numFmtId="0"/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19" numFmtId="0"/>
    <xf borderId="0" fillId="0" fontId="14" numFmtId="0">
      <alignment vertical="center"/>
    </xf>
    <xf borderId="0" fillId="0" fontId="14" numFmtId="0">
      <alignment vertical="center"/>
    </xf>
    <xf borderId="0" fillId="0" fontId="19" numFmtId="0"/>
    <xf borderId="0" fillId="0" fontId="17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/>
    <xf borderId="0" fillId="0" fontId="14" numFmtId="0">
      <alignment vertical="center"/>
    </xf>
    <xf borderId="0" fillId="0" fontId="5" numFmtId="0"/>
    <xf borderId="0" fillId="0" fontId="81" numFmtId="0"/>
    <xf borderId="0" fillId="0" fontId="14" numFmtId="0"/>
    <xf borderId="0" fillId="0" fontId="7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7" numFmtId="0">
      <alignment vertical="center"/>
    </xf>
    <xf borderId="0" fillId="0" fontId="14" numFmtId="0">
      <alignment vertical="center"/>
    </xf>
    <xf borderId="0" fillId="0" fontId="7" numFmtId="0">
      <alignment vertical="center"/>
    </xf>
    <xf borderId="0" fillId="0" fontId="15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9" numFmtId="0"/>
    <xf borderId="0" fillId="0" fontId="78" numFmtId="0">
      <alignment vertical="center"/>
    </xf>
    <xf borderId="0" fillId="0" fontId="19" numFmtId="0"/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7" numFmtId="0">
      <alignment vertical="center"/>
    </xf>
    <xf borderId="0" fillId="0" fontId="5" numFmtId="0"/>
    <xf borderId="0" fillId="0" fontId="5" numFmtId="0"/>
    <xf borderId="0" fillId="0" fontId="21" numFmtId="0">
      <alignment vertical="center"/>
    </xf>
    <xf borderId="0" fillId="0" fontId="14" numFmtId="0">
      <alignment vertical="center"/>
    </xf>
    <xf borderId="0" fillId="0" fontId="5" numFmtId="0"/>
    <xf borderId="0" fillId="0" fontId="14" numFmtId="0"/>
    <xf borderId="0" fillId="0" fontId="14" numFmtId="0"/>
    <xf borderId="0" fillId="0" fontId="5" numFmtId="0"/>
    <xf borderId="0" fillId="0" fontId="5" numFmtId="0">
      <alignment vertical="center"/>
    </xf>
    <xf borderId="0" fillId="0" fontId="17" numFmtId="0">
      <alignment vertical="center"/>
    </xf>
    <xf borderId="0" fillId="0" fontId="81" numFmtId="0"/>
    <xf borderId="0" fillId="0" fontId="17" numFmtId="0">
      <alignment vertical="center"/>
    </xf>
    <xf borderId="0" fillId="0" fontId="5" numFmtId="0"/>
    <xf borderId="0" fillId="0" fontId="5" numFmtId="0">
      <alignment vertical="center"/>
    </xf>
    <xf borderId="0" fillId="0" fontId="81" numFmtId="0"/>
    <xf borderId="0" fillId="0" fontId="5" numFmtId="0"/>
    <xf borderId="0" fillId="0" fontId="5" numFmtId="0"/>
    <xf borderId="0" fillId="0" fontId="81" numFmtId="0"/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81" numFmtId="0"/>
    <xf borderId="0" fillId="0" fontId="81" numFmtId="0"/>
    <xf borderId="0" fillId="0" fontId="5" numFmtId="0"/>
    <xf borderId="0" fillId="0" fontId="81" numFmtId="0"/>
    <xf borderId="0" fillId="0" fontId="21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/>
    <xf borderId="0" fillId="0" fontId="82" numFmtId="0">
      <alignment vertical="center"/>
    </xf>
    <xf borderId="0" fillId="0" fontId="5" numFmtId="0"/>
    <xf borderId="0" fillId="0" fontId="5" numFmtId="0"/>
    <xf borderId="0" fillId="0" fontId="14" numFmtId="0"/>
    <xf borderId="0" fillId="0" fontId="14" numFmtId="0"/>
    <xf borderId="0" fillId="0" fontId="5" numFmtId="0"/>
    <xf borderId="0" fillId="0" fontId="5" numFmtId="0"/>
    <xf borderId="0" fillId="0" fontId="7" numFmtId="0">
      <alignment vertical="center"/>
    </xf>
    <xf borderId="0" fillId="0" fontId="5" numFmtId="0"/>
    <xf borderId="0" fillId="0" fontId="5" numFmtId="0"/>
    <xf borderId="0" fillId="0" fontId="14" numFmtId="0">
      <alignment vertical="center"/>
    </xf>
    <xf borderId="0" fillId="0" fontId="5" numFmtId="0"/>
    <xf borderId="0" fillId="0" fontId="5" numFmtId="0"/>
    <xf borderId="0" fillId="0" fontId="14" numFmtId="0">
      <alignment vertical="center"/>
    </xf>
    <xf borderId="0" fillId="0" fontId="5" numFmtId="0"/>
    <xf borderId="0" fillId="0" fontId="5" numFmtId="0"/>
    <xf borderId="0" fillId="0" fontId="14" numFmtId="0">
      <alignment vertical="center"/>
    </xf>
    <xf borderId="0" fillId="0" fontId="5" numFmtId="0"/>
    <xf borderId="0" fillId="0" fontId="5" numFmtId="0"/>
    <xf borderId="0" fillId="0" fontId="5" numFmtId="0">
      <alignment vertical="center"/>
    </xf>
    <xf borderId="0" fillId="0" fontId="5" numFmtId="0"/>
    <xf borderId="0" fillId="0" fontId="5" numFmtId="0"/>
    <xf borderId="0" fillId="0" fontId="5" numFmtId="0"/>
    <xf borderId="0" fillId="0" fontId="14" numFmtId="0">
      <alignment vertical="center"/>
    </xf>
    <xf borderId="0" fillId="0" fontId="17" numFmtId="0"/>
    <xf borderId="0" fillId="0" fontId="5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83" numFmtId="0">
      <alignment vertical="center"/>
    </xf>
    <xf borderId="0" fillId="0" fontId="14" numFmtId="0">
      <alignment vertical="center"/>
    </xf>
    <xf borderId="0" fillId="0" fontId="21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5" numFmtId="0"/>
    <xf borderId="0" fillId="0" fontId="5" numFmtId="0"/>
    <xf borderId="0" fillId="0" fontId="5" numFmtId="0"/>
    <xf borderId="0" fillId="0" fontId="5" numFmtId="0"/>
    <xf borderId="0" fillId="0" fontId="8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80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8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/>
    <xf borderId="0" fillId="0" fontId="5" numFmtId="0">
      <alignment vertical="center"/>
    </xf>
    <xf borderId="0" fillId="0" fontId="8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/>
    <xf borderId="0" fillId="0" fontId="85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5" numFmtId="0"/>
    <xf borderId="0" fillId="0" fontId="5" numFmtId="0"/>
    <xf borderId="0" fillId="0" fontId="14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14" numFmtId="0">
      <alignment vertical="center"/>
    </xf>
    <xf borderId="0" fillId="0" fontId="14" numFmtId="0">
      <alignment vertical="center"/>
    </xf>
    <xf borderId="0" fillId="0" fontId="5" numFmtId="0"/>
    <xf borderId="0" fillId="0" fontId="5" numFmtId="0"/>
    <xf borderId="0" fillId="0" fontId="5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80" numFmtId="0">
      <alignment vertical="center"/>
    </xf>
    <xf borderId="0" fillId="0" fontId="5" numFmtId="0"/>
    <xf borderId="0" fillId="0" fontId="5" numFmtId="0">
      <alignment vertical="center"/>
    </xf>
    <xf borderId="0" fillId="0" fontId="80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/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85" numFmtId="0">
      <alignment vertical="center"/>
    </xf>
    <xf borderId="0" fillId="0" fontId="85" numFmtId="0">
      <alignment vertical="center"/>
    </xf>
    <xf borderId="0" fillId="0" fontId="5" numFmtId="0">
      <alignment vertical="center"/>
    </xf>
    <xf borderId="0" fillId="0" fontId="85" numFmtId="0">
      <alignment vertical="center"/>
    </xf>
    <xf borderId="0" fillId="0" fontId="5" numFmtId="0"/>
    <xf borderId="0" fillId="0" fontId="5" numFmtId="0">
      <alignment vertical="center"/>
    </xf>
    <xf borderId="0" fillId="0" fontId="5" numFmtId="0"/>
    <xf borderId="0" fillId="0" fontId="19" numFmtId="0"/>
    <xf borderId="0" fillId="0" fontId="85" numFmtId="0">
      <alignment vertical="center"/>
    </xf>
    <xf borderId="0" fillId="0" fontId="19" numFmtId="0"/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21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21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/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86" numFmtId="0"/>
    <xf borderId="0" fillId="0" fontId="87" numFmtId="0"/>
    <xf borderId="0" fillId="0" fontId="57" numFmtId="0"/>
    <xf applyBorder="0" applyFill="0" borderId="0" fillId="0" fontId="15" numFmtId="49"/>
    <xf borderId="0" fillId="0" fontId="88" numFmtId="0"/>
    <xf borderId="0" fillId="0" fontId="89" numFmtId="0"/>
    <xf borderId="0" fillId="0" fontId="88" numFmtId="0"/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borderId="0" fillId="0" fontId="5" numFmtId="0"/>
    <xf borderId="0" fillId="0" fontId="3" numFmtId="0">
      <alignment vertical="center"/>
    </xf>
    <xf borderId="0" fillId="0" fontId="91" numFmtId="0"/>
    <xf borderId="0" fillId="0" fontId="91" numFmtId="0"/>
    <xf borderId="0" fillId="0" fontId="91" numFmtId="186"/>
    <xf borderId="0" fillId="0" fontId="91" numFmtId="186"/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92" numFmtId="0">
      <alignment vertical="center"/>
    </xf>
    <xf borderId="0" fillId="0" fontId="1" numFmtId="0">
      <alignment vertical="center"/>
    </xf>
    <xf borderId="0" fillId="0" fontId="1" numFmtId="0">
      <alignment vertical="center"/>
    </xf>
    <xf borderId="0" fillId="0" fontId="1" numFmtId="0">
      <alignment vertical="center"/>
    </xf>
    <xf borderId="0" fillId="0" fontId="1" numFmtId="0">
      <alignment vertical="center"/>
    </xf>
    <xf borderId="0" fillId="0" fontId="1" numFmtId="0">
      <alignment vertical="center"/>
    </xf>
    <xf applyAlignment="0" applyBorder="0" applyFill="0" applyFont="0" applyProtection="0" borderId="0" fillId="0" fontId="1" numFmtId="38">
      <alignment vertical="center"/>
    </xf>
  </cellStyleXfs>
  <cellXfs count="54">
    <xf borderId="0" fillId="0" fontId="0" numFmtId="0" xfId="0"/>
    <xf applyAlignment="1" applyBorder="1" applyFill="1" applyFont="1" applyNumberFormat="1" borderId="37" fillId="0" fontId="7" numFmtId="189" xfId="1946">
      <alignment horizontal="right" vertical="center"/>
    </xf>
    <xf applyAlignment="1" applyBorder="1" applyFill="1" applyFont="1" applyNumberFormat="1" borderId="23" fillId="0" fontId="7" numFmtId="3" xfId="1946">
      <alignment horizontal="right" vertical="center"/>
    </xf>
    <xf applyAlignment="1" applyBorder="1" applyFill="1" applyFont="1" applyNumberFormat="1" borderId="22" fillId="0" fontId="7" numFmtId="49" xfId="1946">
      <alignment horizontal="right" vertical="center"/>
    </xf>
    <xf applyAlignment="1" applyBorder="1" applyFill="1" applyFont="1" applyNumberFormat="1" borderId="21" fillId="0" fontId="7" numFmtId="3" xfId="1946">
      <alignment horizontal="right" vertical="center"/>
    </xf>
    <xf applyAlignment="1" applyBorder="1" applyFill="1" applyFont="1" applyNumberFormat="1" borderId="21" fillId="0" fontId="7" numFmtId="4" xfId="1946">
      <alignment horizontal="right" vertical="center"/>
    </xf>
    <xf applyAlignment="1" applyBorder="1" applyFill="1" applyFont="1" applyNumberFormat="1" borderId="23" fillId="0" fontId="7" numFmtId="49" xfId="1946">
      <alignment horizontal="right" vertical="center"/>
    </xf>
    <xf applyAlignment="1" applyBorder="1" applyFill="1" applyFont="1" applyNumberFormat="1" borderId="22" fillId="0" fontId="7" numFmtId="49" xfId="1946">
      <alignment vertical="center"/>
    </xf>
    <xf applyAlignment="1" applyBorder="1" applyFill="1" applyFont="1" applyNumberFormat="1" borderId="21" fillId="0" fontId="7" numFmtId="49" xfId="1946">
      <alignment vertical="center"/>
    </xf>
    <xf applyAlignment="1" applyBorder="1" applyFill="1" applyFont="1" applyNumberFormat="1" borderId="36" fillId="0" fontId="7" numFmtId="49" xfId="1946">
      <alignment vertical="center"/>
    </xf>
    <xf applyFill="1" applyFont="1" borderId="0" fillId="0" fontId="95" numFmtId="0" xfId="1946">
      <alignment vertical="center"/>
    </xf>
    <xf applyBorder="1" applyFill="1" applyFont="1" borderId="9" fillId="0" fontId="19" numFmtId="0" xfId="1946">
      <alignment vertical="center"/>
    </xf>
    <xf applyAlignment="1" applyBorder="1" applyFill="1" applyFont="1" applyNumberFormat="1" borderId="20" fillId="0" fontId="93" numFmtId="0" xfId="1946">
      <alignment vertical="center" wrapText="1"/>
    </xf>
    <xf applyBorder="1" applyFill="1" applyFont="1" borderId="20" fillId="0" fontId="19" numFmtId="0" xfId="1946">
      <alignment vertical="center"/>
    </xf>
    <xf applyBorder="1" applyFill="1" applyFont="1" borderId="8" fillId="0" fontId="19" numFmtId="0" xfId="1946">
      <alignment vertical="center"/>
    </xf>
    <xf applyAlignment="1" applyBorder="1" applyFill="1" applyFont="1" applyNumberFormat="1" borderId="39" fillId="0" fontId="7" numFmtId="0" xfId="1946">
      <alignment horizontal="center" vertical="center" wrapText="1"/>
    </xf>
    <xf applyAlignment="1" applyBorder="1" applyFill="1" applyFont="1" applyNumberFormat="1" borderId="44" fillId="0" fontId="7" numFmtId="0" xfId="1946">
      <alignment horizontal="center" vertical="center" wrapText="1"/>
    </xf>
    <xf applyAlignment="1" applyBorder="1" applyFill="1" applyFont="1" applyNumberFormat="1" borderId="36" fillId="0" fontId="7" numFmtId="0" xfId="1946">
      <alignment horizontal="center" vertical="center" wrapText="1"/>
    </xf>
    <xf applyAlignment="1" applyBorder="1" applyFill="1" applyFont="1" applyNumberFormat="1" borderId="21" fillId="0" fontId="7" numFmtId="0" xfId="1946">
      <alignment horizontal="center" vertical="center" wrapText="1"/>
    </xf>
    <xf applyAlignment="1" applyBorder="1" applyFill="1" applyFont="1" applyNumberFormat="1" borderId="23" fillId="0" fontId="7" numFmtId="0" xfId="1946">
      <alignment horizontal="center" vertical="center" wrapText="1"/>
    </xf>
    <xf applyAlignment="1" applyBorder="1" applyFill="1" applyFont="1" applyNumberFormat="1" borderId="37" fillId="0" fontId="7" numFmtId="0" xfId="1946">
      <alignment horizontal="center" vertical="center" wrapText="1"/>
    </xf>
    <xf applyFill="1" applyFont="1" borderId="0" fillId="0" fontId="19" numFmtId="0" xfId="1946">
      <alignment vertical="center"/>
    </xf>
    <xf applyAlignment="1" applyBorder="1" applyFill="1" applyFont="1" borderId="9" fillId="0" fontId="94" numFmtId="0" xfId="1946">
      <alignment vertical="center" wrapText="1"/>
    </xf>
    <xf applyAlignment="1" applyBorder="1" applyFill="1" applyFont="1" borderId="9" fillId="0" fontId="94" numFmtId="0" xfId="1946">
      <alignment vertical="center"/>
    </xf>
    <xf applyAlignment="1" applyBorder="1" applyFill="1" applyFont="1" borderId="6" fillId="0" fontId="94" numFmtId="0" xfId="1946">
      <alignment vertical="center"/>
    </xf>
    <xf applyAlignment="1" applyBorder="1" applyFill="1" applyFont="1" applyNumberFormat="1" borderId="24" fillId="0" fontId="7" numFmtId="0" xfId="1946">
      <alignment horizontal="center" vertical="center" wrapText="1"/>
    </xf>
    <xf applyAlignment="1" applyBorder="1" applyFill="1" applyFont="1" applyNumberFormat="1" borderId="21" fillId="0" fontId="7" numFmtId="0" xfId="1946">
      <alignment horizontal="center" vertical="center" wrapText="1"/>
    </xf>
    <xf applyAlignment="1" applyBorder="1" applyFill="1" applyFont="1" applyNumberFormat="1" borderId="27" fillId="0" fontId="7" numFmtId="0" xfId="1946">
      <alignment horizontal="center" vertical="top" wrapText="1"/>
    </xf>
    <xf applyAlignment="1" applyBorder="1" applyFill="1" applyFont="1" applyNumberFormat="1" borderId="25" fillId="0" fontId="7" numFmtId="0" xfId="1946">
      <alignment horizontal="center" vertical="center" wrapText="1"/>
    </xf>
    <xf applyAlignment="1" applyBorder="1" applyFill="1" applyFont="1" applyNumberFormat="1" borderId="28" fillId="0" fontId="7" numFmtId="0" xfId="1946">
      <alignment horizontal="center" vertical="center" wrapText="1"/>
    </xf>
    <xf applyAlignment="1" applyBorder="1" applyFill="1" applyFont="1" applyNumberFormat="1" borderId="29" fillId="0" fontId="7" numFmtId="0" xfId="1946">
      <alignment horizontal="center" vertical="center" wrapText="1"/>
    </xf>
    <xf applyAlignment="1" applyBorder="1" applyFill="1" applyFont="1" applyNumberFormat="1" borderId="22" fillId="0" fontId="7" numFmtId="0" xfId="1946">
      <alignment horizontal="center" vertical="center" wrapText="1"/>
    </xf>
    <xf applyAlignment="1" applyBorder="1" applyFill="1" applyFont="1" applyNumberFormat="1" borderId="23" fillId="0" fontId="7" numFmtId="0" xfId="1946">
      <alignment horizontal="center" vertical="center" wrapText="1"/>
    </xf>
    <xf applyAlignment="1" applyBorder="1" applyFill="1" applyFont="1" applyNumberFormat="1" borderId="5" fillId="0" fontId="93" numFmtId="0" xfId="1946">
      <alignment vertical="center" wrapText="1"/>
    </xf>
    <xf applyAlignment="1" applyBorder="1" applyFill="1" applyFont="1" applyNumberFormat="1" borderId="9" fillId="0" fontId="93" numFmtId="0" xfId="1946">
      <alignment vertical="center" wrapText="1"/>
    </xf>
    <xf applyAlignment="1" applyBorder="1" applyFill="1" applyFont="1" applyNumberFormat="1" borderId="7" fillId="0" fontId="93" numFmtId="0" xfId="1946">
      <alignment vertical="center" wrapText="1"/>
    </xf>
    <xf applyAlignment="1" applyBorder="1" applyFill="1" applyFont="1" applyNumberFormat="1" borderId="20" fillId="0" fontId="93" numFmtId="0" xfId="1946">
      <alignment vertical="center" wrapText="1"/>
    </xf>
    <xf applyAlignment="1" applyBorder="1" applyFill="1" applyFont="1" applyNumberFormat="1" borderId="34" fillId="0" fontId="7" numFmtId="0" xfId="1946">
      <alignment horizontal="center" vertical="center" wrapText="1"/>
    </xf>
    <xf applyAlignment="1" applyBorder="1" applyFill="1" applyFont="1" applyNumberFormat="1" borderId="36" fillId="0" fontId="7" numFmtId="0" xfId="1946">
      <alignment horizontal="center" vertical="center" wrapText="1"/>
    </xf>
    <xf applyAlignment="1" applyBorder="1" applyFill="1" applyFont="1" applyNumberFormat="1" borderId="45" fillId="0" fontId="7" numFmtId="0" xfId="1946">
      <alignment horizontal="center" vertical="center" wrapText="1"/>
    </xf>
    <xf applyAlignment="1" applyBorder="1" applyFill="1" applyFont="1" applyNumberFormat="1" borderId="27" fillId="0" fontId="7" numFmtId="0" xfId="1946">
      <alignment horizontal="center" vertical="center" wrapText="1"/>
    </xf>
    <xf applyAlignment="1" applyBorder="1" applyFill="1" applyFont="1" applyNumberFormat="1" borderId="32" fillId="0" fontId="7" numFmtId="0" xfId="1946">
      <alignment horizontal="center" vertical="center" wrapText="1"/>
    </xf>
    <xf applyAlignment="1" applyBorder="1" applyFill="1" applyFont="1" applyNumberFormat="1" borderId="33" fillId="0" fontId="7" numFmtId="0" xfId="1946">
      <alignment horizontal="center" vertical="center" wrapText="1"/>
    </xf>
    <xf applyAlignment="1" applyBorder="1" applyFill="1" applyFont="1" applyNumberFormat="1" borderId="26" fillId="0" fontId="7" numFmtId="0" xfId="1946">
      <alignment horizontal="center" vertical="center" wrapText="1"/>
    </xf>
    <xf applyAlignment="1" applyBorder="1" applyFill="1" applyFont="1" applyNumberFormat="1" borderId="30" fillId="0" fontId="7" numFmtId="0" xfId="1946">
      <alignment horizontal="center" vertical="top" wrapText="1"/>
    </xf>
    <xf applyAlignment="1" applyBorder="1" applyFill="1" applyFont="1" applyNumberFormat="1" borderId="31" fillId="0" fontId="7" numFmtId="0" xfId="1946">
      <alignment horizontal="center" vertical="top" wrapText="1"/>
    </xf>
    <xf applyAlignment="1" applyBorder="1" applyFill="1" applyFont="1" applyNumberFormat="1" borderId="35" fillId="0" fontId="7" numFmtId="0" xfId="1946">
      <alignment horizontal="center" vertical="center" wrapText="1"/>
    </xf>
    <xf applyAlignment="1" applyBorder="1" applyFill="1" applyFont="1" applyNumberFormat="1" borderId="37" fillId="0" fontId="7" numFmtId="0" xfId="1946">
      <alignment horizontal="center" vertical="center" wrapText="1"/>
    </xf>
    <xf applyAlignment="1" applyBorder="1" applyFill="1" applyFont="1" applyNumberFormat="1" borderId="40" fillId="0" fontId="7" numFmtId="0" xfId="1946">
      <alignment horizontal="center" vertical="center" wrapText="1"/>
    </xf>
    <xf applyAlignment="1" applyBorder="1" applyFill="1" applyFont="1" applyNumberFormat="1" borderId="41" fillId="0" fontId="7" numFmtId="0" xfId="1946">
      <alignment horizontal="center" vertical="center" wrapText="1"/>
    </xf>
    <xf applyAlignment="1" applyBorder="1" applyFill="1" applyFont="1" applyNumberFormat="1" borderId="38" fillId="0" fontId="7" numFmtId="0" xfId="1946">
      <alignment horizontal="center" vertical="center" wrapText="1"/>
    </xf>
    <xf applyAlignment="1" applyBorder="1" applyFill="1" applyFont="1" applyNumberFormat="1" borderId="23" fillId="0" fontId="96" numFmtId="0" xfId="1946">
      <alignment horizontal="center" vertical="center" wrapText="1"/>
    </xf>
    <xf applyAlignment="1" applyBorder="1" applyFill="1" applyFont="1" applyNumberFormat="1" borderId="42" fillId="0" fontId="7" numFmtId="0" xfId="1946">
      <alignment horizontal="center" vertical="center" wrapText="1"/>
    </xf>
    <xf applyAlignment="1" applyBorder="1" applyFill="1" applyFont="1" applyNumberFormat="1" borderId="43" fillId="0" fontId="7" numFmtId="0" xfId="1946">
      <alignment horizontal="center" vertical="center" wrapText="1"/>
    </xf>
  </cellXfs>
  <cellStyles count="1953">
    <cellStyle name="_x000c_ーセン_x000c_" xfId="17"/>
    <cellStyle name="_x000d__x000a_JournalTemplate=C:\COMFO\CTALK\JOURSTD.TPL_x000d__x000a_LbStateAddress=3 3 0 251 1 89 2 311_x000d__x000a_LbStateJou" xfId="18"/>
    <cellStyle name="0,0_x000d__x000a_NA_x000d__x000a_" xfId="19"/>
    <cellStyle name="20% - Accent1" xfId="20"/>
    <cellStyle name="20% - Accent2" xfId="21"/>
    <cellStyle name="20% - Accent3" xfId="22"/>
    <cellStyle name="20% - Accent4" xfId="23"/>
    <cellStyle name="20% - Accent5" xfId="24"/>
    <cellStyle name="20% - Accent6" xfId="25"/>
    <cellStyle name="20% - アクセント 1 2" xfId="26"/>
    <cellStyle name="20% - アクセント 1 3" xfId="27"/>
    <cellStyle name="20% - アクセント 1 4" xfId="28"/>
    <cellStyle name="20% - アクセント 1 5" xfId="29"/>
    <cellStyle name="20% - アクセント 1 6" xfId="30"/>
    <cellStyle name="20% - アクセント 1 7" xfId="31"/>
    <cellStyle name="20% - アクセント 1 8" xfId="32"/>
    <cellStyle name="20% - アクセント 1 9" xfId="33"/>
    <cellStyle name="20% - アクセント 2 2" xfId="34"/>
    <cellStyle name="20% - アクセント 2 3" xfId="35"/>
    <cellStyle name="20% - アクセント 2 4" xfId="36"/>
    <cellStyle name="20% - アクセント 2 5" xfId="37"/>
    <cellStyle name="20% - アクセント 2 6" xfId="38"/>
    <cellStyle name="20% - アクセント 2 7" xfId="39"/>
    <cellStyle name="20% - アクセント 2 8" xfId="40"/>
    <cellStyle name="20% - アクセント 2 9" xfId="41"/>
    <cellStyle name="20% - アクセント 3 2" xfId="42"/>
    <cellStyle name="20% - アクセント 3 3" xfId="43"/>
    <cellStyle name="20% - アクセント 3 4" xfId="44"/>
    <cellStyle name="20% - アクセント 3 5" xfId="45"/>
    <cellStyle name="20% - アクセント 3 6" xfId="46"/>
    <cellStyle name="20% - アクセント 3 7" xfId="47"/>
    <cellStyle name="20% - アクセント 3 8" xfId="48"/>
    <cellStyle name="20% - アクセント 3 9" xfId="49"/>
    <cellStyle name="20% - アクセント 4 2" xfId="50"/>
    <cellStyle name="20% - アクセント 4 3" xfId="51"/>
    <cellStyle name="20% - アクセント 4 4" xfId="52"/>
    <cellStyle name="20% - アクセント 4 5" xfId="53"/>
    <cellStyle name="20% - アクセント 4 6" xfId="54"/>
    <cellStyle name="20% - アクセント 4 7" xfId="55"/>
    <cellStyle name="20% - アクセント 4 8" xfId="56"/>
    <cellStyle name="20% - アクセント 4 9" xfId="57"/>
    <cellStyle name="20% - アクセント 5 2" xfId="58"/>
    <cellStyle name="20% - アクセント 5 3" xfId="59"/>
    <cellStyle name="20% - アクセント 5 4" xfId="60"/>
    <cellStyle name="20% - アクセント 5 5" xfId="61"/>
    <cellStyle name="20% - アクセント 5 6" xfId="62"/>
    <cellStyle name="20% - アクセント 5 7" xfId="63"/>
    <cellStyle name="20% - アクセント 5 8" xfId="64"/>
    <cellStyle name="20% - アクセント 5 9" xfId="65"/>
    <cellStyle name="20% - アクセント 6 2" xfId="66"/>
    <cellStyle name="20% - アクセント 6 3" xfId="67"/>
    <cellStyle name="20% - アクセント 6 4" xfId="68"/>
    <cellStyle name="20% - アクセント 6 5" xfId="69"/>
    <cellStyle name="20% - アクセント 6 6" xfId="70"/>
    <cellStyle name="20% - アクセント 6 7" xfId="71"/>
    <cellStyle name="20% - アクセント 6 8" xfId="72"/>
    <cellStyle name="20% - アクセント 6 9" xfId="73"/>
    <cellStyle name="40% - Accent1" xfId="74"/>
    <cellStyle name="40% - Accent2" xfId="75"/>
    <cellStyle name="40% - Accent3" xfId="76"/>
    <cellStyle name="40% - Accent4" xfId="77"/>
    <cellStyle name="40% - Accent5" xfId="78"/>
    <cellStyle name="40% - Accent6" xfId="79"/>
    <cellStyle name="40% - アクセント 1 2" xfId="80"/>
    <cellStyle name="40% - アクセント 1 3" xfId="81"/>
    <cellStyle name="40% - アクセント 1 4" xfId="82"/>
    <cellStyle name="40% - アクセント 1 5" xfId="83"/>
    <cellStyle name="40% - アクセント 1 6" xfId="84"/>
    <cellStyle name="40% - アクセント 1 7" xfId="85"/>
    <cellStyle name="40% - アクセント 1 8" xfId="86"/>
    <cellStyle name="40% - アクセント 1 9" xfId="87"/>
    <cellStyle name="40% - アクセント 2 2" xfId="88"/>
    <cellStyle name="40% - アクセント 2 3" xfId="89"/>
    <cellStyle name="40% - アクセント 2 4" xfId="90"/>
    <cellStyle name="40% - アクセント 2 5" xfId="91"/>
    <cellStyle name="40% - アクセント 2 6" xfId="92"/>
    <cellStyle name="40% - アクセント 2 7" xfId="93"/>
    <cellStyle name="40% - アクセント 2 8" xfId="94"/>
    <cellStyle name="40% - アクセント 2 9" xfId="95"/>
    <cellStyle name="40% - アクセント 3 2" xfId="96"/>
    <cellStyle name="40% - アクセント 3 3" xfId="97"/>
    <cellStyle name="40% - アクセント 3 4" xfId="98"/>
    <cellStyle name="40% - アクセント 3 5" xfId="99"/>
    <cellStyle name="40% - アクセント 3 6" xfId="100"/>
    <cellStyle name="40% - アクセント 3 7" xfId="101"/>
    <cellStyle name="40% - アクセント 3 8" xfId="102"/>
    <cellStyle name="40% - アクセント 3 9" xfId="103"/>
    <cellStyle name="40% - アクセント 4 2" xfId="104"/>
    <cellStyle name="40% - アクセント 4 3" xfId="105"/>
    <cellStyle name="40% - アクセント 4 4" xfId="106"/>
    <cellStyle name="40% - アクセント 4 5" xfId="107"/>
    <cellStyle name="40% - アクセント 4 6" xfId="108"/>
    <cellStyle name="40% - アクセント 4 7" xfId="109"/>
    <cellStyle name="40% - アクセント 4 8" xfId="110"/>
    <cellStyle name="40% - アクセント 4 9" xfId="111"/>
    <cellStyle name="40% - アクセント 5 2" xfId="112"/>
    <cellStyle name="40% - アクセント 5 3" xfId="113"/>
    <cellStyle name="40% - アクセント 5 4" xfId="114"/>
    <cellStyle name="40% - アクセント 5 5" xfId="115"/>
    <cellStyle name="40% - アクセント 5 6" xfId="116"/>
    <cellStyle name="40% - アクセント 5 7" xfId="117"/>
    <cellStyle name="40% - アクセント 5 8" xfId="118"/>
    <cellStyle name="40% - アクセント 5 9" xfId="119"/>
    <cellStyle name="40% - アクセント 6 2" xfId="120"/>
    <cellStyle name="40% - アクセント 6 3" xfId="121"/>
    <cellStyle name="40% - アクセント 6 4" xfId="122"/>
    <cellStyle name="40% - アクセント 6 5" xfId="123"/>
    <cellStyle name="40% - アクセント 6 6" xfId="124"/>
    <cellStyle name="40% - アクセント 6 7" xfId="125"/>
    <cellStyle name="40% - アクセント 6 8" xfId="126"/>
    <cellStyle name="40% - アクセント 6 9" xfId="127"/>
    <cellStyle name="60% - Accent1" xfId="128"/>
    <cellStyle name="60% - Accent2" xfId="129"/>
    <cellStyle name="60% - Accent3" xfId="130"/>
    <cellStyle name="60% - Accent4" xfId="131"/>
    <cellStyle name="60% - Accent5" xfId="132"/>
    <cellStyle name="60% - Accent6" xfId="133"/>
    <cellStyle name="60% - アクセント 1 2" xfId="134"/>
    <cellStyle name="60% - アクセント 1 3" xfId="135"/>
    <cellStyle name="60% - アクセント 1 4" xfId="136"/>
    <cellStyle name="60% - アクセント 1 5" xfId="137"/>
    <cellStyle name="60% - アクセント 1 6" xfId="138"/>
    <cellStyle name="60% - アクセント 1 7" xfId="139"/>
    <cellStyle name="60% - アクセント 1 8" xfId="140"/>
    <cellStyle name="60% - アクセント 1 9" xfId="141"/>
    <cellStyle name="60% - アクセント 2 2" xfId="142"/>
    <cellStyle name="60% - アクセント 2 3" xfId="143"/>
    <cellStyle name="60% - アクセント 2 4" xfId="144"/>
    <cellStyle name="60% - アクセント 2 5" xfId="145"/>
    <cellStyle name="60% - アクセント 2 6" xfId="146"/>
    <cellStyle name="60% - アクセント 2 7" xfId="147"/>
    <cellStyle name="60% - アクセント 2 8" xfId="148"/>
    <cellStyle name="60% - アクセント 2 9" xfId="149"/>
    <cellStyle name="60% - アクセント 3 2" xfId="150"/>
    <cellStyle name="60% - アクセント 3 3" xfId="151"/>
    <cellStyle name="60% - アクセント 3 4" xfId="152"/>
    <cellStyle name="60% - アクセント 3 5" xfId="153"/>
    <cellStyle name="60% - アクセント 3 6" xfId="154"/>
    <cellStyle name="60% - アクセント 3 7" xfId="155"/>
    <cellStyle name="60% - アクセント 3 8" xfId="156"/>
    <cellStyle name="60% - アクセント 3 9" xfId="157"/>
    <cellStyle name="60% - アクセント 4 2" xfId="158"/>
    <cellStyle name="60% - アクセント 4 3" xfId="159"/>
    <cellStyle name="60% - アクセント 4 4" xfId="160"/>
    <cellStyle name="60% - アクセント 4 5" xfId="161"/>
    <cellStyle name="60% - アクセント 4 6" xfId="162"/>
    <cellStyle name="60% - アクセント 4 7" xfId="163"/>
    <cellStyle name="60% - アクセント 4 8" xfId="164"/>
    <cellStyle name="60% - アクセント 4 9" xfId="165"/>
    <cellStyle name="60% - アクセント 5 2" xfId="166"/>
    <cellStyle name="60% - アクセント 5 3" xfId="167"/>
    <cellStyle name="60% - アクセント 5 4" xfId="168"/>
    <cellStyle name="60% - アクセント 5 5" xfId="169"/>
    <cellStyle name="60% - アクセント 5 6" xfId="170"/>
    <cellStyle name="60% - アクセント 5 7" xfId="171"/>
    <cellStyle name="60% - アクセント 5 8" xfId="172"/>
    <cellStyle name="60% - アクセント 5 9" xfId="173"/>
    <cellStyle name="60% - アクセント 6 2" xfId="174"/>
    <cellStyle name="60% - アクセント 6 3" xfId="175"/>
    <cellStyle name="60% - アクセント 6 4" xfId="176"/>
    <cellStyle name="60% - アクセント 6 5" xfId="177"/>
    <cellStyle name="60% - アクセント 6 6" xfId="178"/>
    <cellStyle name="60% - アクセント 6 7" xfId="179"/>
    <cellStyle name="60% - アクセント 6 8" xfId="180"/>
    <cellStyle name="60% - アクセント 6 9" xfId="181"/>
    <cellStyle name="Accent1" xfId="182"/>
    <cellStyle name="Accent2" xfId="183"/>
    <cellStyle name="Accent3" xfId="184"/>
    <cellStyle name="Accent4" xfId="185"/>
    <cellStyle name="Accent5" xfId="186"/>
    <cellStyle name="Accent6" xfId="187"/>
    <cellStyle name="args.style" xfId="188"/>
    <cellStyle name="B10" xfId="189"/>
    <cellStyle name="Bad" xfId="190"/>
    <cellStyle name="Body" xfId="191"/>
    <cellStyle name="Calc Currency (0)" xfId="2"/>
    <cellStyle name="Calc Currency (0) 2" xfId="192"/>
    <cellStyle name="Calculation" xfId="193"/>
    <cellStyle name="Calculation 2" xfId="194"/>
    <cellStyle name="Calculation 2 2" xfId="195"/>
    <cellStyle name="Calculation 2 2 2" xfId="196"/>
    <cellStyle name="Calculation 2 3" xfId="197"/>
    <cellStyle name="Calculation 2 3 2" xfId="198"/>
    <cellStyle name="Calculation 2 4" xfId="199"/>
    <cellStyle name="Calculation 2 4 2" xfId="200"/>
    <cellStyle name="Calculation 2 5" xfId="201"/>
    <cellStyle name="Calculation 2 5 2" xfId="202"/>
    <cellStyle name="Calculation 2 6" xfId="203"/>
    <cellStyle name="Calculation 2 6 2" xfId="204"/>
    <cellStyle name="Calculation 2 7" xfId="205"/>
    <cellStyle name="Calculation 3" xfId="206"/>
    <cellStyle name="Calculation 3 2" xfId="207"/>
    <cellStyle name="Calculation 4" xfId="208"/>
    <cellStyle name="Check Cell" xfId="209"/>
    <cellStyle name="Column Heading" xfId="210"/>
    <cellStyle name="Comma [0]_laroux" xfId="211"/>
    <cellStyle name="Comma_laroux" xfId="212"/>
    <cellStyle name="Currency [0]_laroux" xfId="213"/>
    <cellStyle name="Currency_laroux" xfId="214"/>
    <cellStyle name="entry" xfId="215"/>
    <cellStyle name="Explanatory Text" xfId="216"/>
    <cellStyle name="Good" xfId="217"/>
    <cellStyle name="Grey" xfId="218"/>
    <cellStyle name="Head 1" xfId="219"/>
    <cellStyle name="Header1" xfId="3"/>
    <cellStyle name="Header2" xfId="4"/>
    <cellStyle name="Header2 2" xfId="220"/>
    <cellStyle name="Header2 2 2" xfId="221"/>
    <cellStyle name="Header2 2 2 2" xfId="222"/>
    <cellStyle name="Header2 2 2 3" xfId="223"/>
    <cellStyle name="Header2 2 2 4" xfId="224"/>
    <cellStyle name="Header2 2 2 5" xfId="225"/>
    <cellStyle name="Header2 2 2 6" xfId="226"/>
    <cellStyle name="Header2 2 2 7" xfId="227"/>
    <cellStyle name="Header2 2 2 7 2" xfId="228"/>
    <cellStyle name="Header2 2 3" xfId="229"/>
    <cellStyle name="Header2 2 3 2" xfId="230"/>
    <cellStyle name="Header2 2 3 3" xfId="231"/>
    <cellStyle name="Header2 3" xfId="232"/>
    <cellStyle name="Header2 3 2" xfId="233"/>
    <cellStyle name="Header2 3 2 2" xfId="234"/>
    <cellStyle name="Header2 3 2 3" xfId="235"/>
    <cellStyle name="Header2 3 2 4" xfId="236"/>
    <cellStyle name="Header2 3 2 5" xfId="237"/>
    <cellStyle name="Header2 3 2 6" xfId="238"/>
    <cellStyle name="Header2 3 2 7" xfId="239"/>
    <cellStyle name="Header2 3 2 7 2" xfId="240"/>
    <cellStyle name="Header2 3 3" xfId="241"/>
    <cellStyle name="Header2 3 4" xfId="242"/>
    <cellStyle name="Header2 3 5" xfId="243"/>
    <cellStyle name="Header2 3 6" xfId="244"/>
    <cellStyle name="Header2 3 7" xfId="245"/>
    <cellStyle name="Header2 3 8" xfId="246"/>
    <cellStyle name="Header2 3 9" xfId="247"/>
    <cellStyle name="Header2 3 9 2" xfId="248"/>
    <cellStyle name="Header2 3 9 3" xfId="249"/>
    <cellStyle name="Header2 4" xfId="250"/>
    <cellStyle name="Header2 4 2" xfId="251"/>
    <cellStyle name="Header2 4 3" xfId="252"/>
    <cellStyle name="Header2 4 4" xfId="253"/>
    <cellStyle name="Header2 4 5" xfId="254"/>
    <cellStyle name="Header2 4 6" xfId="255"/>
    <cellStyle name="Header2 4 7" xfId="256"/>
    <cellStyle name="Header2 4 7 2" xfId="257"/>
    <cellStyle name="Header2 5" xfId="258"/>
    <cellStyle name="Header2 6" xfId="259"/>
    <cellStyle name="Header2 7" xfId="260"/>
    <cellStyle name="Header2 7 2" xfId="261"/>
    <cellStyle name="Header2 7 3" xfId="262"/>
    <cellStyle name="Heading 1" xfId="263"/>
    <cellStyle name="Heading 2" xfId="264"/>
    <cellStyle name="Heading 3" xfId="265"/>
    <cellStyle name="Heading 4" xfId="266"/>
    <cellStyle name="IBM(401K)" xfId="267"/>
    <cellStyle name="Input" xfId="268"/>
    <cellStyle name="Input [yellow]" xfId="269"/>
    <cellStyle name="Input [yellow] 2" xfId="270"/>
    <cellStyle name="Input [yellow] 2 2" xfId="271"/>
    <cellStyle name="Input [yellow] 2 2 2" xfId="272"/>
    <cellStyle name="Input [yellow] 2 2 3" xfId="273"/>
    <cellStyle name="Input [yellow] 2 2 4" xfId="274"/>
    <cellStyle name="Input [yellow] 2 2 5" xfId="275"/>
    <cellStyle name="Input [yellow] 2 2 6" xfId="276"/>
    <cellStyle name="Input [yellow] 2 2 7" xfId="277"/>
    <cellStyle name="Input [yellow] 2 2 8" xfId="278"/>
    <cellStyle name="Input [yellow] 2 2 9" xfId="279"/>
    <cellStyle name="Input [yellow] 2 3" xfId="280"/>
    <cellStyle name="Input [yellow] 2 3 2" xfId="281"/>
    <cellStyle name="Input [yellow] 2 3 3" xfId="282"/>
    <cellStyle name="Input [yellow] 3" xfId="283"/>
    <cellStyle name="Input [yellow] 3 2" xfId="284"/>
    <cellStyle name="Input [yellow] 3 2 2" xfId="285"/>
    <cellStyle name="Input [yellow] 3 2 3" xfId="286"/>
    <cellStyle name="Input [yellow] 3 2 4" xfId="287"/>
    <cellStyle name="Input [yellow] 3 2 5" xfId="288"/>
    <cellStyle name="Input [yellow] 3 2 6" xfId="289"/>
    <cellStyle name="Input [yellow] 3 2 7" xfId="290"/>
    <cellStyle name="Input [yellow] 3 2 8" xfId="291"/>
    <cellStyle name="Input [yellow] 3 2 9" xfId="292"/>
    <cellStyle name="Input [yellow] 3 3" xfId="293"/>
    <cellStyle name="Input [yellow] 3 4" xfId="294"/>
    <cellStyle name="Input [yellow] 3 5" xfId="295"/>
    <cellStyle name="Input [yellow] 3 6" xfId="296"/>
    <cellStyle name="Input [yellow] 3 7" xfId="297"/>
    <cellStyle name="Input [yellow] 3 8" xfId="298"/>
    <cellStyle name="Input [yellow] 3 9" xfId="299"/>
    <cellStyle name="Input [yellow] 3 9 2" xfId="300"/>
    <cellStyle name="Input [yellow] 3 9 3" xfId="301"/>
    <cellStyle name="Input [yellow] 4" xfId="302"/>
    <cellStyle name="Input [yellow] 4 2" xfId="303"/>
    <cellStyle name="Input [yellow] 4 3" xfId="304"/>
    <cellStyle name="Input [yellow] 4 4" xfId="305"/>
    <cellStyle name="Input [yellow] 4 5" xfId="306"/>
    <cellStyle name="Input [yellow] 4 6" xfId="307"/>
    <cellStyle name="Input [yellow] 4 7" xfId="308"/>
    <cellStyle name="Input [yellow] 4 8" xfId="309"/>
    <cellStyle name="Input [yellow] 4 8 2" xfId="310"/>
    <cellStyle name="Input [yellow] 4 8 3" xfId="311"/>
    <cellStyle name="Input [yellow] 5" xfId="312"/>
    <cellStyle name="Input [yellow] 6" xfId="313"/>
    <cellStyle name="Input [yellow] 7" xfId="314"/>
    <cellStyle name="Input [yellow] 7 2" xfId="315"/>
    <cellStyle name="Input [yellow] 7 3" xfId="316"/>
    <cellStyle name="Input 10" xfId="317"/>
    <cellStyle name="Input 10 2" xfId="318"/>
    <cellStyle name="Input 11" xfId="319"/>
    <cellStyle name="Input 11 2" xfId="320"/>
    <cellStyle name="Input 12" xfId="321"/>
    <cellStyle name="Input 12 2" xfId="322"/>
    <cellStyle name="Input 13" xfId="323"/>
    <cellStyle name="Input 13 2" xfId="324"/>
    <cellStyle name="Input 14" xfId="325"/>
    <cellStyle name="Input 14 2" xfId="326"/>
    <cellStyle name="Input 15" xfId="327"/>
    <cellStyle name="Input 15 2" xfId="328"/>
    <cellStyle name="Input 16" xfId="329"/>
    <cellStyle name="Input 16 2" xfId="330"/>
    <cellStyle name="Input 17" xfId="331"/>
    <cellStyle name="Input 17 2" xfId="332"/>
    <cellStyle name="Input 18" xfId="333"/>
    <cellStyle name="Input 19" xfId="334"/>
    <cellStyle name="Input 2" xfId="335"/>
    <cellStyle name="Input 2 2" xfId="336"/>
    <cellStyle name="Input 2 2 2" xfId="337"/>
    <cellStyle name="Input 2 3" xfId="338"/>
    <cellStyle name="Input 2 3 2" xfId="339"/>
    <cellStyle name="Input 2 4" xfId="340"/>
    <cellStyle name="Input 2 4 2" xfId="341"/>
    <cellStyle name="Input 2 5" xfId="342"/>
    <cellStyle name="Input 2 5 2" xfId="343"/>
    <cellStyle name="Input 2 6" xfId="344"/>
    <cellStyle name="Input 2 6 2" xfId="345"/>
    <cellStyle name="Input 2 7" xfId="346"/>
    <cellStyle name="Input 20" xfId="347"/>
    <cellStyle name="Input 21" xfId="348"/>
    <cellStyle name="Input 22" xfId="349"/>
    <cellStyle name="Input 23" xfId="350"/>
    <cellStyle name="Input 24" xfId="351"/>
    <cellStyle name="Input 25" xfId="352"/>
    <cellStyle name="Input 26" xfId="353"/>
    <cellStyle name="Input 3" xfId="354"/>
    <cellStyle name="Input 3 2" xfId="355"/>
    <cellStyle name="Input 4" xfId="356"/>
    <cellStyle name="Input 4 2" xfId="357"/>
    <cellStyle name="Input 5" xfId="358"/>
    <cellStyle name="Input 5 2" xfId="359"/>
    <cellStyle name="Input 6" xfId="360"/>
    <cellStyle name="Input 6 2" xfId="361"/>
    <cellStyle name="Input 7" xfId="362"/>
    <cellStyle name="Input 7 2" xfId="363"/>
    <cellStyle name="Input 8" xfId="364"/>
    <cellStyle name="Input 8 2" xfId="365"/>
    <cellStyle name="Input 9" xfId="366"/>
    <cellStyle name="Input 9 2" xfId="367"/>
    <cellStyle name="J401K" xfId="368"/>
    <cellStyle name="Linked Cell" xfId="369"/>
    <cellStyle name="Millares [0]_Compra" xfId="370"/>
    <cellStyle name="Millares_Compra" xfId="371"/>
    <cellStyle name="Moneda [0]_Compra" xfId="372"/>
    <cellStyle name="Moneda_Compra" xfId="373"/>
    <cellStyle name="Neutral" xfId="374"/>
    <cellStyle name="no dec" xfId="375"/>
    <cellStyle name="Normal - Style1" xfId="5"/>
    <cellStyle name="Normal - Style1 2" xfId="376"/>
    <cellStyle name="Normal - Style1 2 2" xfId="377"/>
    <cellStyle name="Normal - Style1 2 3" xfId="378"/>
    <cellStyle name="Normal_#18-Internet" xfId="6"/>
    <cellStyle name="Note" xfId="379"/>
    <cellStyle name="Note 2" xfId="380"/>
    <cellStyle name="Note 2 2" xfId="381"/>
    <cellStyle name="Note 2 2 2" xfId="382"/>
    <cellStyle name="Note 2 2 2 2" xfId="383"/>
    <cellStyle name="Note 2 2 3" xfId="384"/>
    <cellStyle name="Note 2 2 3 2" xfId="385"/>
    <cellStyle name="Note 2 2 4" xfId="386"/>
    <cellStyle name="Note 2 2 4 2" xfId="387"/>
    <cellStyle name="Note 2 2 5" xfId="388"/>
    <cellStyle name="Note 2 2 5 2" xfId="389"/>
    <cellStyle name="Note 2 2 6" xfId="390"/>
    <cellStyle name="Note 2 2 6 2" xfId="391"/>
    <cellStyle name="Note 2 2 7" xfId="392"/>
    <cellStyle name="Note 2 3" xfId="393"/>
    <cellStyle name="Note 2 3 2" xfId="394"/>
    <cellStyle name="Note 2 4" xfId="395"/>
    <cellStyle name="Note 3" xfId="396"/>
    <cellStyle name="Note 3 2" xfId="397"/>
    <cellStyle name="Note 3 2 2" xfId="398"/>
    <cellStyle name="Note 3 2 2 2" xfId="399"/>
    <cellStyle name="Note 3 2 3" xfId="400"/>
    <cellStyle name="Note 3 2 3 2" xfId="401"/>
    <cellStyle name="Note 3 2 4" xfId="402"/>
    <cellStyle name="Note 3 2 4 2" xfId="403"/>
    <cellStyle name="Note 3 2 5" xfId="404"/>
    <cellStyle name="Note 3 2 5 2" xfId="405"/>
    <cellStyle name="Note 3 2 6" xfId="406"/>
    <cellStyle name="Note 3 2 6 2" xfId="407"/>
    <cellStyle name="Note 3 2 7" xfId="408"/>
    <cellStyle name="Note 3 3" xfId="409"/>
    <cellStyle name="Note 3 3 2" xfId="410"/>
    <cellStyle name="Note 3 4" xfId="411"/>
    <cellStyle name="Note 3 4 2" xfId="412"/>
    <cellStyle name="Note 3 5" xfId="413"/>
    <cellStyle name="Note 3 5 2" xfId="414"/>
    <cellStyle name="Note 3 6" xfId="415"/>
    <cellStyle name="Note 3 6 2" xfId="416"/>
    <cellStyle name="Note 3 7" xfId="417"/>
    <cellStyle name="Note 3 7 2" xfId="418"/>
    <cellStyle name="Note 3 8" xfId="419"/>
    <cellStyle name="Note 4" xfId="420"/>
    <cellStyle name="Note 4 2" xfId="421"/>
    <cellStyle name="Note 4 2 2" xfId="422"/>
    <cellStyle name="Note 4 3" xfId="423"/>
    <cellStyle name="Note 4 3 2" xfId="424"/>
    <cellStyle name="Note 4 4" xfId="425"/>
    <cellStyle name="Note 4 4 2" xfId="426"/>
    <cellStyle name="Note 4 5" xfId="427"/>
    <cellStyle name="Note 4 5 2" xfId="428"/>
    <cellStyle name="Note 4 6" xfId="429"/>
    <cellStyle name="Note 4 6 2" xfId="430"/>
    <cellStyle name="Note 4 7" xfId="431"/>
    <cellStyle name="Note 5" xfId="432"/>
    <cellStyle name="Note 5 2" xfId="433"/>
    <cellStyle name="Output" xfId="434"/>
    <cellStyle name="Output 2" xfId="435"/>
    <cellStyle name="Output 2 2" xfId="436"/>
    <cellStyle name="Output 2 2 2" xfId="437"/>
    <cellStyle name="Output 2 3" xfId="438"/>
    <cellStyle name="Output 2 3 2" xfId="439"/>
    <cellStyle name="Output 2 4" xfId="440"/>
    <cellStyle name="Output 2 4 2" xfId="441"/>
    <cellStyle name="Output 2 5" xfId="442"/>
    <cellStyle name="Output 2 5 2" xfId="443"/>
    <cellStyle name="Output 2 6" xfId="444"/>
    <cellStyle name="Output 2 6 2" xfId="445"/>
    <cellStyle name="Output 2 7" xfId="446"/>
    <cellStyle name="Output 3" xfId="447"/>
    <cellStyle name="Output 3 2" xfId="448"/>
    <cellStyle name="per.style" xfId="449"/>
    <cellStyle name="Percent [2]" xfId="450"/>
    <cellStyle name="price" xfId="451"/>
    <cellStyle name="PSChar" xfId="452"/>
    <cellStyle name="PSHeading" xfId="453"/>
    <cellStyle name="QDF" xfId="454"/>
    <cellStyle name="revised" xfId="455"/>
    <cellStyle name="section" xfId="456"/>
    <cellStyle name="subhead" xfId="457"/>
    <cellStyle name="title" xfId="458"/>
    <cellStyle name="Total" xfId="459"/>
    <cellStyle name="Total 2" xfId="460"/>
    <cellStyle name="Total 2 2" xfId="461"/>
    <cellStyle name="Total 2 2 2" xfId="462"/>
    <cellStyle name="Total 2 3" xfId="463"/>
    <cellStyle name="Total 2 3 2" xfId="464"/>
    <cellStyle name="Total 2 4" xfId="465"/>
    <cellStyle name="Total 2 4 2" xfId="466"/>
    <cellStyle name="Total 2 5" xfId="467"/>
    <cellStyle name="Total 2 5 2" xfId="468"/>
    <cellStyle name="Total 2 6" xfId="469"/>
    <cellStyle name="Total 2 6 2" xfId="470"/>
    <cellStyle name="Total 2 7" xfId="471"/>
    <cellStyle name="Total 3" xfId="472"/>
    <cellStyle name="Total 3 2" xfId="473"/>
    <cellStyle name="Warning Text" xfId="474"/>
    <cellStyle name="アクセント 1 2" xfId="475"/>
    <cellStyle name="アクセント 1 3" xfId="476"/>
    <cellStyle name="アクセント 1 4" xfId="477"/>
    <cellStyle name="アクセント 1 5" xfId="478"/>
    <cellStyle name="アクセント 1 6" xfId="479"/>
    <cellStyle name="アクセント 1 7" xfId="480"/>
    <cellStyle name="アクセント 1 8" xfId="481"/>
    <cellStyle name="アクセント 1 9" xfId="482"/>
    <cellStyle name="アクセント 2 2" xfId="483"/>
    <cellStyle name="アクセント 2 3" xfId="484"/>
    <cellStyle name="アクセント 2 4" xfId="485"/>
    <cellStyle name="アクセント 2 5" xfId="486"/>
    <cellStyle name="アクセント 2 6" xfId="487"/>
    <cellStyle name="アクセント 2 7" xfId="488"/>
    <cellStyle name="アクセント 2 8" xfId="489"/>
    <cellStyle name="アクセント 2 9" xfId="490"/>
    <cellStyle name="アクセント 3 2" xfId="491"/>
    <cellStyle name="アクセント 3 3" xfId="492"/>
    <cellStyle name="アクセント 3 4" xfId="493"/>
    <cellStyle name="アクセント 3 5" xfId="494"/>
    <cellStyle name="アクセント 3 6" xfId="495"/>
    <cellStyle name="アクセント 3 7" xfId="496"/>
    <cellStyle name="アクセント 3 8" xfId="497"/>
    <cellStyle name="アクセント 3 9" xfId="498"/>
    <cellStyle name="アクセント 4 2" xfId="499"/>
    <cellStyle name="アクセント 4 3" xfId="500"/>
    <cellStyle name="アクセント 4 4" xfId="501"/>
    <cellStyle name="アクセント 4 5" xfId="502"/>
    <cellStyle name="アクセント 4 6" xfId="503"/>
    <cellStyle name="アクセント 4 7" xfId="504"/>
    <cellStyle name="アクセント 4 8" xfId="505"/>
    <cellStyle name="アクセント 4 9" xfId="506"/>
    <cellStyle name="アクセント 5 2" xfId="507"/>
    <cellStyle name="アクセント 5 3" xfId="508"/>
    <cellStyle name="アクセント 5 4" xfId="509"/>
    <cellStyle name="アクセント 5 5" xfId="510"/>
    <cellStyle name="アクセント 5 6" xfId="511"/>
    <cellStyle name="アクセント 5 7" xfId="512"/>
    <cellStyle name="アクセント 5 8" xfId="513"/>
    <cellStyle name="アクセント 5 9" xfId="514"/>
    <cellStyle name="アクセント 6 2" xfId="515"/>
    <cellStyle name="アクセント 6 3" xfId="516"/>
    <cellStyle name="アクセント 6 4" xfId="517"/>
    <cellStyle name="アクセント 6 5" xfId="518"/>
    <cellStyle name="アクセント 6 6" xfId="519"/>
    <cellStyle name="アクセント 6 7" xfId="520"/>
    <cellStyle name="アクセント 6 8" xfId="521"/>
    <cellStyle name="アクセント 6 9" xfId="522"/>
    <cellStyle name="センター" xfId="523"/>
    <cellStyle name="タイトル 2" xfId="524"/>
    <cellStyle name="タイトル 3" xfId="525"/>
    <cellStyle name="タイトル 4" xfId="526"/>
    <cellStyle name="タイトル 5" xfId="527"/>
    <cellStyle name="タイトル 6" xfId="528"/>
    <cellStyle name="タイトル 7" xfId="529"/>
    <cellStyle name="タイトル 8" xfId="530"/>
    <cellStyle name="タイトル 9" xfId="531"/>
    <cellStyle name="チェック セル 2" xfId="532"/>
    <cellStyle name="チェック セル 3" xfId="533"/>
    <cellStyle name="チェック セル 4" xfId="534"/>
    <cellStyle name="チェック セル 5" xfId="535"/>
    <cellStyle name="チェック セル 6" xfId="536"/>
    <cellStyle name="チェック セル 7" xfId="537"/>
    <cellStyle name="チェック セル 8" xfId="538"/>
    <cellStyle name="チェック セル 9" xfId="539"/>
    <cellStyle name="チャート" xfId="540"/>
    <cellStyle name="どちらでもない 2" xfId="541"/>
    <cellStyle name="どちらでもない 3" xfId="542"/>
    <cellStyle name="どちらでもない 4" xfId="543"/>
    <cellStyle name="どちらでもない 5" xfId="544"/>
    <cellStyle name="どちらでもない 6" xfId="545"/>
    <cellStyle name="どちらでもない 7" xfId="546"/>
    <cellStyle name="どちらでもない 8" xfId="547"/>
    <cellStyle name="どちらでもない 9" xfId="548"/>
    <cellStyle name="パーセント 2" xfId="549"/>
    <cellStyle name="パーセント 2 2" xfId="550"/>
    <cellStyle name="パーセント 3" xfId="551"/>
    <cellStyle name="ハイパーリンク 2" xfId="552"/>
    <cellStyle name="ハイパーリンク 2 2" xfId="553"/>
    <cellStyle name="ハイパーリンク 2 3" xfId="554"/>
    <cellStyle name="ハイパーリンク 3" xfId="555"/>
    <cellStyle name="メモ 2" xfId="556"/>
    <cellStyle name="メモ 2 2" xfId="557"/>
    <cellStyle name="メモ 2 2 2" xfId="558"/>
    <cellStyle name="メモ 2 2 2 2" xfId="559"/>
    <cellStyle name="メモ 2 2 2 2 2" xfId="560"/>
    <cellStyle name="メモ 2 2 2 3" xfId="561"/>
    <cellStyle name="メモ 2 2 2 3 2" xfId="562"/>
    <cellStyle name="メモ 2 2 2 4" xfId="563"/>
    <cellStyle name="メモ 2 2 2 4 2" xfId="564"/>
    <cellStyle name="メモ 2 2 2 5" xfId="565"/>
    <cellStyle name="メモ 2 2 2 5 2" xfId="566"/>
    <cellStyle name="メモ 2 2 2 6" xfId="567"/>
    <cellStyle name="メモ 2 2 2 6 2" xfId="568"/>
    <cellStyle name="メモ 2 2 2 7" xfId="569"/>
    <cellStyle name="メモ 2 2 3" xfId="570"/>
    <cellStyle name="メモ 2 2 3 2" xfId="571"/>
    <cellStyle name="メモ 2 2 4" xfId="572"/>
    <cellStyle name="メモ 2 3" xfId="573"/>
    <cellStyle name="メモ 2 3 2" xfId="574"/>
    <cellStyle name="メモ 2 3 2 2" xfId="575"/>
    <cellStyle name="メモ 2 3 2 2 2" xfId="576"/>
    <cellStyle name="メモ 2 3 2 3" xfId="577"/>
    <cellStyle name="メモ 2 3 2 3 2" xfId="578"/>
    <cellStyle name="メモ 2 3 2 4" xfId="579"/>
    <cellStyle name="メモ 2 3 2 4 2" xfId="580"/>
    <cellStyle name="メモ 2 3 2 5" xfId="581"/>
    <cellStyle name="メモ 2 3 2 5 2" xfId="582"/>
    <cellStyle name="メモ 2 3 2 6" xfId="583"/>
    <cellStyle name="メモ 2 3 2 6 2" xfId="584"/>
    <cellStyle name="メモ 2 3 2 7" xfId="585"/>
    <cellStyle name="メモ 2 3 3" xfId="586"/>
    <cellStyle name="メモ 2 3 3 2" xfId="587"/>
    <cellStyle name="メモ 2 4" xfId="588"/>
    <cellStyle name="メモ 2 4 2" xfId="589"/>
    <cellStyle name="メモ 2 4 2 2" xfId="590"/>
    <cellStyle name="メモ 2 4 2 2 2" xfId="591"/>
    <cellStyle name="メモ 2 4 2 3" xfId="592"/>
    <cellStyle name="メモ 2 4 2 3 2" xfId="593"/>
    <cellStyle name="メモ 2 4 2 4" xfId="594"/>
    <cellStyle name="メモ 2 4 2 4 2" xfId="595"/>
    <cellStyle name="メモ 2 4 2 5" xfId="596"/>
    <cellStyle name="メモ 2 4 2 5 2" xfId="597"/>
    <cellStyle name="メモ 2 4 2 6" xfId="598"/>
    <cellStyle name="メモ 2 4 2 6 2" xfId="599"/>
    <cellStyle name="メモ 2 4 2 7" xfId="600"/>
    <cellStyle name="メモ 2 4 3" xfId="601"/>
    <cellStyle name="メモ 2 4 3 2" xfId="602"/>
    <cellStyle name="メモ 2 4 4" xfId="603"/>
    <cellStyle name="メモ 2 4 4 2" xfId="604"/>
    <cellStyle name="メモ 2 4 5" xfId="605"/>
    <cellStyle name="メモ 2 4 5 2" xfId="606"/>
    <cellStyle name="メモ 2 4 6" xfId="607"/>
    <cellStyle name="メモ 2 4 6 2" xfId="608"/>
    <cellStyle name="メモ 2 4 7" xfId="609"/>
    <cellStyle name="メモ 2 4 7 2" xfId="610"/>
    <cellStyle name="メモ 2 4 8" xfId="611"/>
    <cellStyle name="メモ 2 5" xfId="612"/>
    <cellStyle name="メモ 2 5 2" xfId="613"/>
    <cellStyle name="メモ 2 5 2 2" xfId="614"/>
    <cellStyle name="メモ 2 5 2 2 2" xfId="615"/>
    <cellStyle name="メモ 2 5 2 3" xfId="616"/>
    <cellStyle name="メモ 2 5 2 3 2" xfId="617"/>
    <cellStyle name="メモ 2 5 2 4" xfId="618"/>
    <cellStyle name="メモ 2 5 2 4 2" xfId="619"/>
    <cellStyle name="メモ 2 5 2 5" xfId="620"/>
    <cellStyle name="メモ 2 5 2 5 2" xfId="621"/>
    <cellStyle name="メモ 2 5 2 6" xfId="622"/>
    <cellStyle name="メモ 2 5 2 6 2" xfId="623"/>
    <cellStyle name="メモ 2 5 2 7" xfId="624"/>
    <cellStyle name="メモ 2 5 3" xfId="625"/>
    <cellStyle name="メモ 2 5 3 2" xfId="626"/>
    <cellStyle name="メモ 2 5 4" xfId="627"/>
    <cellStyle name="メモ 2 5 4 2" xfId="628"/>
    <cellStyle name="メモ 2 5 5" xfId="629"/>
    <cellStyle name="メモ 2 5 5 2" xfId="630"/>
    <cellStyle name="メモ 2 5 6" xfId="631"/>
    <cellStyle name="メモ 2 5 6 2" xfId="632"/>
    <cellStyle name="メモ 2 5 7" xfId="633"/>
    <cellStyle name="メモ 2 5 7 2" xfId="634"/>
    <cellStyle name="メモ 2 5 8" xfId="635"/>
    <cellStyle name="メモ 2 6" xfId="636"/>
    <cellStyle name="メモ 2 6 2" xfId="637"/>
    <cellStyle name="メモ 2 6 2 2" xfId="638"/>
    <cellStyle name="メモ 2 6 2 2 2" xfId="639"/>
    <cellStyle name="メモ 2 6 2 3" xfId="640"/>
    <cellStyle name="メモ 2 6 2 3 2" xfId="641"/>
    <cellStyle name="メモ 2 6 2 4" xfId="642"/>
    <cellStyle name="メモ 2 6 2 4 2" xfId="643"/>
    <cellStyle name="メモ 2 6 2 5" xfId="644"/>
    <cellStyle name="メモ 2 6 2 5 2" xfId="645"/>
    <cellStyle name="メモ 2 6 2 6" xfId="646"/>
    <cellStyle name="メモ 2 6 2 6 2" xfId="647"/>
    <cellStyle name="メモ 2 6 2 7" xfId="648"/>
    <cellStyle name="メモ 2 6 3" xfId="649"/>
    <cellStyle name="メモ 2 6 3 2" xfId="650"/>
    <cellStyle name="メモ 2 6 4" xfId="651"/>
    <cellStyle name="メモ 2 6 4 2" xfId="652"/>
    <cellStyle name="メモ 2 6 5" xfId="653"/>
    <cellStyle name="メモ 2 6 5 2" xfId="654"/>
    <cellStyle name="メモ 2 6 6" xfId="655"/>
    <cellStyle name="メモ 2 6 6 2" xfId="656"/>
    <cellStyle name="メモ 2 6 7" xfId="657"/>
    <cellStyle name="メモ 2 6 7 2" xfId="658"/>
    <cellStyle name="メモ 2 6 8" xfId="659"/>
    <cellStyle name="メモ 2 7" xfId="660"/>
    <cellStyle name="メモ 2 7 2" xfId="661"/>
    <cellStyle name="メモ 2 7 2 2" xfId="662"/>
    <cellStyle name="メモ 2 7 3" xfId="663"/>
    <cellStyle name="メモ 2 7 3 2" xfId="664"/>
    <cellStyle name="メモ 2 7 4" xfId="665"/>
    <cellStyle name="メモ 2 7 4 2" xfId="666"/>
    <cellStyle name="メモ 2 7 5" xfId="667"/>
    <cellStyle name="メモ 2 7 5 2" xfId="668"/>
    <cellStyle name="メモ 2 7 6" xfId="669"/>
    <cellStyle name="メモ 2 7 6 2" xfId="670"/>
    <cellStyle name="メモ 2 7 7" xfId="671"/>
    <cellStyle name="メモ 2 8" xfId="672"/>
    <cellStyle name="メモ 2 8 2" xfId="673"/>
    <cellStyle name="メモ 3" xfId="674"/>
    <cellStyle name="メモ 3 2" xfId="675"/>
    <cellStyle name="メモ 3 2 2" xfId="676"/>
    <cellStyle name="メモ 3 2 2 2" xfId="677"/>
    <cellStyle name="メモ 3 2 3" xfId="678"/>
    <cellStyle name="メモ 3 2 3 2" xfId="679"/>
    <cellStyle name="メモ 3 2 4" xfId="680"/>
    <cellStyle name="メモ 3 2 4 2" xfId="681"/>
    <cellStyle name="メモ 3 2 5" xfId="682"/>
    <cellStyle name="メモ 3 2 5 2" xfId="683"/>
    <cellStyle name="メモ 3 2 6" xfId="684"/>
    <cellStyle name="メモ 3 2 6 2" xfId="685"/>
    <cellStyle name="メモ 3 2 7" xfId="686"/>
    <cellStyle name="メモ 3 3" xfId="687"/>
    <cellStyle name="メモ 3 3 2" xfId="688"/>
    <cellStyle name="メモ 3 4" xfId="689"/>
    <cellStyle name="メモ 3 5" xfId="690"/>
    <cellStyle name="メモ 4" xfId="691"/>
    <cellStyle name="メモ 4 2" xfId="692"/>
    <cellStyle name="メモ 4 2 2" xfId="693"/>
    <cellStyle name="メモ 4 2 2 2" xfId="694"/>
    <cellStyle name="メモ 4 2 3" xfId="695"/>
    <cellStyle name="メモ 4 2 3 2" xfId="696"/>
    <cellStyle name="メモ 4 2 4" xfId="697"/>
    <cellStyle name="メモ 4 2 4 2" xfId="698"/>
    <cellStyle name="メモ 4 2 5" xfId="699"/>
    <cellStyle name="メモ 4 2 5 2" xfId="700"/>
    <cellStyle name="メモ 4 2 6" xfId="701"/>
    <cellStyle name="メモ 4 2 6 2" xfId="702"/>
    <cellStyle name="メモ 4 2 7" xfId="703"/>
    <cellStyle name="メモ 4 3" xfId="704"/>
    <cellStyle name="メモ 4 3 2" xfId="705"/>
    <cellStyle name="メモ 4 4" xfId="706"/>
    <cellStyle name="メモ 5" xfId="707"/>
    <cellStyle name="メモ 5 2" xfId="708"/>
    <cellStyle name="メモ 5 2 2" xfId="709"/>
    <cellStyle name="メモ 5 3" xfId="710"/>
    <cellStyle name="メモ 5 3 2" xfId="711"/>
    <cellStyle name="メモ 5 4" xfId="712"/>
    <cellStyle name="メモ 5 4 2" xfId="713"/>
    <cellStyle name="メモ 5 5" xfId="714"/>
    <cellStyle name="メモ 5 5 2" xfId="715"/>
    <cellStyle name="メモ 5 6" xfId="716"/>
    <cellStyle name="メモ 5 6 2" xfId="717"/>
    <cellStyle name="メモ 5 7" xfId="718"/>
    <cellStyle name="メモ 5 7 2" xfId="719"/>
    <cellStyle name="メモ 6" xfId="720"/>
    <cellStyle name="メモ 7" xfId="721"/>
    <cellStyle name="メモ 8" xfId="722"/>
    <cellStyle name="メモ 9" xfId="723"/>
    <cellStyle name="リンク セル 2" xfId="724"/>
    <cellStyle name="リンク セル 3" xfId="725"/>
    <cellStyle name="リンク セル 4" xfId="726"/>
    <cellStyle name="リンク セル 5" xfId="727"/>
    <cellStyle name="リンク セル 6" xfId="728"/>
    <cellStyle name="リンク セル 7" xfId="729"/>
    <cellStyle name="リンク セル 8" xfId="730"/>
    <cellStyle name="リンク セル 9" xfId="731"/>
    <cellStyle name="_x001d_・_x000c_ﾏ・_x000d_ﾂ・_x0001__x0016__x0011_F5_x0007__x0001__x0001_" xfId="7"/>
    <cellStyle name="_x001d_・_x000c_ﾏ・_x000d_ﾂ・_x0001__x0016__x0011_F5_x0007__x0001__x0001_ 2" xfId="732"/>
    <cellStyle name="_x001d_・_x000c_ﾏ・_x000d_ﾂ・_x0001__x0016__x0011_F5_x0007__x0001__x0001_ 2 2" xfId="733"/>
    <cellStyle name="_x001d_・_x000c_ﾏ・_x000d_ﾂ・_x0001__x0016__x0011_F5_x0007__x0001__x0001_ 2 2 2" xfId="734"/>
    <cellStyle name="_x001d_・_x000c_ﾏ・_x000d_ﾂ・_x0001__x0016__x0011_F5_x0007__x0001__x0001_ 2 3" xfId="735"/>
    <cellStyle name="_x001d_・_x000c_ﾏ・_x000d_ﾂ・_x0001__x0016__x0011_F5_x0007__x0001__x0001_ 2 4" xfId="1939"/>
    <cellStyle name="_x001d_・_x000c_ﾏ・_x000d_ﾂ・_x0001__x0016__x0011_F5_x0007__x0001__x0001_ 3" xfId="736"/>
    <cellStyle name="_x001d_・_x000c_ﾏ・_x000d_ﾂ・_x0001__x0016__x0011_F5_x0007__x0001__x0001_ 3 2" xfId="737"/>
    <cellStyle name="_x001d_・_x000c_ﾏ・_x000d_ﾂ・_x0001__x0016__x0011_F5_x0007__x0001__x0001_ 4" xfId="1938"/>
    <cellStyle name="悪い 2" xfId="738"/>
    <cellStyle name="悪い 3" xfId="739"/>
    <cellStyle name="悪い 4" xfId="740"/>
    <cellStyle name="悪い 5" xfId="741"/>
    <cellStyle name="悪い 6" xfId="742"/>
    <cellStyle name="悪い 7" xfId="743"/>
    <cellStyle name="悪い 8" xfId="744"/>
    <cellStyle name="悪い 9" xfId="745"/>
    <cellStyle name="計算 2" xfId="746"/>
    <cellStyle name="計算 2 2" xfId="747"/>
    <cellStyle name="計算 2 2 2" xfId="748"/>
    <cellStyle name="計算 2 2 2 2" xfId="749"/>
    <cellStyle name="計算 2 2 2 2 2" xfId="750"/>
    <cellStyle name="計算 2 2 2 3" xfId="751"/>
    <cellStyle name="計算 2 2 2 3 2" xfId="752"/>
    <cellStyle name="計算 2 2 2 4" xfId="753"/>
    <cellStyle name="計算 2 2 2 4 2" xfId="754"/>
    <cellStyle name="計算 2 2 2 5" xfId="755"/>
    <cellStyle name="計算 2 2 2 5 2" xfId="756"/>
    <cellStyle name="計算 2 2 2 6" xfId="757"/>
    <cellStyle name="計算 2 2 2 6 2" xfId="758"/>
    <cellStyle name="計算 2 2 2 7" xfId="759"/>
    <cellStyle name="計算 2 2 3" xfId="760"/>
    <cellStyle name="計算 2 2 3 2" xfId="761"/>
    <cellStyle name="計算 2 2 4" xfId="762"/>
    <cellStyle name="計算 2 3" xfId="763"/>
    <cellStyle name="計算 2 3 2" xfId="764"/>
    <cellStyle name="計算 2 3 2 2" xfId="765"/>
    <cellStyle name="計算 2 3 3" xfId="766"/>
    <cellStyle name="計算 2 3 3 2" xfId="767"/>
    <cellStyle name="計算 2 3 4" xfId="768"/>
    <cellStyle name="計算 2 3 4 2" xfId="769"/>
    <cellStyle name="計算 2 3 5" xfId="770"/>
    <cellStyle name="計算 2 3 5 2" xfId="771"/>
    <cellStyle name="計算 2 3 6" xfId="772"/>
    <cellStyle name="計算 2 3 6 2" xfId="773"/>
    <cellStyle name="計算 2 3 7" xfId="774"/>
    <cellStyle name="計算 2 4" xfId="775"/>
    <cellStyle name="計算 2 4 2" xfId="776"/>
    <cellStyle name="計算 2 5" xfId="777"/>
    <cellStyle name="計算 3" xfId="778"/>
    <cellStyle name="計算 3 2" xfId="779"/>
    <cellStyle name="計算 3 2 2" xfId="780"/>
    <cellStyle name="計算 3 2 2 2" xfId="781"/>
    <cellStyle name="計算 3 2 3" xfId="782"/>
    <cellStyle name="計算 3 2 3 2" xfId="783"/>
    <cellStyle name="計算 3 2 4" xfId="784"/>
    <cellStyle name="計算 3 2 4 2" xfId="785"/>
    <cellStyle name="計算 3 2 5" xfId="786"/>
    <cellStyle name="計算 3 2 5 2" xfId="787"/>
    <cellStyle name="計算 3 2 6" xfId="788"/>
    <cellStyle name="計算 3 2 6 2" xfId="789"/>
    <cellStyle name="計算 3 2 7" xfId="790"/>
    <cellStyle name="計算 3 3" xfId="791"/>
    <cellStyle name="計算 3 3 2" xfId="792"/>
    <cellStyle name="計算 3 4" xfId="793"/>
    <cellStyle name="計算 4" xfId="794"/>
    <cellStyle name="計算 4 2" xfId="795"/>
    <cellStyle name="計算 4 2 2" xfId="796"/>
    <cellStyle name="計算 4 3" xfId="797"/>
    <cellStyle name="計算 4 3 2" xfId="798"/>
    <cellStyle name="計算 4 4" xfId="799"/>
    <cellStyle name="計算 4 4 2" xfId="800"/>
    <cellStyle name="計算 4 5" xfId="801"/>
    <cellStyle name="計算 4 5 2" xfId="802"/>
    <cellStyle name="計算 4 6" xfId="803"/>
    <cellStyle name="計算 4 6 2" xfId="804"/>
    <cellStyle name="計算 4 7" xfId="805"/>
    <cellStyle name="計算 5" xfId="806"/>
    <cellStyle name="計算 6" xfId="807"/>
    <cellStyle name="計算 7" xfId="808"/>
    <cellStyle name="計算 8" xfId="809"/>
    <cellStyle name="計算 9" xfId="810"/>
    <cellStyle name="警告文 2" xfId="811"/>
    <cellStyle name="警告文 3" xfId="812"/>
    <cellStyle name="警告文 4" xfId="813"/>
    <cellStyle name="警告文 5" xfId="814"/>
    <cellStyle name="警告文 6" xfId="815"/>
    <cellStyle name="警告文 7" xfId="816"/>
    <cellStyle name="警告文 8" xfId="817"/>
    <cellStyle name="警告文 9" xfId="818"/>
    <cellStyle name="桁蟻唇Ｆ [0.00]_laroux" xfId="819"/>
    <cellStyle name="桁蟻唇Ｆ_A°DAU±ATIsA" xfId="820"/>
    <cellStyle name="桁区切り 2" xfId="1"/>
    <cellStyle name="桁区切り 2 2" xfId="821"/>
    <cellStyle name="桁区切り 2 2 2" xfId="822"/>
    <cellStyle name="桁区切り 2 3" xfId="823"/>
    <cellStyle name="桁区切り 2 4" xfId="824"/>
    <cellStyle name="桁区切り 2 4 2" xfId="825"/>
    <cellStyle name="桁区切り 2 4 3" xfId="826"/>
    <cellStyle name="桁区切り 2 5" xfId="827"/>
    <cellStyle name="桁区切り 2 5 2" xfId="828"/>
    <cellStyle name="桁区切り 2 5 3" xfId="829"/>
    <cellStyle name="桁区切り 2 6" xfId="830"/>
    <cellStyle name="桁区切り 2_バックアップセンタ_切替テストスケジュール_20120406~10" xfId="831"/>
    <cellStyle name="桁区切り 3" xfId="832"/>
    <cellStyle name="桁区切り 3 2" xfId="833"/>
    <cellStyle name="桁区切り 3 2 2" xfId="834"/>
    <cellStyle name="桁区切り 3 2 3" xfId="835"/>
    <cellStyle name="桁区切り 3 3" xfId="836"/>
    <cellStyle name="桁区切り 4" xfId="837"/>
    <cellStyle name="桁区切り 4 2" xfId="838"/>
    <cellStyle name="桁区切り 4 2 2" xfId="839"/>
    <cellStyle name="桁区切り 4 2 3" xfId="840"/>
    <cellStyle name="桁区切り 4 3" xfId="841"/>
    <cellStyle name="桁区切り 4 4" xfId="842"/>
    <cellStyle name="桁区切り 5" xfId="843"/>
    <cellStyle name="桁区切り 5 2" xfId="844"/>
    <cellStyle name="桁区切り 5 3" xfId="845"/>
    <cellStyle name="桁区切り 6" xfId="846"/>
    <cellStyle name="桁区切り 7" xfId="1945"/>
    <cellStyle name="桁区切り 7 2" xfId="1952"/>
    <cellStyle name="見出し 1 2" xfId="847"/>
    <cellStyle name="見出し 1 3" xfId="848"/>
    <cellStyle name="見出し 1 4" xfId="849"/>
    <cellStyle name="見出し 1 5" xfId="850"/>
    <cellStyle name="見出し 1 6" xfId="851"/>
    <cellStyle name="見出し 1 7" xfId="852"/>
    <cellStyle name="見出し 1 8" xfId="853"/>
    <cellStyle name="見出し 1 9" xfId="854"/>
    <cellStyle name="見出し 2 2" xfId="855"/>
    <cellStyle name="見出し 2 3" xfId="856"/>
    <cellStyle name="見出し 2 4" xfId="857"/>
    <cellStyle name="見出し 2 5" xfId="858"/>
    <cellStyle name="見出し 2 6" xfId="859"/>
    <cellStyle name="見出し 2 7" xfId="860"/>
    <cellStyle name="見出し 2 8" xfId="861"/>
    <cellStyle name="見出し 2 9" xfId="862"/>
    <cellStyle name="見出し 3 2" xfId="863"/>
    <cellStyle name="見出し 3 3" xfId="864"/>
    <cellStyle name="見出し 3 4" xfId="865"/>
    <cellStyle name="見出し 3 5" xfId="866"/>
    <cellStyle name="見出し 3 6" xfId="867"/>
    <cellStyle name="見出し 3 7" xfId="868"/>
    <cellStyle name="見出し 3 8" xfId="869"/>
    <cellStyle name="見出し 3 9" xfId="870"/>
    <cellStyle name="見出し 4 2" xfId="871"/>
    <cellStyle name="見出し 4 3" xfId="872"/>
    <cellStyle name="見出し 4 4" xfId="873"/>
    <cellStyle name="見出し 4 5" xfId="874"/>
    <cellStyle name="見出し 4 6" xfId="875"/>
    <cellStyle name="見出し 4 7" xfId="876"/>
    <cellStyle name="見出し 4 8" xfId="877"/>
    <cellStyle name="見出し 4 9" xfId="878"/>
    <cellStyle name="構成図作成用" xfId="879"/>
    <cellStyle name="取り消し" xfId="8"/>
    <cellStyle name="集計 2" xfId="880"/>
    <cellStyle name="集計 2 2" xfId="881"/>
    <cellStyle name="集計 2 2 2" xfId="882"/>
    <cellStyle name="集計 2 2 2 2" xfId="883"/>
    <cellStyle name="集計 2 2 2 2 2" xfId="884"/>
    <cellStyle name="集計 2 2 2 3" xfId="885"/>
    <cellStyle name="集計 2 2 2 3 2" xfId="886"/>
    <cellStyle name="集計 2 2 2 4" xfId="887"/>
    <cellStyle name="集計 2 2 2 4 2" xfId="888"/>
    <cellStyle name="集計 2 2 2 5" xfId="889"/>
    <cellStyle name="集計 2 2 2 5 2" xfId="890"/>
    <cellStyle name="集計 2 2 2 6" xfId="891"/>
    <cellStyle name="集計 2 2 2 6 2" xfId="892"/>
    <cellStyle name="集計 2 2 2 7" xfId="893"/>
    <cellStyle name="集計 2 2 3" xfId="894"/>
    <cellStyle name="集計 2 2 3 2" xfId="895"/>
    <cellStyle name="集計 2 3" xfId="896"/>
    <cellStyle name="集計 2 3 2" xfId="897"/>
    <cellStyle name="集計 2 3 2 2" xfId="898"/>
    <cellStyle name="集計 2 3 3" xfId="899"/>
    <cellStyle name="集計 2 3 3 2" xfId="900"/>
    <cellStyle name="集計 2 3 4" xfId="901"/>
    <cellStyle name="集計 2 3 4 2" xfId="902"/>
    <cellStyle name="集計 2 3 5" xfId="903"/>
    <cellStyle name="集計 2 3 5 2" xfId="904"/>
    <cellStyle name="集計 2 3 6" xfId="905"/>
    <cellStyle name="集計 2 3 6 2" xfId="906"/>
    <cellStyle name="集計 2 3 7" xfId="907"/>
    <cellStyle name="集計 2 4" xfId="908"/>
    <cellStyle name="集計 2 4 2" xfId="909"/>
    <cellStyle name="集計 3" xfId="910"/>
    <cellStyle name="集計 3 2" xfId="911"/>
    <cellStyle name="集計 3 2 2" xfId="912"/>
    <cellStyle name="集計 3 2 2 2" xfId="913"/>
    <cellStyle name="集計 3 2 3" xfId="914"/>
    <cellStyle name="集計 3 2 3 2" xfId="915"/>
    <cellStyle name="集計 3 2 4" xfId="916"/>
    <cellStyle name="集計 3 2 4 2" xfId="917"/>
    <cellStyle name="集計 3 2 5" xfId="918"/>
    <cellStyle name="集計 3 2 5 2" xfId="919"/>
    <cellStyle name="集計 3 2 6" xfId="920"/>
    <cellStyle name="集計 3 2 6 2" xfId="921"/>
    <cellStyle name="集計 3 2 7" xfId="922"/>
    <cellStyle name="集計 3 3" xfId="923"/>
    <cellStyle name="集計 3 3 2" xfId="924"/>
    <cellStyle name="集計 3 4" xfId="925"/>
    <cellStyle name="集計 4" xfId="926"/>
    <cellStyle name="集計 4 2" xfId="927"/>
    <cellStyle name="集計 4 2 2" xfId="928"/>
    <cellStyle name="集計 4 3" xfId="929"/>
    <cellStyle name="集計 4 3 2" xfId="930"/>
    <cellStyle name="集計 4 4" xfId="931"/>
    <cellStyle name="集計 4 4 2" xfId="932"/>
    <cellStyle name="集計 4 5" xfId="933"/>
    <cellStyle name="集計 4 5 2" xfId="934"/>
    <cellStyle name="集計 4 6" xfId="935"/>
    <cellStyle name="集計 4 6 2" xfId="936"/>
    <cellStyle name="集計 4 7" xfId="937"/>
    <cellStyle name="集計 5" xfId="938"/>
    <cellStyle name="集計 6" xfId="939"/>
    <cellStyle name="集計 7" xfId="940"/>
    <cellStyle name="集計 8" xfId="941"/>
    <cellStyle name="集計 9" xfId="942"/>
    <cellStyle name="出力 2" xfId="943"/>
    <cellStyle name="出力 2 2" xfId="944"/>
    <cellStyle name="出力 2 2 2" xfId="945"/>
    <cellStyle name="出力 2 2 2 2" xfId="946"/>
    <cellStyle name="出力 2 2 2 2 2" xfId="947"/>
    <cellStyle name="出力 2 2 2 3" xfId="948"/>
    <cellStyle name="出力 2 2 2 3 2" xfId="949"/>
    <cellStyle name="出力 2 2 2 4" xfId="950"/>
    <cellStyle name="出力 2 2 2 4 2" xfId="951"/>
    <cellStyle name="出力 2 2 2 5" xfId="952"/>
    <cellStyle name="出力 2 2 2 5 2" xfId="953"/>
    <cellStyle name="出力 2 2 2 6" xfId="954"/>
    <cellStyle name="出力 2 2 2 6 2" xfId="955"/>
    <cellStyle name="出力 2 2 2 7" xfId="956"/>
    <cellStyle name="出力 2 2 3" xfId="957"/>
    <cellStyle name="出力 2 2 3 2" xfId="958"/>
    <cellStyle name="出力 2 3" xfId="959"/>
    <cellStyle name="出力 2 3 2" xfId="960"/>
    <cellStyle name="出力 2 3 2 2" xfId="961"/>
    <cellStyle name="出力 2 3 3" xfId="962"/>
    <cellStyle name="出力 2 3 3 2" xfId="963"/>
    <cellStyle name="出力 2 3 4" xfId="964"/>
    <cellStyle name="出力 2 3 4 2" xfId="965"/>
    <cellStyle name="出力 2 3 5" xfId="966"/>
    <cellStyle name="出力 2 3 5 2" xfId="967"/>
    <cellStyle name="出力 2 3 6" xfId="968"/>
    <cellStyle name="出力 2 3 6 2" xfId="969"/>
    <cellStyle name="出力 2 3 7" xfId="970"/>
    <cellStyle name="出力 2 4" xfId="971"/>
    <cellStyle name="出力 2 4 2" xfId="972"/>
    <cellStyle name="出力 3" xfId="973"/>
    <cellStyle name="出力 3 2" xfId="974"/>
    <cellStyle name="出力 3 2 2" xfId="975"/>
    <cellStyle name="出力 3 2 2 2" xfId="976"/>
    <cellStyle name="出力 3 2 3" xfId="977"/>
    <cellStyle name="出力 3 2 3 2" xfId="978"/>
    <cellStyle name="出力 3 2 4" xfId="979"/>
    <cellStyle name="出力 3 2 4 2" xfId="980"/>
    <cellStyle name="出力 3 2 5" xfId="981"/>
    <cellStyle name="出力 3 2 5 2" xfId="982"/>
    <cellStyle name="出力 3 2 6" xfId="983"/>
    <cellStyle name="出力 3 2 6 2" xfId="984"/>
    <cellStyle name="出力 3 2 7" xfId="985"/>
    <cellStyle name="出力 3 3" xfId="986"/>
    <cellStyle name="出力 3 3 2" xfId="987"/>
    <cellStyle name="出力 3 4" xfId="988"/>
    <cellStyle name="出力 4" xfId="989"/>
    <cellStyle name="出力 4 2" xfId="990"/>
    <cellStyle name="出力 4 2 2" xfId="991"/>
    <cellStyle name="出力 4 3" xfId="992"/>
    <cellStyle name="出力 4 3 2" xfId="993"/>
    <cellStyle name="出力 4 4" xfId="994"/>
    <cellStyle name="出力 4 4 2" xfId="995"/>
    <cellStyle name="出力 4 5" xfId="996"/>
    <cellStyle name="出力 4 5 2" xfId="997"/>
    <cellStyle name="出力 4 6" xfId="998"/>
    <cellStyle name="出力 4 6 2" xfId="999"/>
    <cellStyle name="出力 4 7" xfId="1000"/>
    <cellStyle name="出力 5" xfId="1001"/>
    <cellStyle name="出力 6" xfId="1002"/>
    <cellStyle name="出力 7" xfId="1003"/>
    <cellStyle name="出力 8" xfId="1004"/>
    <cellStyle name="出力 9" xfId="1005"/>
    <cellStyle name="人月" xfId="1006"/>
    <cellStyle name="人月 2" xfId="1941"/>
    <cellStyle name="人月 3" xfId="1940"/>
    <cellStyle name="説明文 2" xfId="1007"/>
    <cellStyle name="説明文 3" xfId="1008"/>
    <cellStyle name="説明文 4" xfId="1009"/>
    <cellStyle name="説明文 5" xfId="1010"/>
    <cellStyle name="説明文 6" xfId="1011"/>
    <cellStyle name="説明文 7" xfId="1012"/>
    <cellStyle name="説明文 8" xfId="1013"/>
    <cellStyle name="説明文 9" xfId="1014"/>
    <cellStyle name="脱浦 [0.00]_laroux" xfId="1015"/>
    <cellStyle name="脱浦_laroux" xfId="1016"/>
    <cellStyle name="通貨 [0.00" xfId="1017"/>
    <cellStyle name="通貨 [0.00 2" xfId="1018"/>
    <cellStyle name="通貨 [0.00 3" xfId="1019"/>
    <cellStyle name="通貨 [0.00 4" xfId="1020"/>
    <cellStyle name="通貨 [0.00 5" xfId="1021"/>
    <cellStyle name="通貨 [0.00 6" xfId="1022"/>
    <cellStyle name="通貨 2" xfId="1023"/>
    <cellStyle name="通貨 2 2" xfId="1024"/>
    <cellStyle name="通貨 2 2 2" xfId="1025"/>
    <cellStyle name="通貨 2 2 3" xfId="1026"/>
    <cellStyle name="通貨 2 3" xfId="1027"/>
    <cellStyle name="通貨 2 4" xfId="1028"/>
    <cellStyle name="通貨 2 5" xfId="1029"/>
    <cellStyle name="通貨 3" xfId="1030"/>
    <cellStyle name="入力 2" xfId="1031"/>
    <cellStyle name="入力 2 2" xfId="1032"/>
    <cellStyle name="入力 2 2 2" xfId="1033"/>
    <cellStyle name="入力 2 2 2 2" xfId="1034"/>
    <cellStyle name="入力 2 2 2 2 2" xfId="1035"/>
    <cellStyle name="入力 2 2 2 3" xfId="1036"/>
    <cellStyle name="入力 2 2 2 3 2" xfId="1037"/>
    <cellStyle name="入力 2 2 2 4" xfId="1038"/>
    <cellStyle name="入力 2 2 2 4 2" xfId="1039"/>
    <cellStyle name="入力 2 2 2 5" xfId="1040"/>
    <cellStyle name="入力 2 2 2 5 2" xfId="1041"/>
    <cellStyle name="入力 2 2 2 6" xfId="1042"/>
    <cellStyle name="入力 2 2 2 6 2" xfId="1043"/>
    <cellStyle name="入力 2 2 2 7" xfId="1044"/>
    <cellStyle name="入力 2 2 3" xfId="1045"/>
    <cellStyle name="入力 2 2 3 2" xfId="1046"/>
    <cellStyle name="入力 2 2 4" xfId="1047"/>
    <cellStyle name="入力 2 3" xfId="1048"/>
    <cellStyle name="入力 2 3 2" xfId="1049"/>
    <cellStyle name="入力 2 3 2 2" xfId="1050"/>
    <cellStyle name="入力 2 3 3" xfId="1051"/>
    <cellStyle name="入力 2 3 3 2" xfId="1052"/>
    <cellStyle name="入力 2 3 4" xfId="1053"/>
    <cellStyle name="入力 2 3 4 2" xfId="1054"/>
    <cellStyle name="入力 2 3 5" xfId="1055"/>
    <cellStyle name="入力 2 3 5 2" xfId="1056"/>
    <cellStyle name="入力 2 3 6" xfId="1057"/>
    <cellStyle name="入力 2 3 6 2" xfId="1058"/>
    <cellStyle name="入力 2 3 7" xfId="1059"/>
    <cellStyle name="入力 2 4" xfId="1060"/>
    <cellStyle name="入力 2 4 2" xfId="1061"/>
    <cellStyle name="入力 2 5" xfId="1062"/>
    <cellStyle name="入力 3" xfId="1063"/>
    <cellStyle name="入力 3 2" xfId="1064"/>
    <cellStyle name="入力 3 2 2" xfId="1065"/>
    <cellStyle name="入力 3 2 2 2" xfId="1066"/>
    <cellStyle name="入力 3 2 3" xfId="1067"/>
    <cellStyle name="入力 3 2 3 2" xfId="1068"/>
    <cellStyle name="入力 3 2 4" xfId="1069"/>
    <cellStyle name="入力 3 2 4 2" xfId="1070"/>
    <cellStyle name="入力 3 2 5" xfId="1071"/>
    <cellStyle name="入力 3 2 5 2" xfId="1072"/>
    <cellStyle name="入力 3 2 6" xfId="1073"/>
    <cellStyle name="入力 3 2 6 2" xfId="1074"/>
    <cellStyle name="入力 3 2 7" xfId="1075"/>
    <cellStyle name="入力 3 3" xfId="1076"/>
    <cellStyle name="入力 3 3 2" xfId="1077"/>
    <cellStyle name="入力 3 4" xfId="1078"/>
    <cellStyle name="入力 4" xfId="1079"/>
    <cellStyle name="入力 4 2" xfId="1080"/>
    <cellStyle name="入力 4 2 2" xfId="1081"/>
    <cellStyle name="入力 4 3" xfId="1082"/>
    <cellStyle name="入力 4 3 2" xfId="1083"/>
    <cellStyle name="入力 4 4" xfId="1084"/>
    <cellStyle name="入力 4 4 2" xfId="1085"/>
    <cellStyle name="入力 4 5" xfId="1086"/>
    <cellStyle name="入力 4 5 2" xfId="1087"/>
    <cellStyle name="入力 4 6" xfId="1088"/>
    <cellStyle name="入力 4 6 2" xfId="1089"/>
    <cellStyle name="入力 4 7" xfId="1090"/>
    <cellStyle name="入力 5" xfId="1091"/>
    <cellStyle name="入力 6" xfId="1092"/>
    <cellStyle name="入力 7" xfId="1093"/>
    <cellStyle name="入力 8" xfId="1094"/>
    <cellStyle name="入力 9" xfId="1095"/>
    <cellStyle builtinId="0" name="標準" xfId="0"/>
    <cellStyle name="標準 10" xfId="1096"/>
    <cellStyle name="標準 10 2" xfId="1097"/>
    <cellStyle name="標準 10 3" xfId="14"/>
    <cellStyle name="標準 10 4" xfId="1098"/>
    <cellStyle name="標準 10 5" xfId="1099"/>
    <cellStyle name="標準 100" xfId="1100"/>
    <cellStyle name="標準 100 2" xfId="1101"/>
    <cellStyle name="標準 100 2 2" xfId="1102"/>
    <cellStyle name="標準 100 2 2 2" xfId="1103"/>
    <cellStyle name="標準 100 2 2 3" xfId="1104"/>
    <cellStyle name="標準 100 2 2 4" xfId="1105"/>
    <cellStyle name="標準 100 2 3" xfId="1106"/>
    <cellStyle name="標準 100 2 4" xfId="1107"/>
    <cellStyle name="標準 100 2 5" xfId="1108"/>
    <cellStyle name="標準 100 3" xfId="1109"/>
    <cellStyle name="標準 100 3 2" xfId="1110"/>
    <cellStyle name="標準 100 3 3" xfId="1111"/>
    <cellStyle name="標準 100 3 4" xfId="1112"/>
    <cellStyle name="標準 100 4" xfId="1113"/>
    <cellStyle name="標準 100 5" xfId="1114"/>
    <cellStyle name="標準 100 6" xfId="1115"/>
    <cellStyle name="標準 101" xfId="1116"/>
    <cellStyle name="標準 102" xfId="1117"/>
    <cellStyle name="標準 102 2" xfId="1118"/>
    <cellStyle name="標準 102 2 2" xfId="1119"/>
    <cellStyle name="標準 102 2 3" xfId="1120"/>
    <cellStyle name="標準 102 2 4" xfId="1121"/>
    <cellStyle name="標準 102 3" xfId="1122"/>
    <cellStyle name="標準 102 4" xfId="1123"/>
    <cellStyle name="標準 102 5" xfId="1124"/>
    <cellStyle name="標準 103" xfId="1125"/>
    <cellStyle name="標準 104" xfId="1126"/>
    <cellStyle name="標準 104 2" xfId="1127"/>
    <cellStyle name="標準 104 3" xfId="1128"/>
    <cellStyle name="標準 104 4" xfId="1129"/>
    <cellStyle name="標準 105" xfId="1130"/>
    <cellStyle name="標準 106" xfId="1131"/>
    <cellStyle name="標準 107" xfId="1132"/>
    <cellStyle name="標準 108" xfId="1133"/>
    <cellStyle name="標準 109" xfId="1134"/>
    <cellStyle name="標準 11" xfId="1135"/>
    <cellStyle name="標準 11 2" xfId="1136"/>
    <cellStyle name="標準 11 3" xfId="1137"/>
    <cellStyle name="標準 110" xfId="1138"/>
    <cellStyle name="標準 111" xfId="1139"/>
    <cellStyle name="標準 112" xfId="1140"/>
    <cellStyle name="標準 113" xfId="1141"/>
    <cellStyle name="標準 114" xfId="1142"/>
    <cellStyle name="標準 115" xfId="1143"/>
    <cellStyle name="標準 116" xfId="1144"/>
    <cellStyle name="標準 117" xfId="1145"/>
    <cellStyle name="標準 118" xfId="1146"/>
    <cellStyle name="標準 119" xfId="1147"/>
    <cellStyle name="標準 12" xfId="1148"/>
    <cellStyle name="標準 12 2" xfId="1149"/>
    <cellStyle name="標準 12 2 2" xfId="1150"/>
    <cellStyle name="標準 12 2 3" xfId="1151"/>
    <cellStyle name="標準 12 3" xfId="1152"/>
    <cellStyle name="標準 12 3 2" xfId="1153"/>
    <cellStyle name="標準 12 3 3" xfId="1154"/>
    <cellStyle name="標準 120" xfId="1155"/>
    <cellStyle name="標準 121" xfId="1156"/>
    <cellStyle name="標準 122" xfId="1157"/>
    <cellStyle name="標準 123" xfId="1158"/>
    <cellStyle name="標準 124" xfId="1159"/>
    <cellStyle name="標準 125" xfId="1160"/>
    <cellStyle name="標準 126" xfId="1161"/>
    <cellStyle name="標準 127" xfId="1162"/>
    <cellStyle name="標準 128" xfId="1163"/>
    <cellStyle name="標準 129" xfId="1164"/>
    <cellStyle name="標準 13" xfId="1165"/>
    <cellStyle name="標準 13 2" xfId="1166"/>
    <cellStyle name="標準 13 3" xfId="1167"/>
    <cellStyle name="標準 13 4" xfId="1168"/>
    <cellStyle name="標準 13 5" xfId="1169"/>
    <cellStyle name="標準 130" xfId="1170"/>
    <cellStyle name="標準 131" xfId="1171"/>
    <cellStyle name="標準 132" xfId="1937"/>
    <cellStyle name="標準 132 2" xfId="1943"/>
    <cellStyle name="標準 132 2 2" xfId="1950"/>
    <cellStyle name="標準 132 3" xfId="1948"/>
    <cellStyle name="標準 133" xfId="1944"/>
    <cellStyle name="標準 133 2" xfId="1951"/>
    <cellStyle name="標準 134" xfId="1946"/>
    <cellStyle name="標準 136" xfId="1172"/>
    <cellStyle name="標準 14" xfId="1173"/>
    <cellStyle name="標準 14 2" xfId="1174"/>
    <cellStyle name="標準 14 2 2" xfId="1175"/>
    <cellStyle name="標準 14 2 3" xfId="1176"/>
    <cellStyle name="標準 14 3" xfId="1177"/>
    <cellStyle name="標準 14 4" xfId="1178"/>
    <cellStyle name="標準 15" xfId="1179"/>
    <cellStyle name="標準 15 2" xfId="1180"/>
    <cellStyle name="標準 15 2 2" xfId="1181"/>
    <cellStyle name="標準 15 2 3" xfId="1182"/>
    <cellStyle name="標準 15 3" xfId="1183"/>
    <cellStyle name="標準 15 4" xfId="1184"/>
    <cellStyle name="標準 15 5" xfId="1185"/>
    <cellStyle name="標準 15 6" xfId="1186"/>
    <cellStyle name="標準 16" xfId="1187"/>
    <cellStyle name="標準 16 2" xfId="1188"/>
    <cellStyle name="標準 16 2 2" xfId="1189"/>
    <cellStyle name="標準 16 2 3" xfId="1190"/>
    <cellStyle name="標準 16 3" xfId="1191"/>
    <cellStyle name="標準 16 4" xfId="1192"/>
    <cellStyle name="標準 16 5" xfId="1193"/>
    <cellStyle name="標準 17" xfId="1194"/>
    <cellStyle name="標準 17 2" xfId="1195"/>
    <cellStyle name="標準 17 2 2" xfId="1196"/>
    <cellStyle name="標準 17 2 3" xfId="1197"/>
    <cellStyle name="標準 17 3" xfId="1198"/>
    <cellStyle name="標準 17 4" xfId="1199"/>
    <cellStyle name="標準 17 5" xfId="1200"/>
    <cellStyle name="標準 18" xfId="1201"/>
    <cellStyle name="標準 18 2" xfId="1202"/>
    <cellStyle name="標準 18 2 2" xfId="1203"/>
    <cellStyle name="標準 18 2 3" xfId="1204"/>
    <cellStyle name="標準 18 2 4" xfId="1205"/>
    <cellStyle name="標準 18 3" xfId="1206"/>
    <cellStyle name="標準 18 4" xfId="1207"/>
    <cellStyle name="標準 18 5" xfId="1208"/>
    <cellStyle name="標準 18 6" xfId="1209"/>
    <cellStyle name="標準 19" xfId="1210"/>
    <cellStyle name="標準 19 2" xfId="1211"/>
    <cellStyle name="標準 19 3" xfId="1212"/>
    <cellStyle name="標準 2" xfId="9"/>
    <cellStyle name="標準 2 10" xfId="1213"/>
    <cellStyle name="標準 2 11" xfId="1214"/>
    <cellStyle name="標準 2 12" xfId="1215"/>
    <cellStyle name="標準 2 13" xfId="1216"/>
    <cellStyle name="標準 2 2" xfId="10"/>
    <cellStyle name="標準 2 2 2" xfId="1217"/>
    <cellStyle name="標準 2 2 2 2" xfId="1218"/>
    <cellStyle name="標準 2 2 2 2 2" xfId="1219"/>
    <cellStyle name="標準 2 2 2 2 3" xfId="1220"/>
    <cellStyle name="標準 2 2 2 3" xfId="1221"/>
    <cellStyle name="標準 2 2 3" xfId="1222"/>
    <cellStyle name="標準 2 2 3 2" xfId="1223"/>
    <cellStyle name="標準 2 2 3 3" xfId="1224"/>
    <cellStyle name="標準 2 2 4" xfId="1225"/>
    <cellStyle name="標準 2 2 4 2" xfId="1226"/>
    <cellStyle name="標準 2 2 4 3" xfId="1227"/>
    <cellStyle name="標準 2 2 5" xfId="1228"/>
    <cellStyle name="標準 2 2 5 2" xfId="1229"/>
    <cellStyle name="標準 2 2 5 3" xfId="1230"/>
    <cellStyle name="標準 2 2 6" xfId="1231"/>
    <cellStyle name="標準 2 2 6 2" xfId="1232"/>
    <cellStyle name="標準 2 2 6 3" xfId="1233"/>
    <cellStyle name="標準 2 2 7" xfId="1234"/>
    <cellStyle name="標準 2 2 8" xfId="1235"/>
    <cellStyle name="標準 2 2_(別紙1)参加者テスト仕様書(JPN)_ver1.81" xfId="1236"/>
    <cellStyle name="標準 2 3" xfId="13"/>
    <cellStyle name="標準 2 3 2" xfId="1237"/>
    <cellStyle name="標準 2 3 2 2" xfId="1238"/>
    <cellStyle name="標準 2 3 3" xfId="1239"/>
    <cellStyle name="標準 2 3 3 2" xfId="1240"/>
    <cellStyle name="標準 2 3 3 3" xfId="1241"/>
    <cellStyle name="標準 2 3 4" xfId="1242"/>
    <cellStyle name="標準 2 4" xfId="1243"/>
    <cellStyle name="標準 2 4 2" xfId="1244"/>
    <cellStyle name="標準 2 4 2 2" xfId="1245"/>
    <cellStyle name="標準 2 4 3" xfId="1246"/>
    <cellStyle name="標準 2 5" xfId="1247"/>
    <cellStyle name="標準 2 5 2" xfId="1248"/>
    <cellStyle name="標準 2 5 3" xfId="1249"/>
    <cellStyle name="標準 2 6" xfId="1250"/>
    <cellStyle name="標準 2 6 2" xfId="1251"/>
    <cellStyle name="標準 2 6 3" xfId="1252"/>
    <cellStyle name="標準 2 6 4" xfId="1253"/>
    <cellStyle name="標準 2 7" xfId="1254"/>
    <cellStyle name="標準 2 7 2" xfId="1255"/>
    <cellStyle name="標準 2 8" xfId="1256"/>
    <cellStyle name="標準 2 8 2" xfId="1257"/>
    <cellStyle name="標準 2 9" xfId="1258"/>
    <cellStyle name="標準 2_(別紙1)参加者テスト仕様書(JPN)_ver1.81" xfId="1259"/>
    <cellStyle name="標準 20" xfId="1260"/>
    <cellStyle name="標準 20 2" xfId="1261"/>
    <cellStyle name="標準 20 3" xfId="1262"/>
    <cellStyle name="標準 20 4" xfId="1263"/>
    <cellStyle name="標準 20 5" xfId="1264"/>
    <cellStyle name="標準 21" xfId="1265"/>
    <cellStyle name="標準 21 2" xfId="1266"/>
    <cellStyle name="標準 21 2 2" xfId="1267"/>
    <cellStyle name="標準 21 3" xfId="1268"/>
    <cellStyle name="標準 21 3 2" xfId="1269"/>
    <cellStyle name="標準 21 4" xfId="1270"/>
    <cellStyle name="標準 21 5" xfId="1271"/>
    <cellStyle name="標準 22" xfId="1272"/>
    <cellStyle name="標準 22 2" xfId="1273"/>
    <cellStyle name="標準 22 3" xfId="1274"/>
    <cellStyle name="標準 23" xfId="1275"/>
    <cellStyle name="標準 23 2" xfId="1276"/>
    <cellStyle name="標準 23 3" xfId="1277"/>
    <cellStyle name="標準 24" xfId="1278"/>
    <cellStyle name="標準 24 2" xfId="1279"/>
    <cellStyle name="標準 24 3" xfId="1280"/>
    <cellStyle name="標準 25" xfId="1281"/>
    <cellStyle name="標準 26" xfId="1282"/>
    <cellStyle name="標準 27" xfId="1283"/>
    <cellStyle name="標準 28" xfId="1284"/>
    <cellStyle name="標準 29" xfId="1285"/>
    <cellStyle name="標準 3" xfId="11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6"/>
    <cellStyle name="標準 4 2" xfId="1336"/>
    <cellStyle name="標準 4 2 2" xfId="1337"/>
    <cellStyle name="標準 4 2 2 2" xfId="1338"/>
    <cellStyle name="標準 4 2 2 3" xfId="1339"/>
    <cellStyle name="標準 4 2 3" xfId="1340"/>
    <cellStyle name="標準 4 3" xfId="1341"/>
    <cellStyle name="標準 4 3 2" xfId="1342"/>
    <cellStyle name="標準 4 3 3" xfId="1343"/>
    <cellStyle name="標準 4 4" xfId="1344"/>
    <cellStyle name="標準 4 4 2" xfId="1345"/>
    <cellStyle name="標準 4 4 3" xfId="1346"/>
    <cellStyle name="標準 4 5" xfId="1347"/>
    <cellStyle name="標準 4 6" xfId="1348"/>
    <cellStyle name="標準 4 7" xfId="1942"/>
    <cellStyle name="標準 4 7 2" xfId="1949"/>
    <cellStyle name="標準 4 8" xfId="1947"/>
    <cellStyle name="標準 4_20121011__1_F⇒O_【証拠金１本化】課題管理（清算）" xfId="1349"/>
    <cellStyle name="標準 40" xfId="1350"/>
    <cellStyle name="標準 41" xfId="1351"/>
    <cellStyle name="標準 42" xfId="1352"/>
    <cellStyle name="標準 43" xfId="1353"/>
    <cellStyle name="標準 44" xfId="1354"/>
    <cellStyle name="標準 45" xfId="1355"/>
    <cellStyle name="標準 46" xfId="1356"/>
    <cellStyle name="標準 47" xfId="1357"/>
    <cellStyle name="標準 48" xfId="1358"/>
    <cellStyle name="標準 49" xfId="1359"/>
    <cellStyle name="標準 5" xfId="1360"/>
    <cellStyle name="標準 5 2" xfId="1361"/>
    <cellStyle name="標準 5 2 2" xfId="1362"/>
    <cellStyle name="標準 5 2 2 2" xfId="15"/>
    <cellStyle name="標準 5 2 2 3" xfId="1363"/>
    <cellStyle name="標準 5 2 3" xfId="1364"/>
    <cellStyle name="標準 5 2 3 2" xfId="1365"/>
    <cellStyle name="標準 5 2 3 3" xfId="1366"/>
    <cellStyle name="標準 5 3" xfId="1367"/>
    <cellStyle name="標準 5 4" xfId="1368"/>
    <cellStyle name="標準 5 4 2" xfId="1369"/>
    <cellStyle name="標準 5_バックアップセンタ_切替テストスケジュール_20120406~10" xfId="1370"/>
    <cellStyle name="標準 50" xfId="1371"/>
    <cellStyle name="標準 51" xfId="1372"/>
    <cellStyle name="標準 52" xfId="1373"/>
    <cellStyle name="標準 53" xfId="1374"/>
    <cellStyle name="標準 54" xfId="1375"/>
    <cellStyle name="標準 55" xfId="1376"/>
    <cellStyle name="標準 56" xfId="1377"/>
    <cellStyle name="標準 57" xfId="1378"/>
    <cellStyle name="標準 58" xfId="1379"/>
    <cellStyle name="標準 59" xfId="1380"/>
    <cellStyle name="標準 6" xfId="1381"/>
    <cellStyle name="標準 6 2" xfId="1382"/>
    <cellStyle name="標準 6 2 2" xfId="1383"/>
    <cellStyle name="標準 6 2 3" xfId="1384"/>
    <cellStyle name="標準 6 2 4" xfId="1385"/>
    <cellStyle name="標準 6 3" xfId="1386"/>
    <cellStyle name="標準 6_バックアップセンタ_切替テストスケジュール_20120406~10" xfId="1387"/>
    <cellStyle name="標準 60" xfId="1388"/>
    <cellStyle name="標準 61" xfId="1389"/>
    <cellStyle name="標準 62" xfId="1390"/>
    <cellStyle name="標準 63" xfId="1391"/>
    <cellStyle name="標準 64" xfId="1392"/>
    <cellStyle name="標準 65" xfId="1393"/>
    <cellStyle name="標準 66" xfId="1394"/>
    <cellStyle name="標準 67" xfId="1395"/>
    <cellStyle name="標準 68" xfId="1396"/>
    <cellStyle name="標準 69" xfId="1397"/>
    <cellStyle name="標準 69 2" xfId="1398"/>
    <cellStyle name="標準 69 2 2" xfId="1399"/>
    <cellStyle name="標準 69 2 2 2" xfId="1400"/>
    <cellStyle name="標準 69 2 2 3" xfId="1401"/>
    <cellStyle name="標準 69 2 2 4" xfId="1402"/>
    <cellStyle name="標準 69 2 3" xfId="1403"/>
    <cellStyle name="標準 69 2 4" xfId="1404"/>
    <cellStyle name="標準 69 2 5" xfId="1405"/>
    <cellStyle name="標準 69 3" xfId="1406"/>
    <cellStyle name="標準 69 3 2" xfId="1407"/>
    <cellStyle name="標準 69 3 3" xfId="1408"/>
    <cellStyle name="標準 69 3 4" xfId="1409"/>
    <cellStyle name="標準 69 4" xfId="1410"/>
    <cellStyle name="標準 69 5" xfId="1411"/>
    <cellStyle name="標準 69 6" xfId="1412"/>
    <cellStyle name="標準 69 7" xfId="1413"/>
    <cellStyle name="標準 69 8" xfId="1414"/>
    <cellStyle name="標準 7" xfId="1415"/>
    <cellStyle name="標準 7 2" xfId="1416"/>
    <cellStyle name="標準 7 2 2" xfId="1417"/>
    <cellStyle name="標準 7 2 3" xfId="1418"/>
    <cellStyle name="標準 7 3" xfId="1419"/>
    <cellStyle name="標準 7 3 2" xfId="1420"/>
    <cellStyle name="標準 7 3 3" xfId="1421"/>
    <cellStyle name="標準 7 4" xfId="1422"/>
    <cellStyle name="標準 7 4 2" xfId="1423"/>
    <cellStyle name="標準 7 4 3" xfId="1424"/>
    <cellStyle name="標準 7 5" xfId="1425"/>
    <cellStyle name="標準 70" xfId="1426"/>
    <cellStyle name="標準 70 2" xfId="1427"/>
    <cellStyle name="標準 70 2 2" xfId="1428"/>
    <cellStyle name="標準 70 2 2 2" xfId="1429"/>
    <cellStyle name="標準 70 2 2 3" xfId="1430"/>
    <cellStyle name="標準 70 2 2 4" xfId="1431"/>
    <cellStyle name="標準 70 2 3" xfId="1432"/>
    <cellStyle name="標準 70 2 4" xfId="1433"/>
    <cellStyle name="標準 70 2 5" xfId="1434"/>
    <cellStyle name="標準 70 3" xfId="1435"/>
    <cellStyle name="標準 70 3 2" xfId="1436"/>
    <cellStyle name="標準 70 3 3" xfId="1437"/>
    <cellStyle name="標準 70 3 4" xfId="1438"/>
    <cellStyle name="標準 70 4" xfId="1439"/>
    <cellStyle name="標準 70 5" xfId="1440"/>
    <cellStyle name="標準 70 6" xfId="1441"/>
    <cellStyle name="標準 70 7" xfId="1442"/>
    <cellStyle name="標準 70 8" xfId="1443"/>
    <cellStyle name="標準 71" xfId="1444"/>
    <cellStyle name="標準 71 2" xfId="1445"/>
    <cellStyle name="標準 71 2 2" xfId="1446"/>
    <cellStyle name="標準 71 2 2 2" xfId="1447"/>
    <cellStyle name="標準 71 2 2 3" xfId="1448"/>
    <cellStyle name="標準 71 2 2 4" xfId="1449"/>
    <cellStyle name="標準 71 2 3" xfId="1450"/>
    <cellStyle name="標準 71 2 4" xfId="1451"/>
    <cellStyle name="標準 71 2 5" xfId="1452"/>
    <cellStyle name="標準 71 3" xfId="1453"/>
    <cellStyle name="標準 71 3 2" xfId="1454"/>
    <cellStyle name="標準 71 3 3" xfId="1455"/>
    <cellStyle name="標準 71 3 4" xfId="1456"/>
    <cellStyle name="標準 71 4" xfId="1457"/>
    <cellStyle name="標準 71 5" xfId="1458"/>
    <cellStyle name="標準 71 6" xfId="1459"/>
    <cellStyle name="標準 71 7" xfId="1460"/>
    <cellStyle name="標準 71 8" xfId="1461"/>
    <cellStyle name="標準 72" xfId="1462"/>
    <cellStyle name="標準 72 2" xfId="1463"/>
    <cellStyle name="標準 72 2 2" xfId="1464"/>
    <cellStyle name="標準 72 2 2 2" xfId="1465"/>
    <cellStyle name="標準 72 2 2 3" xfId="1466"/>
    <cellStyle name="標準 72 2 2 4" xfId="1467"/>
    <cellStyle name="標準 72 2 3" xfId="1468"/>
    <cellStyle name="標準 72 2 4" xfId="1469"/>
    <cellStyle name="標準 72 2 5" xfId="1470"/>
    <cellStyle name="標準 72 3" xfId="1471"/>
    <cellStyle name="標準 72 3 2" xfId="1472"/>
    <cellStyle name="標準 72 3 3" xfId="1473"/>
    <cellStyle name="標準 72 3 4" xfId="1474"/>
    <cellStyle name="標準 72 4" xfId="1475"/>
    <cellStyle name="標準 72 5" xfId="1476"/>
    <cellStyle name="標準 72 6" xfId="1477"/>
    <cellStyle name="標準 72 7" xfId="1478"/>
    <cellStyle name="標準 72 8" xfId="1479"/>
    <cellStyle name="標準 73" xfId="1480"/>
    <cellStyle name="標準 73 2" xfId="1481"/>
    <cellStyle name="標準 73 2 2" xfId="1482"/>
    <cellStyle name="標準 73 2 2 2" xfId="1483"/>
    <cellStyle name="標準 73 2 2 3" xfId="1484"/>
    <cellStyle name="標準 73 2 2 4" xfId="1485"/>
    <cellStyle name="標準 73 2 3" xfId="1486"/>
    <cellStyle name="標準 73 2 4" xfId="1487"/>
    <cellStyle name="標準 73 2 5" xfId="1488"/>
    <cellStyle name="標準 73 3" xfId="1489"/>
    <cellStyle name="標準 73 3 2" xfId="1490"/>
    <cellStyle name="標準 73 3 3" xfId="1491"/>
    <cellStyle name="標準 73 3 4" xfId="1492"/>
    <cellStyle name="標準 73 4" xfId="1493"/>
    <cellStyle name="標準 73 5" xfId="1494"/>
    <cellStyle name="標準 73 6" xfId="1495"/>
    <cellStyle name="標準 74" xfId="1496"/>
    <cellStyle name="標準 74 2" xfId="1497"/>
    <cellStyle name="標準 74 2 2" xfId="1498"/>
    <cellStyle name="標準 74 2 2 2" xfId="1499"/>
    <cellStyle name="標準 74 2 2 3" xfId="1500"/>
    <cellStyle name="標準 74 2 2 4" xfId="1501"/>
    <cellStyle name="標準 74 2 3" xfId="1502"/>
    <cellStyle name="標準 74 2 4" xfId="1503"/>
    <cellStyle name="標準 74 2 5" xfId="1504"/>
    <cellStyle name="標準 74 3" xfId="1505"/>
    <cellStyle name="標準 74 3 2" xfId="1506"/>
    <cellStyle name="標準 74 3 3" xfId="1507"/>
    <cellStyle name="標準 74 3 4" xfId="1508"/>
    <cellStyle name="標準 74 4" xfId="1509"/>
    <cellStyle name="標準 74 5" xfId="1510"/>
    <cellStyle name="標準 74 6" xfId="1511"/>
    <cellStyle name="標準 75" xfId="1512"/>
    <cellStyle name="標準 75 2" xfId="1513"/>
    <cellStyle name="標準 75 2 2" xfId="1514"/>
    <cellStyle name="標準 75 2 2 2" xfId="1515"/>
    <cellStyle name="標準 75 2 2 3" xfId="1516"/>
    <cellStyle name="標準 75 2 2 4" xfId="1517"/>
    <cellStyle name="標準 75 2 3" xfId="1518"/>
    <cellStyle name="標準 75 2 4" xfId="1519"/>
    <cellStyle name="標準 75 2 5" xfId="1520"/>
    <cellStyle name="標準 75 3" xfId="1521"/>
    <cellStyle name="標準 75 3 2" xfId="1522"/>
    <cellStyle name="標準 75 3 3" xfId="1523"/>
    <cellStyle name="標準 75 3 4" xfId="1524"/>
    <cellStyle name="標準 75 4" xfId="1525"/>
    <cellStyle name="標準 75 5" xfId="1526"/>
    <cellStyle name="標準 75 6" xfId="1527"/>
    <cellStyle name="標準 76" xfId="1528"/>
    <cellStyle name="標準 76 2" xfId="1529"/>
    <cellStyle name="標準 76 2 2" xfId="1530"/>
    <cellStyle name="標準 76 2 2 2" xfId="1531"/>
    <cellStyle name="標準 76 2 2 3" xfId="1532"/>
    <cellStyle name="標準 76 2 2 4" xfId="1533"/>
    <cellStyle name="標準 76 2 3" xfId="1534"/>
    <cellStyle name="標準 76 2 4" xfId="1535"/>
    <cellStyle name="標準 76 2 5" xfId="1536"/>
    <cellStyle name="標準 76 3" xfId="1537"/>
    <cellStyle name="標準 76 3 2" xfId="1538"/>
    <cellStyle name="標準 76 3 3" xfId="1539"/>
    <cellStyle name="標準 76 3 4" xfId="1540"/>
    <cellStyle name="標準 76 4" xfId="1541"/>
    <cellStyle name="標準 76 5" xfId="1542"/>
    <cellStyle name="標準 76 6" xfId="1543"/>
    <cellStyle name="標準 77" xfId="1544"/>
    <cellStyle name="標準 77 2" xfId="1545"/>
    <cellStyle name="標準 77 2 2" xfId="1546"/>
    <cellStyle name="標準 77 2 2 2" xfId="1547"/>
    <cellStyle name="標準 77 2 2 3" xfId="1548"/>
    <cellStyle name="標準 77 2 2 4" xfId="1549"/>
    <cellStyle name="標準 77 2 3" xfId="1550"/>
    <cellStyle name="標準 77 2 4" xfId="1551"/>
    <cellStyle name="標準 77 2 5" xfId="1552"/>
    <cellStyle name="標準 77 3" xfId="1553"/>
    <cellStyle name="標準 77 3 2" xfId="1554"/>
    <cellStyle name="標準 77 3 3" xfId="1555"/>
    <cellStyle name="標準 77 3 4" xfId="1556"/>
    <cellStyle name="標準 77 4" xfId="1557"/>
    <cellStyle name="標準 77 5" xfId="1558"/>
    <cellStyle name="標準 77 6" xfId="1559"/>
    <cellStyle name="標準 78" xfId="1560"/>
    <cellStyle name="標準 78 2" xfId="1561"/>
    <cellStyle name="標準 78 2 2" xfId="1562"/>
    <cellStyle name="標準 78 2 2 2" xfId="1563"/>
    <cellStyle name="標準 78 2 2 3" xfId="1564"/>
    <cellStyle name="標準 78 2 2 4" xfId="1565"/>
    <cellStyle name="標準 78 2 3" xfId="1566"/>
    <cellStyle name="標準 78 2 4" xfId="1567"/>
    <cellStyle name="標準 78 2 5" xfId="1568"/>
    <cellStyle name="標準 78 3" xfId="1569"/>
    <cellStyle name="標準 78 3 2" xfId="1570"/>
    <cellStyle name="標準 78 3 3" xfId="1571"/>
    <cellStyle name="標準 78 3 4" xfId="1572"/>
    <cellStyle name="標準 78 4" xfId="1573"/>
    <cellStyle name="標準 78 5" xfId="1574"/>
    <cellStyle name="標準 78 6" xfId="1575"/>
    <cellStyle name="標準 79" xfId="1576"/>
    <cellStyle name="標準 79 2" xfId="1577"/>
    <cellStyle name="標準 79 2 2" xfId="1578"/>
    <cellStyle name="標準 79 2 2 2" xfId="1579"/>
    <cellStyle name="標準 79 2 2 3" xfId="1580"/>
    <cellStyle name="標準 79 2 2 4" xfId="1581"/>
    <cellStyle name="標準 79 2 3" xfId="1582"/>
    <cellStyle name="標準 79 2 4" xfId="1583"/>
    <cellStyle name="標準 79 2 5" xfId="1584"/>
    <cellStyle name="標準 79 3" xfId="1585"/>
    <cellStyle name="標準 79 3 2" xfId="1586"/>
    <cellStyle name="標準 79 3 3" xfId="1587"/>
    <cellStyle name="標準 79 3 4" xfId="1588"/>
    <cellStyle name="標準 79 4" xfId="1589"/>
    <cellStyle name="標準 79 5" xfId="1590"/>
    <cellStyle name="標準 79 6" xfId="1591"/>
    <cellStyle name="標準 8" xfId="1592"/>
    <cellStyle name="標準 8 2" xfId="1593"/>
    <cellStyle name="標準 8 3" xfId="1594"/>
    <cellStyle name="標準 8 4" xfId="1595"/>
    <cellStyle name="標準 8 5" xfId="1596"/>
    <cellStyle name="標準 8 6" xfId="1597"/>
    <cellStyle name="標準 80" xfId="1598"/>
    <cellStyle name="標準 80 2" xfId="1599"/>
    <cellStyle name="標準 80 2 2" xfId="1600"/>
    <cellStyle name="標準 80 2 2 2" xfId="1601"/>
    <cellStyle name="標準 80 2 2 3" xfId="1602"/>
    <cellStyle name="標準 80 2 2 4" xfId="1603"/>
    <cellStyle name="標準 80 2 3" xfId="1604"/>
    <cellStyle name="標準 80 2 4" xfId="1605"/>
    <cellStyle name="標準 80 2 5" xfId="1606"/>
    <cellStyle name="標準 80 3" xfId="1607"/>
    <cellStyle name="標準 80 3 2" xfId="1608"/>
    <cellStyle name="標準 80 3 3" xfId="1609"/>
    <cellStyle name="標準 80 3 4" xfId="1610"/>
    <cellStyle name="標準 80 4" xfId="1611"/>
    <cellStyle name="標準 80 5" xfId="1612"/>
    <cellStyle name="標準 80 6" xfId="1613"/>
    <cellStyle name="標準 81" xfId="1614"/>
    <cellStyle name="標準 81 2" xfId="1615"/>
    <cellStyle name="標準 81 2 2" xfId="1616"/>
    <cellStyle name="標準 81 2 2 2" xfId="1617"/>
    <cellStyle name="標準 81 2 2 3" xfId="1618"/>
    <cellStyle name="標準 81 2 2 4" xfId="1619"/>
    <cellStyle name="標準 81 2 3" xfId="1620"/>
    <cellStyle name="標準 81 2 4" xfId="1621"/>
    <cellStyle name="標準 81 2 5" xfId="1622"/>
    <cellStyle name="標準 81 3" xfId="1623"/>
    <cellStyle name="標準 81 3 2" xfId="1624"/>
    <cellStyle name="標準 81 3 3" xfId="1625"/>
    <cellStyle name="標準 81 3 4" xfId="1626"/>
    <cellStyle name="標準 81 4" xfId="1627"/>
    <cellStyle name="標準 81 5" xfId="1628"/>
    <cellStyle name="標準 81 6" xfId="1629"/>
    <cellStyle name="標準 82" xfId="1630"/>
    <cellStyle name="標準 82 2" xfId="1631"/>
    <cellStyle name="標準 82 2 2" xfId="1632"/>
    <cellStyle name="標準 82 2 2 2" xfId="1633"/>
    <cellStyle name="標準 82 2 2 3" xfId="1634"/>
    <cellStyle name="標準 82 2 2 4" xfId="1635"/>
    <cellStyle name="標準 82 2 3" xfId="1636"/>
    <cellStyle name="標準 82 2 4" xfId="1637"/>
    <cellStyle name="標準 82 2 5" xfId="1638"/>
    <cellStyle name="標準 82 3" xfId="1639"/>
    <cellStyle name="標準 82 3 2" xfId="1640"/>
    <cellStyle name="標準 82 3 3" xfId="1641"/>
    <cellStyle name="標準 82 3 4" xfId="1642"/>
    <cellStyle name="標準 82 4" xfId="1643"/>
    <cellStyle name="標準 82 5" xfId="1644"/>
    <cellStyle name="標準 82 6" xfId="1645"/>
    <cellStyle name="標準 83" xfId="1646"/>
    <cellStyle name="標準 83 2" xfId="1647"/>
    <cellStyle name="標準 83 2 2" xfId="1648"/>
    <cellStyle name="標準 83 2 2 2" xfId="1649"/>
    <cellStyle name="標準 83 2 2 3" xfId="1650"/>
    <cellStyle name="標準 83 2 2 4" xfId="1651"/>
    <cellStyle name="標準 83 2 3" xfId="1652"/>
    <cellStyle name="標準 83 2 4" xfId="1653"/>
    <cellStyle name="標準 83 2 5" xfId="1654"/>
    <cellStyle name="標準 83 3" xfId="1655"/>
    <cellStyle name="標準 83 3 2" xfId="1656"/>
    <cellStyle name="標準 83 3 3" xfId="1657"/>
    <cellStyle name="標準 83 3 4" xfId="1658"/>
    <cellStyle name="標準 83 4" xfId="1659"/>
    <cellStyle name="標準 83 5" xfId="1660"/>
    <cellStyle name="標準 83 6" xfId="1661"/>
    <cellStyle name="標準 84" xfId="1662"/>
    <cellStyle name="標準 84 2" xfId="1663"/>
    <cellStyle name="標準 84 2 2" xfId="1664"/>
    <cellStyle name="標準 84 2 2 2" xfId="1665"/>
    <cellStyle name="標準 84 2 2 3" xfId="1666"/>
    <cellStyle name="標準 84 2 2 4" xfId="1667"/>
    <cellStyle name="標準 84 2 3" xfId="1668"/>
    <cellStyle name="標準 84 2 4" xfId="1669"/>
    <cellStyle name="標準 84 2 5" xfId="1670"/>
    <cellStyle name="標準 84 3" xfId="1671"/>
    <cellStyle name="標準 84 3 2" xfId="1672"/>
    <cellStyle name="標準 84 3 3" xfId="1673"/>
    <cellStyle name="標準 84 3 4" xfId="1674"/>
    <cellStyle name="標準 84 4" xfId="1675"/>
    <cellStyle name="標準 84 5" xfId="1676"/>
    <cellStyle name="標準 84 6" xfId="1677"/>
    <cellStyle name="標準 85" xfId="1678"/>
    <cellStyle name="標準 85 2" xfId="1679"/>
    <cellStyle name="標準 85 2 2" xfId="1680"/>
    <cellStyle name="標準 85 2 2 2" xfId="1681"/>
    <cellStyle name="標準 85 2 2 3" xfId="1682"/>
    <cellStyle name="標準 85 2 2 4" xfId="1683"/>
    <cellStyle name="標準 85 2 3" xfId="1684"/>
    <cellStyle name="標準 85 2 4" xfId="1685"/>
    <cellStyle name="標準 85 2 5" xfId="1686"/>
    <cellStyle name="標準 85 3" xfId="1687"/>
    <cellStyle name="標準 85 3 2" xfId="1688"/>
    <cellStyle name="標準 85 3 3" xfId="1689"/>
    <cellStyle name="標準 85 3 4" xfId="1690"/>
    <cellStyle name="標準 85 4" xfId="1691"/>
    <cellStyle name="標準 85 5" xfId="1692"/>
    <cellStyle name="標準 85 6" xfId="1693"/>
    <cellStyle name="標準 86" xfId="1694"/>
    <cellStyle name="標準 86 2" xfId="1695"/>
    <cellStyle name="標準 86 2 2" xfId="1696"/>
    <cellStyle name="標準 86 2 2 2" xfId="1697"/>
    <cellStyle name="標準 86 2 2 3" xfId="1698"/>
    <cellStyle name="標準 86 2 2 4" xfId="1699"/>
    <cellStyle name="標準 86 2 3" xfId="1700"/>
    <cellStyle name="標準 86 2 4" xfId="1701"/>
    <cellStyle name="標準 86 2 5" xfId="1702"/>
    <cellStyle name="標準 86 3" xfId="1703"/>
    <cellStyle name="標準 86 3 2" xfId="1704"/>
    <cellStyle name="標準 86 3 3" xfId="1705"/>
    <cellStyle name="標準 86 3 4" xfId="1706"/>
    <cellStyle name="標準 86 4" xfId="1707"/>
    <cellStyle name="標準 86 5" xfId="1708"/>
    <cellStyle name="標準 86 6" xfId="1709"/>
    <cellStyle name="標準 87" xfId="1710"/>
    <cellStyle name="標準 87 2" xfId="1711"/>
    <cellStyle name="標準 87 2 2" xfId="1712"/>
    <cellStyle name="標準 87 2 2 2" xfId="1713"/>
    <cellStyle name="標準 87 2 2 3" xfId="1714"/>
    <cellStyle name="標準 87 2 2 4" xfId="1715"/>
    <cellStyle name="標準 87 2 3" xfId="1716"/>
    <cellStyle name="標準 87 2 4" xfId="1717"/>
    <cellStyle name="標準 87 2 5" xfId="1718"/>
    <cellStyle name="標準 87 3" xfId="1719"/>
    <cellStyle name="標準 87 3 2" xfId="1720"/>
    <cellStyle name="標準 87 3 3" xfId="1721"/>
    <cellStyle name="標準 87 3 4" xfId="1722"/>
    <cellStyle name="標準 87 4" xfId="1723"/>
    <cellStyle name="標準 87 5" xfId="1724"/>
    <cellStyle name="標準 87 6" xfId="1725"/>
    <cellStyle name="標準 88" xfId="1726"/>
    <cellStyle name="標準 88 2" xfId="1727"/>
    <cellStyle name="標準 88 2 2" xfId="1728"/>
    <cellStyle name="標準 88 2 2 2" xfId="1729"/>
    <cellStyle name="標準 88 2 2 3" xfId="1730"/>
    <cellStyle name="標準 88 2 2 4" xfId="1731"/>
    <cellStyle name="標準 88 2 3" xfId="1732"/>
    <cellStyle name="標準 88 2 4" xfId="1733"/>
    <cellStyle name="標準 88 2 5" xfId="1734"/>
    <cellStyle name="標準 88 3" xfId="1735"/>
    <cellStyle name="標準 88 3 2" xfId="1736"/>
    <cellStyle name="標準 88 3 3" xfId="1737"/>
    <cellStyle name="標準 88 3 4" xfId="1738"/>
    <cellStyle name="標準 88 4" xfId="1739"/>
    <cellStyle name="標準 88 5" xfId="1740"/>
    <cellStyle name="標準 88 6" xfId="1741"/>
    <cellStyle name="標準 89" xfId="1742"/>
    <cellStyle name="標準 89 2" xfId="1743"/>
    <cellStyle name="標準 89 2 2" xfId="1744"/>
    <cellStyle name="標準 89 2 2 2" xfId="1745"/>
    <cellStyle name="標準 89 2 2 3" xfId="1746"/>
    <cellStyle name="標準 89 2 2 4" xfId="1747"/>
    <cellStyle name="標準 89 2 3" xfId="1748"/>
    <cellStyle name="標準 89 2 4" xfId="1749"/>
    <cellStyle name="標準 89 2 5" xfId="1750"/>
    <cellStyle name="標準 89 3" xfId="1751"/>
    <cellStyle name="標準 89 3 2" xfId="1752"/>
    <cellStyle name="標準 89 3 3" xfId="1753"/>
    <cellStyle name="標準 89 3 4" xfId="1754"/>
    <cellStyle name="標準 89 4" xfId="1755"/>
    <cellStyle name="標準 89 5" xfId="1756"/>
    <cellStyle name="標準 89 6" xfId="1757"/>
    <cellStyle name="標準 9" xfId="1758"/>
    <cellStyle name="標準 9 2" xfId="1759"/>
    <cellStyle name="標準 9 3" xfId="1760"/>
    <cellStyle name="標準 90" xfId="1761"/>
    <cellStyle name="標準 90 2" xfId="1762"/>
    <cellStyle name="標準 90 2 2" xfId="1763"/>
    <cellStyle name="標準 90 2 2 2" xfId="1764"/>
    <cellStyle name="標準 90 2 2 3" xfId="1765"/>
    <cellStyle name="標準 90 2 2 4" xfId="1766"/>
    <cellStyle name="標準 90 2 3" xfId="1767"/>
    <cellStyle name="標準 90 2 4" xfId="1768"/>
    <cellStyle name="標準 90 2 5" xfId="1769"/>
    <cellStyle name="標準 90 3" xfId="1770"/>
    <cellStyle name="標準 90 3 2" xfId="1771"/>
    <cellStyle name="標準 90 3 3" xfId="1772"/>
    <cellStyle name="標準 90 3 4" xfId="1773"/>
    <cellStyle name="標準 90 4" xfId="1774"/>
    <cellStyle name="標準 90 5" xfId="1775"/>
    <cellStyle name="標準 90 6" xfId="1776"/>
    <cellStyle name="標準 91" xfId="1777"/>
    <cellStyle name="標準 91 2" xfId="1778"/>
    <cellStyle name="標準 91 2 2" xfId="1779"/>
    <cellStyle name="標準 91 2 2 2" xfId="1780"/>
    <cellStyle name="標準 91 2 2 3" xfId="1781"/>
    <cellStyle name="標準 91 2 2 4" xfId="1782"/>
    <cellStyle name="標準 91 2 3" xfId="1783"/>
    <cellStyle name="標準 91 2 4" xfId="1784"/>
    <cellStyle name="標準 91 2 5" xfId="1785"/>
    <cellStyle name="標準 91 3" xfId="1786"/>
    <cellStyle name="標準 91 3 2" xfId="1787"/>
    <cellStyle name="標準 91 3 3" xfId="1788"/>
    <cellStyle name="標準 91 3 4" xfId="1789"/>
    <cellStyle name="標準 91 4" xfId="1790"/>
    <cellStyle name="標準 91 5" xfId="1791"/>
    <cellStyle name="標準 91 6" xfId="1792"/>
    <cellStyle name="標準 92" xfId="1793"/>
    <cellStyle name="標準 92 2" xfId="1794"/>
    <cellStyle name="標準 92 2 2" xfId="1795"/>
    <cellStyle name="標準 92 2 2 2" xfId="1796"/>
    <cellStyle name="標準 92 2 2 3" xfId="1797"/>
    <cellStyle name="標準 92 2 2 4" xfId="1798"/>
    <cellStyle name="標準 92 2 3" xfId="1799"/>
    <cellStyle name="標準 92 2 4" xfId="1800"/>
    <cellStyle name="標準 92 2 5" xfId="1801"/>
    <cellStyle name="標準 92 3" xfId="1802"/>
    <cellStyle name="標準 92 3 2" xfId="1803"/>
    <cellStyle name="標準 92 3 3" xfId="1804"/>
    <cellStyle name="標準 92 3 4" xfId="1805"/>
    <cellStyle name="標準 92 4" xfId="1806"/>
    <cellStyle name="標準 92 5" xfId="1807"/>
    <cellStyle name="標準 92 6" xfId="1808"/>
    <cellStyle name="標準 93" xfId="1809"/>
    <cellStyle name="標準 93 2" xfId="1810"/>
    <cellStyle name="標準 93 2 2" xfId="1811"/>
    <cellStyle name="標準 93 2 2 2" xfId="1812"/>
    <cellStyle name="標準 93 2 2 3" xfId="1813"/>
    <cellStyle name="標準 93 2 2 4" xfId="1814"/>
    <cellStyle name="標準 93 2 3" xfId="1815"/>
    <cellStyle name="標準 93 2 4" xfId="1816"/>
    <cellStyle name="標準 93 2 5" xfId="1817"/>
    <cellStyle name="標準 93 3" xfId="1818"/>
    <cellStyle name="標準 93 3 2" xfId="1819"/>
    <cellStyle name="標準 93 3 3" xfId="1820"/>
    <cellStyle name="標準 93 3 4" xfId="1821"/>
    <cellStyle name="標準 93 4" xfId="1822"/>
    <cellStyle name="標準 93 5" xfId="1823"/>
    <cellStyle name="標準 93 6" xfId="1824"/>
    <cellStyle name="標準 94" xfId="1825"/>
    <cellStyle name="標準 94 2" xfId="1826"/>
    <cellStyle name="標準 94 2 2" xfId="1827"/>
    <cellStyle name="標準 94 2 2 2" xfId="1828"/>
    <cellStyle name="標準 94 2 2 3" xfId="1829"/>
    <cellStyle name="標準 94 2 2 4" xfId="1830"/>
    <cellStyle name="標準 94 2 3" xfId="1831"/>
    <cellStyle name="標準 94 2 4" xfId="1832"/>
    <cellStyle name="標準 94 2 5" xfId="1833"/>
    <cellStyle name="標準 94 3" xfId="1834"/>
    <cellStyle name="標準 94 3 2" xfId="1835"/>
    <cellStyle name="標準 94 3 3" xfId="1836"/>
    <cellStyle name="標準 94 3 4" xfId="1837"/>
    <cellStyle name="標準 94 4" xfId="1838"/>
    <cellStyle name="標準 94 5" xfId="1839"/>
    <cellStyle name="標準 94 6" xfId="1840"/>
    <cellStyle name="標準 95" xfId="1841"/>
    <cellStyle name="標準 95 2" xfId="1842"/>
    <cellStyle name="標準 95 2 2" xfId="1843"/>
    <cellStyle name="標準 95 2 2 2" xfId="1844"/>
    <cellStyle name="標準 95 2 2 3" xfId="1845"/>
    <cellStyle name="標準 95 2 2 4" xfId="1846"/>
    <cellStyle name="標準 95 2 3" xfId="1847"/>
    <cellStyle name="標準 95 2 4" xfId="1848"/>
    <cellStyle name="標準 95 2 5" xfId="1849"/>
    <cellStyle name="標準 95 3" xfId="1850"/>
    <cellStyle name="標準 95 3 2" xfId="1851"/>
    <cellStyle name="標準 95 3 3" xfId="1852"/>
    <cellStyle name="標準 95 3 4" xfId="1853"/>
    <cellStyle name="標準 95 4" xfId="1854"/>
    <cellStyle name="標準 95 5" xfId="1855"/>
    <cellStyle name="標準 95 6" xfId="1856"/>
    <cellStyle name="標準 96" xfId="1857"/>
    <cellStyle name="標準 96 2" xfId="1858"/>
    <cellStyle name="標準 96 2 2" xfId="1859"/>
    <cellStyle name="標準 96 2 2 2" xfId="1860"/>
    <cellStyle name="標準 96 2 2 3" xfId="1861"/>
    <cellStyle name="標準 96 2 2 4" xfId="1862"/>
    <cellStyle name="標準 96 2 3" xfId="1863"/>
    <cellStyle name="標準 96 2 4" xfId="1864"/>
    <cellStyle name="標準 96 2 5" xfId="1865"/>
    <cellStyle name="標準 96 3" xfId="1866"/>
    <cellStyle name="標準 96 3 2" xfId="1867"/>
    <cellStyle name="標準 96 3 3" xfId="1868"/>
    <cellStyle name="標準 96 3 4" xfId="1869"/>
    <cellStyle name="標準 96 4" xfId="1870"/>
    <cellStyle name="標準 96 5" xfId="1871"/>
    <cellStyle name="標準 96 6" xfId="1872"/>
    <cellStyle name="標準 97" xfId="1873"/>
    <cellStyle name="標準 97 2" xfId="1874"/>
    <cellStyle name="標準 97 2 2" xfId="1875"/>
    <cellStyle name="標準 97 2 2 2" xfId="1876"/>
    <cellStyle name="標準 97 2 2 3" xfId="1877"/>
    <cellStyle name="標準 97 2 2 4" xfId="1878"/>
    <cellStyle name="標準 97 2 3" xfId="1879"/>
    <cellStyle name="標準 97 2 4" xfId="1880"/>
    <cellStyle name="標準 97 2 5" xfId="1881"/>
    <cellStyle name="標準 97 3" xfId="1882"/>
    <cellStyle name="標準 97 3 2" xfId="1883"/>
    <cellStyle name="標準 97 3 3" xfId="1884"/>
    <cellStyle name="標準 97 3 4" xfId="1885"/>
    <cellStyle name="標準 97 4" xfId="1886"/>
    <cellStyle name="標準 97 5" xfId="1887"/>
    <cellStyle name="標準 97 6" xfId="1888"/>
    <cellStyle name="標準 98" xfId="1889"/>
    <cellStyle name="標準 98 2" xfId="1890"/>
    <cellStyle name="標準 98 2 2" xfId="1891"/>
    <cellStyle name="標準 98 2 2 2" xfId="1892"/>
    <cellStyle name="標準 98 2 2 3" xfId="1893"/>
    <cellStyle name="標準 98 2 2 4" xfId="1894"/>
    <cellStyle name="標準 98 2 3" xfId="1895"/>
    <cellStyle name="標準 98 2 4" xfId="1896"/>
    <cellStyle name="標準 98 2 5" xfId="1897"/>
    <cellStyle name="標準 98 3" xfId="1898"/>
    <cellStyle name="標準 98 3 2" xfId="1899"/>
    <cellStyle name="標準 98 3 3" xfId="1900"/>
    <cellStyle name="標準 98 3 4" xfId="1901"/>
    <cellStyle name="標準 98 4" xfId="1902"/>
    <cellStyle name="標準 98 5" xfId="1903"/>
    <cellStyle name="標準 98 6" xfId="1904"/>
    <cellStyle name="標準 99" xfId="1905"/>
    <cellStyle name="標準 99 2" xfId="1906"/>
    <cellStyle name="標準 99 2 2" xfId="1907"/>
    <cellStyle name="標準 99 2 2 2" xfId="1908"/>
    <cellStyle name="標準 99 2 2 3" xfId="1909"/>
    <cellStyle name="標準 99 2 2 4" xfId="1910"/>
    <cellStyle name="標準 99 2 3" xfId="1911"/>
    <cellStyle name="標準 99 2 4" xfId="1912"/>
    <cellStyle name="標準 99 2 5" xfId="1913"/>
    <cellStyle name="標準 99 3" xfId="1914"/>
    <cellStyle name="標準 99 3 2" xfId="1915"/>
    <cellStyle name="標準 99 3 3" xfId="1916"/>
    <cellStyle name="標準 99 3 4" xfId="1917"/>
    <cellStyle name="標準 99 4" xfId="1918"/>
    <cellStyle name="標準 99 5" xfId="1919"/>
    <cellStyle name="標準 99 6" xfId="1920"/>
    <cellStyle name="標準１" xfId="1921"/>
    <cellStyle name="標準10" xfId="1922"/>
    <cellStyle name="標準12" xfId="1923"/>
    <cellStyle name="文字列" xfId="1924"/>
    <cellStyle name="未定義" xfId="12"/>
    <cellStyle name="未定義 2" xfId="1925"/>
    <cellStyle name="未定義 3" xfId="1926"/>
    <cellStyle name="未定義_030_上場有価証券総括表_詳細設計書_府令改正対応" xfId="1927"/>
    <cellStyle name="良い 2" xfId="1928"/>
    <cellStyle name="良い 3" xfId="1929"/>
    <cellStyle name="良い 4" xfId="1930"/>
    <cellStyle name="良い 5" xfId="1931"/>
    <cellStyle name="良い 6" xfId="1932"/>
    <cellStyle name="良い 7" xfId="1933"/>
    <cellStyle name="良い 8" xfId="1934"/>
    <cellStyle name="良い 9" xfId="1935"/>
    <cellStyle name="표준_4.3.1_取引処理（取引処理制御１－１）" xfId="1936"/>
  </cellStyles>
  <dxfs count="0"/>
  <tableStyles count="0" defaultPivotStyle="PivotStyleLight16" defaultTableStyle="TableStyleMedium2"/>
  <colors>
    <mruColors>
      <color rgb="FFFF00FF"/>
      <color rgb="FFFFEBFF"/>
      <color rgb="FFCCFFCC"/>
      <color rgb="FF99FF99"/>
      <color rgb="FF66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drawing1.xml><?xml version="1.0" encoding="utf-8"?>
<xdr:wsDr xmlns:a="http://schemas.openxmlformats.org/drawingml/2006/main" xmlns:xdr="http://schemas.openxmlformats.org/drawingml/2006/spreadsheetDrawing">
  <xdr:oneCellAnchor>
    <xdr:from>
      <xdr:col>16</xdr:col>
      <xdr:colOff>352425</xdr:colOff>
      <xdr:row>0</xdr:row>
      <xdr:rowOff>9524</xdr:rowOff>
    </xdr:from>
    <xdr:ext cx="10173600" cy="716400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76CC5B8-2053-41CF-B226-319C425D695D}"/>
            </a:ext>
          </a:extLst>
        </xdr:cNvPr>
        <xdr:cNvSpPr/>
      </xdr:nvSpPr>
      <xdr:spPr>
        <a:xfrm>
          <a:off x="15906750" y="9524"/>
          <a:ext cx="10173600" cy="7164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anchor="ctr" anchorCtr="0" bIns="0" horzOverflow="clip" lIns="36000" rIns="0" rtlCol="0" tIns="0" vertOverflow="clip" wrap="square">
          <a:noAutofit/>
        </a:bodyPr>
        <a:lstStyle/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※</a:t>
          </a:r>
          <a:r>
            <a:rPr altLang="en-US" baseline="0" kern="0" kumimoji="1" lang="ja-JP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建玉現在高は月末現在。ただし、*印は限月到来銘柄の最終建玉高。商品先物（現物先物取引）の最終建玉高は「本受渡高」を意味する。</a:t>
          </a:r>
        </a:p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Open interest is as of end of month. * is a final position of the contract month.The final position for Commodity futures (physically-delivered futures) means "Basic Delivery Volume".</a:t>
          </a:r>
          <a:endParaRPr altLang="ja-JP" baseline="0" kern="0" kumimoji="1" lang="en-US" spc="0" sz="1100">
            <a:solidFill>
              <a:sysClr lastClr="000000" val="windowText"/>
            </a:solidFill>
            <a:latin charset="-128" panose="020B0609070205080204" pitchFamily="49" typeface="ＭＳ ゴシック"/>
            <a:ea charset="-128" panose="020B0609070205080204" pitchFamily="49" typeface="ＭＳ ゴシック"/>
          </a:endParaRPr>
        </a:p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※</a:t>
          </a:r>
          <a:r>
            <a:rPr altLang="en-US" baseline="0" kern="0" kumimoji="1" lang="ja-JP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金限日先物、白金限日先物の希望受渡高は、「早受渡・申告受渡高」に出力する。</a:t>
          </a:r>
        </a:p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※"Delivery on Request Volume" for Gold Rolling-Spot Futures and Platinum Rolling-Spot Futures is displayed on "Early Delivery, Declared Delivery Volume".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>
        <a:solidFill>
          <a:schemeClr val="accent5">
            <a:lumMod val="20000"/>
            <a:lumOff val="80000"/>
          </a:schemeClr>
        </a:solidFill>
        <a:ln>
          <a:solidFill>
            <a:schemeClr val="accent5">
              <a:lumMod val="50000"/>
            </a:schemeClr>
          </a:solidFill>
        </a:ln>
      </a:spPr>
      <a:bodyPr anchor="t" horzOverflow="clip" rtlCol="0" vertOverflow="clip"/>
      <a:lstStyle>
        <a:defPPr algn="l">
          <a:defRPr kumimoji="1" sz="1000">
            <a:solidFill>
              <a:sysClr lastClr="000000" val="windowText"/>
            </a:solidFill>
            <a:latin charset="-128" panose="020B0609070205080204" pitchFamily="49" typeface="ＭＳ ゴシック"/>
            <a:ea charset="-128" panose="020B0609070205080204" pitchFamily="49" typeface="ＭＳ ゴシック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Sheet1">
    <pageSetUpPr fitToPage="1"/>
  </sheetPr>
  <dimension ref="A1:AB84"/>
  <sheetViews>
    <sheetView showGridLines="0" tabSelected="1" view="pageBreakPreview" workbookViewId="0" zoomScaleNormal="100" zoomScaleSheetLayoutView="100">
      <pane activePane="bottomLeft" state="frozen" topLeftCell="A7" ySplit="6"/>
      <selection activeCell="A7" pane="bottomLeft" sqref="A7"/>
    </sheetView>
  </sheetViews>
  <sheetFormatPr defaultRowHeight="13.5"/>
  <cols>
    <col min="1" max="1" customWidth="true" style="21" width="10.625" collapsed="false"/>
    <col min="2" max="2" bestFit="true" customWidth="true" style="21" width="25.75" collapsed="false"/>
    <col min="3" max="3" bestFit="true" customWidth="true" style="21" width="34.5" collapsed="false"/>
    <col min="4" max="6" bestFit="true" customWidth="true" style="21" width="10.25" collapsed="false"/>
    <col min="7" max="7" customWidth="true" style="21" width="5.25" collapsed="false"/>
    <col min="8" max="8" customWidth="true" style="21" width="15.25" collapsed="false"/>
    <col min="9" max="9" customWidth="true" style="21" width="5.25" collapsed="false"/>
    <col min="10" max="10" customWidth="true" style="21" width="15.25" collapsed="false"/>
    <col min="11" max="11" customWidth="true" style="21" width="5.25" collapsed="false"/>
    <col min="12" max="12" customWidth="true" style="21" width="15.25" collapsed="false"/>
    <col min="13" max="13" customWidth="true" style="21" width="5.25" collapsed="false"/>
    <col min="14" max="14" customWidth="true" style="21" width="15.25" collapsed="false"/>
    <col min="15" max="15" customWidth="true" style="21" width="5.25" collapsed="false"/>
    <col min="16" max="16" customWidth="true" style="21" width="15.25" collapsed="false"/>
    <col min="17" max="17" customWidth="true" style="21" width="5.25" collapsed="false"/>
    <col min="18" max="19" customWidth="true" style="21" width="15.25" collapsed="false"/>
    <col min="20" max="21" customWidth="true" style="21" width="15.0" collapsed="false"/>
    <col min="22" max="23" customWidth="true" style="21" width="21.25" collapsed="false"/>
    <col min="24" max="24" bestFit="true" customWidth="true" style="21" width="2.375" collapsed="false"/>
    <col min="25" max="25" customWidth="true" style="21" width="15.25" collapsed="false"/>
    <col min="26" max="26" customWidth="true" style="21" width="17.625" collapsed="false"/>
    <col min="27" max="27" bestFit="true" customWidth="true" style="21" width="7.0" collapsed="false"/>
    <col min="28" max="16384" style="10" width="9.0" collapsed="false"/>
  </cols>
  <sheetData>
    <row customHeight="1" ht="30" r="1" spans="1:27">
      <c r="A1" s="33" t="s">
        <v>26</v>
      </c>
      <c r="B1" s="34"/>
      <c r="C1" s="34"/>
      <c r="D1" s="34"/>
      <c r="E1" s="34"/>
      <c r="F1" s="34"/>
      <c r="G1" s="34"/>
      <c r="H1" s="34"/>
      <c r="I1" s="34"/>
      <c r="J1" s="34"/>
      <c r="K1" s="11"/>
      <c r="L1" s="11"/>
      <c r="M1" s="11"/>
      <c r="N1" s="11"/>
      <c r="O1" s="11"/>
      <c r="P1" s="11"/>
      <c r="Q1" s="11"/>
      <c r="R1" s="11"/>
      <c r="S1" s="11"/>
      <c r="T1" s="11"/>
      <c r="U1" s="22"/>
      <c r="V1" s="22"/>
      <c r="W1" s="23"/>
      <c r="X1" s="23"/>
      <c r="Y1" s="23"/>
      <c r="Z1" s="23"/>
      <c r="AA1" s="24"/>
    </row>
    <row customHeight="1" ht="30" r="2" spans="1:27">
      <c r="A2" s="35" t="s">
        <v>27</v>
      </c>
      <c r="B2" s="36"/>
      <c r="C2" s="36"/>
      <c r="D2" s="12"/>
      <c r="E2" s="12"/>
      <c r="F2" s="12"/>
      <c r="G2" s="12"/>
      <c r="H2" s="12"/>
      <c r="I2" s="12"/>
      <c r="J2" s="12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4"/>
    </row>
    <row customHeight="1" ht="14.1" r="3" spans="1:27">
      <c r="A3" s="37" t="s">
        <v>0</v>
      </c>
      <c r="B3" s="39" t="s">
        <v>7</v>
      </c>
      <c r="C3" s="39" t="s">
        <v>25</v>
      </c>
      <c r="D3" s="25" t="s">
        <v>1</v>
      </c>
      <c r="E3" s="41" t="s">
        <v>5</v>
      </c>
      <c r="F3" s="42"/>
      <c r="G3" s="44" t="s">
        <v>24</v>
      </c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25" t="s">
        <v>30</v>
      </c>
      <c r="T3" s="27" t="s">
        <v>23</v>
      </c>
      <c r="U3" s="27"/>
      <c r="V3" s="27" t="s">
        <v>22</v>
      </c>
      <c r="W3" s="27"/>
      <c r="X3" s="28" t="s">
        <v>21</v>
      </c>
      <c r="Y3" s="29"/>
      <c r="Z3" s="39" t="s">
        <v>28</v>
      </c>
      <c r="AA3" s="46" t="s">
        <v>20</v>
      </c>
    </row>
    <row customHeight="1" ht="9" r="4" spans="1:27">
      <c r="A4" s="38"/>
      <c r="B4" s="40"/>
      <c r="C4" s="40"/>
      <c r="D4" s="26"/>
      <c r="E4" s="28"/>
      <c r="F4" s="29"/>
      <c r="G4" s="48" t="s">
        <v>6</v>
      </c>
      <c r="H4" s="50" t="s">
        <v>31</v>
      </c>
      <c r="I4" s="48" t="s">
        <v>6</v>
      </c>
      <c r="J4" s="52" t="s">
        <v>32</v>
      </c>
      <c r="K4" s="51" t="s">
        <v>2</v>
      </c>
      <c r="L4" s="51"/>
      <c r="M4" s="48" t="s">
        <v>6</v>
      </c>
      <c r="N4" s="52" t="s">
        <v>33</v>
      </c>
      <c r="O4" s="51" t="s">
        <v>2</v>
      </c>
      <c r="P4" s="51"/>
      <c r="Q4" s="48" t="s">
        <v>6</v>
      </c>
      <c r="R4" s="50" t="s">
        <v>34</v>
      </c>
      <c r="S4" s="26"/>
      <c r="T4" s="25" t="s">
        <v>3</v>
      </c>
      <c r="U4" s="26" t="s">
        <v>19</v>
      </c>
      <c r="V4" s="25" t="s">
        <v>3</v>
      </c>
      <c r="W4" s="26" t="s">
        <v>18</v>
      </c>
      <c r="X4" s="28"/>
      <c r="Y4" s="29"/>
      <c r="Z4" s="40"/>
      <c r="AA4" s="47"/>
    </row>
    <row customHeight="1" ht="27" r="5" spans="1:27">
      <c r="A5" s="38"/>
      <c r="B5" s="40"/>
      <c r="C5" s="40"/>
      <c r="D5" s="26"/>
      <c r="E5" s="43"/>
      <c r="F5" s="30"/>
      <c r="G5" s="49"/>
      <c r="H5" s="30"/>
      <c r="I5" s="49"/>
      <c r="J5" s="53"/>
      <c r="K5" s="15" t="s">
        <v>17</v>
      </c>
      <c r="L5" s="16" t="s">
        <v>35</v>
      </c>
      <c r="M5" s="49"/>
      <c r="N5" s="53"/>
      <c r="O5" s="15" t="s">
        <v>17</v>
      </c>
      <c r="P5" s="16" t="s">
        <v>35</v>
      </c>
      <c r="Q5" s="49"/>
      <c r="R5" s="30"/>
      <c r="S5" s="26"/>
      <c r="T5" s="25"/>
      <c r="U5" s="26"/>
      <c r="V5" s="25"/>
      <c r="W5" s="26"/>
      <c r="X5" s="28"/>
      <c r="Y5" s="30"/>
      <c r="Z5" s="25"/>
      <c r="AA5" s="47"/>
    </row>
    <row customHeight="1" ht="36" r="6" spans="1:27">
      <c r="A6" s="17" t="s">
        <v>16</v>
      </c>
      <c r="B6" s="25"/>
      <c r="C6" s="25"/>
      <c r="D6" s="18" t="s">
        <v>4</v>
      </c>
      <c r="E6" s="31" t="s">
        <v>15</v>
      </c>
      <c r="F6" s="32"/>
      <c r="G6" s="15" t="s">
        <v>14</v>
      </c>
      <c r="H6" s="19" t="s">
        <v>36</v>
      </c>
      <c r="I6" s="15" t="s">
        <v>14</v>
      </c>
      <c r="J6" s="16" t="s">
        <v>37</v>
      </c>
      <c r="K6" s="15" t="s">
        <v>14</v>
      </c>
      <c r="L6" s="16" t="s">
        <v>38</v>
      </c>
      <c r="M6" s="15" t="s">
        <v>14</v>
      </c>
      <c r="N6" s="16" t="s">
        <v>39</v>
      </c>
      <c r="O6" s="15" t="s">
        <v>14</v>
      </c>
      <c r="P6" s="16" t="s">
        <v>38</v>
      </c>
      <c r="Q6" s="15" t="s">
        <v>14</v>
      </c>
      <c r="R6" s="16" t="s">
        <v>40</v>
      </c>
      <c r="S6" s="18" t="s">
        <v>41</v>
      </c>
      <c r="T6" s="18" t="s">
        <v>13</v>
      </c>
      <c r="U6" s="18" t="s">
        <v>12</v>
      </c>
      <c r="V6" s="18" t="s">
        <v>11</v>
      </c>
      <c r="W6" s="18" t="s">
        <v>10</v>
      </c>
      <c r="X6" s="31" t="s">
        <v>9</v>
      </c>
      <c r="Y6" s="32"/>
      <c r="Z6" s="16" t="s">
        <v>29</v>
      </c>
      <c r="AA6" s="20" t="s">
        <v>8</v>
      </c>
    </row>
    <row r="7" spans="1:27">
      <c r="A7" s="9" t="s">
        <v>42</v>
      </c>
      <c r="B7" s="8" t="s">
        <v>43</v>
      </c>
      <c r="C7" s="8" t="s">
        <v>44</v>
      </c>
      <c r="D7" s="8" t="s">
        <v>42</v>
      </c>
      <c r="E7" s="7" t="s">
        <v>45</v>
      </c>
      <c r="F7" s="7" t="s">
        <v>46</v>
      </c>
      <c r="G7" s="3" t="s">
        <v>47</v>
      </c>
      <c r="H7" s="6" t="s">
        <v>48</v>
      </c>
      <c r="I7" s="3" t="s">
        <v>49</v>
      </c>
      <c r="J7" s="6" t="s">
        <v>50</v>
      </c>
      <c r="K7" s="3"/>
      <c r="L7" s="6"/>
      <c r="M7" s="3" t="s">
        <v>47</v>
      </c>
      <c r="N7" s="6" t="s">
        <v>48</v>
      </c>
      <c r="O7" s="3"/>
      <c r="P7" s="6"/>
      <c r="Q7" s="3" t="s">
        <v>51</v>
      </c>
      <c r="R7" s="6" t="s">
        <v>52</v>
      </c>
      <c r="S7" s="5" t="n">
        <f>6150.22</f>
        <v>6150.22</v>
      </c>
      <c r="T7" s="4" t="n">
        <f>1410</f>
        <v>1410.0</v>
      </c>
      <c r="U7" s="4"/>
      <c r="V7" s="4" t="n">
        <f>8664489000</f>
        <v>8.664489E9</v>
      </c>
      <c r="W7" s="4"/>
      <c r="X7" s="3" t="s">
        <v>53</v>
      </c>
      <c r="Y7" s="2" t="n">
        <f>377</f>
        <v>377.0</v>
      </c>
      <c r="Z7" s="2" t="str">
        <f>"－"</f>
        <v>－</v>
      </c>
      <c r="AA7" s="1" t="n">
        <f>18</f>
        <v>18.0</v>
      </c>
    </row>
    <row r="8">
      <c r="A8" s="9" t="s">
        <v>42</v>
      </c>
      <c r="B8" s="8" t="s">
        <v>43</v>
      </c>
      <c r="C8" s="8" t="s">
        <v>44</v>
      </c>
      <c r="D8" s="8" t="s">
        <v>54</v>
      </c>
      <c r="E8" s="7" t="s">
        <v>55</v>
      </c>
      <c r="F8" s="7" t="s">
        <v>56</v>
      </c>
      <c r="G8" s="3" t="s">
        <v>47</v>
      </c>
      <c r="H8" s="6" t="s">
        <v>57</v>
      </c>
      <c r="I8" s="3" t="s">
        <v>49</v>
      </c>
      <c r="J8" s="6" t="s">
        <v>50</v>
      </c>
      <c r="K8" s="3" t="s">
        <v>51</v>
      </c>
      <c r="L8" s="6" t="s">
        <v>58</v>
      </c>
      <c r="M8" s="3" t="s">
        <v>47</v>
      </c>
      <c r="N8" s="6" t="s">
        <v>59</v>
      </c>
      <c r="O8" s="3" t="s">
        <v>51</v>
      </c>
      <c r="P8" s="6" t="s">
        <v>58</v>
      </c>
      <c r="Q8" s="3" t="s">
        <v>60</v>
      </c>
      <c r="R8" s="6" t="s">
        <v>61</v>
      </c>
      <c r="S8" s="5" t="n">
        <f>6160.52</f>
        <v>6160.52</v>
      </c>
      <c r="T8" s="4" t="n">
        <f>2200</f>
        <v>2200.0</v>
      </c>
      <c r="U8" s="4" t="n">
        <v>20.0</v>
      </c>
      <c r="V8" s="4" t="n">
        <f>13568875000</f>
        <v>1.3568875E10</v>
      </c>
      <c r="W8" s="4" t="n">
        <v>1.24E8</v>
      </c>
      <c r="X8" s="3"/>
      <c r="Y8" s="2" t="n">
        <f>4662</f>
        <v>4662.0</v>
      </c>
      <c r="Z8" s="2" t="str">
        <f>"－"</f>
        <v>－</v>
      </c>
      <c r="AA8" s="1" t="n">
        <f>21</f>
        <v>21.0</v>
      </c>
    </row>
    <row r="9">
      <c r="A9" s="9" t="s">
        <v>42</v>
      </c>
      <c r="B9" s="8" t="s">
        <v>43</v>
      </c>
      <c r="C9" s="8" t="s">
        <v>44</v>
      </c>
      <c r="D9" s="8" t="s">
        <v>62</v>
      </c>
      <c r="E9" s="7" t="s">
        <v>63</v>
      </c>
      <c r="F9" s="7" t="s">
        <v>64</v>
      </c>
      <c r="G9" s="3" t="s">
        <v>47</v>
      </c>
      <c r="H9" s="6" t="s">
        <v>65</v>
      </c>
      <c r="I9" s="3" t="s">
        <v>49</v>
      </c>
      <c r="J9" s="6" t="s">
        <v>66</v>
      </c>
      <c r="K9" s="3"/>
      <c r="L9" s="6"/>
      <c r="M9" s="3" t="s">
        <v>47</v>
      </c>
      <c r="N9" s="6" t="s">
        <v>67</v>
      </c>
      <c r="O9" s="3"/>
      <c r="P9" s="6"/>
      <c r="Q9" s="3" t="s">
        <v>60</v>
      </c>
      <c r="R9" s="6" t="s">
        <v>68</v>
      </c>
      <c r="S9" s="5" t="n">
        <f>6164.48</f>
        <v>6164.48</v>
      </c>
      <c r="T9" s="4" t="n">
        <f>3188</f>
        <v>3188.0</v>
      </c>
      <c r="U9" s="4"/>
      <c r="V9" s="4" t="n">
        <f>19661320000</f>
        <v>1.966132E10</v>
      </c>
      <c r="W9" s="4"/>
      <c r="X9" s="3"/>
      <c r="Y9" s="2" t="n">
        <f>6540</f>
        <v>6540.0</v>
      </c>
      <c r="Z9" s="2" t="str">
        <f>"－"</f>
        <v>－</v>
      </c>
      <c r="AA9" s="1" t="n">
        <f>21</f>
        <v>21.0</v>
      </c>
    </row>
    <row r="10">
      <c r="A10" s="9" t="s">
        <v>42</v>
      </c>
      <c r="B10" s="8" t="s">
        <v>43</v>
      </c>
      <c r="C10" s="8" t="s">
        <v>44</v>
      </c>
      <c r="D10" s="8" t="s">
        <v>69</v>
      </c>
      <c r="E10" s="7" t="s">
        <v>70</v>
      </c>
      <c r="F10" s="7" t="s">
        <v>71</v>
      </c>
      <c r="G10" s="3" t="s">
        <v>47</v>
      </c>
      <c r="H10" s="6" t="s">
        <v>72</v>
      </c>
      <c r="I10" s="3" t="s">
        <v>49</v>
      </c>
      <c r="J10" s="6" t="s">
        <v>73</v>
      </c>
      <c r="K10" s="3"/>
      <c r="L10" s="6"/>
      <c r="M10" s="3" t="s">
        <v>47</v>
      </c>
      <c r="N10" s="6" t="s">
        <v>74</v>
      </c>
      <c r="O10" s="3"/>
      <c r="P10" s="6"/>
      <c r="Q10" s="3" t="s">
        <v>60</v>
      </c>
      <c r="R10" s="6" t="s">
        <v>75</v>
      </c>
      <c r="S10" s="5" t="n">
        <f>6161.86</f>
        <v>6161.86</v>
      </c>
      <c r="T10" s="4" t="n">
        <f>4653</f>
        <v>4653.0</v>
      </c>
      <c r="U10" s="4"/>
      <c r="V10" s="4" t="n">
        <f>28675847000</f>
        <v>2.8675847E10</v>
      </c>
      <c r="W10" s="4"/>
      <c r="X10" s="3"/>
      <c r="Y10" s="2" t="n">
        <f>4665</f>
        <v>4665.0</v>
      </c>
      <c r="Z10" s="2" t="str">
        <f>"－"</f>
        <v>－</v>
      </c>
      <c r="AA10" s="1" t="n">
        <f>21</f>
        <v>21.0</v>
      </c>
    </row>
    <row r="11">
      <c r="A11" s="9" t="s">
        <v>42</v>
      </c>
      <c r="B11" s="8" t="s">
        <v>43</v>
      </c>
      <c r="C11" s="8" t="s">
        <v>44</v>
      </c>
      <c r="D11" s="8" t="s">
        <v>76</v>
      </c>
      <c r="E11" s="7" t="s">
        <v>77</v>
      </c>
      <c r="F11" s="7" t="s">
        <v>78</v>
      </c>
      <c r="G11" s="3" t="s">
        <v>47</v>
      </c>
      <c r="H11" s="6" t="s">
        <v>79</v>
      </c>
      <c r="I11" s="3" t="s">
        <v>49</v>
      </c>
      <c r="J11" s="6" t="s">
        <v>50</v>
      </c>
      <c r="K11" s="3"/>
      <c r="L11" s="6"/>
      <c r="M11" s="3" t="s">
        <v>47</v>
      </c>
      <c r="N11" s="6" t="s">
        <v>80</v>
      </c>
      <c r="O11" s="3"/>
      <c r="P11" s="6"/>
      <c r="Q11" s="3" t="s">
        <v>60</v>
      </c>
      <c r="R11" s="6" t="s">
        <v>81</v>
      </c>
      <c r="S11" s="5" t="n">
        <f>6159.05</f>
        <v>6159.05</v>
      </c>
      <c r="T11" s="4" t="n">
        <f>33357</f>
        <v>33357.0</v>
      </c>
      <c r="U11" s="4"/>
      <c r="V11" s="4" t="n">
        <f>205498468000</f>
        <v>2.05498468E11</v>
      </c>
      <c r="W11" s="4"/>
      <c r="X11" s="3"/>
      <c r="Y11" s="2" t="n">
        <f>8579</f>
        <v>8579.0</v>
      </c>
      <c r="Z11" s="2" t="str">
        <f>"－"</f>
        <v>－</v>
      </c>
      <c r="AA11" s="1" t="n">
        <f>21</f>
        <v>21.0</v>
      </c>
    </row>
    <row r="12">
      <c r="A12" s="9" t="s">
        <v>42</v>
      </c>
      <c r="B12" s="8" t="s">
        <v>43</v>
      </c>
      <c r="C12" s="8" t="s">
        <v>44</v>
      </c>
      <c r="D12" s="8" t="s">
        <v>82</v>
      </c>
      <c r="E12" s="7" t="s">
        <v>83</v>
      </c>
      <c r="F12" s="7" t="s">
        <v>84</v>
      </c>
      <c r="G12" s="3" t="s">
        <v>47</v>
      </c>
      <c r="H12" s="6" t="s">
        <v>85</v>
      </c>
      <c r="I12" s="3" t="s">
        <v>49</v>
      </c>
      <c r="J12" s="6" t="s">
        <v>86</v>
      </c>
      <c r="K12" s="3" t="s">
        <v>87</v>
      </c>
      <c r="L12" s="6" t="s">
        <v>88</v>
      </c>
      <c r="M12" s="3" t="s">
        <v>47</v>
      </c>
      <c r="N12" s="6" t="s">
        <v>89</v>
      </c>
      <c r="O12" s="3" t="s">
        <v>87</v>
      </c>
      <c r="P12" s="6" t="s">
        <v>88</v>
      </c>
      <c r="Q12" s="3" t="s">
        <v>60</v>
      </c>
      <c r="R12" s="6" t="s">
        <v>90</v>
      </c>
      <c r="S12" s="5" t="n">
        <f>6154.52</f>
        <v>6154.52</v>
      </c>
      <c r="T12" s="4" t="n">
        <f>354162</f>
        <v>354162.0</v>
      </c>
      <c r="U12" s="4" t="n">
        <v>10.0</v>
      </c>
      <c r="V12" s="4" t="n">
        <f>2178662900000</f>
        <v>2.1786629E12</v>
      </c>
      <c r="W12" s="4" t="n">
        <v>6.113E7</v>
      </c>
      <c r="X12" s="3"/>
      <c r="Y12" s="2" t="n">
        <f>18488</f>
        <v>18488.0</v>
      </c>
      <c r="Z12" s="2" t="str">
        <f>"－"</f>
        <v>－</v>
      </c>
      <c r="AA12" s="1" t="n">
        <f>21</f>
        <v>21.0</v>
      </c>
    </row>
    <row r="13">
      <c r="A13" s="9" t="s">
        <v>42</v>
      </c>
      <c r="B13" s="8" t="s">
        <v>43</v>
      </c>
      <c r="C13" s="8" t="s">
        <v>44</v>
      </c>
      <c r="D13" s="8" t="s">
        <v>91</v>
      </c>
      <c r="E13" s="7" t="s">
        <v>92</v>
      </c>
      <c r="F13" s="7" t="s">
        <v>93</v>
      </c>
      <c r="G13" s="3" t="s">
        <v>94</v>
      </c>
      <c r="H13" s="6" t="s">
        <v>75</v>
      </c>
      <c r="I13" s="3" t="s">
        <v>60</v>
      </c>
      <c r="J13" s="6" t="s">
        <v>95</v>
      </c>
      <c r="K13" s="3"/>
      <c r="L13" s="6"/>
      <c r="M13" s="3" t="s">
        <v>60</v>
      </c>
      <c r="N13" s="6" t="s">
        <v>96</v>
      </c>
      <c r="O13" s="3"/>
      <c r="P13" s="6"/>
      <c r="Q13" s="3" t="s">
        <v>60</v>
      </c>
      <c r="R13" s="6" t="s">
        <v>97</v>
      </c>
      <c r="S13" s="5" t="n">
        <f>6191.33</f>
        <v>6191.33</v>
      </c>
      <c r="T13" s="4" t="n">
        <f>23375</f>
        <v>23375.0</v>
      </c>
      <c r="U13" s="4"/>
      <c r="V13" s="4" t="n">
        <f>144824180000</f>
        <v>1.4482418E11</v>
      </c>
      <c r="W13" s="4"/>
      <c r="X13" s="3"/>
      <c r="Y13" s="2" t="n">
        <f>5460</f>
        <v>5460.0</v>
      </c>
      <c r="Z13" s="2" t="str">
        <f>"－"</f>
        <v>－</v>
      </c>
      <c r="AA13" s="1" t="n">
        <f>3</f>
        <v>3.0</v>
      </c>
    </row>
    <row r="14">
      <c r="A14" s="9" t="s">
        <v>42</v>
      </c>
      <c r="B14" s="8" t="s">
        <v>98</v>
      </c>
      <c r="C14" s="8" t="s">
        <v>99</v>
      </c>
      <c r="D14" s="8" t="s">
        <v>42</v>
      </c>
      <c r="E14" s="7" t="s">
        <v>45</v>
      </c>
      <c r="F14" s="7" t="s">
        <v>100</v>
      </c>
      <c r="G14" s="3" t="s">
        <v>47</v>
      </c>
      <c r="H14" s="6" t="s">
        <v>80</v>
      </c>
      <c r="I14" s="3" t="s">
        <v>49</v>
      </c>
      <c r="J14" s="6" t="s">
        <v>101</v>
      </c>
      <c r="K14" s="3"/>
      <c r="L14" s="6"/>
      <c r="M14" s="3" t="s">
        <v>47</v>
      </c>
      <c r="N14" s="6" t="s">
        <v>80</v>
      </c>
      <c r="O14" s="3"/>
      <c r="P14" s="6"/>
      <c r="Q14" s="3" t="s">
        <v>102</v>
      </c>
      <c r="R14" s="6" t="s">
        <v>103</v>
      </c>
      <c r="S14" s="5" t="n">
        <f>6150.18</f>
        <v>6150.18</v>
      </c>
      <c r="T14" s="4" t="n">
        <f>435</f>
        <v>435.0</v>
      </c>
      <c r="U14" s="4"/>
      <c r="V14" s="4" t="n">
        <f>267605600</f>
        <v>2.676056E8</v>
      </c>
      <c r="W14" s="4"/>
      <c r="X14" s="3" t="s">
        <v>53</v>
      </c>
      <c r="Y14" s="2" t="n">
        <f>270</f>
        <v>270.0</v>
      </c>
      <c r="Z14" s="2" t="str">
        <f>"－"</f>
        <v>－</v>
      </c>
      <c r="AA14" s="1" t="n">
        <f>17</f>
        <v>17.0</v>
      </c>
    </row>
    <row r="15">
      <c r="A15" s="9" t="s">
        <v>42</v>
      </c>
      <c r="B15" s="8" t="s">
        <v>98</v>
      </c>
      <c r="C15" s="8" t="s">
        <v>99</v>
      </c>
      <c r="D15" s="8" t="s">
        <v>54</v>
      </c>
      <c r="E15" s="7" t="s">
        <v>55</v>
      </c>
      <c r="F15" s="7" t="s">
        <v>104</v>
      </c>
      <c r="G15" s="3" t="s">
        <v>47</v>
      </c>
      <c r="H15" s="6" t="s">
        <v>80</v>
      </c>
      <c r="I15" s="3" t="s">
        <v>49</v>
      </c>
      <c r="J15" s="6" t="s">
        <v>105</v>
      </c>
      <c r="K15" s="3" t="s">
        <v>106</v>
      </c>
      <c r="L15" s="6" t="s">
        <v>107</v>
      </c>
      <c r="M15" s="3" t="s">
        <v>47</v>
      </c>
      <c r="N15" s="6" t="s">
        <v>48</v>
      </c>
      <c r="O15" s="3" t="s">
        <v>106</v>
      </c>
      <c r="P15" s="6" t="s">
        <v>107</v>
      </c>
      <c r="Q15" s="3" t="s">
        <v>60</v>
      </c>
      <c r="R15" s="6" t="s">
        <v>97</v>
      </c>
      <c r="S15" s="5" t="n">
        <f>6160.52</f>
        <v>6160.52</v>
      </c>
      <c r="T15" s="4" t="n">
        <f>506</f>
        <v>506.0</v>
      </c>
      <c r="U15" s="4" t="n">
        <v>1.0</v>
      </c>
      <c r="V15" s="4" t="n">
        <f>312090000</f>
        <v>3.1209E8</v>
      </c>
      <c r="W15" s="4" t="n">
        <v>615000.0</v>
      </c>
      <c r="X15" s="3"/>
      <c r="Y15" s="2" t="n">
        <f>1731</f>
        <v>1731.0</v>
      </c>
      <c r="Z15" s="2" t="str">
        <f>"－"</f>
        <v>－</v>
      </c>
      <c r="AA15" s="1" t="n">
        <f>21</f>
        <v>21.0</v>
      </c>
    </row>
    <row r="16">
      <c r="A16" s="9" t="s">
        <v>42</v>
      </c>
      <c r="B16" s="8" t="s">
        <v>98</v>
      </c>
      <c r="C16" s="8" t="s">
        <v>99</v>
      </c>
      <c r="D16" s="8" t="s">
        <v>62</v>
      </c>
      <c r="E16" s="7" t="s">
        <v>63</v>
      </c>
      <c r="F16" s="7" t="s">
        <v>108</v>
      </c>
      <c r="G16" s="3" t="s">
        <v>47</v>
      </c>
      <c r="H16" s="6" t="s">
        <v>109</v>
      </c>
      <c r="I16" s="3" t="s">
        <v>49</v>
      </c>
      <c r="J16" s="6" t="s">
        <v>110</v>
      </c>
      <c r="K16" s="3"/>
      <c r="L16" s="6"/>
      <c r="M16" s="3" t="s">
        <v>47</v>
      </c>
      <c r="N16" s="6" t="s">
        <v>109</v>
      </c>
      <c r="O16" s="3"/>
      <c r="P16" s="6"/>
      <c r="Q16" s="3" t="s">
        <v>60</v>
      </c>
      <c r="R16" s="6" t="s">
        <v>111</v>
      </c>
      <c r="S16" s="5" t="n">
        <f>6164.48</f>
        <v>6164.48</v>
      </c>
      <c r="T16" s="4" t="n">
        <f>500</f>
        <v>500.0</v>
      </c>
      <c r="U16" s="4"/>
      <c r="V16" s="4" t="n">
        <f>308728700</f>
        <v>3.087287E8</v>
      </c>
      <c r="W16" s="4"/>
      <c r="X16" s="3"/>
      <c r="Y16" s="2" t="n">
        <f>2787</f>
        <v>2787.0</v>
      </c>
      <c r="Z16" s="2" t="str">
        <f>"－"</f>
        <v>－</v>
      </c>
      <c r="AA16" s="1" t="n">
        <f>20</f>
        <v>20.0</v>
      </c>
    </row>
    <row r="17">
      <c r="A17" s="9" t="s">
        <v>42</v>
      </c>
      <c r="B17" s="8" t="s">
        <v>98</v>
      </c>
      <c r="C17" s="8" t="s">
        <v>99</v>
      </c>
      <c r="D17" s="8" t="s">
        <v>69</v>
      </c>
      <c r="E17" s="7" t="s">
        <v>70</v>
      </c>
      <c r="F17" s="7" t="s">
        <v>112</v>
      </c>
      <c r="G17" s="3" t="s">
        <v>47</v>
      </c>
      <c r="H17" s="6" t="s">
        <v>113</v>
      </c>
      <c r="I17" s="3" t="s">
        <v>49</v>
      </c>
      <c r="J17" s="6" t="s">
        <v>110</v>
      </c>
      <c r="K17" s="3"/>
      <c r="L17" s="6"/>
      <c r="M17" s="3" t="s">
        <v>47</v>
      </c>
      <c r="N17" s="6" t="s">
        <v>114</v>
      </c>
      <c r="O17" s="3"/>
      <c r="P17" s="6"/>
      <c r="Q17" s="3" t="s">
        <v>60</v>
      </c>
      <c r="R17" s="6" t="s">
        <v>75</v>
      </c>
      <c r="S17" s="5" t="n">
        <f>6161.86</f>
        <v>6161.86</v>
      </c>
      <c r="T17" s="4" t="n">
        <f>588</f>
        <v>588.0</v>
      </c>
      <c r="U17" s="4"/>
      <c r="V17" s="4" t="n">
        <f>361905900</f>
        <v>3.619059E8</v>
      </c>
      <c r="W17" s="4"/>
      <c r="X17" s="3"/>
      <c r="Y17" s="2" t="n">
        <f>2104</f>
        <v>2104.0</v>
      </c>
      <c r="Z17" s="2" t="str">
        <f>"－"</f>
        <v>－</v>
      </c>
      <c r="AA17" s="1" t="n">
        <f>21</f>
        <v>21.0</v>
      </c>
    </row>
    <row r="18">
      <c r="A18" s="9" t="s">
        <v>42</v>
      </c>
      <c r="B18" s="8" t="s">
        <v>98</v>
      </c>
      <c r="C18" s="8" t="s">
        <v>99</v>
      </c>
      <c r="D18" s="8" t="s">
        <v>76</v>
      </c>
      <c r="E18" s="7" t="s">
        <v>77</v>
      </c>
      <c r="F18" s="7" t="s">
        <v>115</v>
      </c>
      <c r="G18" s="3" t="s">
        <v>47</v>
      </c>
      <c r="H18" s="6" t="s">
        <v>116</v>
      </c>
      <c r="I18" s="3" t="s">
        <v>49</v>
      </c>
      <c r="J18" s="6" t="s">
        <v>117</v>
      </c>
      <c r="K18" s="3"/>
      <c r="L18" s="6"/>
      <c r="M18" s="3" t="s">
        <v>47</v>
      </c>
      <c r="N18" s="6" t="s">
        <v>57</v>
      </c>
      <c r="O18" s="3"/>
      <c r="P18" s="6"/>
      <c r="Q18" s="3" t="s">
        <v>60</v>
      </c>
      <c r="R18" s="6" t="s">
        <v>68</v>
      </c>
      <c r="S18" s="5" t="n">
        <f>6159.05</f>
        <v>6159.05</v>
      </c>
      <c r="T18" s="4" t="n">
        <f>3113</f>
        <v>3113.0</v>
      </c>
      <c r="U18" s="4"/>
      <c r="V18" s="4" t="n">
        <f>1917634000</f>
        <v>1.917634E9</v>
      </c>
      <c r="W18" s="4"/>
      <c r="X18" s="3"/>
      <c r="Y18" s="2" t="n">
        <f>2657</f>
        <v>2657.0</v>
      </c>
      <c r="Z18" s="2" t="str">
        <f>"－"</f>
        <v>－</v>
      </c>
      <c r="AA18" s="1" t="n">
        <f>21</f>
        <v>21.0</v>
      </c>
    </row>
    <row r="19">
      <c r="A19" s="9" t="s">
        <v>42</v>
      </c>
      <c r="B19" s="8" t="s">
        <v>98</v>
      </c>
      <c r="C19" s="8" t="s">
        <v>99</v>
      </c>
      <c r="D19" s="8" t="s">
        <v>82</v>
      </c>
      <c r="E19" s="7" t="s">
        <v>83</v>
      </c>
      <c r="F19" s="7" t="s">
        <v>118</v>
      </c>
      <c r="G19" s="3" t="s">
        <v>47</v>
      </c>
      <c r="H19" s="6" t="s">
        <v>114</v>
      </c>
      <c r="I19" s="3" t="s">
        <v>49</v>
      </c>
      <c r="J19" s="6" t="s">
        <v>119</v>
      </c>
      <c r="K19" s="3"/>
      <c r="L19" s="6"/>
      <c r="M19" s="3" t="s">
        <v>47</v>
      </c>
      <c r="N19" s="6" t="s">
        <v>120</v>
      </c>
      <c r="O19" s="3"/>
      <c r="P19" s="6"/>
      <c r="Q19" s="3" t="s">
        <v>60</v>
      </c>
      <c r="R19" s="6" t="s">
        <v>90</v>
      </c>
      <c r="S19" s="5" t="n">
        <f>6154.52</f>
        <v>6154.52</v>
      </c>
      <c r="T19" s="4" t="n">
        <f>143847</f>
        <v>143847.0</v>
      </c>
      <c r="U19" s="4"/>
      <c r="V19" s="4" t="n">
        <f>88388193400</f>
        <v>8.83881934E10</v>
      </c>
      <c r="W19" s="4"/>
      <c r="X19" s="3"/>
      <c r="Y19" s="2" t="n">
        <f>4158</f>
        <v>4158.0</v>
      </c>
      <c r="Z19" s="2" t="str">
        <f>"－"</f>
        <v>－</v>
      </c>
      <c r="AA19" s="1" t="n">
        <f>21</f>
        <v>21.0</v>
      </c>
    </row>
    <row r="20">
      <c r="A20" s="9" t="s">
        <v>42</v>
      </c>
      <c r="B20" s="8" t="s">
        <v>98</v>
      </c>
      <c r="C20" s="8" t="s">
        <v>99</v>
      </c>
      <c r="D20" s="8" t="s">
        <v>91</v>
      </c>
      <c r="E20" s="7" t="s">
        <v>92</v>
      </c>
      <c r="F20" s="7" t="s">
        <v>121</v>
      </c>
      <c r="G20" s="3" t="s">
        <v>94</v>
      </c>
      <c r="H20" s="6" t="s">
        <v>122</v>
      </c>
      <c r="I20" s="3" t="s">
        <v>60</v>
      </c>
      <c r="J20" s="6" t="s">
        <v>95</v>
      </c>
      <c r="K20" s="3"/>
      <c r="L20" s="6"/>
      <c r="M20" s="3" t="s">
        <v>60</v>
      </c>
      <c r="N20" s="6" t="s">
        <v>123</v>
      </c>
      <c r="O20" s="3"/>
      <c r="P20" s="6"/>
      <c r="Q20" s="3" t="s">
        <v>60</v>
      </c>
      <c r="R20" s="6" t="s">
        <v>90</v>
      </c>
      <c r="S20" s="5" t="n">
        <f>6191.33</f>
        <v>6191.33</v>
      </c>
      <c r="T20" s="4" t="n">
        <f>6187</f>
        <v>6187.0</v>
      </c>
      <c r="U20" s="4"/>
      <c r="V20" s="4" t="n">
        <f>3833604900</f>
        <v>3.8336049E9</v>
      </c>
      <c r="W20" s="4"/>
      <c r="X20" s="3"/>
      <c r="Y20" s="2" t="n">
        <f>746</f>
        <v>746.0</v>
      </c>
      <c r="Z20" s="2" t="str">
        <f>"－"</f>
        <v>－</v>
      </c>
      <c r="AA20" s="1" t="n">
        <f>3</f>
        <v>3.0</v>
      </c>
    </row>
    <row r="21">
      <c r="A21" s="9" t="s">
        <v>42</v>
      </c>
      <c r="B21" s="8" t="s">
        <v>124</v>
      </c>
      <c r="C21" s="8" t="s">
        <v>125</v>
      </c>
      <c r="D21" s="8" t="s">
        <v>126</v>
      </c>
      <c r="E21" s="7" t="s">
        <v>126</v>
      </c>
      <c r="F21" s="7" t="s">
        <v>126</v>
      </c>
      <c r="G21" s="3" t="s">
        <v>47</v>
      </c>
      <c r="H21" s="6" t="s">
        <v>127</v>
      </c>
      <c r="I21" s="3" t="s">
        <v>49</v>
      </c>
      <c r="J21" s="6" t="s">
        <v>128</v>
      </c>
      <c r="K21" s="3"/>
      <c r="L21" s="6"/>
      <c r="M21" s="3" t="s">
        <v>47</v>
      </c>
      <c r="N21" s="6" t="s">
        <v>129</v>
      </c>
      <c r="O21" s="3"/>
      <c r="P21" s="6"/>
      <c r="Q21" s="3" t="s">
        <v>60</v>
      </c>
      <c r="R21" s="6" t="s">
        <v>130</v>
      </c>
      <c r="S21" s="5" t="n">
        <f>6162.48</f>
        <v>6162.48</v>
      </c>
      <c r="T21" s="4" t="n">
        <f>40061</f>
        <v>40061.0</v>
      </c>
      <c r="U21" s="4"/>
      <c r="V21" s="4" t="n">
        <f>24946387900</f>
        <v>2.49463879E10</v>
      </c>
      <c r="W21" s="4"/>
      <c r="X21" s="3"/>
      <c r="Y21" s="2" t="n">
        <f>54042</f>
        <v>54042.0</v>
      </c>
      <c r="Z21" s="2" t="str">
        <f>"－"</f>
        <v>－</v>
      </c>
      <c r="AA21" s="1" t="n">
        <f>21</f>
        <v>21.0</v>
      </c>
    </row>
    <row r="22">
      <c r="A22" s="9" t="s">
        <v>42</v>
      </c>
      <c r="B22" s="8" t="s">
        <v>131</v>
      </c>
      <c r="C22" s="8" t="s">
        <v>132</v>
      </c>
      <c r="D22" s="8" t="s">
        <v>42</v>
      </c>
      <c r="E22" s="7" t="s">
        <v>45</v>
      </c>
      <c r="F22" s="7" t="s">
        <v>46</v>
      </c>
      <c r="G22" s="3" t="s">
        <v>133</v>
      </c>
      <c r="H22" s="6" t="s">
        <v>134</v>
      </c>
      <c r="I22" s="3" t="s">
        <v>87</v>
      </c>
      <c r="J22" s="6" t="s">
        <v>135</v>
      </c>
      <c r="K22" s="3"/>
      <c r="L22" s="6"/>
      <c r="M22" s="3" t="s">
        <v>87</v>
      </c>
      <c r="N22" s="6" t="s">
        <v>136</v>
      </c>
      <c r="O22" s="3"/>
      <c r="P22" s="6"/>
      <c r="Q22" s="3" t="s">
        <v>137</v>
      </c>
      <c r="R22" s="6" t="s">
        <v>138</v>
      </c>
      <c r="S22" s="5" t="n">
        <f>88.99</f>
        <v>88.99</v>
      </c>
      <c r="T22" s="4" t="n">
        <f>23</f>
        <v>23.0</v>
      </c>
      <c r="U22" s="4"/>
      <c r="V22" s="4" t="n">
        <f>20480000</f>
        <v>2.048E7</v>
      </c>
      <c r="W22" s="4"/>
      <c r="X22" s="3" t="s">
        <v>53</v>
      </c>
      <c r="Y22" s="2" t="n">
        <f>54</f>
        <v>54.0</v>
      </c>
      <c r="Z22" s="2" t="str">
        <f>"－"</f>
        <v>－</v>
      </c>
      <c r="AA22" s="1" t="n">
        <f>5</f>
        <v>5.0</v>
      </c>
    </row>
    <row r="23">
      <c r="A23" s="9" t="s">
        <v>42</v>
      </c>
      <c r="B23" s="8" t="s">
        <v>131</v>
      </c>
      <c r="C23" s="8" t="s">
        <v>132</v>
      </c>
      <c r="D23" s="8" t="s">
        <v>54</v>
      </c>
      <c r="E23" s="7" t="s">
        <v>55</v>
      </c>
      <c r="F23" s="7" t="s">
        <v>56</v>
      </c>
      <c r="G23" s="3" t="s">
        <v>47</v>
      </c>
      <c r="H23" s="6" t="s">
        <v>139</v>
      </c>
      <c r="I23" s="3" t="s">
        <v>49</v>
      </c>
      <c r="J23" s="6" t="s">
        <v>140</v>
      </c>
      <c r="K23" s="3"/>
      <c r="L23" s="6"/>
      <c r="M23" s="3" t="s">
        <v>47</v>
      </c>
      <c r="N23" s="6" t="s">
        <v>139</v>
      </c>
      <c r="O23" s="3"/>
      <c r="P23" s="6"/>
      <c r="Q23" s="3" t="s">
        <v>51</v>
      </c>
      <c r="R23" s="6" t="s">
        <v>141</v>
      </c>
      <c r="S23" s="5" t="n">
        <f>89.32</f>
        <v>89.32</v>
      </c>
      <c r="T23" s="4" t="n">
        <f>94</f>
        <v>94.0</v>
      </c>
      <c r="U23" s="4"/>
      <c r="V23" s="4" t="n">
        <f>83922000</f>
        <v>8.3922E7</v>
      </c>
      <c r="W23" s="4"/>
      <c r="X23" s="3"/>
      <c r="Y23" s="2" t="n">
        <f>105</f>
        <v>105.0</v>
      </c>
      <c r="Z23" s="2" t="str">
        <f>"－"</f>
        <v>－</v>
      </c>
      <c r="AA23" s="1" t="n">
        <f>14</f>
        <v>14.0</v>
      </c>
    </row>
    <row r="24">
      <c r="A24" s="9" t="s">
        <v>42</v>
      </c>
      <c r="B24" s="8" t="s">
        <v>131</v>
      </c>
      <c r="C24" s="8" t="s">
        <v>132</v>
      </c>
      <c r="D24" s="8" t="s">
        <v>62</v>
      </c>
      <c r="E24" s="7" t="s">
        <v>63</v>
      </c>
      <c r="F24" s="7" t="s">
        <v>64</v>
      </c>
      <c r="G24" s="3" t="s">
        <v>47</v>
      </c>
      <c r="H24" s="6" t="s">
        <v>142</v>
      </c>
      <c r="I24" s="3" t="s">
        <v>49</v>
      </c>
      <c r="J24" s="6" t="s">
        <v>140</v>
      </c>
      <c r="K24" s="3"/>
      <c r="L24" s="6"/>
      <c r="M24" s="3" t="s">
        <v>47</v>
      </c>
      <c r="N24" s="6" t="s">
        <v>143</v>
      </c>
      <c r="O24" s="3"/>
      <c r="P24" s="6"/>
      <c r="Q24" s="3" t="s">
        <v>60</v>
      </c>
      <c r="R24" s="6" t="s">
        <v>144</v>
      </c>
      <c r="S24" s="5" t="n">
        <f>89.54</f>
        <v>89.54</v>
      </c>
      <c r="T24" s="4" t="n">
        <f>75</f>
        <v>75.0</v>
      </c>
      <c r="U24" s="4"/>
      <c r="V24" s="4" t="n">
        <f>67269000</f>
        <v>6.7269E7</v>
      </c>
      <c r="W24" s="4"/>
      <c r="X24" s="3"/>
      <c r="Y24" s="2" t="n">
        <f>117</f>
        <v>117.0</v>
      </c>
      <c r="Z24" s="2" t="str">
        <f>"－"</f>
        <v>－</v>
      </c>
      <c r="AA24" s="1" t="n">
        <f>17</f>
        <v>17.0</v>
      </c>
    </row>
    <row r="25">
      <c r="A25" s="9" t="s">
        <v>42</v>
      </c>
      <c r="B25" s="8" t="s">
        <v>131</v>
      </c>
      <c r="C25" s="8" t="s">
        <v>132</v>
      </c>
      <c r="D25" s="8" t="s">
        <v>69</v>
      </c>
      <c r="E25" s="7" t="s">
        <v>70</v>
      </c>
      <c r="F25" s="7" t="s">
        <v>71</v>
      </c>
      <c r="G25" s="3" t="s">
        <v>47</v>
      </c>
      <c r="H25" s="6" t="s">
        <v>143</v>
      </c>
      <c r="I25" s="3" t="s">
        <v>102</v>
      </c>
      <c r="J25" s="6" t="s">
        <v>145</v>
      </c>
      <c r="K25" s="3"/>
      <c r="L25" s="6"/>
      <c r="M25" s="3" t="s">
        <v>47</v>
      </c>
      <c r="N25" s="6" t="s">
        <v>146</v>
      </c>
      <c r="O25" s="3"/>
      <c r="P25" s="6"/>
      <c r="Q25" s="3" t="s">
        <v>60</v>
      </c>
      <c r="R25" s="6" t="s">
        <v>147</v>
      </c>
      <c r="S25" s="5" t="n">
        <f>89.4</f>
        <v>89.4</v>
      </c>
      <c r="T25" s="4" t="n">
        <f>209</f>
        <v>209.0</v>
      </c>
      <c r="U25" s="4"/>
      <c r="V25" s="4" t="n">
        <f>186896000</f>
        <v>1.86896E8</v>
      </c>
      <c r="W25" s="4"/>
      <c r="X25" s="3"/>
      <c r="Y25" s="2" t="n">
        <f>160</f>
        <v>160.0</v>
      </c>
      <c r="Z25" s="2" t="str">
        <f>"－"</f>
        <v>－</v>
      </c>
      <c r="AA25" s="1" t="n">
        <f>18</f>
        <v>18.0</v>
      </c>
    </row>
    <row r="26">
      <c r="A26" s="9" t="s">
        <v>42</v>
      </c>
      <c r="B26" s="8" t="s">
        <v>131</v>
      </c>
      <c r="C26" s="8" t="s">
        <v>132</v>
      </c>
      <c r="D26" s="8" t="s">
        <v>76</v>
      </c>
      <c r="E26" s="7" t="s">
        <v>77</v>
      </c>
      <c r="F26" s="7" t="s">
        <v>78</v>
      </c>
      <c r="G26" s="3" t="s">
        <v>47</v>
      </c>
      <c r="H26" s="6" t="s">
        <v>148</v>
      </c>
      <c r="I26" s="3" t="s">
        <v>49</v>
      </c>
      <c r="J26" s="6" t="s">
        <v>149</v>
      </c>
      <c r="K26" s="3"/>
      <c r="L26" s="6"/>
      <c r="M26" s="3" t="s">
        <v>47</v>
      </c>
      <c r="N26" s="6" t="s">
        <v>150</v>
      </c>
      <c r="O26" s="3"/>
      <c r="P26" s="6"/>
      <c r="Q26" s="3" t="s">
        <v>60</v>
      </c>
      <c r="R26" s="6" t="s">
        <v>151</v>
      </c>
      <c r="S26" s="5" t="n">
        <f>89.83</f>
        <v>89.83</v>
      </c>
      <c r="T26" s="4" t="n">
        <f>572</f>
        <v>572.0</v>
      </c>
      <c r="U26" s="4"/>
      <c r="V26" s="4" t="n">
        <f>516568000</f>
        <v>5.16568E8</v>
      </c>
      <c r="W26" s="4"/>
      <c r="X26" s="3"/>
      <c r="Y26" s="2" t="n">
        <f>634</f>
        <v>634.0</v>
      </c>
      <c r="Z26" s="2" t="str">
        <f>"－"</f>
        <v>－</v>
      </c>
      <c r="AA26" s="1" t="n">
        <f>21</f>
        <v>21.0</v>
      </c>
    </row>
    <row r="27">
      <c r="A27" s="9" t="s">
        <v>42</v>
      </c>
      <c r="B27" s="8" t="s">
        <v>131</v>
      </c>
      <c r="C27" s="8" t="s">
        <v>132</v>
      </c>
      <c r="D27" s="8" t="s">
        <v>82</v>
      </c>
      <c r="E27" s="7" t="s">
        <v>83</v>
      </c>
      <c r="F27" s="7" t="s">
        <v>84</v>
      </c>
      <c r="G27" s="3" t="s">
        <v>47</v>
      </c>
      <c r="H27" s="6" t="s">
        <v>143</v>
      </c>
      <c r="I27" s="3" t="s">
        <v>49</v>
      </c>
      <c r="J27" s="6" t="s">
        <v>152</v>
      </c>
      <c r="K27" s="3"/>
      <c r="L27" s="6"/>
      <c r="M27" s="3" t="s">
        <v>47</v>
      </c>
      <c r="N27" s="6" t="s">
        <v>153</v>
      </c>
      <c r="O27" s="3"/>
      <c r="P27" s="6"/>
      <c r="Q27" s="3" t="s">
        <v>60</v>
      </c>
      <c r="R27" s="6" t="s">
        <v>154</v>
      </c>
      <c r="S27" s="5" t="n">
        <f>90.46</f>
        <v>90.46</v>
      </c>
      <c r="T27" s="4" t="n">
        <f>1964</f>
        <v>1964.0</v>
      </c>
      <c r="U27" s="4"/>
      <c r="V27" s="4" t="n">
        <f>1781395000</f>
        <v>1.781395E9</v>
      </c>
      <c r="W27" s="4"/>
      <c r="X27" s="3"/>
      <c r="Y27" s="2" t="n">
        <f>743</f>
        <v>743.0</v>
      </c>
      <c r="Z27" s="2" t="str">
        <f>"－"</f>
        <v>－</v>
      </c>
      <c r="AA27" s="1" t="n">
        <f>21</f>
        <v>21.0</v>
      </c>
    </row>
    <row r="28">
      <c r="A28" s="9" t="s">
        <v>42</v>
      </c>
      <c r="B28" s="8" t="s">
        <v>131</v>
      </c>
      <c r="C28" s="8" t="s">
        <v>132</v>
      </c>
      <c r="D28" s="8" t="s">
        <v>91</v>
      </c>
      <c r="E28" s="7" t="s">
        <v>92</v>
      </c>
      <c r="F28" s="7" t="s">
        <v>93</v>
      </c>
      <c r="G28" s="3" t="s">
        <v>94</v>
      </c>
      <c r="H28" s="6" t="s">
        <v>145</v>
      </c>
      <c r="I28" s="3" t="s">
        <v>155</v>
      </c>
      <c r="J28" s="6" t="s">
        <v>156</v>
      </c>
      <c r="K28" s="3"/>
      <c r="L28" s="6"/>
      <c r="M28" s="3" t="s">
        <v>60</v>
      </c>
      <c r="N28" s="6" t="s">
        <v>154</v>
      </c>
      <c r="O28" s="3"/>
      <c r="P28" s="6"/>
      <c r="Q28" s="3" t="s">
        <v>60</v>
      </c>
      <c r="R28" s="6" t="s">
        <v>145</v>
      </c>
      <c r="S28" s="5" t="n">
        <f>91.9</f>
        <v>91.9</v>
      </c>
      <c r="T28" s="4" t="n">
        <f>191</f>
        <v>191.0</v>
      </c>
      <c r="U28" s="4"/>
      <c r="V28" s="4" t="n">
        <f>176037000</f>
        <v>1.76037E8</v>
      </c>
      <c r="W28" s="4"/>
      <c r="X28" s="3"/>
      <c r="Y28" s="2" t="n">
        <f>111</f>
        <v>111.0</v>
      </c>
      <c r="Z28" s="2" t="str">
        <f>"－"</f>
        <v>－</v>
      </c>
      <c r="AA28" s="1" t="n">
        <f>3</f>
        <v>3.0</v>
      </c>
    </row>
    <row r="29">
      <c r="A29" s="9" t="s">
        <v>42</v>
      </c>
      <c r="B29" s="8" t="s">
        <v>157</v>
      </c>
      <c r="C29" s="8" t="s">
        <v>158</v>
      </c>
      <c r="D29" s="8" t="s">
        <v>42</v>
      </c>
      <c r="E29" s="7" t="s">
        <v>45</v>
      </c>
      <c r="F29" s="7" t="s">
        <v>46</v>
      </c>
      <c r="G29" s="3" t="s">
        <v>47</v>
      </c>
      <c r="H29" s="6" t="s">
        <v>159</v>
      </c>
      <c r="I29" s="3" t="s">
        <v>160</v>
      </c>
      <c r="J29" s="6" t="s">
        <v>161</v>
      </c>
      <c r="K29" s="3" t="s">
        <v>102</v>
      </c>
      <c r="L29" s="6" t="s">
        <v>162</v>
      </c>
      <c r="M29" s="3" t="s">
        <v>87</v>
      </c>
      <c r="N29" s="6" t="s">
        <v>163</v>
      </c>
      <c r="O29" s="3" t="s">
        <v>102</v>
      </c>
      <c r="P29" s="6" t="s">
        <v>162</v>
      </c>
      <c r="Q29" s="3" t="s">
        <v>51</v>
      </c>
      <c r="R29" s="6" t="s">
        <v>164</v>
      </c>
      <c r="S29" s="5" t="n">
        <f>4219.39</f>
        <v>4219.39</v>
      </c>
      <c r="T29" s="4" t="n">
        <f>1206</f>
        <v>1206.0</v>
      </c>
      <c r="U29" s="4" t="n">
        <v>1.0</v>
      </c>
      <c r="V29" s="4" t="n">
        <f>2545888000</f>
        <v>2.545888E9</v>
      </c>
      <c r="W29" s="4" t="n">
        <v>2093500.0</v>
      </c>
      <c r="X29" s="3" t="s">
        <v>53</v>
      </c>
      <c r="Y29" s="2" t="n">
        <f>748</f>
        <v>748.0</v>
      </c>
      <c r="Z29" s="2" t="str">
        <f>"－"</f>
        <v>－</v>
      </c>
      <c r="AA29" s="1" t="n">
        <f>18</f>
        <v>18.0</v>
      </c>
    </row>
    <row r="30">
      <c r="A30" s="9" t="s">
        <v>42</v>
      </c>
      <c r="B30" s="8" t="s">
        <v>157</v>
      </c>
      <c r="C30" s="8" t="s">
        <v>158</v>
      </c>
      <c r="D30" s="8" t="s">
        <v>54</v>
      </c>
      <c r="E30" s="7" t="s">
        <v>55</v>
      </c>
      <c r="F30" s="7" t="s">
        <v>56</v>
      </c>
      <c r="G30" s="3" t="s">
        <v>47</v>
      </c>
      <c r="H30" s="6" t="s">
        <v>165</v>
      </c>
      <c r="I30" s="3" t="s">
        <v>160</v>
      </c>
      <c r="J30" s="6" t="s">
        <v>166</v>
      </c>
      <c r="K30" s="3" t="s">
        <v>160</v>
      </c>
      <c r="L30" s="6" t="s">
        <v>167</v>
      </c>
      <c r="M30" s="3" t="s">
        <v>87</v>
      </c>
      <c r="N30" s="6" t="s">
        <v>168</v>
      </c>
      <c r="O30" s="3" t="s">
        <v>160</v>
      </c>
      <c r="P30" s="6" t="s">
        <v>167</v>
      </c>
      <c r="Q30" s="3" t="s">
        <v>60</v>
      </c>
      <c r="R30" s="6" t="s">
        <v>169</v>
      </c>
      <c r="S30" s="5" t="n">
        <f>4229.29</f>
        <v>4229.29</v>
      </c>
      <c r="T30" s="4" t="n">
        <f>2060</f>
        <v>2060.0</v>
      </c>
      <c r="U30" s="4" t="n">
        <v>47.0</v>
      </c>
      <c r="V30" s="4" t="n">
        <f>4355372500</f>
        <v>4.3553725E9</v>
      </c>
      <c r="W30" s="4" t="n">
        <v>1.00439E8</v>
      </c>
      <c r="X30" s="3"/>
      <c r="Y30" s="2" t="n">
        <f>479</f>
        <v>479.0</v>
      </c>
      <c r="Z30" s="2" t="str">
        <f>"－"</f>
        <v>－</v>
      </c>
      <c r="AA30" s="1" t="n">
        <f>21</f>
        <v>21.0</v>
      </c>
    </row>
    <row r="31">
      <c r="A31" s="9" t="s">
        <v>42</v>
      </c>
      <c r="B31" s="8" t="s">
        <v>157</v>
      </c>
      <c r="C31" s="8" t="s">
        <v>158</v>
      </c>
      <c r="D31" s="8" t="s">
        <v>62</v>
      </c>
      <c r="E31" s="7" t="s">
        <v>63</v>
      </c>
      <c r="F31" s="7" t="s">
        <v>64</v>
      </c>
      <c r="G31" s="3" t="s">
        <v>47</v>
      </c>
      <c r="H31" s="6" t="s">
        <v>170</v>
      </c>
      <c r="I31" s="3" t="s">
        <v>160</v>
      </c>
      <c r="J31" s="6" t="s">
        <v>171</v>
      </c>
      <c r="K31" s="3"/>
      <c r="L31" s="6"/>
      <c r="M31" s="3" t="s">
        <v>87</v>
      </c>
      <c r="N31" s="6" t="s">
        <v>172</v>
      </c>
      <c r="O31" s="3"/>
      <c r="P31" s="6"/>
      <c r="Q31" s="3" t="s">
        <v>60</v>
      </c>
      <c r="R31" s="6" t="s">
        <v>173</v>
      </c>
      <c r="S31" s="5" t="n">
        <f>4225.57</f>
        <v>4225.57</v>
      </c>
      <c r="T31" s="4" t="n">
        <f>1380</f>
        <v>1380.0</v>
      </c>
      <c r="U31" s="4"/>
      <c r="V31" s="4" t="n">
        <f>2931296500</f>
        <v>2.9312965E9</v>
      </c>
      <c r="W31" s="4"/>
      <c r="X31" s="3"/>
      <c r="Y31" s="2" t="n">
        <f>856</f>
        <v>856.0</v>
      </c>
      <c r="Z31" s="2" t="str">
        <f>"－"</f>
        <v>－</v>
      </c>
      <c r="AA31" s="1" t="n">
        <f>21</f>
        <v>21.0</v>
      </c>
    </row>
    <row r="32">
      <c r="A32" s="9" t="s">
        <v>42</v>
      </c>
      <c r="B32" s="8" t="s">
        <v>157</v>
      </c>
      <c r="C32" s="8" t="s">
        <v>158</v>
      </c>
      <c r="D32" s="8" t="s">
        <v>69</v>
      </c>
      <c r="E32" s="7" t="s">
        <v>70</v>
      </c>
      <c r="F32" s="7" t="s">
        <v>71</v>
      </c>
      <c r="G32" s="3" t="s">
        <v>47</v>
      </c>
      <c r="H32" s="6" t="s">
        <v>174</v>
      </c>
      <c r="I32" s="3" t="s">
        <v>175</v>
      </c>
      <c r="J32" s="6" t="s">
        <v>176</v>
      </c>
      <c r="K32" s="3"/>
      <c r="L32" s="6"/>
      <c r="M32" s="3" t="s">
        <v>87</v>
      </c>
      <c r="N32" s="6" t="s">
        <v>172</v>
      </c>
      <c r="O32" s="3"/>
      <c r="P32" s="6"/>
      <c r="Q32" s="3" t="s">
        <v>60</v>
      </c>
      <c r="R32" s="6" t="s">
        <v>177</v>
      </c>
      <c r="S32" s="5" t="n">
        <f>4225.24</f>
        <v>4225.24</v>
      </c>
      <c r="T32" s="4" t="n">
        <f>2352</f>
        <v>2352.0</v>
      </c>
      <c r="U32" s="4"/>
      <c r="V32" s="4" t="n">
        <f>4969177000</f>
        <v>4.969177E9</v>
      </c>
      <c r="W32" s="4"/>
      <c r="X32" s="3"/>
      <c r="Y32" s="2" t="n">
        <f>2225</f>
        <v>2225.0</v>
      </c>
      <c r="Z32" s="2" t="str">
        <f>"－"</f>
        <v>－</v>
      </c>
      <c r="AA32" s="1" t="n">
        <f>21</f>
        <v>21.0</v>
      </c>
    </row>
    <row r="33">
      <c r="A33" s="9" t="s">
        <v>42</v>
      </c>
      <c r="B33" s="8" t="s">
        <v>157</v>
      </c>
      <c r="C33" s="8" t="s">
        <v>158</v>
      </c>
      <c r="D33" s="8" t="s">
        <v>76</v>
      </c>
      <c r="E33" s="7" t="s">
        <v>77</v>
      </c>
      <c r="F33" s="7" t="s">
        <v>78</v>
      </c>
      <c r="G33" s="3" t="s">
        <v>47</v>
      </c>
      <c r="H33" s="6" t="s">
        <v>178</v>
      </c>
      <c r="I33" s="3" t="s">
        <v>160</v>
      </c>
      <c r="J33" s="6" t="s">
        <v>179</v>
      </c>
      <c r="K33" s="3"/>
      <c r="L33" s="6"/>
      <c r="M33" s="3" t="s">
        <v>87</v>
      </c>
      <c r="N33" s="6" t="s">
        <v>180</v>
      </c>
      <c r="O33" s="3"/>
      <c r="P33" s="6"/>
      <c r="Q33" s="3" t="s">
        <v>60</v>
      </c>
      <c r="R33" s="6" t="s">
        <v>181</v>
      </c>
      <c r="S33" s="5" t="n">
        <f>4229.52</f>
        <v>4229.52</v>
      </c>
      <c r="T33" s="4" t="n">
        <f>12694</f>
        <v>12694.0</v>
      </c>
      <c r="U33" s="4"/>
      <c r="V33" s="4" t="n">
        <f>26906932000</f>
        <v>2.6906932E10</v>
      </c>
      <c r="W33" s="4"/>
      <c r="X33" s="3"/>
      <c r="Y33" s="2" t="n">
        <f>5531</f>
        <v>5531.0</v>
      </c>
      <c r="Z33" s="2" t="str">
        <f>"－"</f>
        <v>－</v>
      </c>
      <c r="AA33" s="1" t="n">
        <f>21</f>
        <v>21.0</v>
      </c>
    </row>
    <row r="34">
      <c r="A34" s="9" t="s">
        <v>42</v>
      </c>
      <c r="B34" s="8" t="s">
        <v>157</v>
      </c>
      <c r="C34" s="8" t="s">
        <v>158</v>
      </c>
      <c r="D34" s="8" t="s">
        <v>82</v>
      </c>
      <c r="E34" s="7" t="s">
        <v>83</v>
      </c>
      <c r="F34" s="7" t="s">
        <v>84</v>
      </c>
      <c r="G34" s="3" t="s">
        <v>47</v>
      </c>
      <c r="H34" s="6" t="s">
        <v>159</v>
      </c>
      <c r="I34" s="3" t="s">
        <v>160</v>
      </c>
      <c r="J34" s="6" t="s">
        <v>182</v>
      </c>
      <c r="K34" s="3" t="s">
        <v>49</v>
      </c>
      <c r="L34" s="6" t="s">
        <v>183</v>
      </c>
      <c r="M34" s="3" t="s">
        <v>87</v>
      </c>
      <c r="N34" s="6" t="s">
        <v>184</v>
      </c>
      <c r="O34" s="3" t="s">
        <v>102</v>
      </c>
      <c r="P34" s="6" t="s">
        <v>185</v>
      </c>
      <c r="Q34" s="3" t="s">
        <v>60</v>
      </c>
      <c r="R34" s="6" t="s">
        <v>169</v>
      </c>
      <c r="S34" s="5" t="n">
        <f>4230.52</f>
        <v>4230.52</v>
      </c>
      <c r="T34" s="4" t="n">
        <f>170077</f>
        <v>170077.0</v>
      </c>
      <c r="U34" s="4" t="n">
        <v>6.0</v>
      </c>
      <c r="V34" s="4" t="n">
        <f>359086319500</f>
        <v>3.590863195E11</v>
      </c>
      <c r="W34" s="4" t="n">
        <v>1.2636E7</v>
      </c>
      <c r="X34" s="3"/>
      <c r="Y34" s="2" t="n">
        <f>16016</f>
        <v>16016.0</v>
      </c>
      <c r="Z34" s="2" t="str">
        <f>"－"</f>
        <v>－</v>
      </c>
      <c r="AA34" s="1" t="n">
        <f>21</f>
        <v>21.0</v>
      </c>
    </row>
    <row r="35">
      <c r="A35" s="9" t="s">
        <v>42</v>
      </c>
      <c r="B35" s="8" t="s">
        <v>157</v>
      </c>
      <c r="C35" s="8" t="s">
        <v>158</v>
      </c>
      <c r="D35" s="8" t="s">
        <v>91</v>
      </c>
      <c r="E35" s="7" t="s">
        <v>92</v>
      </c>
      <c r="F35" s="7" t="s">
        <v>93</v>
      </c>
      <c r="G35" s="3" t="s">
        <v>94</v>
      </c>
      <c r="H35" s="6" t="s">
        <v>186</v>
      </c>
      <c r="I35" s="3" t="s">
        <v>94</v>
      </c>
      <c r="J35" s="6" t="s">
        <v>187</v>
      </c>
      <c r="K35" s="3"/>
      <c r="L35" s="6"/>
      <c r="M35" s="3" t="s">
        <v>60</v>
      </c>
      <c r="N35" s="6" t="s">
        <v>165</v>
      </c>
      <c r="O35" s="3"/>
      <c r="P35" s="6"/>
      <c r="Q35" s="3" t="s">
        <v>60</v>
      </c>
      <c r="R35" s="6" t="s">
        <v>188</v>
      </c>
      <c r="S35" s="5" t="n">
        <f>4273.67</f>
        <v>4273.67</v>
      </c>
      <c r="T35" s="4" t="n">
        <f>15912</f>
        <v>15912.0</v>
      </c>
      <c r="U35" s="4"/>
      <c r="V35" s="4" t="n">
        <f>33930093000</f>
        <v>3.3930093E10</v>
      </c>
      <c r="W35" s="4"/>
      <c r="X35" s="3"/>
      <c r="Y35" s="2" t="n">
        <f>6613</f>
        <v>6613.0</v>
      </c>
      <c r="Z35" s="2" t="str">
        <f>"－"</f>
        <v>－</v>
      </c>
      <c r="AA35" s="1" t="n">
        <f>3</f>
        <v>3.0</v>
      </c>
    </row>
    <row r="36">
      <c r="A36" s="9" t="s">
        <v>42</v>
      </c>
      <c r="B36" s="8" t="s">
        <v>189</v>
      </c>
      <c r="C36" s="8" t="s">
        <v>190</v>
      </c>
      <c r="D36" s="8" t="s">
        <v>42</v>
      </c>
      <c r="E36" s="7" t="s">
        <v>45</v>
      </c>
      <c r="F36" s="7" t="s">
        <v>100</v>
      </c>
      <c r="G36" s="3" t="s">
        <v>47</v>
      </c>
      <c r="H36" s="6" t="s">
        <v>191</v>
      </c>
      <c r="I36" s="3" t="s">
        <v>160</v>
      </c>
      <c r="J36" s="6" t="s">
        <v>176</v>
      </c>
      <c r="K36" s="3"/>
      <c r="L36" s="6"/>
      <c r="M36" s="3" t="s">
        <v>87</v>
      </c>
      <c r="N36" s="6" t="s">
        <v>192</v>
      </c>
      <c r="O36" s="3"/>
      <c r="P36" s="6"/>
      <c r="Q36" s="3" t="s">
        <v>102</v>
      </c>
      <c r="R36" s="6" t="s">
        <v>193</v>
      </c>
      <c r="S36" s="5" t="n">
        <f>4218.29</f>
        <v>4218.29</v>
      </c>
      <c r="T36" s="4" t="n">
        <f>83</f>
        <v>83.0</v>
      </c>
      <c r="U36" s="4"/>
      <c r="V36" s="4" t="n">
        <f>34685800</f>
        <v>3.46858E7</v>
      </c>
      <c r="W36" s="4"/>
      <c r="X36" s="3" t="s">
        <v>53</v>
      </c>
      <c r="Y36" s="2" t="n">
        <f>61</f>
        <v>61.0</v>
      </c>
      <c r="Z36" s="2" t="str">
        <f>"－"</f>
        <v>－</v>
      </c>
      <c r="AA36" s="1" t="n">
        <f>13</f>
        <v>13.0</v>
      </c>
    </row>
    <row r="37">
      <c r="A37" s="9" t="s">
        <v>42</v>
      </c>
      <c r="B37" s="8" t="s">
        <v>189</v>
      </c>
      <c r="C37" s="8" t="s">
        <v>190</v>
      </c>
      <c r="D37" s="8" t="s">
        <v>54</v>
      </c>
      <c r="E37" s="7" t="s">
        <v>55</v>
      </c>
      <c r="F37" s="7" t="s">
        <v>104</v>
      </c>
      <c r="G37" s="3" t="s">
        <v>160</v>
      </c>
      <c r="H37" s="6" t="s">
        <v>194</v>
      </c>
      <c r="I37" s="3" t="s">
        <v>175</v>
      </c>
      <c r="J37" s="6" t="s">
        <v>171</v>
      </c>
      <c r="K37" s="3"/>
      <c r="L37" s="6"/>
      <c r="M37" s="3" t="s">
        <v>87</v>
      </c>
      <c r="N37" s="6" t="s">
        <v>195</v>
      </c>
      <c r="O37" s="3"/>
      <c r="P37" s="6"/>
      <c r="Q37" s="3" t="s">
        <v>155</v>
      </c>
      <c r="R37" s="6" t="s">
        <v>196</v>
      </c>
      <c r="S37" s="5" t="n">
        <f>4229.29</f>
        <v>4229.29</v>
      </c>
      <c r="T37" s="4" t="n">
        <f>109</f>
        <v>109.0</v>
      </c>
      <c r="U37" s="4"/>
      <c r="V37" s="4" t="n">
        <f>46320700</f>
        <v>4.63207E7</v>
      </c>
      <c r="W37" s="4"/>
      <c r="X37" s="3"/>
      <c r="Y37" s="2" t="n">
        <f>111</f>
        <v>111.0</v>
      </c>
      <c r="Z37" s="2" t="str">
        <f>"－"</f>
        <v>－</v>
      </c>
      <c r="AA37" s="1" t="n">
        <f>12</f>
        <v>12.0</v>
      </c>
    </row>
    <row r="38">
      <c r="A38" s="9" t="s">
        <v>42</v>
      </c>
      <c r="B38" s="8" t="s">
        <v>189</v>
      </c>
      <c r="C38" s="8" t="s">
        <v>190</v>
      </c>
      <c r="D38" s="8" t="s">
        <v>62</v>
      </c>
      <c r="E38" s="7" t="s">
        <v>63</v>
      </c>
      <c r="F38" s="7" t="s">
        <v>108</v>
      </c>
      <c r="G38" s="3" t="s">
        <v>197</v>
      </c>
      <c r="H38" s="6" t="s">
        <v>198</v>
      </c>
      <c r="I38" s="3" t="s">
        <v>94</v>
      </c>
      <c r="J38" s="6" t="s">
        <v>199</v>
      </c>
      <c r="K38" s="3"/>
      <c r="L38" s="6"/>
      <c r="M38" s="3" t="s">
        <v>87</v>
      </c>
      <c r="N38" s="6" t="s">
        <v>195</v>
      </c>
      <c r="O38" s="3"/>
      <c r="P38" s="6"/>
      <c r="Q38" s="3" t="s">
        <v>94</v>
      </c>
      <c r="R38" s="6" t="s">
        <v>196</v>
      </c>
      <c r="S38" s="5" t="n">
        <f>4225.57</f>
        <v>4225.57</v>
      </c>
      <c r="T38" s="4" t="n">
        <f>58</f>
        <v>58.0</v>
      </c>
      <c r="U38" s="4"/>
      <c r="V38" s="4" t="n">
        <f>24668500</f>
        <v>2.46685E7</v>
      </c>
      <c r="W38" s="4"/>
      <c r="X38" s="3"/>
      <c r="Y38" s="2" t="n">
        <f>188</f>
        <v>188.0</v>
      </c>
      <c r="Z38" s="2" t="str">
        <f>"－"</f>
        <v>－</v>
      </c>
      <c r="AA38" s="1" t="n">
        <f>9</f>
        <v>9.0</v>
      </c>
    </row>
    <row r="39">
      <c r="A39" s="9" t="s">
        <v>42</v>
      </c>
      <c r="B39" s="8" t="s">
        <v>189</v>
      </c>
      <c r="C39" s="8" t="s">
        <v>190</v>
      </c>
      <c r="D39" s="8" t="s">
        <v>69</v>
      </c>
      <c r="E39" s="7" t="s">
        <v>70</v>
      </c>
      <c r="F39" s="7" t="s">
        <v>112</v>
      </c>
      <c r="G39" s="3" t="s">
        <v>47</v>
      </c>
      <c r="H39" s="6" t="s">
        <v>200</v>
      </c>
      <c r="I39" s="3" t="s">
        <v>175</v>
      </c>
      <c r="J39" s="6" t="s">
        <v>201</v>
      </c>
      <c r="K39" s="3"/>
      <c r="L39" s="6"/>
      <c r="M39" s="3" t="s">
        <v>87</v>
      </c>
      <c r="N39" s="6" t="s">
        <v>202</v>
      </c>
      <c r="O39" s="3"/>
      <c r="P39" s="6"/>
      <c r="Q39" s="3" t="s">
        <v>155</v>
      </c>
      <c r="R39" s="6" t="s">
        <v>203</v>
      </c>
      <c r="S39" s="5" t="n">
        <f>4225.24</f>
        <v>4225.24</v>
      </c>
      <c r="T39" s="4" t="n">
        <f>67</f>
        <v>67.0</v>
      </c>
      <c r="U39" s="4"/>
      <c r="V39" s="4" t="n">
        <f>28361400</f>
        <v>2.83614E7</v>
      </c>
      <c r="W39" s="4"/>
      <c r="X39" s="3"/>
      <c r="Y39" s="2" t="n">
        <f>217</f>
        <v>217.0</v>
      </c>
      <c r="Z39" s="2" t="str">
        <f>"－"</f>
        <v>－</v>
      </c>
      <c r="AA39" s="1" t="n">
        <f>15</f>
        <v>15.0</v>
      </c>
    </row>
    <row r="40">
      <c r="A40" s="9" t="s">
        <v>42</v>
      </c>
      <c r="B40" s="8" t="s">
        <v>189</v>
      </c>
      <c r="C40" s="8" t="s">
        <v>190</v>
      </c>
      <c r="D40" s="8" t="s">
        <v>76</v>
      </c>
      <c r="E40" s="7" t="s">
        <v>77</v>
      </c>
      <c r="F40" s="7" t="s">
        <v>115</v>
      </c>
      <c r="G40" s="3" t="s">
        <v>47</v>
      </c>
      <c r="H40" s="6" t="s">
        <v>178</v>
      </c>
      <c r="I40" s="3" t="s">
        <v>160</v>
      </c>
      <c r="J40" s="6" t="s">
        <v>204</v>
      </c>
      <c r="K40" s="3"/>
      <c r="L40" s="6"/>
      <c r="M40" s="3" t="s">
        <v>87</v>
      </c>
      <c r="N40" s="6" t="s">
        <v>184</v>
      </c>
      <c r="O40" s="3"/>
      <c r="P40" s="6"/>
      <c r="Q40" s="3" t="s">
        <v>60</v>
      </c>
      <c r="R40" s="6" t="s">
        <v>205</v>
      </c>
      <c r="S40" s="5" t="n">
        <f>4229.52</f>
        <v>4229.52</v>
      </c>
      <c r="T40" s="4" t="n">
        <f>1018</f>
        <v>1018.0</v>
      </c>
      <c r="U40" s="4"/>
      <c r="V40" s="4" t="n">
        <f>431992000</f>
        <v>4.31992E8</v>
      </c>
      <c r="W40" s="4"/>
      <c r="X40" s="3"/>
      <c r="Y40" s="2" t="n">
        <f>468</f>
        <v>468.0</v>
      </c>
      <c r="Z40" s="2" t="str">
        <f>"－"</f>
        <v>－</v>
      </c>
      <c r="AA40" s="1" t="n">
        <f>21</f>
        <v>21.0</v>
      </c>
    </row>
    <row r="41">
      <c r="A41" s="9" t="s">
        <v>42</v>
      </c>
      <c r="B41" s="8" t="s">
        <v>189</v>
      </c>
      <c r="C41" s="8" t="s">
        <v>190</v>
      </c>
      <c r="D41" s="8" t="s">
        <v>82</v>
      </c>
      <c r="E41" s="7" t="s">
        <v>83</v>
      </c>
      <c r="F41" s="7" t="s">
        <v>118</v>
      </c>
      <c r="G41" s="3" t="s">
        <v>47</v>
      </c>
      <c r="H41" s="6" t="s">
        <v>206</v>
      </c>
      <c r="I41" s="3" t="s">
        <v>160</v>
      </c>
      <c r="J41" s="6" t="s">
        <v>207</v>
      </c>
      <c r="K41" s="3"/>
      <c r="L41" s="6"/>
      <c r="M41" s="3" t="s">
        <v>87</v>
      </c>
      <c r="N41" s="6" t="s">
        <v>184</v>
      </c>
      <c r="O41" s="3"/>
      <c r="P41" s="6"/>
      <c r="Q41" s="3" t="s">
        <v>60</v>
      </c>
      <c r="R41" s="6" t="s">
        <v>173</v>
      </c>
      <c r="S41" s="5" t="n">
        <f>4230.52</f>
        <v>4230.52</v>
      </c>
      <c r="T41" s="4" t="n">
        <f>18887</f>
        <v>18887.0</v>
      </c>
      <c r="U41" s="4"/>
      <c r="V41" s="4" t="n">
        <f>7976531000</f>
        <v>7.976531E9</v>
      </c>
      <c r="W41" s="4"/>
      <c r="X41" s="3"/>
      <c r="Y41" s="2" t="n">
        <f>893</f>
        <v>893.0</v>
      </c>
      <c r="Z41" s="2" t="str">
        <f>"－"</f>
        <v>－</v>
      </c>
      <c r="AA41" s="1" t="n">
        <f>21</f>
        <v>21.0</v>
      </c>
    </row>
    <row r="42">
      <c r="A42" s="9" t="s">
        <v>42</v>
      </c>
      <c r="B42" s="8" t="s">
        <v>189</v>
      </c>
      <c r="C42" s="8" t="s">
        <v>190</v>
      </c>
      <c r="D42" s="8" t="s">
        <v>91</v>
      </c>
      <c r="E42" s="7" t="s">
        <v>92</v>
      </c>
      <c r="F42" s="7" t="s">
        <v>121</v>
      </c>
      <c r="G42" s="3" t="s">
        <v>94</v>
      </c>
      <c r="H42" s="6" t="s">
        <v>208</v>
      </c>
      <c r="I42" s="3" t="s">
        <v>155</v>
      </c>
      <c r="J42" s="6" t="s">
        <v>209</v>
      </c>
      <c r="K42" s="3"/>
      <c r="L42" s="6"/>
      <c r="M42" s="3" t="s">
        <v>60</v>
      </c>
      <c r="N42" s="6" t="s">
        <v>210</v>
      </c>
      <c r="O42" s="3"/>
      <c r="P42" s="6"/>
      <c r="Q42" s="3" t="s">
        <v>60</v>
      </c>
      <c r="R42" s="6" t="s">
        <v>169</v>
      </c>
      <c r="S42" s="5" t="n">
        <f>4273.67</f>
        <v>4273.67</v>
      </c>
      <c r="T42" s="4" t="n">
        <f>1356</f>
        <v>1356.0</v>
      </c>
      <c r="U42" s="4"/>
      <c r="V42" s="4" t="n">
        <f>579270500</f>
        <v>5.792705E8</v>
      </c>
      <c r="W42" s="4"/>
      <c r="X42" s="3"/>
      <c r="Y42" s="2" t="n">
        <f>370</f>
        <v>370.0</v>
      </c>
      <c r="Z42" s="2" t="str">
        <f>"－"</f>
        <v>－</v>
      </c>
      <c r="AA42" s="1" t="n">
        <f>3</f>
        <v>3.0</v>
      </c>
    </row>
    <row r="43">
      <c r="A43" s="9" t="s">
        <v>42</v>
      </c>
      <c r="B43" s="8" t="s">
        <v>211</v>
      </c>
      <c r="C43" s="8" t="s">
        <v>212</v>
      </c>
      <c r="D43" s="8" t="s">
        <v>126</v>
      </c>
      <c r="E43" s="7" t="s">
        <v>126</v>
      </c>
      <c r="F43" s="7" t="s">
        <v>126</v>
      </c>
      <c r="G43" s="3" t="s">
        <v>47</v>
      </c>
      <c r="H43" s="6" t="s">
        <v>213</v>
      </c>
      <c r="I43" s="3" t="s">
        <v>160</v>
      </c>
      <c r="J43" s="6" t="s">
        <v>214</v>
      </c>
      <c r="K43" s="3"/>
      <c r="L43" s="6"/>
      <c r="M43" s="3" t="s">
        <v>87</v>
      </c>
      <c r="N43" s="6" t="s">
        <v>215</v>
      </c>
      <c r="O43" s="3"/>
      <c r="P43" s="6"/>
      <c r="Q43" s="3" t="s">
        <v>60</v>
      </c>
      <c r="R43" s="6" t="s">
        <v>216</v>
      </c>
      <c r="S43" s="5" t="n">
        <f>4227.86</f>
        <v>4227.86</v>
      </c>
      <c r="T43" s="4" t="n">
        <f>9155</f>
        <v>9155.0</v>
      </c>
      <c r="U43" s="4"/>
      <c r="V43" s="4" t="n">
        <f>3936283600</f>
        <v>3.9362836E9</v>
      </c>
      <c r="W43" s="4"/>
      <c r="X43" s="3"/>
      <c r="Y43" s="2" t="n">
        <f>12131</f>
        <v>12131.0</v>
      </c>
      <c r="Z43" s="2" t="str">
        <f>"－"</f>
        <v>－</v>
      </c>
      <c r="AA43" s="1" t="n">
        <f>21</f>
        <v>21.0</v>
      </c>
    </row>
    <row r="44">
      <c r="A44" s="9" t="s">
        <v>42</v>
      </c>
      <c r="B44" s="8" t="s">
        <v>217</v>
      </c>
      <c r="C44" s="8" t="s">
        <v>218</v>
      </c>
      <c r="D44" s="8" t="s">
        <v>42</v>
      </c>
      <c r="E44" s="7" t="s">
        <v>45</v>
      </c>
      <c r="F44" s="7" t="s">
        <v>46</v>
      </c>
      <c r="G44" s="3" t="s">
        <v>87</v>
      </c>
      <c r="H44" s="6" t="s">
        <v>219</v>
      </c>
      <c r="I44" s="3" t="s">
        <v>220</v>
      </c>
      <c r="J44" s="6" t="s">
        <v>221</v>
      </c>
      <c r="K44" s="3"/>
      <c r="L44" s="6"/>
      <c r="M44" s="3" t="s">
        <v>87</v>
      </c>
      <c r="N44" s="6" t="s">
        <v>219</v>
      </c>
      <c r="O44" s="3"/>
      <c r="P44" s="6"/>
      <c r="Q44" s="3" t="s">
        <v>222</v>
      </c>
      <c r="R44" s="6" t="s">
        <v>223</v>
      </c>
      <c r="S44" s="5" t="n">
        <f>9520.94</f>
        <v>9520.94</v>
      </c>
      <c r="T44" s="4" t="n">
        <f>4</f>
        <v>4.0</v>
      </c>
      <c r="U44" s="4"/>
      <c r="V44" s="4" t="n">
        <f>19433000</f>
        <v>1.9433E7</v>
      </c>
      <c r="W44" s="4"/>
      <c r="X44" s="3" t="s">
        <v>53</v>
      </c>
      <c r="Y44" s="2" t="n">
        <f>18</f>
        <v>18.0</v>
      </c>
      <c r="Z44" s="2" t="str">
        <f>"－"</f>
        <v>－</v>
      </c>
      <c r="AA44" s="1" t="n">
        <f>4</f>
        <v>4.0</v>
      </c>
    </row>
    <row r="45">
      <c r="A45" s="9" t="s">
        <v>42</v>
      </c>
      <c r="B45" s="8" t="s">
        <v>217</v>
      </c>
      <c r="C45" s="8" t="s">
        <v>218</v>
      </c>
      <c r="D45" s="8" t="s">
        <v>54</v>
      </c>
      <c r="E45" s="7" t="s">
        <v>55</v>
      </c>
      <c r="F45" s="7" t="s">
        <v>56</v>
      </c>
      <c r="G45" s="3" t="s">
        <v>155</v>
      </c>
      <c r="H45" s="6" t="s">
        <v>224</v>
      </c>
      <c r="I45" s="3" t="s">
        <v>155</v>
      </c>
      <c r="J45" s="6" t="s">
        <v>224</v>
      </c>
      <c r="K45" s="3"/>
      <c r="L45" s="6"/>
      <c r="M45" s="3" t="s">
        <v>155</v>
      </c>
      <c r="N45" s="6" t="s">
        <v>224</v>
      </c>
      <c r="O45" s="3"/>
      <c r="P45" s="6"/>
      <c r="Q45" s="3" t="s">
        <v>155</v>
      </c>
      <c r="R45" s="6" t="s">
        <v>224</v>
      </c>
      <c r="S45" s="5" t="n">
        <f>9476.19</f>
        <v>9476.19</v>
      </c>
      <c r="T45" s="4" t="n">
        <f>1</f>
        <v>1.0</v>
      </c>
      <c r="U45" s="4"/>
      <c r="V45" s="4" t="n">
        <f>5033500</f>
        <v>5033500.0</v>
      </c>
      <c r="W45" s="4"/>
      <c r="X45" s="3"/>
      <c r="Y45" s="2" t="n">
        <f>60</f>
        <v>60.0</v>
      </c>
      <c r="Z45" s="2" t="str">
        <f>"－"</f>
        <v>－</v>
      </c>
      <c r="AA45" s="1" t="n">
        <f>1</f>
        <v>1.0</v>
      </c>
    </row>
    <row r="46">
      <c r="A46" s="9" t="s">
        <v>42</v>
      </c>
      <c r="B46" s="8" t="s">
        <v>217</v>
      </c>
      <c r="C46" s="8" t="s">
        <v>218</v>
      </c>
      <c r="D46" s="8" t="s">
        <v>62</v>
      </c>
      <c r="E46" s="7" t="s">
        <v>63</v>
      </c>
      <c r="F46" s="7" t="s">
        <v>64</v>
      </c>
      <c r="G46" s="3" t="s">
        <v>175</v>
      </c>
      <c r="H46" s="6" t="s">
        <v>225</v>
      </c>
      <c r="I46" s="3" t="s">
        <v>155</v>
      </c>
      <c r="J46" s="6" t="s">
        <v>226</v>
      </c>
      <c r="K46" s="3"/>
      <c r="L46" s="6"/>
      <c r="M46" s="3" t="s">
        <v>175</v>
      </c>
      <c r="N46" s="6" t="s">
        <v>225</v>
      </c>
      <c r="O46" s="3"/>
      <c r="P46" s="6"/>
      <c r="Q46" s="3" t="s">
        <v>155</v>
      </c>
      <c r="R46" s="6" t="s">
        <v>226</v>
      </c>
      <c r="S46" s="5" t="n">
        <f>9462.05</f>
        <v>9462.05</v>
      </c>
      <c r="T46" s="4" t="n">
        <f>3</f>
        <v>3.0</v>
      </c>
      <c r="U46" s="4"/>
      <c r="V46" s="4" t="n">
        <f>14713000</f>
        <v>1.4713E7</v>
      </c>
      <c r="W46" s="4"/>
      <c r="X46" s="3"/>
      <c r="Y46" s="2" t="n">
        <f>121</f>
        <v>121.0</v>
      </c>
      <c r="Z46" s="2" t="str">
        <f>"－"</f>
        <v>－</v>
      </c>
      <c r="AA46" s="1" t="n">
        <f>2</f>
        <v>2.0</v>
      </c>
    </row>
    <row r="47">
      <c r="A47" s="9" t="s">
        <v>42</v>
      </c>
      <c r="B47" s="8" t="s">
        <v>217</v>
      </c>
      <c r="C47" s="8" t="s">
        <v>218</v>
      </c>
      <c r="D47" s="8" t="s">
        <v>69</v>
      </c>
      <c r="E47" s="7" t="s">
        <v>70</v>
      </c>
      <c r="F47" s="7" t="s">
        <v>71</v>
      </c>
      <c r="G47" s="3" t="s">
        <v>227</v>
      </c>
      <c r="H47" s="6" t="s">
        <v>228</v>
      </c>
      <c r="I47" s="3" t="s">
        <v>60</v>
      </c>
      <c r="J47" s="6" t="s">
        <v>229</v>
      </c>
      <c r="K47" s="3"/>
      <c r="L47" s="6"/>
      <c r="M47" s="3" t="s">
        <v>227</v>
      </c>
      <c r="N47" s="6" t="s">
        <v>228</v>
      </c>
      <c r="O47" s="3"/>
      <c r="P47" s="6"/>
      <c r="Q47" s="3" t="s">
        <v>60</v>
      </c>
      <c r="R47" s="6" t="s">
        <v>229</v>
      </c>
      <c r="S47" s="5" t="n">
        <f>9534.19</f>
        <v>9534.19</v>
      </c>
      <c r="T47" s="4" t="n">
        <f>7</f>
        <v>7.0</v>
      </c>
      <c r="U47" s="4"/>
      <c r="V47" s="4" t="n">
        <f>34200500</f>
        <v>3.42005E7</v>
      </c>
      <c r="W47" s="4"/>
      <c r="X47" s="3"/>
      <c r="Y47" s="2" t="n">
        <f>16</f>
        <v>16.0</v>
      </c>
      <c r="Z47" s="2" t="str">
        <f>"－"</f>
        <v>－</v>
      </c>
      <c r="AA47" s="1" t="n">
        <f>5</f>
        <v>5.0</v>
      </c>
    </row>
    <row r="48">
      <c r="A48" s="9" t="s">
        <v>42</v>
      </c>
      <c r="B48" s="8" t="s">
        <v>217</v>
      </c>
      <c r="C48" s="8" t="s">
        <v>218</v>
      </c>
      <c r="D48" s="8" t="s">
        <v>76</v>
      </c>
      <c r="E48" s="7" t="s">
        <v>77</v>
      </c>
      <c r="F48" s="7" t="s">
        <v>78</v>
      </c>
      <c r="G48" s="3" t="s">
        <v>160</v>
      </c>
      <c r="H48" s="6" t="s">
        <v>230</v>
      </c>
      <c r="I48" s="3" t="s">
        <v>155</v>
      </c>
      <c r="J48" s="6" t="s">
        <v>231</v>
      </c>
      <c r="K48" s="3"/>
      <c r="L48" s="6"/>
      <c r="M48" s="3" t="s">
        <v>227</v>
      </c>
      <c r="N48" s="6" t="s">
        <v>232</v>
      </c>
      <c r="O48" s="3"/>
      <c r="P48" s="6"/>
      <c r="Q48" s="3" t="s">
        <v>155</v>
      </c>
      <c r="R48" s="6" t="s">
        <v>231</v>
      </c>
      <c r="S48" s="5" t="n">
        <f>9562.86</f>
        <v>9562.86</v>
      </c>
      <c r="T48" s="4" t="n">
        <f>9</f>
        <v>9.0</v>
      </c>
      <c r="U48" s="4"/>
      <c r="V48" s="4" t="n">
        <f>43901000</f>
        <v>4.3901E7</v>
      </c>
      <c r="W48" s="4"/>
      <c r="X48" s="3"/>
      <c r="Y48" s="2" t="n">
        <f>94</f>
        <v>94.0</v>
      </c>
      <c r="Z48" s="2" t="str">
        <f>"－"</f>
        <v>－</v>
      </c>
      <c r="AA48" s="1" t="n">
        <f>7</f>
        <v>7.0</v>
      </c>
    </row>
    <row r="49">
      <c r="A49" s="9" t="s">
        <v>42</v>
      </c>
      <c r="B49" s="8" t="s">
        <v>217</v>
      </c>
      <c r="C49" s="8" t="s">
        <v>218</v>
      </c>
      <c r="D49" s="8" t="s">
        <v>82</v>
      </c>
      <c r="E49" s="7" t="s">
        <v>83</v>
      </c>
      <c r="F49" s="7" t="s">
        <v>84</v>
      </c>
      <c r="G49" s="3" t="s">
        <v>197</v>
      </c>
      <c r="H49" s="6" t="s">
        <v>233</v>
      </c>
      <c r="I49" s="3" t="s">
        <v>155</v>
      </c>
      <c r="J49" s="6" t="s">
        <v>234</v>
      </c>
      <c r="K49" s="3"/>
      <c r="L49" s="6"/>
      <c r="M49" s="3" t="s">
        <v>235</v>
      </c>
      <c r="N49" s="6" t="s">
        <v>236</v>
      </c>
      <c r="O49" s="3"/>
      <c r="P49" s="6"/>
      <c r="Q49" s="3" t="s">
        <v>60</v>
      </c>
      <c r="R49" s="6" t="s">
        <v>237</v>
      </c>
      <c r="S49" s="5" t="n">
        <f>9593.57</f>
        <v>9593.57</v>
      </c>
      <c r="T49" s="4" t="n">
        <f>31</f>
        <v>31.0</v>
      </c>
      <c r="U49" s="4"/>
      <c r="V49" s="4" t="n">
        <f>151857000</f>
        <v>1.51857E8</v>
      </c>
      <c r="W49" s="4"/>
      <c r="X49" s="3"/>
      <c r="Y49" s="2" t="n">
        <f>145</f>
        <v>145.0</v>
      </c>
      <c r="Z49" s="2" t="str">
        <f>"－"</f>
        <v>－</v>
      </c>
      <c r="AA49" s="1" t="n">
        <f>12</f>
        <v>12.0</v>
      </c>
    </row>
    <row r="50">
      <c r="A50" s="9" t="s">
        <v>42</v>
      </c>
      <c r="B50" s="8" t="s">
        <v>217</v>
      </c>
      <c r="C50" s="8" t="s">
        <v>218</v>
      </c>
      <c r="D50" s="8" t="s">
        <v>91</v>
      </c>
      <c r="E50" s="7" t="s">
        <v>92</v>
      </c>
      <c r="F50" s="7" t="s">
        <v>93</v>
      </c>
      <c r="G50" s="3" t="s">
        <v>94</v>
      </c>
      <c r="H50" s="6" t="s">
        <v>238</v>
      </c>
      <c r="I50" s="3" t="s">
        <v>155</v>
      </c>
      <c r="J50" s="6" t="s">
        <v>239</v>
      </c>
      <c r="K50" s="3"/>
      <c r="L50" s="6"/>
      <c r="M50" s="3" t="s">
        <v>94</v>
      </c>
      <c r="N50" s="6" t="s">
        <v>238</v>
      </c>
      <c r="O50" s="3"/>
      <c r="P50" s="6"/>
      <c r="Q50" s="3" t="s">
        <v>60</v>
      </c>
      <c r="R50" s="6" t="s">
        <v>240</v>
      </c>
      <c r="S50" s="5" t="n">
        <f>10036.67</f>
        <v>10036.67</v>
      </c>
      <c r="T50" s="4" t="n">
        <f>4</f>
        <v>4.0</v>
      </c>
      <c r="U50" s="4"/>
      <c r="V50" s="4" t="n">
        <f>20090000</f>
        <v>2.009E7</v>
      </c>
      <c r="W50" s="4"/>
      <c r="X50" s="3"/>
      <c r="Y50" s="2" t="n">
        <f>4</f>
        <v>4.0</v>
      </c>
      <c r="Z50" s="2" t="str">
        <f>"－"</f>
        <v>－</v>
      </c>
      <c r="AA50" s="1" t="n">
        <f>3</f>
        <v>3.0</v>
      </c>
    </row>
    <row r="51">
      <c r="A51" s="9" t="s">
        <v>42</v>
      </c>
      <c r="B51" s="8" t="s">
        <v>241</v>
      </c>
      <c r="C51" s="8" t="s">
        <v>242</v>
      </c>
      <c r="D51" s="8" t="s">
        <v>42</v>
      </c>
      <c r="E51" s="7" t="s">
        <v>243</v>
      </c>
      <c r="F51" s="7" t="s">
        <v>100</v>
      </c>
      <c r="G51" s="3" t="s">
        <v>47</v>
      </c>
      <c r="H51" s="6" t="s">
        <v>244</v>
      </c>
      <c r="I51" s="3" t="s">
        <v>47</v>
      </c>
      <c r="J51" s="6" t="s">
        <v>245</v>
      </c>
      <c r="K51" s="3" t="s">
        <v>222</v>
      </c>
      <c r="L51" s="6" t="s">
        <v>246</v>
      </c>
      <c r="M51" s="3" t="s">
        <v>87</v>
      </c>
      <c r="N51" s="6" t="s">
        <v>247</v>
      </c>
      <c r="O51" s="3" t="s">
        <v>220</v>
      </c>
      <c r="P51" s="6" t="s">
        <v>248</v>
      </c>
      <c r="Q51" s="3" t="s">
        <v>49</v>
      </c>
      <c r="R51" s="6" t="s">
        <v>249</v>
      </c>
      <c r="S51" s="5" t="n">
        <f>229.38</f>
        <v>229.38</v>
      </c>
      <c r="T51" s="4" t="n">
        <f>1462</f>
        <v>1462.0</v>
      </c>
      <c r="U51" s="4" t="n">
        <v>182.0</v>
      </c>
      <c r="V51" s="4" t="n">
        <f>1678013000</f>
        <v>1.678013E9</v>
      </c>
      <c r="W51" s="4" t="n">
        <v>2.002385E8</v>
      </c>
      <c r="X51" s="3" t="s">
        <v>53</v>
      </c>
      <c r="Y51" s="2" t="n">
        <f>581</f>
        <v>581.0</v>
      </c>
      <c r="Z51" s="2" t="str">
        <f>"－"</f>
        <v>－</v>
      </c>
      <c r="AA51" s="1" t="n">
        <f>16</f>
        <v>16.0</v>
      </c>
    </row>
    <row r="52">
      <c r="A52" s="9" t="s">
        <v>42</v>
      </c>
      <c r="B52" s="8" t="s">
        <v>241</v>
      </c>
      <c r="C52" s="8" t="s">
        <v>242</v>
      </c>
      <c r="D52" s="8" t="s">
        <v>250</v>
      </c>
      <c r="E52" s="7" t="s">
        <v>251</v>
      </c>
      <c r="F52" s="7" t="s">
        <v>252</v>
      </c>
      <c r="G52" s="3" t="s">
        <v>47</v>
      </c>
      <c r="H52" s="6" t="s">
        <v>253</v>
      </c>
      <c r="I52" s="3" t="s">
        <v>197</v>
      </c>
      <c r="J52" s="6" t="s">
        <v>254</v>
      </c>
      <c r="K52" s="3" t="s">
        <v>133</v>
      </c>
      <c r="L52" s="6" t="s">
        <v>255</v>
      </c>
      <c r="M52" s="3" t="s">
        <v>51</v>
      </c>
      <c r="N52" s="6" t="s">
        <v>256</v>
      </c>
      <c r="O52" s="3" t="s">
        <v>87</v>
      </c>
      <c r="P52" s="6" t="s">
        <v>257</v>
      </c>
      <c r="Q52" s="3" t="s">
        <v>60</v>
      </c>
      <c r="R52" s="6" t="s">
        <v>258</v>
      </c>
      <c r="S52" s="5" t="n">
        <f>231.15</f>
        <v>231.15</v>
      </c>
      <c r="T52" s="4" t="n">
        <f>2149</f>
        <v>2149.0</v>
      </c>
      <c r="U52" s="4" t="n">
        <v>238.0</v>
      </c>
      <c r="V52" s="4" t="n">
        <f>2476859500</f>
        <v>2.4768595E9</v>
      </c>
      <c r="W52" s="4" t="n">
        <v>2.85226E8</v>
      </c>
      <c r="X52" s="3"/>
      <c r="Y52" s="2" t="n">
        <f>749</f>
        <v>749.0</v>
      </c>
      <c r="Z52" s="2" t="str">
        <f>"－"</f>
        <v>－</v>
      </c>
      <c r="AA52" s="1" t="n">
        <f>21</f>
        <v>21.0</v>
      </c>
    </row>
    <row r="53">
      <c r="A53" s="9" t="s">
        <v>42</v>
      </c>
      <c r="B53" s="8" t="s">
        <v>241</v>
      </c>
      <c r="C53" s="8" t="s">
        <v>242</v>
      </c>
      <c r="D53" s="8" t="s">
        <v>54</v>
      </c>
      <c r="E53" s="7" t="s">
        <v>259</v>
      </c>
      <c r="F53" s="7" t="s">
        <v>104</v>
      </c>
      <c r="G53" s="3" t="s">
        <v>47</v>
      </c>
      <c r="H53" s="6" t="s">
        <v>260</v>
      </c>
      <c r="I53" s="3" t="s">
        <v>133</v>
      </c>
      <c r="J53" s="6" t="s">
        <v>261</v>
      </c>
      <c r="K53" s="3"/>
      <c r="L53" s="6"/>
      <c r="M53" s="3" t="s">
        <v>235</v>
      </c>
      <c r="N53" s="6" t="s">
        <v>262</v>
      </c>
      <c r="O53" s="3"/>
      <c r="P53" s="6"/>
      <c r="Q53" s="3" t="s">
        <v>60</v>
      </c>
      <c r="R53" s="6" t="s">
        <v>244</v>
      </c>
      <c r="S53" s="5" t="n">
        <f>234.55</f>
        <v>234.55</v>
      </c>
      <c r="T53" s="4" t="n">
        <f>2077</f>
        <v>2077.0</v>
      </c>
      <c r="U53" s="4"/>
      <c r="V53" s="4" t="n">
        <f>2413676000</f>
        <v>2.413676E9</v>
      </c>
      <c r="W53" s="4"/>
      <c r="X53" s="3"/>
      <c r="Y53" s="2" t="n">
        <f>639</f>
        <v>639.0</v>
      </c>
      <c r="Z53" s="2" t="str">
        <f>"－"</f>
        <v>－</v>
      </c>
      <c r="AA53" s="1" t="n">
        <f>21</f>
        <v>21.0</v>
      </c>
    </row>
    <row r="54">
      <c r="A54" s="9" t="s">
        <v>42</v>
      </c>
      <c r="B54" s="8" t="s">
        <v>241</v>
      </c>
      <c r="C54" s="8" t="s">
        <v>242</v>
      </c>
      <c r="D54" s="8" t="s">
        <v>263</v>
      </c>
      <c r="E54" s="7" t="s">
        <v>264</v>
      </c>
      <c r="F54" s="7" t="s">
        <v>265</v>
      </c>
      <c r="G54" s="3" t="s">
        <v>47</v>
      </c>
      <c r="H54" s="6" t="s">
        <v>266</v>
      </c>
      <c r="I54" s="3" t="s">
        <v>133</v>
      </c>
      <c r="J54" s="6" t="s">
        <v>267</v>
      </c>
      <c r="K54" s="3" t="s">
        <v>133</v>
      </c>
      <c r="L54" s="6" t="s">
        <v>268</v>
      </c>
      <c r="M54" s="3" t="s">
        <v>87</v>
      </c>
      <c r="N54" s="6" t="s">
        <v>269</v>
      </c>
      <c r="O54" s="3" t="s">
        <v>87</v>
      </c>
      <c r="P54" s="6" t="s">
        <v>270</v>
      </c>
      <c r="Q54" s="3" t="s">
        <v>60</v>
      </c>
      <c r="R54" s="6" t="s">
        <v>271</v>
      </c>
      <c r="S54" s="5" t="n">
        <f>236.58</f>
        <v>236.58</v>
      </c>
      <c r="T54" s="4" t="n">
        <f>2515</f>
        <v>2515.0</v>
      </c>
      <c r="U54" s="4" t="n">
        <v>64.0</v>
      </c>
      <c r="V54" s="4" t="n">
        <f>2945164500</f>
        <v>2.9451645E9</v>
      </c>
      <c r="W54" s="4" t="n">
        <v>7.879E7</v>
      </c>
      <c r="X54" s="3"/>
      <c r="Y54" s="2" t="n">
        <f>907</f>
        <v>907.0</v>
      </c>
      <c r="Z54" s="2" t="str">
        <f>"－"</f>
        <v>－</v>
      </c>
      <c r="AA54" s="1" t="n">
        <f>21</f>
        <v>21.0</v>
      </c>
    </row>
    <row r="55">
      <c r="A55" s="9" t="s">
        <v>42</v>
      </c>
      <c r="B55" s="8" t="s">
        <v>241</v>
      </c>
      <c r="C55" s="8" t="s">
        <v>242</v>
      </c>
      <c r="D55" s="8" t="s">
        <v>62</v>
      </c>
      <c r="E55" s="7" t="s">
        <v>272</v>
      </c>
      <c r="F55" s="7" t="s">
        <v>108</v>
      </c>
      <c r="G55" s="3" t="s">
        <v>47</v>
      </c>
      <c r="H55" s="6" t="s">
        <v>273</v>
      </c>
      <c r="I55" s="3" t="s">
        <v>133</v>
      </c>
      <c r="J55" s="6" t="s">
        <v>274</v>
      </c>
      <c r="K55" s="3" t="s">
        <v>235</v>
      </c>
      <c r="L55" s="6" t="s">
        <v>275</v>
      </c>
      <c r="M55" s="3" t="s">
        <v>87</v>
      </c>
      <c r="N55" s="6" t="s">
        <v>276</v>
      </c>
      <c r="O55" s="3" t="s">
        <v>235</v>
      </c>
      <c r="P55" s="6" t="s">
        <v>277</v>
      </c>
      <c r="Q55" s="3" t="s">
        <v>60</v>
      </c>
      <c r="R55" s="6" t="s">
        <v>278</v>
      </c>
      <c r="S55" s="5" t="n">
        <f>237.61</f>
        <v>237.61</v>
      </c>
      <c r="T55" s="4" t="n">
        <f>10855</f>
        <v>10855.0</v>
      </c>
      <c r="U55" s="4" t="n">
        <v>14.0</v>
      </c>
      <c r="V55" s="4" t="n">
        <f>12838931000</f>
        <v>1.2838931E10</v>
      </c>
      <c r="W55" s="4" t="n">
        <v>1.6498E7</v>
      </c>
      <c r="X55" s="3"/>
      <c r="Y55" s="2" t="n">
        <f>2075</f>
        <v>2075.0</v>
      </c>
      <c r="Z55" s="2" t="str">
        <f>"－"</f>
        <v>－</v>
      </c>
      <c r="AA55" s="1" t="n">
        <f>21</f>
        <v>21.0</v>
      </c>
    </row>
    <row r="56">
      <c r="A56" s="9" t="s">
        <v>42</v>
      </c>
      <c r="B56" s="8" t="s">
        <v>241</v>
      </c>
      <c r="C56" s="8" t="s">
        <v>242</v>
      </c>
      <c r="D56" s="8" t="s">
        <v>279</v>
      </c>
      <c r="E56" s="7" t="s">
        <v>280</v>
      </c>
      <c r="F56" s="7" t="s">
        <v>281</v>
      </c>
      <c r="G56" s="3" t="s">
        <v>47</v>
      </c>
      <c r="H56" s="6" t="s">
        <v>282</v>
      </c>
      <c r="I56" s="3" t="s">
        <v>133</v>
      </c>
      <c r="J56" s="6" t="s">
        <v>283</v>
      </c>
      <c r="K56" s="3" t="s">
        <v>133</v>
      </c>
      <c r="L56" s="6" t="s">
        <v>284</v>
      </c>
      <c r="M56" s="3" t="s">
        <v>87</v>
      </c>
      <c r="N56" s="6" t="s">
        <v>285</v>
      </c>
      <c r="O56" s="3" t="s">
        <v>286</v>
      </c>
      <c r="P56" s="6" t="s">
        <v>287</v>
      </c>
      <c r="Q56" s="3" t="s">
        <v>60</v>
      </c>
      <c r="R56" s="6" t="s">
        <v>288</v>
      </c>
      <c r="S56" s="5" t="n">
        <f>238.47</f>
        <v>238.47</v>
      </c>
      <c r="T56" s="4" t="n">
        <f>35236</f>
        <v>35236.0</v>
      </c>
      <c r="U56" s="4" t="n">
        <v>24.0</v>
      </c>
      <c r="V56" s="4" t="n">
        <f>41773702500</f>
        <v>4.17737025E10</v>
      </c>
      <c r="W56" s="4" t="n">
        <v>2.8296E7</v>
      </c>
      <c r="X56" s="3"/>
      <c r="Y56" s="2" t="n">
        <f>4679</f>
        <v>4679.0</v>
      </c>
      <c r="Z56" s="2" t="str">
        <f>"－"</f>
        <v>－</v>
      </c>
      <c r="AA56" s="1" t="n">
        <f>21</f>
        <v>21.0</v>
      </c>
    </row>
    <row r="57">
      <c r="A57" s="9" t="s">
        <v>42</v>
      </c>
      <c r="B57" s="8" t="s">
        <v>241</v>
      </c>
      <c r="C57" s="8" t="s">
        <v>242</v>
      </c>
      <c r="D57" s="8" t="s">
        <v>69</v>
      </c>
      <c r="E57" s="7" t="s">
        <v>46</v>
      </c>
      <c r="F57" s="7" t="s">
        <v>112</v>
      </c>
      <c r="G57" s="3" t="s">
        <v>51</v>
      </c>
      <c r="H57" s="6" t="s">
        <v>289</v>
      </c>
      <c r="I57" s="3" t="s">
        <v>60</v>
      </c>
      <c r="J57" s="6" t="s">
        <v>290</v>
      </c>
      <c r="K57" s="3"/>
      <c r="L57" s="6"/>
      <c r="M57" s="3" t="s">
        <v>51</v>
      </c>
      <c r="N57" s="6" t="s">
        <v>291</v>
      </c>
      <c r="O57" s="3"/>
      <c r="P57" s="6"/>
      <c r="Q57" s="3" t="s">
        <v>60</v>
      </c>
      <c r="R57" s="6" t="s">
        <v>290</v>
      </c>
      <c r="S57" s="5" t="n">
        <f>240.13</f>
        <v>240.13</v>
      </c>
      <c r="T57" s="4" t="n">
        <f>5569</f>
        <v>5569.0</v>
      </c>
      <c r="U57" s="4"/>
      <c r="V57" s="4" t="n">
        <f>6704424000</f>
        <v>6.704424E9</v>
      </c>
      <c r="W57" s="4"/>
      <c r="X57" s="3"/>
      <c r="Y57" s="2" t="n">
        <f>2078</f>
        <v>2078.0</v>
      </c>
      <c r="Z57" s="2" t="str">
        <f>"－"</f>
        <v>－</v>
      </c>
      <c r="AA57" s="1" t="n">
        <f>4</f>
        <v>4.0</v>
      </c>
    </row>
    <row r="58">
      <c r="A58" s="9" t="s">
        <v>42</v>
      </c>
      <c r="B58" s="8" t="s">
        <v>292</v>
      </c>
      <c r="C58" s="8" t="s">
        <v>293</v>
      </c>
      <c r="D58" s="8" t="s">
        <v>250</v>
      </c>
      <c r="E58" s="7" t="s">
        <v>294</v>
      </c>
      <c r="F58" s="7" t="s">
        <v>295</v>
      </c>
      <c r="G58" s="3"/>
      <c r="H58" s="6" t="s">
        <v>126</v>
      </c>
      <c r="I58" s="3"/>
      <c r="J58" s="6" t="s">
        <v>126</v>
      </c>
      <c r="K58" s="3"/>
      <c r="L58" s="6"/>
      <c r="M58" s="3"/>
      <c r="N58" s="6" t="s">
        <v>126</v>
      </c>
      <c r="O58" s="3"/>
      <c r="P58" s="6"/>
      <c r="Q58" s="3"/>
      <c r="R58" s="6" t="s">
        <v>126</v>
      </c>
      <c r="S58" s="5" t="n">
        <f>181</f>
        <v>181.0</v>
      </c>
      <c r="T58" s="4" t="str">
        <f>"－"</f>
        <v>－</v>
      </c>
      <c r="U58" s="4"/>
      <c r="V58" s="4" t="str">
        <f>"－"</f>
        <v>－</v>
      </c>
      <c r="W58" s="4"/>
      <c r="X58" s="3" t="s">
        <v>53</v>
      </c>
      <c r="Y58" s="2" t="str">
        <f>"－"</f>
        <v>－</v>
      </c>
      <c r="Z58" s="2" t="str">
        <f>"－"</f>
        <v>－</v>
      </c>
      <c r="AA58" s="1" t="str">
        <f>"－"</f>
        <v>－</v>
      </c>
    </row>
    <row r="59">
      <c r="A59" s="9" t="s">
        <v>42</v>
      </c>
      <c r="B59" s="8" t="s">
        <v>292</v>
      </c>
      <c r="C59" s="8" t="s">
        <v>293</v>
      </c>
      <c r="D59" s="8" t="s">
        <v>54</v>
      </c>
      <c r="E59" s="7" t="s">
        <v>296</v>
      </c>
      <c r="F59" s="7" t="s">
        <v>297</v>
      </c>
      <c r="G59" s="3"/>
      <c r="H59" s="6" t="s">
        <v>126</v>
      </c>
      <c r="I59" s="3"/>
      <c r="J59" s="6" t="s">
        <v>126</v>
      </c>
      <c r="K59" s="3"/>
      <c r="L59" s="6"/>
      <c r="M59" s="3"/>
      <c r="N59" s="6" t="s">
        <v>126</v>
      </c>
      <c r="O59" s="3"/>
      <c r="P59" s="6"/>
      <c r="Q59" s="3"/>
      <c r="R59" s="6" t="s">
        <v>126</v>
      </c>
      <c r="S59" s="5" t="n">
        <f>180.71</f>
        <v>180.71</v>
      </c>
      <c r="T59" s="4" t="str">
        <f>"－"</f>
        <v>－</v>
      </c>
      <c r="U59" s="4"/>
      <c r="V59" s="4" t="str">
        <f>"－"</f>
        <v>－</v>
      </c>
      <c r="W59" s="4"/>
      <c r="X59" s="3"/>
      <c r="Y59" s="2" t="str">
        <f>"－"</f>
        <v>－</v>
      </c>
      <c r="Z59" s="2" t="str">
        <f>"－"</f>
        <v>－</v>
      </c>
      <c r="AA59" s="1" t="str">
        <f>"－"</f>
        <v>－</v>
      </c>
    </row>
    <row r="60">
      <c r="A60" s="9" t="s">
        <v>42</v>
      </c>
      <c r="B60" s="8" t="s">
        <v>292</v>
      </c>
      <c r="C60" s="8" t="s">
        <v>293</v>
      </c>
      <c r="D60" s="8" t="s">
        <v>263</v>
      </c>
      <c r="E60" s="7" t="s">
        <v>298</v>
      </c>
      <c r="F60" s="7" t="s">
        <v>299</v>
      </c>
      <c r="G60" s="3"/>
      <c r="H60" s="6" t="s">
        <v>126</v>
      </c>
      <c r="I60" s="3"/>
      <c r="J60" s="6" t="s">
        <v>126</v>
      </c>
      <c r="K60" s="3"/>
      <c r="L60" s="6"/>
      <c r="M60" s="3"/>
      <c r="N60" s="6" t="s">
        <v>126</v>
      </c>
      <c r="O60" s="3"/>
      <c r="P60" s="6"/>
      <c r="Q60" s="3"/>
      <c r="R60" s="6" t="s">
        <v>126</v>
      </c>
      <c r="S60" s="5" t="n">
        <f>180.43</f>
        <v>180.43</v>
      </c>
      <c r="T60" s="4" t="str">
        <f>"－"</f>
        <v>－</v>
      </c>
      <c r="U60" s="4"/>
      <c r="V60" s="4" t="str">
        <f>"－"</f>
        <v>－</v>
      </c>
      <c r="W60" s="4"/>
      <c r="X60" s="3"/>
      <c r="Y60" s="2" t="str">
        <f>"－"</f>
        <v>－</v>
      </c>
      <c r="Z60" s="2" t="str">
        <f>"－"</f>
        <v>－</v>
      </c>
      <c r="AA60" s="1" t="str">
        <f>"－"</f>
        <v>－</v>
      </c>
    </row>
    <row r="61">
      <c r="A61" s="9" t="s">
        <v>42</v>
      </c>
      <c r="B61" s="8" t="s">
        <v>292</v>
      </c>
      <c r="C61" s="8" t="s">
        <v>293</v>
      </c>
      <c r="D61" s="8" t="s">
        <v>62</v>
      </c>
      <c r="E61" s="7" t="s">
        <v>300</v>
      </c>
      <c r="F61" s="7" t="s">
        <v>301</v>
      </c>
      <c r="G61" s="3" t="s">
        <v>227</v>
      </c>
      <c r="H61" s="6" t="s">
        <v>302</v>
      </c>
      <c r="I61" s="3" t="s">
        <v>227</v>
      </c>
      <c r="J61" s="6" t="s">
        <v>302</v>
      </c>
      <c r="K61" s="3" t="s">
        <v>303</v>
      </c>
      <c r="L61" s="6" t="s">
        <v>304</v>
      </c>
      <c r="M61" s="3" t="s">
        <v>303</v>
      </c>
      <c r="N61" s="6" t="s">
        <v>305</v>
      </c>
      <c r="O61" s="3" t="s">
        <v>303</v>
      </c>
      <c r="P61" s="6" t="s">
        <v>304</v>
      </c>
      <c r="Q61" s="3" t="s">
        <v>303</v>
      </c>
      <c r="R61" s="6" t="s">
        <v>305</v>
      </c>
      <c r="S61" s="5" t="n">
        <f>180.67</f>
        <v>180.67</v>
      </c>
      <c r="T61" s="4" t="n">
        <f>18</f>
        <v>18.0</v>
      </c>
      <c r="U61" s="4" t="n">
        <v>4.0</v>
      </c>
      <c r="V61" s="4" t="n">
        <f>15879500</f>
        <v>1.58795E7</v>
      </c>
      <c r="W61" s="4" t="n">
        <v>3514000.0</v>
      </c>
      <c r="X61" s="3"/>
      <c r="Y61" s="2" t="str">
        <f>"－"</f>
        <v>－</v>
      </c>
      <c r="Z61" s="2" t="str">
        <f>"－"</f>
        <v>－</v>
      </c>
      <c r="AA61" s="1" t="n">
        <f>3</f>
        <v>3.0</v>
      </c>
    </row>
    <row r="62">
      <c r="A62" s="9" t="s">
        <v>42</v>
      </c>
      <c r="B62" s="8" t="s">
        <v>292</v>
      </c>
      <c r="C62" s="8" t="s">
        <v>293</v>
      </c>
      <c r="D62" s="8" t="s">
        <v>279</v>
      </c>
      <c r="E62" s="7" t="s">
        <v>306</v>
      </c>
      <c r="F62" s="7" t="s">
        <v>307</v>
      </c>
      <c r="G62" s="3"/>
      <c r="H62" s="6" t="s">
        <v>126</v>
      </c>
      <c r="I62" s="3"/>
      <c r="J62" s="6" t="s">
        <v>126</v>
      </c>
      <c r="K62" s="3"/>
      <c r="L62" s="6"/>
      <c r="M62" s="3"/>
      <c r="N62" s="6" t="s">
        <v>126</v>
      </c>
      <c r="O62" s="3"/>
      <c r="P62" s="6"/>
      <c r="Q62" s="3"/>
      <c r="R62" s="6" t="s">
        <v>126</v>
      </c>
      <c r="S62" s="5" t="n">
        <f>182.05</f>
        <v>182.05</v>
      </c>
      <c r="T62" s="4" t="str">
        <f>"－"</f>
        <v>－</v>
      </c>
      <c r="U62" s="4"/>
      <c r="V62" s="4" t="str">
        <f>"－"</f>
        <v>－</v>
      </c>
      <c r="W62" s="4"/>
      <c r="X62" s="3"/>
      <c r="Y62" s="2" t="str">
        <f>"－"</f>
        <v>－</v>
      </c>
      <c r="Z62" s="2" t="str">
        <f>"－"</f>
        <v>－</v>
      </c>
      <c r="AA62" s="1" t="str">
        <f>"－"</f>
        <v>－</v>
      </c>
    </row>
    <row r="63">
      <c r="A63" s="9" t="s">
        <v>42</v>
      </c>
      <c r="B63" s="8" t="s">
        <v>292</v>
      </c>
      <c r="C63" s="8" t="s">
        <v>293</v>
      </c>
      <c r="D63" s="8" t="s">
        <v>69</v>
      </c>
      <c r="E63" s="7" t="s">
        <v>308</v>
      </c>
      <c r="F63" s="7" t="s">
        <v>309</v>
      </c>
      <c r="G63" s="3"/>
      <c r="H63" s="6" t="s">
        <v>126</v>
      </c>
      <c r="I63" s="3"/>
      <c r="J63" s="6" t="s">
        <v>126</v>
      </c>
      <c r="K63" s="3"/>
      <c r="L63" s="6"/>
      <c r="M63" s="3"/>
      <c r="N63" s="6" t="s">
        <v>126</v>
      </c>
      <c r="O63" s="3"/>
      <c r="P63" s="6"/>
      <c r="Q63" s="3"/>
      <c r="R63" s="6" t="s">
        <v>126</v>
      </c>
      <c r="S63" s="5" t="n">
        <f>182.52</f>
        <v>182.52</v>
      </c>
      <c r="T63" s="4" t="str">
        <f>"－"</f>
        <v>－</v>
      </c>
      <c r="U63" s="4"/>
      <c r="V63" s="4" t="str">
        <f>"－"</f>
        <v>－</v>
      </c>
      <c r="W63" s="4"/>
      <c r="X63" s="3"/>
      <c r="Y63" s="2" t="str">
        <f>"－"</f>
        <v>－</v>
      </c>
      <c r="Z63" s="2" t="str">
        <f>"－"</f>
        <v>－</v>
      </c>
      <c r="AA63" s="1" t="str">
        <f>"－"</f>
        <v>－</v>
      </c>
    </row>
    <row r="64">
      <c r="A64" s="9" t="s">
        <v>42</v>
      </c>
      <c r="B64" s="8" t="s">
        <v>310</v>
      </c>
      <c r="C64" s="8" t="s">
        <v>311</v>
      </c>
      <c r="D64" s="8" t="s">
        <v>250</v>
      </c>
      <c r="E64" s="7" t="s">
        <v>312</v>
      </c>
      <c r="F64" s="7" t="s">
        <v>313</v>
      </c>
      <c r="G64" s="3" t="s">
        <v>47</v>
      </c>
      <c r="H64" s="6" t="s">
        <v>314</v>
      </c>
      <c r="I64" s="3" t="s">
        <v>197</v>
      </c>
      <c r="J64" s="6" t="s">
        <v>315</v>
      </c>
      <c r="K64" s="3" t="s">
        <v>227</v>
      </c>
      <c r="L64" s="6" t="s">
        <v>316</v>
      </c>
      <c r="M64" s="3" t="s">
        <v>47</v>
      </c>
      <c r="N64" s="6" t="s">
        <v>314</v>
      </c>
      <c r="O64" s="3" t="s">
        <v>227</v>
      </c>
      <c r="P64" s="6" t="s">
        <v>316</v>
      </c>
      <c r="Q64" s="3" t="s">
        <v>175</v>
      </c>
      <c r="R64" s="6" t="s">
        <v>315</v>
      </c>
      <c r="S64" s="5" t="n">
        <f>32663.64</f>
        <v>32663.64</v>
      </c>
      <c r="T64" s="4" t="n">
        <f>154</f>
        <v>154.0</v>
      </c>
      <c r="U64" s="4" t="n">
        <v>122.0</v>
      </c>
      <c r="V64" s="4" t="n">
        <f>251529500</f>
        <v>2.515295E8</v>
      </c>
      <c r="W64" s="4" t="n">
        <v>2.0008E8</v>
      </c>
      <c r="X64" s="3" t="s">
        <v>53</v>
      </c>
      <c r="Y64" s="2" t="str">
        <f>"－"</f>
        <v>－</v>
      </c>
      <c r="Z64" s="2" t="str">
        <f>"－"</f>
        <v>－</v>
      </c>
      <c r="AA64" s="1" t="n">
        <f>3</f>
        <v>3.0</v>
      </c>
    </row>
    <row r="65">
      <c r="A65" s="9" t="s">
        <v>42</v>
      </c>
      <c r="B65" s="8" t="s">
        <v>310</v>
      </c>
      <c r="C65" s="8" t="s">
        <v>311</v>
      </c>
      <c r="D65" s="8" t="s">
        <v>263</v>
      </c>
      <c r="E65" s="7" t="s">
        <v>317</v>
      </c>
      <c r="F65" s="7" t="s">
        <v>318</v>
      </c>
      <c r="G65" s="3" t="s">
        <v>47</v>
      </c>
      <c r="H65" s="6" t="s">
        <v>319</v>
      </c>
      <c r="I65" s="3" t="s">
        <v>60</v>
      </c>
      <c r="J65" s="6" t="s">
        <v>320</v>
      </c>
      <c r="K65" s="3"/>
      <c r="L65" s="6"/>
      <c r="M65" s="3" t="s">
        <v>286</v>
      </c>
      <c r="N65" s="6" t="s">
        <v>321</v>
      </c>
      <c r="O65" s="3"/>
      <c r="P65" s="6"/>
      <c r="Q65" s="3" t="s">
        <v>60</v>
      </c>
      <c r="R65" s="6" t="s">
        <v>322</v>
      </c>
      <c r="S65" s="5" t="n">
        <f>35320.95</f>
        <v>35320.95</v>
      </c>
      <c r="T65" s="4" t="n">
        <f>65</f>
        <v>65.0</v>
      </c>
      <c r="U65" s="4"/>
      <c r="V65" s="4" t="n">
        <f>118564500</f>
        <v>1.185645E8</v>
      </c>
      <c r="W65" s="4"/>
      <c r="X65" s="3"/>
      <c r="Y65" s="2" t="n">
        <f>126</f>
        <v>126.0</v>
      </c>
      <c r="Z65" s="2" t="str">
        <f>"－"</f>
        <v>－</v>
      </c>
      <c r="AA65" s="1" t="n">
        <f>15</f>
        <v>15.0</v>
      </c>
    </row>
    <row r="66">
      <c r="A66" s="9" t="s">
        <v>42</v>
      </c>
      <c r="B66" s="8" t="s">
        <v>310</v>
      </c>
      <c r="C66" s="8" t="s">
        <v>311</v>
      </c>
      <c r="D66" s="8" t="s">
        <v>279</v>
      </c>
      <c r="E66" s="7" t="s">
        <v>323</v>
      </c>
      <c r="F66" s="7" t="s">
        <v>324</v>
      </c>
      <c r="G66" s="3" t="s">
        <v>47</v>
      </c>
      <c r="H66" s="6" t="s">
        <v>325</v>
      </c>
      <c r="I66" s="3" t="s">
        <v>60</v>
      </c>
      <c r="J66" s="6" t="s">
        <v>326</v>
      </c>
      <c r="K66" s="3"/>
      <c r="L66" s="6"/>
      <c r="M66" s="3" t="s">
        <v>47</v>
      </c>
      <c r="N66" s="6" t="s">
        <v>325</v>
      </c>
      <c r="O66" s="3"/>
      <c r="P66" s="6"/>
      <c r="Q66" s="3" t="s">
        <v>60</v>
      </c>
      <c r="R66" s="6" t="s">
        <v>327</v>
      </c>
      <c r="S66" s="5" t="n">
        <f>33408.57</f>
        <v>33408.57</v>
      </c>
      <c r="T66" s="4" t="n">
        <f>113</f>
        <v>113.0</v>
      </c>
      <c r="U66" s="4"/>
      <c r="V66" s="4" t="n">
        <f>191423500</f>
        <v>1.914235E8</v>
      </c>
      <c r="W66" s="4"/>
      <c r="X66" s="3"/>
      <c r="Y66" s="2" t="n">
        <f>117</f>
        <v>117.0</v>
      </c>
      <c r="Z66" s="2" t="str">
        <f>"－"</f>
        <v>－</v>
      </c>
      <c r="AA66" s="1" t="n">
        <f>18</f>
        <v>18.0</v>
      </c>
    </row>
    <row r="67">
      <c r="A67" s="9" t="s">
        <v>42</v>
      </c>
      <c r="B67" s="8" t="s">
        <v>310</v>
      </c>
      <c r="C67" s="8" t="s">
        <v>311</v>
      </c>
      <c r="D67" s="8" t="s">
        <v>328</v>
      </c>
      <c r="E67" s="7" t="s">
        <v>329</v>
      </c>
      <c r="F67" s="7" t="s">
        <v>330</v>
      </c>
      <c r="G67" s="3" t="s">
        <v>47</v>
      </c>
      <c r="H67" s="6" t="s">
        <v>331</v>
      </c>
      <c r="I67" s="3" t="s">
        <v>60</v>
      </c>
      <c r="J67" s="6" t="s">
        <v>332</v>
      </c>
      <c r="K67" s="3"/>
      <c r="L67" s="6"/>
      <c r="M67" s="3" t="s">
        <v>47</v>
      </c>
      <c r="N67" s="6" t="s">
        <v>331</v>
      </c>
      <c r="O67" s="3"/>
      <c r="P67" s="6"/>
      <c r="Q67" s="3" t="s">
        <v>60</v>
      </c>
      <c r="R67" s="6" t="s">
        <v>333</v>
      </c>
      <c r="S67" s="5" t="n">
        <f>32577.62</f>
        <v>32577.62</v>
      </c>
      <c r="T67" s="4" t="n">
        <f>229</f>
        <v>229.0</v>
      </c>
      <c r="U67" s="4"/>
      <c r="V67" s="4" t="n">
        <f>377759500</f>
        <v>3.777595E8</v>
      </c>
      <c r="W67" s="4"/>
      <c r="X67" s="3"/>
      <c r="Y67" s="2" t="n">
        <f>185</f>
        <v>185.0</v>
      </c>
      <c r="Z67" s="2" t="str">
        <f>"－"</f>
        <v>－</v>
      </c>
      <c r="AA67" s="1" t="n">
        <f>19</f>
        <v>19.0</v>
      </c>
    </row>
    <row r="68">
      <c r="A68" s="9" t="s">
        <v>42</v>
      </c>
      <c r="B68" s="8" t="s">
        <v>310</v>
      </c>
      <c r="C68" s="8" t="s">
        <v>311</v>
      </c>
      <c r="D68" s="8" t="s">
        <v>334</v>
      </c>
      <c r="E68" s="7" t="s">
        <v>335</v>
      </c>
      <c r="F68" s="7" t="s">
        <v>336</v>
      </c>
      <c r="G68" s="3" t="s">
        <v>47</v>
      </c>
      <c r="H68" s="6" t="s">
        <v>337</v>
      </c>
      <c r="I68" s="3" t="s">
        <v>60</v>
      </c>
      <c r="J68" s="6" t="s">
        <v>338</v>
      </c>
      <c r="K68" s="3"/>
      <c r="L68" s="6"/>
      <c r="M68" s="3" t="s">
        <v>47</v>
      </c>
      <c r="N68" s="6" t="s">
        <v>337</v>
      </c>
      <c r="O68" s="3"/>
      <c r="P68" s="6"/>
      <c r="Q68" s="3" t="s">
        <v>60</v>
      </c>
      <c r="R68" s="6" t="s">
        <v>339</v>
      </c>
      <c r="S68" s="5" t="n">
        <f>32069.05</f>
        <v>32069.05</v>
      </c>
      <c r="T68" s="4" t="n">
        <f>790</f>
        <v>790.0</v>
      </c>
      <c r="U68" s="4"/>
      <c r="V68" s="4" t="n">
        <f>1270815000</f>
        <v>1.270815E9</v>
      </c>
      <c r="W68" s="4"/>
      <c r="X68" s="3"/>
      <c r="Y68" s="2" t="n">
        <f>335</f>
        <v>335.0</v>
      </c>
      <c r="Z68" s="2" t="str">
        <f>"－"</f>
        <v>－</v>
      </c>
      <c r="AA68" s="1" t="n">
        <f>21</f>
        <v>21.0</v>
      </c>
    </row>
    <row r="69">
      <c r="A69" s="9" t="s">
        <v>42</v>
      </c>
      <c r="B69" s="8" t="s">
        <v>310</v>
      </c>
      <c r="C69" s="8" t="s">
        <v>311</v>
      </c>
      <c r="D69" s="8" t="s">
        <v>340</v>
      </c>
      <c r="E69" s="7" t="s">
        <v>341</v>
      </c>
      <c r="F69" s="7" t="s">
        <v>342</v>
      </c>
      <c r="G69" s="3" t="s">
        <v>47</v>
      </c>
      <c r="H69" s="6" t="s">
        <v>343</v>
      </c>
      <c r="I69" s="3" t="s">
        <v>155</v>
      </c>
      <c r="J69" s="6" t="s">
        <v>344</v>
      </c>
      <c r="K69" s="3"/>
      <c r="L69" s="6"/>
      <c r="M69" s="3" t="s">
        <v>47</v>
      </c>
      <c r="N69" s="6" t="s">
        <v>345</v>
      </c>
      <c r="O69" s="3"/>
      <c r="P69" s="6"/>
      <c r="Q69" s="3" t="s">
        <v>60</v>
      </c>
      <c r="R69" s="6" t="s">
        <v>346</v>
      </c>
      <c r="S69" s="5" t="n">
        <f>32315.24</f>
        <v>32315.24</v>
      </c>
      <c r="T69" s="4" t="n">
        <f>3776</f>
        <v>3776.0</v>
      </c>
      <c r="U69" s="4"/>
      <c r="V69" s="4" t="n">
        <f>6061397000</f>
        <v>6.061397E9</v>
      </c>
      <c r="W69" s="4"/>
      <c r="X69" s="3"/>
      <c r="Y69" s="2" t="n">
        <f>474</f>
        <v>474.0</v>
      </c>
      <c r="Z69" s="2" t="str">
        <f>"－"</f>
        <v>－</v>
      </c>
      <c r="AA69" s="1" t="n">
        <f>21</f>
        <v>21.0</v>
      </c>
    </row>
    <row r="70">
      <c r="A70" s="9" t="s">
        <v>42</v>
      </c>
      <c r="B70" s="8" t="s">
        <v>310</v>
      </c>
      <c r="C70" s="8" t="s">
        <v>311</v>
      </c>
      <c r="D70" s="8" t="s">
        <v>347</v>
      </c>
      <c r="E70" s="7" t="s">
        <v>348</v>
      </c>
      <c r="F70" s="7" t="s">
        <v>349</v>
      </c>
      <c r="G70" s="3" t="s">
        <v>137</v>
      </c>
      <c r="H70" s="6" t="s">
        <v>350</v>
      </c>
      <c r="I70" s="3" t="s">
        <v>155</v>
      </c>
      <c r="J70" s="6" t="s">
        <v>351</v>
      </c>
      <c r="K70" s="3" t="s">
        <v>49</v>
      </c>
      <c r="L70" s="6" t="s">
        <v>352</v>
      </c>
      <c r="M70" s="3" t="s">
        <v>303</v>
      </c>
      <c r="N70" s="6" t="s">
        <v>353</v>
      </c>
      <c r="O70" s="3" t="s">
        <v>49</v>
      </c>
      <c r="P70" s="6" t="s">
        <v>352</v>
      </c>
      <c r="Q70" s="3" t="s">
        <v>60</v>
      </c>
      <c r="R70" s="6" t="s">
        <v>321</v>
      </c>
      <c r="S70" s="5" t="n">
        <f>33097</f>
        <v>33097.0</v>
      </c>
      <c r="T70" s="4" t="n">
        <f>3014</f>
        <v>3014.0</v>
      </c>
      <c r="U70" s="4" t="n">
        <v>1.0</v>
      </c>
      <c r="V70" s="4" t="n">
        <f>5063249500</f>
        <v>5.0632495E9</v>
      </c>
      <c r="W70" s="4" t="n">
        <v>1639000.0</v>
      </c>
      <c r="X70" s="3"/>
      <c r="Y70" s="2" t="n">
        <f>803</f>
        <v>803.0</v>
      </c>
      <c r="Z70" s="2" t="str">
        <f>"－"</f>
        <v>－</v>
      </c>
      <c r="AA70" s="1" t="n">
        <f>10</f>
        <v>10.0</v>
      </c>
    </row>
    <row r="71">
      <c r="A71" s="9" t="s">
        <v>42</v>
      </c>
      <c r="B71" s="8" t="s">
        <v>354</v>
      </c>
      <c r="C71" s="8" t="s">
        <v>355</v>
      </c>
      <c r="D71" s="8" t="s">
        <v>42</v>
      </c>
      <c r="E71" s="7" t="s">
        <v>312</v>
      </c>
      <c r="F71" s="7" t="s">
        <v>313</v>
      </c>
      <c r="G71" s="3"/>
      <c r="H71" s="6" t="s">
        <v>126</v>
      </c>
      <c r="I71" s="3"/>
      <c r="J71" s="6" t="s">
        <v>126</v>
      </c>
      <c r="K71" s="3"/>
      <c r="L71" s="6"/>
      <c r="M71" s="3"/>
      <c r="N71" s="6" t="s">
        <v>126</v>
      </c>
      <c r="O71" s="3"/>
      <c r="P71" s="6"/>
      <c r="Q71" s="3"/>
      <c r="R71" s="6" t="s">
        <v>126</v>
      </c>
      <c r="S71" s="5" t="n">
        <f>46000</f>
        <v>46000.0</v>
      </c>
      <c r="T71" s="4" t="str">
        <f>"－"</f>
        <v>－</v>
      </c>
      <c r="U71" s="4"/>
      <c r="V71" s="4" t="str">
        <f>"－"</f>
        <v>－</v>
      </c>
      <c r="W71" s="4"/>
      <c r="X71" s="3" t="s">
        <v>53</v>
      </c>
      <c r="Y71" s="2" t="str">
        <f>"－"</f>
        <v>－</v>
      </c>
      <c r="Z71" s="2" t="str">
        <f>"－"</f>
        <v>－</v>
      </c>
      <c r="AA71" s="1" t="str">
        <f>"－"</f>
        <v>－</v>
      </c>
    </row>
    <row r="72">
      <c r="A72" s="9" t="s">
        <v>42</v>
      </c>
      <c r="B72" s="8" t="s">
        <v>354</v>
      </c>
      <c r="C72" s="8" t="s">
        <v>355</v>
      </c>
      <c r="D72" s="8" t="s">
        <v>54</v>
      </c>
      <c r="E72" s="7" t="s">
        <v>317</v>
      </c>
      <c r="F72" s="7" t="s">
        <v>318</v>
      </c>
      <c r="G72" s="3"/>
      <c r="H72" s="6" t="s">
        <v>126</v>
      </c>
      <c r="I72" s="3"/>
      <c r="J72" s="6" t="s">
        <v>126</v>
      </c>
      <c r="K72" s="3"/>
      <c r="L72" s="6"/>
      <c r="M72" s="3"/>
      <c r="N72" s="6" t="s">
        <v>126</v>
      </c>
      <c r="O72" s="3"/>
      <c r="P72" s="6"/>
      <c r="Q72" s="3"/>
      <c r="R72" s="6" t="s">
        <v>126</v>
      </c>
      <c r="S72" s="5" t="n">
        <f>46000</f>
        <v>46000.0</v>
      </c>
      <c r="T72" s="4" t="str">
        <f>"－"</f>
        <v>－</v>
      </c>
      <c r="U72" s="4"/>
      <c r="V72" s="4" t="str">
        <f>"－"</f>
        <v>－</v>
      </c>
      <c r="W72" s="4"/>
      <c r="X72" s="3"/>
      <c r="Y72" s="2" t="str">
        <f>"－"</f>
        <v>－</v>
      </c>
      <c r="Z72" s="2" t="str">
        <f>"－"</f>
        <v>－</v>
      </c>
      <c r="AA72" s="1" t="str">
        <f>"－"</f>
        <v>－</v>
      </c>
    </row>
    <row r="73">
      <c r="A73" s="9" t="s">
        <v>42</v>
      </c>
      <c r="B73" s="8" t="s">
        <v>354</v>
      </c>
      <c r="C73" s="8" t="s">
        <v>355</v>
      </c>
      <c r="D73" s="8" t="s">
        <v>62</v>
      </c>
      <c r="E73" s="7" t="s">
        <v>323</v>
      </c>
      <c r="F73" s="7" t="s">
        <v>324</v>
      </c>
      <c r="G73" s="3"/>
      <c r="H73" s="6" t="s">
        <v>126</v>
      </c>
      <c r="I73" s="3"/>
      <c r="J73" s="6" t="s">
        <v>126</v>
      </c>
      <c r="K73" s="3"/>
      <c r="L73" s="6"/>
      <c r="M73" s="3"/>
      <c r="N73" s="6" t="s">
        <v>126</v>
      </c>
      <c r="O73" s="3"/>
      <c r="P73" s="6"/>
      <c r="Q73" s="3"/>
      <c r="R73" s="6" t="s">
        <v>126</v>
      </c>
      <c r="S73" s="5" t="n">
        <f>46000</f>
        <v>46000.0</v>
      </c>
      <c r="T73" s="4" t="str">
        <f>"－"</f>
        <v>－</v>
      </c>
      <c r="U73" s="4"/>
      <c r="V73" s="4" t="str">
        <f>"－"</f>
        <v>－</v>
      </c>
      <c r="W73" s="4"/>
      <c r="X73" s="3"/>
      <c r="Y73" s="2" t="str">
        <f>"－"</f>
        <v>－</v>
      </c>
      <c r="Z73" s="2" t="str">
        <f>"－"</f>
        <v>－</v>
      </c>
      <c r="AA73" s="1" t="str">
        <f>"－"</f>
        <v>－</v>
      </c>
    </row>
    <row r="74">
      <c r="A74" s="9" t="s">
        <v>42</v>
      </c>
      <c r="B74" s="8" t="s">
        <v>354</v>
      </c>
      <c r="C74" s="8" t="s">
        <v>355</v>
      </c>
      <c r="D74" s="8" t="s">
        <v>69</v>
      </c>
      <c r="E74" s="7" t="s">
        <v>329</v>
      </c>
      <c r="F74" s="7" t="s">
        <v>330</v>
      </c>
      <c r="G74" s="3"/>
      <c r="H74" s="6" t="s">
        <v>126</v>
      </c>
      <c r="I74" s="3"/>
      <c r="J74" s="6" t="s">
        <v>126</v>
      </c>
      <c r="K74" s="3"/>
      <c r="L74" s="6"/>
      <c r="M74" s="3"/>
      <c r="N74" s="6" t="s">
        <v>126</v>
      </c>
      <c r="O74" s="3"/>
      <c r="P74" s="6"/>
      <c r="Q74" s="3"/>
      <c r="R74" s="6" t="s">
        <v>126</v>
      </c>
      <c r="S74" s="5" t="n">
        <f>46000</f>
        <v>46000.0</v>
      </c>
      <c r="T74" s="4" t="str">
        <f>"－"</f>
        <v>－</v>
      </c>
      <c r="U74" s="4"/>
      <c r="V74" s="4" t="str">
        <f>"－"</f>
        <v>－</v>
      </c>
      <c r="W74" s="4"/>
      <c r="X74" s="3"/>
      <c r="Y74" s="2" t="str">
        <f>"－"</f>
        <v>－</v>
      </c>
      <c r="Z74" s="2" t="str">
        <f>"－"</f>
        <v>－</v>
      </c>
      <c r="AA74" s="1" t="str">
        <f>"－"</f>
        <v>－</v>
      </c>
    </row>
    <row r="75">
      <c r="A75" s="9" t="s">
        <v>42</v>
      </c>
      <c r="B75" s="8" t="s">
        <v>354</v>
      </c>
      <c r="C75" s="8" t="s">
        <v>355</v>
      </c>
      <c r="D75" s="8" t="s">
        <v>76</v>
      </c>
      <c r="E75" s="7" t="s">
        <v>335</v>
      </c>
      <c r="F75" s="7" t="s">
        <v>336</v>
      </c>
      <c r="G75" s="3"/>
      <c r="H75" s="6" t="s">
        <v>126</v>
      </c>
      <c r="I75" s="3"/>
      <c r="J75" s="6" t="s">
        <v>126</v>
      </c>
      <c r="K75" s="3"/>
      <c r="L75" s="6"/>
      <c r="M75" s="3"/>
      <c r="N75" s="6" t="s">
        <v>126</v>
      </c>
      <c r="O75" s="3"/>
      <c r="P75" s="6"/>
      <c r="Q75" s="3"/>
      <c r="R75" s="6" t="s">
        <v>126</v>
      </c>
      <c r="S75" s="5" t="n">
        <f>46000</f>
        <v>46000.0</v>
      </c>
      <c r="T75" s="4" t="str">
        <f>"－"</f>
        <v>－</v>
      </c>
      <c r="U75" s="4"/>
      <c r="V75" s="4" t="str">
        <f>"－"</f>
        <v>－</v>
      </c>
      <c r="W75" s="4"/>
      <c r="X75" s="3"/>
      <c r="Y75" s="2" t="str">
        <f>"－"</f>
        <v>－</v>
      </c>
      <c r="Z75" s="2" t="str">
        <f>"－"</f>
        <v>－</v>
      </c>
      <c r="AA75" s="1" t="str">
        <f>"－"</f>
        <v>－</v>
      </c>
    </row>
    <row r="76">
      <c r="A76" s="9" t="s">
        <v>42</v>
      </c>
      <c r="B76" s="8" t="s">
        <v>354</v>
      </c>
      <c r="C76" s="8" t="s">
        <v>355</v>
      </c>
      <c r="D76" s="8" t="s">
        <v>82</v>
      </c>
      <c r="E76" s="7" t="s">
        <v>341</v>
      </c>
      <c r="F76" s="7" t="s">
        <v>342</v>
      </c>
      <c r="G76" s="3"/>
      <c r="H76" s="6" t="s">
        <v>126</v>
      </c>
      <c r="I76" s="3"/>
      <c r="J76" s="6" t="s">
        <v>126</v>
      </c>
      <c r="K76" s="3"/>
      <c r="L76" s="6"/>
      <c r="M76" s="3"/>
      <c r="N76" s="6" t="s">
        <v>126</v>
      </c>
      <c r="O76" s="3"/>
      <c r="P76" s="6"/>
      <c r="Q76" s="3"/>
      <c r="R76" s="6" t="s">
        <v>126</v>
      </c>
      <c r="S76" s="5" t="n">
        <f>46000</f>
        <v>46000.0</v>
      </c>
      <c r="T76" s="4" t="str">
        <f>"－"</f>
        <v>－</v>
      </c>
      <c r="U76" s="4"/>
      <c r="V76" s="4" t="str">
        <f>"－"</f>
        <v>－</v>
      </c>
      <c r="W76" s="4"/>
      <c r="X76" s="3"/>
      <c r="Y76" s="2" t="str">
        <f>"－"</f>
        <v>－</v>
      </c>
      <c r="Z76" s="2" t="str">
        <f>"－"</f>
        <v>－</v>
      </c>
      <c r="AA76" s="1" t="str">
        <f>"－"</f>
        <v>－</v>
      </c>
    </row>
    <row r="77">
      <c r="A77" s="9" t="s">
        <v>42</v>
      </c>
      <c r="B77" s="8" t="s">
        <v>354</v>
      </c>
      <c r="C77" s="8" t="s">
        <v>355</v>
      </c>
      <c r="D77" s="8" t="s">
        <v>91</v>
      </c>
      <c r="E77" s="7" t="s">
        <v>348</v>
      </c>
      <c r="F77" s="7" t="s">
        <v>349</v>
      </c>
      <c r="G77" s="3"/>
      <c r="H77" s="6" t="s">
        <v>126</v>
      </c>
      <c r="I77" s="3"/>
      <c r="J77" s="6" t="s">
        <v>126</v>
      </c>
      <c r="K77" s="3"/>
      <c r="L77" s="6"/>
      <c r="M77" s="3"/>
      <c r="N77" s="6" t="s">
        <v>126</v>
      </c>
      <c r="O77" s="3"/>
      <c r="P77" s="6"/>
      <c r="Q77" s="3"/>
      <c r="R77" s="6" t="s">
        <v>126</v>
      </c>
      <c r="S77" s="5" t="n">
        <f>46000</f>
        <v>46000.0</v>
      </c>
      <c r="T77" s="4" t="str">
        <f>"－"</f>
        <v>－</v>
      </c>
      <c r="U77" s="4"/>
      <c r="V77" s="4" t="str">
        <f>"－"</f>
        <v>－</v>
      </c>
      <c r="W77" s="4"/>
      <c r="X77" s="3"/>
      <c r="Y77" s="2" t="str">
        <f>"－"</f>
        <v>－</v>
      </c>
      <c r="Z77" s="2" t="str">
        <f>"－"</f>
        <v>－</v>
      </c>
      <c r="AA77" s="1" t="str">
        <f>"－"</f>
        <v>－</v>
      </c>
    </row>
    <row r="78">
      <c r="A78" s="9" t="s">
        <v>42</v>
      </c>
      <c r="B78" s="8" t="s">
        <v>356</v>
      </c>
      <c r="C78" s="8" t="s">
        <v>357</v>
      </c>
      <c r="D78" s="8" t="s">
        <v>42</v>
      </c>
      <c r="E78" s="7" t="s">
        <v>70</v>
      </c>
      <c r="F78" s="7" t="s">
        <v>46</v>
      </c>
      <c r="G78" s="3"/>
      <c r="H78" s="6" t="s">
        <v>126</v>
      </c>
      <c r="I78" s="3"/>
      <c r="J78" s="6" t="s">
        <v>126</v>
      </c>
      <c r="K78" s="3"/>
      <c r="L78" s="6"/>
      <c r="M78" s="3"/>
      <c r="N78" s="6" t="s">
        <v>126</v>
      </c>
      <c r="O78" s="3"/>
      <c r="P78" s="6"/>
      <c r="Q78" s="3"/>
      <c r="R78" s="6" t="s">
        <v>126</v>
      </c>
      <c r="S78" s="5" t="n">
        <f>10200</f>
        <v>10200.0</v>
      </c>
      <c r="T78" s="4" t="str">
        <f>"－"</f>
        <v>－</v>
      </c>
      <c r="U78" s="4"/>
      <c r="V78" s="4" t="str">
        <f>"－"</f>
        <v>－</v>
      </c>
      <c r="W78" s="4"/>
      <c r="X78" s="3" t="s">
        <v>53</v>
      </c>
      <c r="Y78" s="2" t="n">
        <f>1</f>
        <v>1.0</v>
      </c>
      <c r="Z78" s="2" t="str">
        <f>"－"</f>
        <v>－</v>
      </c>
      <c r="AA78" s="1" t="str">
        <f>"－"</f>
        <v>－</v>
      </c>
    </row>
    <row r="79">
      <c r="A79" s="9" t="s">
        <v>42</v>
      </c>
      <c r="B79" s="8" t="s">
        <v>356</v>
      </c>
      <c r="C79" s="8" t="s">
        <v>357</v>
      </c>
      <c r="D79" s="8" t="s">
        <v>250</v>
      </c>
      <c r="E79" s="7" t="s">
        <v>358</v>
      </c>
      <c r="F79" s="7" t="s">
        <v>359</v>
      </c>
      <c r="G79" s="3"/>
      <c r="H79" s="6" t="s">
        <v>126</v>
      </c>
      <c r="I79" s="3"/>
      <c r="J79" s="6" t="s">
        <v>126</v>
      </c>
      <c r="K79" s="3"/>
      <c r="L79" s="6"/>
      <c r="M79" s="3"/>
      <c r="N79" s="6" t="s">
        <v>126</v>
      </c>
      <c r="O79" s="3"/>
      <c r="P79" s="6"/>
      <c r="Q79" s="3"/>
      <c r="R79" s="6" t="s">
        <v>126</v>
      </c>
      <c r="S79" s="5" t="n">
        <f>10600</f>
        <v>10600.0</v>
      </c>
      <c r="T79" s="4" t="str">
        <f>"－"</f>
        <v>－</v>
      </c>
      <c r="U79" s="4"/>
      <c r="V79" s="4" t="str">
        <f>"－"</f>
        <v>－</v>
      </c>
      <c r="W79" s="4"/>
      <c r="X79" s="3"/>
      <c r="Y79" s="2" t="n">
        <f>1</f>
        <v>1.0</v>
      </c>
      <c r="Z79" s="2" t="str">
        <f>"－"</f>
        <v>－</v>
      </c>
      <c r="AA79" s="1" t="str">
        <f>"－"</f>
        <v>－</v>
      </c>
    </row>
    <row r="80">
      <c r="A80" s="9" t="s">
        <v>42</v>
      </c>
      <c r="B80" s="8" t="s">
        <v>356</v>
      </c>
      <c r="C80" s="8" t="s">
        <v>357</v>
      </c>
      <c r="D80" s="8" t="s">
        <v>54</v>
      </c>
      <c r="E80" s="7" t="s">
        <v>259</v>
      </c>
      <c r="F80" s="7" t="s">
        <v>56</v>
      </c>
      <c r="G80" s="3"/>
      <c r="H80" s="6" t="s">
        <v>126</v>
      </c>
      <c r="I80" s="3"/>
      <c r="J80" s="6" t="s">
        <v>126</v>
      </c>
      <c r="K80" s="3"/>
      <c r="L80" s="6"/>
      <c r="M80" s="3"/>
      <c r="N80" s="6" t="s">
        <v>126</v>
      </c>
      <c r="O80" s="3"/>
      <c r="P80" s="6"/>
      <c r="Q80" s="3"/>
      <c r="R80" s="6" t="s">
        <v>126</v>
      </c>
      <c r="S80" s="5" t="n">
        <f>12300</f>
        <v>12300.0</v>
      </c>
      <c r="T80" s="4" t="str">
        <f>"－"</f>
        <v>－</v>
      </c>
      <c r="U80" s="4"/>
      <c r="V80" s="4" t="str">
        <f>"－"</f>
        <v>－</v>
      </c>
      <c r="W80" s="4"/>
      <c r="X80" s="3"/>
      <c r="Y80" s="2" t="str">
        <f>"－"</f>
        <v>－</v>
      </c>
      <c r="Z80" s="2" t="str">
        <f>"－"</f>
        <v>－</v>
      </c>
      <c r="AA80" s="1" t="str">
        <f>"－"</f>
        <v>－</v>
      </c>
    </row>
    <row r="81">
      <c r="A81" s="9" t="s">
        <v>42</v>
      </c>
      <c r="B81" s="8" t="s">
        <v>356</v>
      </c>
      <c r="C81" s="8" t="s">
        <v>357</v>
      </c>
      <c r="D81" s="8" t="s">
        <v>263</v>
      </c>
      <c r="E81" s="7" t="s">
        <v>360</v>
      </c>
      <c r="F81" s="7" t="s">
        <v>361</v>
      </c>
      <c r="G81" s="3"/>
      <c r="H81" s="6" t="s">
        <v>126</v>
      </c>
      <c r="I81" s="3"/>
      <c r="J81" s="6" t="s">
        <v>126</v>
      </c>
      <c r="K81" s="3"/>
      <c r="L81" s="6"/>
      <c r="M81" s="3"/>
      <c r="N81" s="6" t="s">
        <v>126</v>
      </c>
      <c r="O81" s="3"/>
      <c r="P81" s="6"/>
      <c r="Q81" s="3"/>
      <c r="R81" s="6" t="s">
        <v>126</v>
      </c>
      <c r="S81" s="5" t="n">
        <f>12300</f>
        <v>12300.0</v>
      </c>
      <c r="T81" s="4" t="str">
        <f>"－"</f>
        <v>－</v>
      </c>
      <c r="U81" s="4"/>
      <c r="V81" s="4" t="str">
        <f>"－"</f>
        <v>－</v>
      </c>
      <c r="W81" s="4"/>
      <c r="X81" s="3"/>
      <c r="Y81" s="2" t="str">
        <f>"－"</f>
        <v>－</v>
      </c>
      <c r="Z81" s="2" t="str">
        <f>"－"</f>
        <v>－</v>
      </c>
      <c r="AA81" s="1" t="str">
        <f>"－"</f>
        <v>－</v>
      </c>
    </row>
    <row r="82">
      <c r="A82" s="9" t="s">
        <v>42</v>
      </c>
      <c r="B82" s="8" t="s">
        <v>356</v>
      </c>
      <c r="C82" s="8" t="s">
        <v>357</v>
      </c>
      <c r="D82" s="8" t="s">
        <v>62</v>
      </c>
      <c r="E82" s="7" t="s">
        <v>83</v>
      </c>
      <c r="F82" s="7" t="s">
        <v>64</v>
      </c>
      <c r="G82" s="3"/>
      <c r="H82" s="6" t="s">
        <v>126</v>
      </c>
      <c r="I82" s="3"/>
      <c r="J82" s="6" t="s">
        <v>126</v>
      </c>
      <c r="K82" s="3"/>
      <c r="L82" s="6"/>
      <c r="M82" s="3"/>
      <c r="N82" s="6" t="s">
        <v>126</v>
      </c>
      <c r="O82" s="3"/>
      <c r="P82" s="6"/>
      <c r="Q82" s="3"/>
      <c r="R82" s="6" t="s">
        <v>126</v>
      </c>
      <c r="S82" s="5" t="n">
        <f>12300</f>
        <v>12300.0</v>
      </c>
      <c r="T82" s="4" t="str">
        <f>"－"</f>
        <v>－</v>
      </c>
      <c r="U82" s="4"/>
      <c r="V82" s="4" t="str">
        <f>"－"</f>
        <v>－</v>
      </c>
      <c r="W82" s="4"/>
      <c r="X82" s="3"/>
      <c r="Y82" s="2" t="str">
        <f>"－"</f>
        <v>－</v>
      </c>
      <c r="Z82" s="2" t="str">
        <f>"－"</f>
        <v>－</v>
      </c>
      <c r="AA82" s="1" t="str">
        <f>"－"</f>
        <v>－</v>
      </c>
    </row>
    <row r="83">
      <c r="A83" s="9" t="s">
        <v>42</v>
      </c>
      <c r="B83" s="8" t="s">
        <v>356</v>
      </c>
      <c r="C83" s="8" t="s">
        <v>357</v>
      </c>
      <c r="D83" s="8" t="s">
        <v>279</v>
      </c>
      <c r="E83" s="7" t="s">
        <v>362</v>
      </c>
      <c r="F83" s="7" t="s">
        <v>363</v>
      </c>
      <c r="G83" s="3"/>
      <c r="H83" s="6" t="s">
        <v>126</v>
      </c>
      <c r="I83" s="3"/>
      <c r="J83" s="6" t="s">
        <v>126</v>
      </c>
      <c r="K83" s="3"/>
      <c r="L83" s="6"/>
      <c r="M83" s="3"/>
      <c r="N83" s="6" t="s">
        <v>126</v>
      </c>
      <c r="O83" s="3"/>
      <c r="P83" s="6"/>
      <c r="Q83" s="3"/>
      <c r="R83" s="6" t="s">
        <v>126</v>
      </c>
      <c r="S83" s="5" t="n">
        <f>12300</f>
        <v>12300.0</v>
      </c>
      <c r="T83" s="4" t="str">
        <f>"－"</f>
        <v>－</v>
      </c>
      <c r="U83" s="4"/>
      <c r="V83" s="4" t="str">
        <f>"－"</f>
        <v>－</v>
      </c>
      <c r="W83" s="4"/>
      <c r="X83" s="3"/>
      <c r="Y83" s="2" t="str">
        <f>"－"</f>
        <v>－</v>
      </c>
      <c r="Z83" s="2" t="str">
        <f>"－"</f>
        <v>－</v>
      </c>
      <c r="AA83" s="1" t="str">
        <f>"－"</f>
        <v>－</v>
      </c>
    </row>
    <row r="84">
      <c r="A84" s="9" t="s">
        <v>42</v>
      </c>
      <c r="B84" s="8" t="s">
        <v>356</v>
      </c>
      <c r="C84" s="8" t="s">
        <v>357</v>
      </c>
      <c r="D84" s="8" t="s">
        <v>69</v>
      </c>
      <c r="E84" s="7" t="s">
        <v>92</v>
      </c>
      <c r="F84" s="7" t="s">
        <v>71</v>
      </c>
      <c r="G84" s="3"/>
      <c r="H84" s="6" t="s">
        <v>126</v>
      </c>
      <c r="I84" s="3"/>
      <c r="J84" s="6" t="s">
        <v>126</v>
      </c>
      <c r="K84" s="3"/>
      <c r="L84" s="6"/>
      <c r="M84" s="3"/>
      <c r="N84" s="6" t="s">
        <v>126</v>
      </c>
      <c r="O84" s="3"/>
      <c r="P84" s="6"/>
      <c r="Q84" s="3"/>
      <c r="R84" s="6" t="s">
        <v>126</v>
      </c>
      <c r="S84" s="5" t="n">
        <f>12300</f>
        <v>12300.0</v>
      </c>
      <c r="T84" s="4" t="str">
        <f>"－"</f>
        <v>－</v>
      </c>
      <c r="U84" s="4"/>
      <c r="V84" s="4" t="str">
        <f>"－"</f>
        <v>－</v>
      </c>
      <c r="W84" s="4"/>
      <c r="X84" s="3"/>
      <c r="Y84" s="2" t="str">
        <f>"－"</f>
        <v>－</v>
      </c>
      <c r="Z84" s="2" t="str">
        <f>"－"</f>
        <v>－</v>
      </c>
      <c r="AA84" s="1" t="str">
        <f>"－"</f>
        <v>－</v>
      </c>
    </row>
  </sheetData>
  <mergeCells count="30">
    <mergeCell ref="AA3:AA5"/>
    <mergeCell ref="G4:G5"/>
    <mergeCell ref="H4:H5"/>
    <mergeCell ref="K4:L4"/>
    <mergeCell ref="M4:M5"/>
    <mergeCell ref="V4:V5"/>
    <mergeCell ref="I4:I5"/>
    <mergeCell ref="J4:J5"/>
    <mergeCell ref="N4:N5"/>
    <mergeCell ref="O4:P4"/>
    <mergeCell ref="Q4:Q5"/>
    <mergeCell ref="R4:R5"/>
    <mergeCell ref="T4:T5"/>
    <mergeCell ref="U4:U5"/>
    <mergeCell ref="W4:W5"/>
    <mergeCell ref="Z3:Z5"/>
    <mergeCell ref="A1:J1"/>
    <mergeCell ref="A2:C2"/>
    <mergeCell ref="A3:A5"/>
    <mergeCell ref="B3:B6"/>
    <mergeCell ref="C3:C6"/>
    <mergeCell ref="D3:D5"/>
    <mergeCell ref="E3:F5"/>
    <mergeCell ref="G3:R3"/>
    <mergeCell ref="S3:S5"/>
    <mergeCell ref="T3:U3"/>
    <mergeCell ref="V3:W3"/>
    <mergeCell ref="X3:Y5"/>
    <mergeCell ref="E6:F6"/>
    <mergeCell ref="X6:Y6"/>
  </mergeCells>
  <phoneticPr fontId="6"/>
  <printOptions horizontalCentered="1"/>
  <pageMargins bottom="0.98425196850393704" footer="0.51181102362204722" header="0.51181102362204722" left="0.39370078740157483" right="0.39370078740157483" top="0.59055118110236227"/>
  <pageSetup fitToHeight="0" orientation="landscape" paperSize="9" r:id="rId1" scale="40" useFirstPageNumber="1"/>
  <headerFooter>
    <oddFooter>&amp;C&amp;P/&amp;N&amp;RCopyright (c) Japan Exchange Group, Inc. All Rights Reserved.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BO_DM0005</vt:lpstr>
      <vt:lpstr>BO_DM0005!Print_Titles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2020-05-22T01:17:40Z</cp:lastPrinted>
  <dcterms:modified xsi:type="dcterms:W3CDTF">2020-08-31T01:05:42Z</dcterms:modified>
</cp:coreProperties>
</file>