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A88E319C-5B3B-4BD4-B3E6-9684EB69F128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18" i="10" l="1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<sst xmlns="http://schemas.openxmlformats.org/spreadsheetml/2006/main" count="2902" uniqueCount="689">
  <si>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</si>
  <si>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</si>
  <si>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</si>
  <si>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</si>
  <si>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</si>
  <si>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</si>
  <si>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</si>
  <si>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</si>
  <si>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</si>
  <si>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</si>
  <si>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</si>
  <si>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</si>
  <si>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</si>
  <si>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</si>
  <si>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</si>
  <si>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</si>
  <si>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</si>
  <si>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</si>
  <si>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</si>
  <si>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</si>
  <si>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</si>
  <si>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</si>
  <si>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</si>
  <si>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</si>
  <si>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</si>
  <si>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</si>
  <si>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</si>
  <si>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</si>
  <si>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</si>
  <si>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</si>
  <si>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</si>
  <si>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</si>
  <si>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</si>
  <si>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</si>
  <si>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</si>
  <si>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</si>
  <si>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</si>
  <si>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</si>
  <si>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</si>
  <si>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</si>
  <si>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</si>
  <si>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</si>
  <si>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</si>
  <si>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</si>
  <si>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</si>
  <si>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</si>
  <si>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2021/10</t>
  </si>
  <si>
    <t>金標準先物</t>
  </si>
  <si>
    <t>Gold Standard Futures</t>
  </si>
  <si>
    <t>2020/10/28</t>
  </si>
  <si>
    <t>2021/10/26</t>
  </si>
  <si>
    <t>01</t>
  </si>
  <si>
    <t>6,222</t>
  </si>
  <si>
    <t>25</t>
  </si>
  <si>
    <t>6,618</t>
  </si>
  <si>
    <t>6,217</t>
  </si>
  <si>
    <t>26</t>
  </si>
  <si>
    <t>6,588</t>
  </si>
  <si>
    <t>*</t>
  </si>
  <si>
    <t>2021/12</t>
  </si>
  <si>
    <t>2020/12/24</t>
  </si>
  <si>
    <t>2021/12/23</t>
  </si>
  <si>
    <t>6,226</t>
  </si>
  <si>
    <t>6,609</t>
  </si>
  <si>
    <t>29</t>
  </si>
  <si>
    <t>6,559</t>
  </si>
  <si>
    <t>2022/02</t>
  </si>
  <si>
    <t>2021/02/24</t>
  </si>
  <si>
    <t>2022/02/22</t>
  </si>
  <si>
    <t>6,613</t>
  </si>
  <si>
    <t>6,213</t>
  </si>
  <si>
    <t>6,550</t>
  </si>
  <si>
    <t>2022/04</t>
  </si>
  <si>
    <t>2021/04/27</t>
  </si>
  <si>
    <t>2022/04/25</t>
  </si>
  <si>
    <t>6,229</t>
  </si>
  <si>
    <t>6,623</t>
  </si>
  <si>
    <t>14</t>
  </si>
  <si>
    <t>6,528.0000</t>
  </si>
  <si>
    <t>6,209</t>
  </si>
  <si>
    <t>6,553</t>
  </si>
  <si>
    <t>2022/06</t>
  </si>
  <si>
    <t>2021/06/28</t>
  </si>
  <si>
    <t>2022/06/27</t>
  </si>
  <si>
    <t>6,619</t>
  </si>
  <si>
    <t>06</t>
  </si>
  <si>
    <t>6,282.0000</t>
  </si>
  <si>
    <t>6,204</t>
  </si>
  <si>
    <t>6,230.0000</t>
  </si>
  <si>
    <t>6,551</t>
  </si>
  <si>
    <t>2022/08</t>
  </si>
  <si>
    <t>2021/08/27</t>
  </si>
  <si>
    <t>2022/08/26</t>
  </si>
  <si>
    <t>6,620</t>
  </si>
  <si>
    <t>27</t>
  </si>
  <si>
    <t>6,579.0000</t>
  </si>
  <si>
    <t>6,200</t>
  </si>
  <si>
    <t>18</t>
  </si>
  <si>
    <t>6,483.0000</t>
  </si>
  <si>
    <t>6,547</t>
  </si>
  <si>
    <t>2022/10</t>
  </si>
  <si>
    <t>2021/10/27</t>
  </si>
  <si>
    <t>2022/10/26</t>
  </si>
  <si>
    <t>6,579</t>
  </si>
  <si>
    <t>6,590</t>
  </si>
  <si>
    <t>28</t>
  </si>
  <si>
    <t>6,509</t>
  </si>
  <si>
    <t>金ミニ先物</t>
  </si>
  <si>
    <t>Gold Mini Futures</t>
  </si>
  <si>
    <t>2021/10/25</t>
  </si>
  <si>
    <t>6,245</t>
  </si>
  <si>
    <t>6,615</t>
  </si>
  <si>
    <t>6,569</t>
  </si>
  <si>
    <t>2021/12/22</t>
  </si>
  <si>
    <t>6,300</t>
  </si>
  <si>
    <t>6,611</t>
  </si>
  <si>
    <t>05</t>
  </si>
  <si>
    <t>6,247</t>
  </si>
  <si>
    <t>6,558</t>
  </si>
  <si>
    <t>2022/02/21</t>
  </si>
  <si>
    <t>6,205</t>
  </si>
  <si>
    <t>6,600</t>
  </si>
  <si>
    <t>2022/04/22</t>
  </si>
  <si>
    <t>6,220</t>
  </si>
  <si>
    <t>6,216</t>
  </si>
  <si>
    <t>6,549</t>
  </si>
  <si>
    <t>2022/06/24</t>
  </si>
  <si>
    <t>6,208</t>
  </si>
  <si>
    <t>2022/08/25</t>
  </si>
  <si>
    <t>6,219</t>
  </si>
  <si>
    <t>6,201</t>
  </si>
  <si>
    <t>6,552</t>
  </si>
  <si>
    <t>2022/10/25</t>
  </si>
  <si>
    <t>6,580</t>
  </si>
  <si>
    <t>6,589</t>
  </si>
  <si>
    <t>6,545</t>
  </si>
  <si>
    <t>金限日先物</t>
  </si>
  <si>
    <t>Gold Rolling-Spot Futures</t>
  </si>
  <si>
    <t>－</t>
  </si>
  <si>
    <t>6,290</t>
  </si>
  <si>
    <t>6,650</t>
  </si>
  <si>
    <t>6,266</t>
  </si>
  <si>
    <t>6,576</t>
  </si>
  <si>
    <t>銀先物</t>
  </si>
  <si>
    <t>Silver Futures</t>
  </si>
  <si>
    <t>79.2</t>
  </si>
  <si>
    <t>15</t>
  </si>
  <si>
    <t>85.9</t>
  </si>
  <si>
    <t>83.9</t>
  </si>
  <si>
    <t>78.5</t>
  </si>
  <si>
    <t>89.8</t>
  </si>
  <si>
    <t>87.4</t>
  </si>
  <si>
    <t>79.6</t>
  </si>
  <si>
    <t>90.0</t>
  </si>
  <si>
    <t>79.0</t>
  </si>
  <si>
    <t>87.3</t>
  </si>
  <si>
    <t>04</t>
  </si>
  <si>
    <t>89.5</t>
  </si>
  <si>
    <t>78.6</t>
  </si>
  <si>
    <t>78.9</t>
  </si>
  <si>
    <t>89.6</t>
  </si>
  <si>
    <t>78.3</t>
  </si>
  <si>
    <t>78.0</t>
  </si>
  <si>
    <t>90.1</t>
  </si>
  <si>
    <t>86.8</t>
  </si>
  <si>
    <t>87.9</t>
  </si>
  <si>
    <t>88.8</t>
  </si>
  <si>
    <t>87.2</t>
  </si>
  <si>
    <t>白金標準先物</t>
  </si>
  <si>
    <t>Platinum Standard Futures</t>
  </si>
  <si>
    <t>3,452</t>
  </si>
  <si>
    <t>3,936</t>
  </si>
  <si>
    <t>07</t>
  </si>
  <si>
    <t>3,401</t>
  </si>
  <si>
    <t>3,853</t>
  </si>
  <si>
    <t>3,457</t>
  </si>
  <si>
    <t>3,948</t>
  </si>
  <si>
    <t>3,409</t>
  </si>
  <si>
    <t>3,731</t>
  </si>
  <si>
    <t>3,459</t>
  </si>
  <si>
    <t>3,941</t>
  </si>
  <si>
    <t>3,406</t>
  </si>
  <si>
    <t>3,724</t>
  </si>
  <si>
    <t>3,460</t>
  </si>
  <si>
    <t>3,950</t>
  </si>
  <si>
    <t>3,405</t>
  </si>
  <si>
    <t>3,750</t>
  </si>
  <si>
    <t>3,440</t>
  </si>
  <si>
    <t>3,925</t>
  </si>
  <si>
    <t>3,861.0000</t>
  </si>
  <si>
    <t>3,388</t>
  </si>
  <si>
    <t>3,718</t>
  </si>
  <si>
    <t>3,420</t>
  </si>
  <si>
    <t>3,917</t>
  </si>
  <si>
    <t>3,840.0000</t>
  </si>
  <si>
    <t>3,356</t>
  </si>
  <si>
    <t>3,412.0000</t>
  </si>
  <si>
    <t>3,701</t>
  </si>
  <si>
    <t>3,770</t>
  </si>
  <si>
    <t>3,785</t>
  </si>
  <si>
    <t>3,662</t>
  </si>
  <si>
    <t>3,688</t>
  </si>
  <si>
    <t>白金ミニ先物</t>
  </si>
  <si>
    <t>Platinum Mini Futures</t>
  </si>
  <si>
    <t>3,491</t>
  </si>
  <si>
    <t>3,909</t>
  </si>
  <si>
    <t>3,443</t>
  </si>
  <si>
    <t>3,835</t>
  </si>
  <si>
    <t>3,901</t>
  </si>
  <si>
    <t>3,765</t>
  </si>
  <si>
    <t>3,472</t>
  </si>
  <si>
    <t>21</t>
  </si>
  <si>
    <t>3,915</t>
  </si>
  <si>
    <t>3,728</t>
  </si>
  <si>
    <t>3,478</t>
  </si>
  <si>
    <t>3,949</t>
  </si>
  <si>
    <t>3,439</t>
  </si>
  <si>
    <t>3,744</t>
  </si>
  <si>
    <t>3,449</t>
  </si>
  <si>
    <t>3,922</t>
  </si>
  <si>
    <t>3,391</t>
  </si>
  <si>
    <t>3,716</t>
  </si>
  <si>
    <t>3,414</t>
  </si>
  <si>
    <t>3,916</t>
  </si>
  <si>
    <t>3,358</t>
  </si>
  <si>
    <t>3,708</t>
  </si>
  <si>
    <t>3,763</t>
  </si>
  <si>
    <t>3,774</t>
  </si>
  <si>
    <t>3,661</t>
  </si>
  <si>
    <t>3,685</t>
  </si>
  <si>
    <t>白金限日先物</t>
  </si>
  <si>
    <t>Platinum Rolling-Spot Futures</t>
  </si>
  <si>
    <t>3,470</t>
  </si>
  <si>
    <t>3,962</t>
  </si>
  <si>
    <t>3,441</t>
  </si>
  <si>
    <t>3,762</t>
  </si>
  <si>
    <t>パラジウム先物</t>
  </si>
  <si>
    <t>Palladium Futures</t>
  </si>
  <si>
    <t>11</t>
  </si>
  <si>
    <t>7,600</t>
  </si>
  <si>
    <t>12</t>
  </si>
  <si>
    <t>7,800</t>
  </si>
  <si>
    <t>7,480</t>
  </si>
  <si>
    <t>7,420</t>
  </si>
  <si>
    <t>7,200</t>
  </si>
  <si>
    <t>7,521</t>
  </si>
  <si>
    <t>7,570</t>
  </si>
  <si>
    <t>7,867</t>
  </si>
  <si>
    <t>22</t>
  </si>
  <si>
    <t>7,271</t>
  </si>
  <si>
    <t>7,300</t>
  </si>
  <si>
    <t>7,107</t>
  </si>
  <si>
    <t>7,777</t>
  </si>
  <si>
    <t>08</t>
  </si>
  <si>
    <t>6,644</t>
  </si>
  <si>
    <t>7,070</t>
  </si>
  <si>
    <t>CME原油等指数先物</t>
  </si>
  <si>
    <t>CME Petroleum Index Futures</t>
  </si>
  <si>
    <t>2021/09/21</t>
  </si>
  <si>
    <t>2021/10/01</t>
  </si>
  <si>
    <t>183.55</t>
  </si>
  <si>
    <t>184.45</t>
  </si>
  <si>
    <t>179.80</t>
  </si>
  <si>
    <t>183.30</t>
  </si>
  <si>
    <t>2021/11</t>
  </si>
  <si>
    <t>2021/11/01</t>
  </si>
  <si>
    <t>182.70</t>
  </si>
  <si>
    <t>205.55</t>
  </si>
  <si>
    <t>20</t>
  </si>
  <si>
    <t>200.9500</t>
  </si>
  <si>
    <t>178.95</t>
  </si>
  <si>
    <t>200.65</t>
  </si>
  <si>
    <t>2021/12/01</t>
  </si>
  <si>
    <t>182.65</t>
  </si>
  <si>
    <t>202.20</t>
  </si>
  <si>
    <t>198.1000</t>
  </si>
  <si>
    <t>180.20</t>
  </si>
  <si>
    <t>197.9000</t>
  </si>
  <si>
    <t>197.90</t>
  </si>
  <si>
    <t>2022/01</t>
  </si>
  <si>
    <t>2022/01/04</t>
  </si>
  <si>
    <t>2022/02/01</t>
  </si>
  <si>
    <t>179.30</t>
  </si>
  <si>
    <t>19</t>
  </si>
  <si>
    <t>194.70</t>
  </si>
  <si>
    <t>194.25</t>
  </si>
  <si>
    <t>2022/03</t>
  </si>
  <si>
    <t>2022/03/01</t>
  </si>
  <si>
    <t>178.90</t>
  </si>
  <si>
    <t>196.60</t>
  </si>
  <si>
    <t>198.6500</t>
  </si>
  <si>
    <t>176.20</t>
  </si>
  <si>
    <t>190.6000</t>
  </si>
  <si>
    <t>188.50</t>
  </si>
  <si>
    <t>2021/10/04</t>
  </si>
  <si>
    <t>2022/04/01</t>
  </si>
  <si>
    <t>181.05</t>
  </si>
  <si>
    <t>195.90</t>
  </si>
  <si>
    <t>191.9500</t>
  </si>
  <si>
    <t>180.00</t>
  </si>
  <si>
    <t>189.1000</t>
  </si>
  <si>
    <t>189.10</t>
  </si>
  <si>
    <t>ゴム（RSS3）先物</t>
  </si>
  <si>
    <t>RSS3 Rubber Futures</t>
  </si>
  <si>
    <t>2021/04/26</t>
  </si>
  <si>
    <t>198.9</t>
  </si>
  <si>
    <t>226.9</t>
  </si>
  <si>
    <t>224.9000</t>
  </si>
  <si>
    <t>192.0</t>
  </si>
  <si>
    <t>208.0000</t>
  </si>
  <si>
    <t>213.0</t>
  </si>
  <si>
    <t>2021/05/26</t>
  </si>
  <si>
    <t>2021/11/24</t>
  </si>
  <si>
    <t>199.8</t>
  </si>
  <si>
    <t>229.0</t>
  </si>
  <si>
    <t>195.2</t>
  </si>
  <si>
    <t>219.5</t>
  </si>
  <si>
    <t>2021/06/25</t>
  </si>
  <si>
    <t>202.2</t>
  </si>
  <si>
    <t>233.5</t>
  </si>
  <si>
    <t>219.9000</t>
  </si>
  <si>
    <t>198.8</t>
  </si>
  <si>
    <t>220.7</t>
  </si>
  <si>
    <t>2021/07/27</t>
  </si>
  <si>
    <t>2022/01/25</t>
  </si>
  <si>
    <t>206.2</t>
  </si>
  <si>
    <t>235.4</t>
  </si>
  <si>
    <t>201.2</t>
  </si>
  <si>
    <t>223.6</t>
  </si>
  <si>
    <t>2021/08/26</t>
  </si>
  <si>
    <t>208.4</t>
  </si>
  <si>
    <t>237.1</t>
  </si>
  <si>
    <t>225.0000</t>
  </si>
  <si>
    <t>204.0</t>
  </si>
  <si>
    <t>224.9</t>
  </si>
  <si>
    <t>2022/03/25</t>
  </si>
  <si>
    <t>211.8</t>
  </si>
  <si>
    <t>240.7</t>
  </si>
  <si>
    <t>240.7000</t>
  </si>
  <si>
    <t>206.8</t>
  </si>
  <si>
    <t>211.4000</t>
  </si>
  <si>
    <t>214.7</t>
  </si>
  <si>
    <t>242.0</t>
  </si>
  <si>
    <t>232.8</t>
  </si>
  <si>
    <t>2022/05</t>
  </si>
  <si>
    <t>2022/05/25</t>
  </si>
  <si>
    <t>231.3</t>
  </si>
  <si>
    <t>2022/07</t>
  </si>
  <si>
    <t>2022/07/25</t>
  </si>
  <si>
    <t>230.0</t>
  </si>
  <si>
    <t>215.0</t>
  </si>
  <si>
    <t>244.8</t>
  </si>
  <si>
    <t>212.5</t>
  </si>
  <si>
    <t>236.0</t>
  </si>
  <si>
    <t>2022/09</t>
  </si>
  <si>
    <t>2021/09/27</t>
  </si>
  <si>
    <t>2022/09/26</t>
  </si>
  <si>
    <t>218.5</t>
  </si>
  <si>
    <t>249.8</t>
  </si>
  <si>
    <t>212.0</t>
  </si>
  <si>
    <t>233.7</t>
  </si>
  <si>
    <t>237.7</t>
  </si>
  <si>
    <t>240.9</t>
  </si>
  <si>
    <t>233.1</t>
  </si>
  <si>
    <t>237.3</t>
  </si>
  <si>
    <t>ゴム（TSR20）先物</t>
  </si>
  <si>
    <t>TSR20 Rubber Futures</t>
  </si>
  <si>
    <t>2021/05/06</t>
  </si>
  <si>
    <t>2021/10/29</t>
  </si>
  <si>
    <t>198.0000</t>
  </si>
  <si>
    <t>2021/06/01</t>
  </si>
  <si>
    <t>2021/11/30</t>
  </si>
  <si>
    <t>2021/07/01</t>
  </si>
  <si>
    <t>2021/12/30</t>
  </si>
  <si>
    <t>195.8</t>
  </si>
  <si>
    <t>203.7</t>
  </si>
  <si>
    <t>195.9000</t>
  </si>
  <si>
    <t>195.6</t>
  </si>
  <si>
    <t>198.4</t>
  </si>
  <si>
    <t>2021/08/02</t>
  </si>
  <si>
    <t>2022/01/31</t>
  </si>
  <si>
    <t>189.5</t>
  </si>
  <si>
    <t>197.5</t>
  </si>
  <si>
    <t>2021/09/01</t>
  </si>
  <si>
    <t>2022/02/28</t>
  </si>
  <si>
    <t>2022/03/31</t>
  </si>
  <si>
    <t>2022/04/28</t>
  </si>
  <si>
    <t>2022/05/31</t>
  </si>
  <si>
    <t>2022/06/30</t>
  </si>
  <si>
    <t>2022/07/29</t>
  </si>
  <si>
    <t>2022/08/31</t>
  </si>
  <si>
    <t>2022/09/30</t>
  </si>
  <si>
    <t>とうもろこし先物</t>
  </si>
  <si>
    <t>Corn Futures</t>
  </si>
  <si>
    <t>2020/10/16</t>
  </si>
  <si>
    <t>2021/10/15</t>
  </si>
  <si>
    <t>42,230</t>
  </si>
  <si>
    <t>57,540</t>
  </si>
  <si>
    <t>2020/12/16</t>
  </si>
  <si>
    <t>2021/12/15</t>
  </si>
  <si>
    <t>40,970</t>
  </si>
  <si>
    <t>43,900</t>
  </si>
  <si>
    <t>41,400.0000</t>
  </si>
  <si>
    <t>40,500</t>
  </si>
  <si>
    <t>41,280</t>
  </si>
  <si>
    <t>2021/02/16</t>
  </si>
  <si>
    <t>2022/02/15</t>
  </si>
  <si>
    <t>39,390</t>
  </si>
  <si>
    <t>44,440</t>
  </si>
  <si>
    <t>40,910</t>
  </si>
  <si>
    <t>2021/04/16</t>
  </si>
  <si>
    <t>2022/04/15</t>
  </si>
  <si>
    <t>36,770</t>
  </si>
  <si>
    <t>45,460</t>
  </si>
  <si>
    <t>37,000.0000</t>
  </si>
  <si>
    <t>40,100</t>
  </si>
  <si>
    <t>2021/06/16</t>
  </si>
  <si>
    <t>2022/06/15</t>
  </si>
  <si>
    <t>35,440</t>
  </si>
  <si>
    <t>45,140</t>
  </si>
  <si>
    <t>44,910.0000</t>
  </si>
  <si>
    <t>35,310</t>
  </si>
  <si>
    <t>39,290.0000</t>
  </si>
  <si>
    <t>39,800</t>
  </si>
  <si>
    <t>2021/08/16</t>
  </si>
  <si>
    <t>2022/08/15</t>
  </si>
  <si>
    <t>34,960</t>
  </si>
  <si>
    <t>45,860</t>
  </si>
  <si>
    <t>37,670.0000</t>
  </si>
  <si>
    <t>34,800</t>
  </si>
  <si>
    <t>37,100.0000</t>
  </si>
  <si>
    <t>40,600</t>
  </si>
  <si>
    <t>2022/11</t>
  </si>
  <si>
    <t>2021/10/18</t>
  </si>
  <si>
    <t>2022/10/14</t>
  </si>
  <si>
    <t>37,720</t>
  </si>
  <si>
    <t>42,640</t>
  </si>
  <si>
    <t>36,800</t>
  </si>
  <si>
    <t>38,980</t>
  </si>
  <si>
    <t>一般大豆先物</t>
  </si>
  <si>
    <t>Soybean Futures</t>
  </si>
  <si>
    <t>小豆先物</t>
  </si>
  <si>
    <t>Azuki (Red Bean) Futures</t>
  </si>
  <si>
    <t>2021/05/27</t>
  </si>
  <si>
    <t>2021/11/25</t>
  </si>
  <si>
    <t>2021/07/28</t>
  </si>
  <si>
    <t>2022/01/26</t>
  </si>
  <si>
    <t>2021/09/28</t>
  </si>
  <si>
    <t>2022/03/28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</si>
  <si>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</si>
  <si>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</si>
  <si>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</si>
  <si>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</si>
  <si>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</si>
  <si>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</si>
  <si>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</si>
  <si>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</si>
  <si>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</si>
  <si>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</si>
  <si>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</si>
  <si>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</si>
  <si>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</si>
  <si>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</si>
  <si>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</si>
  <si>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</si>
  <si>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</si>
  <si>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</si>
  <si>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</si>
  <si>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</si>
  <si>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</si>
  <si>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</si>
  <si>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</si>
  <si>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69,250</t>
  </si>
  <si>
    <t>77,800</t>
  </si>
  <si>
    <t>77,500.0000</t>
  </si>
  <si>
    <t>75,250.0000</t>
  </si>
  <si>
    <t>75,000</t>
  </si>
  <si>
    <t>70,480</t>
  </si>
  <si>
    <t>77,250</t>
  </si>
  <si>
    <t>77,000.0000</t>
  </si>
  <si>
    <t>70,400</t>
  </si>
  <si>
    <t>76,400</t>
  </si>
  <si>
    <t>2021/12/24</t>
  </si>
  <si>
    <t>68,260</t>
  </si>
  <si>
    <t>76,520</t>
  </si>
  <si>
    <t>68,170</t>
  </si>
  <si>
    <t>75,690</t>
  </si>
  <si>
    <t>2021/07/26</t>
  </si>
  <si>
    <t>67,760</t>
  </si>
  <si>
    <t>75,350</t>
  </si>
  <si>
    <t>66,700</t>
  </si>
  <si>
    <t>74,670</t>
  </si>
  <si>
    <t>2022/02/25</t>
  </si>
  <si>
    <t>67,960</t>
  </si>
  <si>
    <t>75,310</t>
  </si>
  <si>
    <t>67,380</t>
  </si>
  <si>
    <t>73,780</t>
  </si>
  <si>
    <t>67,490</t>
  </si>
  <si>
    <t>75,220</t>
  </si>
  <si>
    <t>67,430</t>
  </si>
  <si>
    <t>73,020</t>
  </si>
  <si>
    <t>74,150</t>
  </si>
  <si>
    <t>70,650</t>
  </si>
  <si>
    <t>72,380</t>
  </si>
  <si>
    <t>バージ灯油先物</t>
  </si>
  <si>
    <t>Kerosene Futures</t>
  </si>
  <si>
    <t>68,890</t>
  </si>
  <si>
    <t>77,000</t>
  </si>
  <si>
    <t>79,000.0000</t>
  </si>
  <si>
    <t>68,570</t>
  </si>
  <si>
    <t>68,000.0000</t>
  </si>
  <si>
    <t>76,280</t>
  </si>
  <si>
    <t>68,400</t>
  </si>
  <si>
    <t>77,300</t>
  </si>
  <si>
    <t>76,200.0000</t>
  </si>
  <si>
    <t>76,180.0000</t>
  </si>
  <si>
    <t>76,700</t>
  </si>
  <si>
    <t>67,900</t>
  </si>
  <si>
    <t>76,850</t>
  </si>
  <si>
    <t>75,580.0000</t>
  </si>
  <si>
    <t>75,730</t>
  </si>
  <si>
    <t>67,620</t>
  </si>
  <si>
    <t>76,500</t>
  </si>
  <si>
    <t>67,500</t>
  </si>
  <si>
    <t>75,050</t>
  </si>
  <si>
    <t>67,400</t>
  </si>
  <si>
    <t>76,210</t>
  </si>
  <si>
    <t>75,190.0000</t>
  </si>
  <si>
    <t>66,670</t>
  </si>
  <si>
    <t>74,000.0000</t>
  </si>
  <si>
    <t>74,740</t>
  </si>
  <si>
    <t>66,640</t>
  </si>
  <si>
    <t>66,500</t>
  </si>
  <si>
    <t>74,400</t>
  </si>
  <si>
    <t>75,280</t>
  </si>
  <si>
    <t>73,260</t>
  </si>
  <si>
    <t>73,830</t>
  </si>
  <si>
    <t>バージ軽油先物</t>
  </si>
  <si>
    <t>Gas Oil Futures</t>
  </si>
  <si>
    <t>プラッツドバイ原油先物</t>
  </si>
  <si>
    <t>Platts Dubai Crude Oil Futures</t>
  </si>
  <si>
    <t>53,210</t>
  </si>
  <si>
    <t>58,520</t>
  </si>
  <si>
    <t>58,090.0000</t>
  </si>
  <si>
    <t>52,470</t>
  </si>
  <si>
    <t>52,890.0000</t>
  </si>
  <si>
    <t>58,000</t>
  </si>
  <si>
    <t>52,770</t>
  </si>
  <si>
    <t>61,600</t>
  </si>
  <si>
    <t>59,190.0000</t>
  </si>
  <si>
    <t>51,630</t>
  </si>
  <si>
    <t>52,240.0000</t>
  </si>
  <si>
    <t>58,170</t>
  </si>
  <si>
    <t>52,110</t>
  </si>
  <si>
    <t>58,910</t>
  </si>
  <si>
    <t>58,850.0000</t>
  </si>
  <si>
    <t>50,900</t>
  </si>
  <si>
    <t>51,500.0000</t>
  </si>
  <si>
    <t>57,090</t>
  </si>
  <si>
    <t>51,410</t>
  </si>
  <si>
    <t>58,200</t>
  </si>
  <si>
    <t>57,550.0000</t>
  </si>
  <si>
    <t>50,340</t>
  </si>
  <si>
    <t>54,360.0000</t>
  </si>
  <si>
    <t>56,220</t>
  </si>
  <si>
    <t>50,990</t>
  </si>
  <si>
    <t>57,670</t>
  </si>
  <si>
    <t>57,520.0000</t>
  </si>
  <si>
    <t>49,890</t>
  </si>
  <si>
    <t>50,470.0000</t>
  </si>
  <si>
    <t>55,650</t>
  </si>
  <si>
    <t>50,410</t>
  </si>
  <si>
    <t>57,240</t>
  </si>
  <si>
    <t>57,210.0000</t>
  </si>
  <si>
    <t>49,710</t>
  </si>
  <si>
    <t>50,800.0000</t>
  </si>
  <si>
    <t>55,120</t>
  </si>
  <si>
    <t>55,900</t>
  </si>
  <si>
    <t>55,940</t>
  </si>
  <si>
    <t>55,910.0000</t>
  </si>
  <si>
    <t>53,380</t>
  </si>
  <si>
    <t>54,830</t>
  </si>
  <si>
    <t>52,070</t>
  </si>
  <si>
    <t>52,810</t>
  </si>
  <si>
    <t>54,360</t>
  </si>
  <si>
    <t>53,600</t>
  </si>
  <si>
    <t>2022/10/31</t>
  </si>
  <si>
    <t>52,910</t>
  </si>
  <si>
    <t>2022/11/30</t>
  </si>
  <si>
    <t>48,150</t>
  </si>
  <si>
    <t>53,450</t>
  </si>
  <si>
    <t>52,130.0000</t>
  </si>
  <si>
    <t>47,230</t>
  </si>
  <si>
    <t>49,900</t>
  </si>
  <si>
    <t>2022/12</t>
  </si>
  <si>
    <t>2022/12/30</t>
  </si>
  <si>
    <t>47,300</t>
  </si>
  <si>
    <t>53,320</t>
  </si>
  <si>
    <t>52,030.0000</t>
  </si>
  <si>
    <t>46,650</t>
  </si>
  <si>
    <t>51,010</t>
  </si>
  <si>
    <t>東エリア・ベースロード電力先物</t>
  </si>
  <si>
    <t>East Area Baseload Electricity Futures</t>
  </si>
  <si>
    <t>2020/07/31</t>
  </si>
  <si>
    <t>2020/08/31</t>
  </si>
  <si>
    <t>2021/11/29</t>
  </si>
  <si>
    <t>12.60</t>
  </si>
  <si>
    <t>23.00</t>
  </si>
  <si>
    <t>23.0000</t>
  </si>
  <si>
    <t>20.1200</t>
  </si>
  <si>
    <t>20.15</t>
  </si>
  <si>
    <t>2020/09/30</t>
  </si>
  <si>
    <t>13</t>
  </si>
  <si>
    <t>25.00</t>
  </si>
  <si>
    <t>27.00</t>
  </si>
  <si>
    <t>26.4500</t>
  </si>
  <si>
    <t>25.0500</t>
  </si>
  <si>
    <t>2020/11/02</t>
  </si>
  <si>
    <t>2022/01/28</t>
  </si>
  <si>
    <t>29.6200</t>
  </si>
  <si>
    <t>19.0000</t>
  </si>
  <si>
    <t>2020/11/30</t>
  </si>
  <si>
    <t>29.5500</t>
  </si>
  <si>
    <t>2021/01/04</t>
  </si>
  <si>
    <t>2022/03/30</t>
  </si>
  <si>
    <t>15.00</t>
  </si>
  <si>
    <t>16.50</t>
  </si>
  <si>
    <t>17.0000</t>
  </si>
  <si>
    <t>16.0000</t>
  </si>
  <si>
    <t>16.30</t>
  </si>
  <si>
    <t>2021/02/01</t>
  </si>
  <si>
    <t>13.9000</t>
  </si>
  <si>
    <t>13.8000</t>
  </si>
  <si>
    <t>2021/03/01</t>
  </si>
  <si>
    <t>2022/05/30</t>
  </si>
  <si>
    <t>2021/03/31</t>
  </si>
  <si>
    <t>2022/06/29</t>
  </si>
  <si>
    <t>2021/04/30</t>
  </si>
  <si>
    <t>2021/05/31</t>
  </si>
  <si>
    <t>2022/08/30</t>
  </si>
  <si>
    <t>2021/06/30</t>
  </si>
  <si>
    <t>2022/09/29</t>
  </si>
  <si>
    <t>2022/10/28</t>
  </si>
  <si>
    <t>2021/08/31</t>
  </si>
  <si>
    <t>2022/11/29</t>
  </si>
  <si>
    <t>2021/09/30</t>
  </si>
  <si>
    <t>西エリア・ベースロード電力先物</t>
  </si>
  <si>
    <t>West Area Baseload Electricity Futures</t>
  </si>
  <si>
    <t>24.5000</t>
  </si>
  <si>
    <t>19.3000</t>
  </si>
  <si>
    <t>28.5000</t>
  </si>
  <si>
    <t>30.00</t>
  </si>
  <si>
    <t>25.5000</t>
  </si>
  <si>
    <t>19.0800</t>
  </si>
  <si>
    <t>29.2500</t>
  </si>
  <si>
    <t>東エリア・日中ロード電力先物</t>
  </si>
  <si>
    <t>East Area Peakload Electricity Futures</t>
  </si>
  <si>
    <t>2021/10/28</t>
  </si>
  <si>
    <t>13.00</t>
  </si>
  <si>
    <t>2021/12/28</t>
  </si>
  <si>
    <t>31.00</t>
  </si>
  <si>
    <t>31.0000</t>
  </si>
  <si>
    <t>2020/10/30</t>
  </si>
  <si>
    <t>33.16</t>
  </si>
  <si>
    <t>32.1000</t>
  </si>
  <si>
    <t>32.6000</t>
  </si>
  <si>
    <t>2020/12/29</t>
  </si>
  <si>
    <t>2021/01/29</t>
  </si>
  <si>
    <t>2022/04/27</t>
  </si>
  <si>
    <t>2021/02/26</t>
  </si>
  <si>
    <t>2022/07/28</t>
  </si>
  <si>
    <t>2021/07/30</t>
  </si>
  <si>
    <t>2022/12/28</t>
  </si>
  <si>
    <t>2023/01</t>
  </si>
  <si>
    <t>2023/01/30</t>
  </si>
  <si>
    <t>西エリア・日中ロード電力先物</t>
  </si>
  <si>
    <t>West Area Peakload Electricity Futures</t>
  </si>
  <si>
    <t>中京ローリーガソリン先物</t>
  </si>
  <si>
    <t>Chukyo Gasoline Futures</t>
  </si>
  <si>
    <t>71,000</t>
  </si>
  <si>
    <t>78,000</t>
  </si>
  <si>
    <t>78,000.0000</t>
  </si>
  <si>
    <t>76,000.0000</t>
  </si>
  <si>
    <t>中京ローリー灯油先物</t>
  </si>
  <si>
    <t>Chukyo Kerosene Futures</t>
  </si>
  <si>
    <t>78,600</t>
  </si>
  <si>
    <t>78,500.0000</t>
  </si>
  <si>
    <t>77,150</t>
  </si>
  <si>
    <t>77,500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</si>
</sst>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7D505F-8AFA-4473-8D9E-2C4C8F1A6157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/>
      <c r="L7" s="6"/>
      <c r="M7" s="3" t="s">
        <v>51</v>
      </c>
      <c r="N7" s="6" t="s">
        <v>55</v>
      </c>
      <c r="O7" s="3"/>
      <c r="P7" s="6"/>
      <c r="Q7" s="3" t="s">
        <v>56</v>
      </c>
      <c r="R7" s="6" t="s">
        <v>57</v>
      </c>
      <c r="S7" s="5">
        <f>6433.78</f>
        <v>6433.78</v>
      </c>
      <c r="T7" s="4">
        <f>1263</f>
        <v>1263</v>
      </c>
      <c r="U7" s="4"/>
      <c r="V7" s="4">
        <v>60</v>
      </c>
      <c r="W7" s="4">
        <f>8114069000</f>
        <v>8114069000</v>
      </c>
      <c r="X7" s="4"/>
      <c r="Y7" s="4">
        <v>382954000</v>
      </c>
      <c r="Z7" s="3" t="s">
        <v>58</v>
      </c>
      <c r="AA7" s="2">
        <f>449</f>
        <v>449</v>
      </c>
      <c r="AB7" s="2" t="str">
        <f t="shared" ref="AB7:AB38" si="0">"－"</f>
        <v>－</v>
      </c>
      <c r="AC7" s="1">
        <f>18</f>
        <v>18</v>
      </c>
    </row>
    <row r="8" spans="1:29">
      <c r="A8" s="9" t="s">
        <v>46</v>
      </c>
      <c r="B8" s="8" t="s">
        <v>47</v>
      </c>
      <c r="C8" s="8" t="s">
        <v>48</v>
      </c>
      <c r="D8" s="8" t="s">
        <v>59</v>
      </c>
      <c r="E8" s="7" t="s">
        <v>60</v>
      </c>
      <c r="F8" s="7" t="s">
        <v>61</v>
      </c>
      <c r="G8" s="3" t="s">
        <v>51</v>
      </c>
      <c r="H8" s="6" t="s">
        <v>62</v>
      </c>
      <c r="I8" s="3" t="s">
        <v>56</v>
      </c>
      <c r="J8" s="6" t="s">
        <v>63</v>
      </c>
      <c r="K8" s="3"/>
      <c r="L8" s="6"/>
      <c r="M8" s="3" t="s">
        <v>51</v>
      </c>
      <c r="N8" s="6" t="s">
        <v>62</v>
      </c>
      <c r="O8" s="3"/>
      <c r="P8" s="6"/>
      <c r="Q8" s="3" t="s">
        <v>64</v>
      </c>
      <c r="R8" s="6" t="s">
        <v>65</v>
      </c>
      <c r="S8" s="5">
        <f>6452.71</f>
        <v>6452.71</v>
      </c>
      <c r="T8" s="4">
        <f>1893</f>
        <v>1893</v>
      </c>
      <c r="U8" s="4"/>
      <c r="V8" s="4">
        <v>174</v>
      </c>
      <c r="W8" s="4">
        <f>12230619000</f>
        <v>12230619000</v>
      </c>
      <c r="X8" s="4"/>
      <c r="Y8" s="4">
        <v>1135971000</v>
      </c>
      <c r="Z8" s="3"/>
      <c r="AA8" s="2">
        <f>807</f>
        <v>807</v>
      </c>
      <c r="AB8" s="2" t="str">
        <f t="shared" si="0"/>
        <v>－</v>
      </c>
      <c r="AC8" s="1">
        <f>21</f>
        <v>21</v>
      </c>
    </row>
    <row r="9" spans="1:29">
      <c r="A9" s="9" t="s">
        <v>46</v>
      </c>
      <c r="B9" s="8" t="s">
        <v>47</v>
      </c>
      <c r="C9" s="8" t="s">
        <v>48</v>
      </c>
      <c r="D9" s="8" t="s">
        <v>66</v>
      </c>
      <c r="E9" s="7" t="s">
        <v>67</v>
      </c>
      <c r="F9" s="7" t="s">
        <v>68</v>
      </c>
      <c r="G9" s="3" t="s">
        <v>51</v>
      </c>
      <c r="H9" s="6" t="s">
        <v>62</v>
      </c>
      <c r="I9" s="3" t="s">
        <v>53</v>
      </c>
      <c r="J9" s="6" t="s">
        <v>69</v>
      </c>
      <c r="K9" s="3"/>
      <c r="L9" s="6"/>
      <c r="M9" s="3" t="s">
        <v>51</v>
      </c>
      <c r="N9" s="6" t="s">
        <v>70</v>
      </c>
      <c r="O9" s="3"/>
      <c r="P9" s="6"/>
      <c r="Q9" s="3" t="s">
        <v>64</v>
      </c>
      <c r="R9" s="6" t="s">
        <v>71</v>
      </c>
      <c r="S9" s="5">
        <f>6450.05</f>
        <v>6450.05</v>
      </c>
      <c r="T9" s="4">
        <f>5025</f>
        <v>5025</v>
      </c>
      <c r="U9" s="4"/>
      <c r="V9" s="4">
        <v>1370</v>
      </c>
      <c r="W9" s="4">
        <f>32300640000</f>
        <v>32300640000</v>
      </c>
      <c r="X9" s="4"/>
      <c r="Y9" s="4">
        <v>8758181000</v>
      </c>
      <c r="Z9" s="3"/>
      <c r="AA9" s="2">
        <f>4215</f>
        <v>4215</v>
      </c>
      <c r="AB9" s="2" t="str">
        <f t="shared" si="0"/>
        <v>－</v>
      </c>
      <c r="AC9" s="1">
        <f>21</f>
        <v>21</v>
      </c>
    </row>
    <row r="10" spans="1:29">
      <c r="A10" s="9" t="s">
        <v>46</v>
      </c>
      <c r="B10" s="8" t="s">
        <v>47</v>
      </c>
      <c r="C10" s="8" t="s">
        <v>48</v>
      </c>
      <c r="D10" s="8" t="s">
        <v>72</v>
      </c>
      <c r="E10" s="7" t="s">
        <v>73</v>
      </c>
      <c r="F10" s="7" t="s">
        <v>74</v>
      </c>
      <c r="G10" s="3" t="s">
        <v>51</v>
      </c>
      <c r="H10" s="6" t="s">
        <v>75</v>
      </c>
      <c r="I10" s="3" t="s">
        <v>53</v>
      </c>
      <c r="J10" s="6" t="s">
        <v>76</v>
      </c>
      <c r="K10" s="3" t="s">
        <v>77</v>
      </c>
      <c r="L10" s="6" t="s">
        <v>78</v>
      </c>
      <c r="M10" s="3" t="s">
        <v>51</v>
      </c>
      <c r="N10" s="6" t="s">
        <v>79</v>
      </c>
      <c r="O10" s="3" t="s">
        <v>77</v>
      </c>
      <c r="P10" s="6" t="s">
        <v>78</v>
      </c>
      <c r="Q10" s="3" t="s">
        <v>64</v>
      </c>
      <c r="R10" s="6" t="s">
        <v>80</v>
      </c>
      <c r="S10" s="5">
        <f>6454.48</f>
        <v>6454.48</v>
      </c>
      <c r="T10" s="4">
        <f>14696</f>
        <v>14696</v>
      </c>
      <c r="U10" s="4">
        <v>2</v>
      </c>
      <c r="V10" s="4">
        <v>3523</v>
      </c>
      <c r="W10" s="4">
        <f>94782981000</f>
        <v>94782981000</v>
      </c>
      <c r="X10" s="4">
        <v>13056000</v>
      </c>
      <c r="Y10" s="4">
        <v>22572815000</v>
      </c>
      <c r="Z10" s="3"/>
      <c r="AA10" s="2">
        <f>7550</f>
        <v>7550</v>
      </c>
      <c r="AB10" s="2" t="str">
        <f t="shared" si="0"/>
        <v>－</v>
      </c>
      <c r="AC10" s="1">
        <f>21</f>
        <v>21</v>
      </c>
    </row>
    <row r="11" spans="1:29">
      <c r="A11" s="9" t="s">
        <v>46</v>
      </c>
      <c r="B11" s="8" t="s">
        <v>47</v>
      </c>
      <c r="C11" s="8" t="s">
        <v>48</v>
      </c>
      <c r="D11" s="8" t="s">
        <v>81</v>
      </c>
      <c r="E11" s="7" t="s">
        <v>82</v>
      </c>
      <c r="F11" s="7" t="s">
        <v>83</v>
      </c>
      <c r="G11" s="3" t="s">
        <v>51</v>
      </c>
      <c r="H11" s="6" t="s">
        <v>62</v>
      </c>
      <c r="I11" s="3" t="s">
        <v>53</v>
      </c>
      <c r="J11" s="6" t="s">
        <v>84</v>
      </c>
      <c r="K11" s="3" t="s">
        <v>85</v>
      </c>
      <c r="L11" s="6" t="s">
        <v>86</v>
      </c>
      <c r="M11" s="3" t="s">
        <v>51</v>
      </c>
      <c r="N11" s="6" t="s">
        <v>87</v>
      </c>
      <c r="O11" s="3" t="s">
        <v>51</v>
      </c>
      <c r="P11" s="6" t="s">
        <v>88</v>
      </c>
      <c r="Q11" s="3" t="s">
        <v>64</v>
      </c>
      <c r="R11" s="6" t="s">
        <v>89</v>
      </c>
      <c r="S11" s="5">
        <f>6450.1</f>
        <v>6450.1</v>
      </c>
      <c r="T11" s="4">
        <f>34801</f>
        <v>34801</v>
      </c>
      <c r="U11" s="4">
        <v>2</v>
      </c>
      <c r="V11" s="4">
        <v>4927</v>
      </c>
      <c r="W11" s="4">
        <f>224442178000</f>
        <v>224442178000</v>
      </c>
      <c r="X11" s="4">
        <v>12512000</v>
      </c>
      <c r="Y11" s="4">
        <v>31683175000</v>
      </c>
      <c r="Z11" s="3"/>
      <c r="AA11" s="2">
        <f>3967</f>
        <v>3967</v>
      </c>
      <c r="AB11" s="2" t="str">
        <f t="shared" si="0"/>
        <v>－</v>
      </c>
      <c r="AC11" s="1">
        <f>21</f>
        <v>21</v>
      </c>
    </row>
    <row r="12" spans="1:29">
      <c r="A12" s="9" t="s">
        <v>46</v>
      </c>
      <c r="B12" s="8" t="s">
        <v>47</v>
      </c>
      <c r="C12" s="8" t="s">
        <v>48</v>
      </c>
      <c r="D12" s="8" t="s">
        <v>90</v>
      </c>
      <c r="E12" s="7" t="s">
        <v>91</v>
      </c>
      <c r="F12" s="7" t="s">
        <v>92</v>
      </c>
      <c r="G12" s="3" t="s">
        <v>51</v>
      </c>
      <c r="H12" s="6" t="s">
        <v>52</v>
      </c>
      <c r="I12" s="3" t="s">
        <v>53</v>
      </c>
      <c r="J12" s="6" t="s">
        <v>93</v>
      </c>
      <c r="K12" s="3" t="s">
        <v>94</v>
      </c>
      <c r="L12" s="6" t="s">
        <v>95</v>
      </c>
      <c r="M12" s="3" t="s">
        <v>51</v>
      </c>
      <c r="N12" s="6" t="s">
        <v>96</v>
      </c>
      <c r="O12" s="3" t="s">
        <v>97</v>
      </c>
      <c r="P12" s="6" t="s">
        <v>98</v>
      </c>
      <c r="Q12" s="3" t="s">
        <v>64</v>
      </c>
      <c r="R12" s="6" t="s">
        <v>99</v>
      </c>
      <c r="S12" s="5">
        <f>6447.81</f>
        <v>6447.81</v>
      </c>
      <c r="T12" s="4">
        <f>460023</f>
        <v>460023</v>
      </c>
      <c r="U12" s="4">
        <v>340</v>
      </c>
      <c r="V12" s="4">
        <v>4382</v>
      </c>
      <c r="W12" s="4">
        <f>2963097473000</f>
        <v>2963097473000</v>
      </c>
      <c r="X12" s="4">
        <v>2213442000</v>
      </c>
      <c r="Y12" s="4">
        <v>28400875000</v>
      </c>
      <c r="Z12" s="3"/>
      <c r="AA12" s="2">
        <f>19656</f>
        <v>19656</v>
      </c>
      <c r="AB12" s="2" t="str">
        <f t="shared" si="0"/>
        <v>－</v>
      </c>
      <c r="AC12" s="1">
        <f>21</f>
        <v>21</v>
      </c>
    </row>
    <row r="13" spans="1:29">
      <c r="A13" s="9" t="s">
        <v>46</v>
      </c>
      <c r="B13" s="8" t="s">
        <v>47</v>
      </c>
      <c r="C13" s="8" t="s">
        <v>48</v>
      </c>
      <c r="D13" s="8" t="s">
        <v>100</v>
      </c>
      <c r="E13" s="7" t="s">
        <v>101</v>
      </c>
      <c r="F13" s="7" t="s">
        <v>102</v>
      </c>
      <c r="G13" s="3" t="s">
        <v>94</v>
      </c>
      <c r="H13" s="6" t="s">
        <v>103</v>
      </c>
      <c r="I13" s="3" t="s">
        <v>64</v>
      </c>
      <c r="J13" s="6" t="s">
        <v>104</v>
      </c>
      <c r="K13" s="3"/>
      <c r="L13" s="6"/>
      <c r="M13" s="3" t="s">
        <v>105</v>
      </c>
      <c r="N13" s="6" t="s">
        <v>106</v>
      </c>
      <c r="O13" s="3"/>
      <c r="P13" s="6"/>
      <c r="Q13" s="3" t="s">
        <v>64</v>
      </c>
      <c r="R13" s="6" t="s">
        <v>99</v>
      </c>
      <c r="S13" s="5">
        <f>6552.33</f>
        <v>6552.33</v>
      </c>
      <c r="T13" s="4">
        <f>32443</f>
        <v>32443</v>
      </c>
      <c r="U13" s="4"/>
      <c r="V13" s="4">
        <v>1558</v>
      </c>
      <c r="W13" s="4">
        <f>212681627000</f>
        <v>212681627000</v>
      </c>
      <c r="X13" s="4"/>
      <c r="Y13" s="4">
        <v>10216449000</v>
      </c>
      <c r="Z13" s="3"/>
      <c r="AA13" s="2">
        <f>6305</f>
        <v>6305</v>
      </c>
      <c r="AB13" s="2" t="str">
        <f t="shared" si="0"/>
        <v>－</v>
      </c>
      <c r="AC13" s="1">
        <f>3</f>
        <v>3</v>
      </c>
    </row>
    <row r="14" spans="1:29">
      <c r="A14" s="9" t="s">
        <v>46</v>
      </c>
      <c r="B14" s="8" t="s">
        <v>107</v>
      </c>
      <c r="C14" s="8" t="s">
        <v>108</v>
      </c>
      <c r="D14" s="8" t="s">
        <v>46</v>
      </c>
      <c r="E14" s="7" t="s">
        <v>49</v>
      </c>
      <c r="F14" s="7" t="s">
        <v>109</v>
      </c>
      <c r="G14" s="3" t="s">
        <v>51</v>
      </c>
      <c r="H14" s="6" t="s">
        <v>110</v>
      </c>
      <c r="I14" s="3" t="s">
        <v>53</v>
      </c>
      <c r="J14" s="6" t="s">
        <v>111</v>
      </c>
      <c r="K14" s="3"/>
      <c r="L14" s="6"/>
      <c r="M14" s="3" t="s">
        <v>51</v>
      </c>
      <c r="N14" s="6" t="s">
        <v>110</v>
      </c>
      <c r="O14" s="3"/>
      <c r="P14" s="6"/>
      <c r="Q14" s="3" t="s">
        <v>53</v>
      </c>
      <c r="R14" s="6" t="s">
        <v>112</v>
      </c>
      <c r="S14" s="5">
        <f>6424.71</f>
        <v>6424.71</v>
      </c>
      <c r="T14" s="4">
        <f>1400</f>
        <v>1400</v>
      </c>
      <c r="U14" s="4"/>
      <c r="V14" s="4"/>
      <c r="W14" s="4">
        <f>886153300</f>
        <v>886153300</v>
      </c>
      <c r="X14" s="4"/>
      <c r="Y14" s="4"/>
      <c r="Z14" s="3" t="s">
        <v>58</v>
      </c>
      <c r="AA14" s="2">
        <f>602</f>
        <v>602</v>
      </c>
      <c r="AB14" s="2" t="str">
        <f t="shared" si="0"/>
        <v>－</v>
      </c>
      <c r="AC14" s="1">
        <f>17</f>
        <v>17</v>
      </c>
    </row>
    <row r="15" spans="1:29">
      <c r="A15" s="9" t="s">
        <v>46</v>
      </c>
      <c r="B15" s="8" t="s">
        <v>107</v>
      </c>
      <c r="C15" s="8" t="s">
        <v>108</v>
      </c>
      <c r="D15" s="8" t="s">
        <v>59</v>
      </c>
      <c r="E15" s="7" t="s">
        <v>60</v>
      </c>
      <c r="F15" s="7" t="s">
        <v>113</v>
      </c>
      <c r="G15" s="3" t="s">
        <v>51</v>
      </c>
      <c r="H15" s="6" t="s">
        <v>114</v>
      </c>
      <c r="I15" s="3" t="s">
        <v>53</v>
      </c>
      <c r="J15" s="6" t="s">
        <v>115</v>
      </c>
      <c r="K15" s="3"/>
      <c r="L15" s="6"/>
      <c r="M15" s="3" t="s">
        <v>116</v>
      </c>
      <c r="N15" s="6" t="s">
        <v>117</v>
      </c>
      <c r="O15" s="3"/>
      <c r="P15" s="6"/>
      <c r="Q15" s="3" t="s">
        <v>64</v>
      </c>
      <c r="R15" s="6" t="s">
        <v>118</v>
      </c>
      <c r="S15" s="5">
        <f>6452.71</f>
        <v>6452.71</v>
      </c>
      <c r="T15" s="4">
        <f>500</f>
        <v>500</v>
      </c>
      <c r="U15" s="4"/>
      <c r="V15" s="4"/>
      <c r="W15" s="4">
        <f>322636900</f>
        <v>322636900</v>
      </c>
      <c r="X15" s="4"/>
      <c r="Y15" s="4"/>
      <c r="Z15" s="3"/>
      <c r="AA15" s="2">
        <f>1243</f>
        <v>1243</v>
      </c>
      <c r="AB15" s="2" t="str">
        <f t="shared" si="0"/>
        <v>－</v>
      </c>
      <c r="AC15" s="1">
        <f>21</f>
        <v>21</v>
      </c>
    </row>
    <row r="16" spans="1:29">
      <c r="A16" s="9" t="s">
        <v>46</v>
      </c>
      <c r="B16" s="8" t="s">
        <v>107</v>
      </c>
      <c r="C16" s="8" t="s">
        <v>108</v>
      </c>
      <c r="D16" s="8" t="s">
        <v>66</v>
      </c>
      <c r="E16" s="7" t="s">
        <v>67</v>
      </c>
      <c r="F16" s="7" t="s">
        <v>119</v>
      </c>
      <c r="G16" s="3" t="s">
        <v>51</v>
      </c>
      <c r="H16" s="6" t="s">
        <v>120</v>
      </c>
      <c r="I16" s="3" t="s">
        <v>56</v>
      </c>
      <c r="J16" s="6" t="s">
        <v>121</v>
      </c>
      <c r="K16" s="3"/>
      <c r="L16" s="6"/>
      <c r="M16" s="3" t="s">
        <v>51</v>
      </c>
      <c r="N16" s="6" t="s">
        <v>120</v>
      </c>
      <c r="O16" s="3"/>
      <c r="P16" s="6"/>
      <c r="Q16" s="3" t="s">
        <v>64</v>
      </c>
      <c r="R16" s="6" t="s">
        <v>71</v>
      </c>
      <c r="S16" s="5">
        <f>6450.05</f>
        <v>6450.05</v>
      </c>
      <c r="T16" s="4">
        <f>304</f>
        <v>304</v>
      </c>
      <c r="U16" s="4"/>
      <c r="V16" s="4"/>
      <c r="W16" s="4">
        <f>195417400</f>
        <v>195417400</v>
      </c>
      <c r="X16" s="4"/>
      <c r="Y16" s="4"/>
      <c r="Z16" s="3"/>
      <c r="AA16" s="2">
        <f>3270</f>
        <v>3270</v>
      </c>
      <c r="AB16" s="2" t="str">
        <f t="shared" si="0"/>
        <v>－</v>
      </c>
      <c r="AC16" s="1">
        <f>21</f>
        <v>21</v>
      </c>
    </row>
    <row r="17" spans="1:29">
      <c r="A17" s="9" t="s">
        <v>46</v>
      </c>
      <c r="B17" s="8" t="s">
        <v>107</v>
      </c>
      <c r="C17" s="8" t="s">
        <v>108</v>
      </c>
      <c r="D17" s="8" t="s">
        <v>72</v>
      </c>
      <c r="E17" s="7" t="s">
        <v>73</v>
      </c>
      <c r="F17" s="7" t="s">
        <v>122</v>
      </c>
      <c r="G17" s="3" t="s">
        <v>51</v>
      </c>
      <c r="H17" s="6" t="s">
        <v>123</v>
      </c>
      <c r="I17" s="3" t="s">
        <v>53</v>
      </c>
      <c r="J17" s="6" t="s">
        <v>93</v>
      </c>
      <c r="K17" s="3"/>
      <c r="L17" s="6"/>
      <c r="M17" s="3" t="s">
        <v>51</v>
      </c>
      <c r="N17" s="6" t="s">
        <v>124</v>
      </c>
      <c r="O17" s="3"/>
      <c r="P17" s="6"/>
      <c r="Q17" s="3" t="s">
        <v>64</v>
      </c>
      <c r="R17" s="6" t="s">
        <v>125</v>
      </c>
      <c r="S17" s="5">
        <f>6454.48</f>
        <v>6454.48</v>
      </c>
      <c r="T17" s="4">
        <f>959</f>
        <v>959</v>
      </c>
      <c r="U17" s="4"/>
      <c r="V17" s="4"/>
      <c r="W17" s="4">
        <f>622700300</f>
        <v>622700300</v>
      </c>
      <c r="X17" s="4"/>
      <c r="Y17" s="4"/>
      <c r="Z17" s="3"/>
      <c r="AA17" s="2">
        <f>1945</f>
        <v>1945</v>
      </c>
      <c r="AB17" s="2" t="str">
        <f t="shared" si="0"/>
        <v>－</v>
      </c>
      <c r="AC17" s="1">
        <f>21</f>
        <v>21</v>
      </c>
    </row>
    <row r="18" spans="1:29">
      <c r="A18" s="9" t="s">
        <v>46</v>
      </c>
      <c r="B18" s="8" t="s">
        <v>107</v>
      </c>
      <c r="C18" s="8" t="s">
        <v>108</v>
      </c>
      <c r="D18" s="8" t="s">
        <v>81</v>
      </c>
      <c r="E18" s="7" t="s">
        <v>82</v>
      </c>
      <c r="F18" s="7" t="s">
        <v>126</v>
      </c>
      <c r="G18" s="3" t="s">
        <v>51</v>
      </c>
      <c r="H18" s="6" t="s">
        <v>75</v>
      </c>
      <c r="I18" s="3" t="s">
        <v>53</v>
      </c>
      <c r="J18" s="6" t="s">
        <v>84</v>
      </c>
      <c r="K18" s="3"/>
      <c r="L18" s="6"/>
      <c r="M18" s="3" t="s">
        <v>51</v>
      </c>
      <c r="N18" s="6" t="s">
        <v>127</v>
      </c>
      <c r="O18" s="3"/>
      <c r="P18" s="6"/>
      <c r="Q18" s="3" t="s">
        <v>64</v>
      </c>
      <c r="R18" s="6" t="s">
        <v>89</v>
      </c>
      <c r="S18" s="5">
        <f>6450.1</f>
        <v>6450.1</v>
      </c>
      <c r="T18" s="4">
        <f>13724</f>
        <v>13724</v>
      </c>
      <c r="U18" s="4"/>
      <c r="V18" s="4"/>
      <c r="W18" s="4">
        <f>8899644100</f>
        <v>8899644100</v>
      </c>
      <c r="X18" s="4"/>
      <c r="Y18" s="4"/>
      <c r="Z18" s="3"/>
      <c r="AA18" s="2">
        <f>1611</f>
        <v>1611</v>
      </c>
      <c r="AB18" s="2" t="str">
        <f t="shared" si="0"/>
        <v>－</v>
      </c>
      <c r="AC18" s="1">
        <f>21</f>
        <v>21</v>
      </c>
    </row>
    <row r="19" spans="1:29">
      <c r="A19" s="9" t="s">
        <v>46</v>
      </c>
      <c r="B19" s="8" t="s">
        <v>107</v>
      </c>
      <c r="C19" s="8" t="s">
        <v>108</v>
      </c>
      <c r="D19" s="8" t="s">
        <v>90</v>
      </c>
      <c r="E19" s="7" t="s">
        <v>91</v>
      </c>
      <c r="F19" s="7" t="s">
        <v>128</v>
      </c>
      <c r="G19" s="3" t="s">
        <v>51</v>
      </c>
      <c r="H19" s="6" t="s">
        <v>129</v>
      </c>
      <c r="I19" s="3" t="s">
        <v>53</v>
      </c>
      <c r="J19" s="6" t="s">
        <v>93</v>
      </c>
      <c r="K19" s="3"/>
      <c r="L19" s="6"/>
      <c r="M19" s="3" t="s">
        <v>51</v>
      </c>
      <c r="N19" s="6" t="s">
        <v>130</v>
      </c>
      <c r="O19" s="3"/>
      <c r="P19" s="6"/>
      <c r="Q19" s="3" t="s">
        <v>64</v>
      </c>
      <c r="R19" s="6" t="s">
        <v>131</v>
      </c>
      <c r="S19" s="5">
        <f>6447.81</f>
        <v>6447.81</v>
      </c>
      <c r="T19" s="4">
        <f>141065</f>
        <v>141065</v>
      </c>
      <c r="U19" s="4"/>
      <c r="V19" s="4"/>
      <c r="W19" s="4">
        <f>90959887300</f>
        <v>90959887300</v>
      </c>
      <c r="X19" s="4"/>
      <c r="Y19" s="4"/>
      <c r="Z19" s="3"/>
      <c r="AA19" s="2">
        <f>3535</f>
        <v>3535</v>
      </c>
      <c r="AB19" s="2" t="str">
        <f t="shared" si="0"/>
        <v>－</v>
      </c>
      <c r="AC19" s="1">
        <f>21</f>
        <v>21</v>
      </c>
    </row>
    <row r="20" spans="1:29">
      <c r="A20" s="9" t="s">
        <v>46</v>
      </c>
      <c r="B20" s="8" t="s">
        <v>107</v>
      </c>
      <c r="C20" s="8" t="s">
        <v>108</v>
      </c>
      <c r="D20" s="8" t="s">
        <v>100</v>
      </c>
      <c r="E20" s="7" t="s">
        <v>101</v>
      </c>
      <c r="F20" s="7" t="s">
        <v>132</v>
      </c>
      <c r="G20" s="3" t="s">
        <v>94</v>
      </c>
      <c r="H20" s="6" t="s">
        <v>133</v>
      </c>
      <c r="I20" s="3" t="s">
        <v>64</v>
      </c>
      <c r="J20" s="6" t="s">
        <v>134</v>
      </c>
      <c r="K20" s="3"/>
      <c r="L20" s="6"/>
      <c r="M20" s="3" t="s">
        <v>105</v>
      </c>
      <c r="N20" s="6" t="s">
        <v>106</v>
      </c>
      <c r="O20" s="3"/>
      <c r="P20" s="6"/>
      <c r="Q20" s="3" t="s">
        <v>64</v>
      </c>
      <c r="R20" s="6" t="s">
        <v>135</v>
      </c>
      <c r="S20" s="5">
        <f>6552.33</f>
        <v>6552.33</v>
      </c>
      <c r="T20" s="4">
        <f>8457</f>
        <v>8457</v>
      </c>
      <c r="U20" s="4"/>
      <c r="V20" s="4"/>
      <c r="W20" s="4">
        <f>5543021500</f>
        <v>5543021500</v>
      </c>
      <c r="X20" s="4"/>
      <c r="Y20" s="4"/>
      <c r="Z20" s="3"/>
      <c r="AA20" s="2">
        <f>878</f>
        <v>878</v>
      </c>
      <c r="AB20" s="2" t="str">
        <f t="shared" si="0"/>
        <v>－</v>
      </c>
      <c r="AC20" s="1">
        <f>3</f>
        <v>3</v>
      </c>
    </row>
    <row r="21" spans="1:29">
      <c r="A21" s="9" t="s">
        <v>46</v>
      </c>
      <c r="B21" s="8" t="s">
        <v>136</v>
      </c>
      <c r="C21" s="8" t="s">
        <v>137</v>
      </c>
      <c r="D21" s="8" t="s">
        <v>138</v>
      </c>
      <c r="E21" s="7" t="s">
        <v>138</v>
      </c>
      <c r="F21" s="7" t="s">
        <v>138</v>
      </c>
      <c r="G21" s="3" t="s">
        <v>51</v>
      </c>
      <c r="H21" s="6" t="s">
        <v>139</v>
      </c>
      <c r="I21" s="3" t="s">
        <v>53</v>
      </c>
      <c r="J21" s="6" t="s">
        <v>140</v>
      </c>
      <c r="K21" s="3"/>
      <c r="L21" s="6"/>
      <c r="M21" s="3" t="s">
        <v>51</v>
      </c>
      <c r="N21" s="6" t="s">
        <v>141</v>
      </c>
      <c r="O21" s="3"/>
      <c r="P21" s="6"/>
      <c r="Q21" s="3" t="s">
        <v>64</v>
      </c>
      <c r="R21" s="6" t="s">
        <v>142</v>
      </c>
      <c r="S21" s="5">
        <f>6452.71</f>
        <v>6452.71</v>
      </c>
      <c r="T21" s="4">
        <f>50857</f>
        <v>50857</v>
      </c>
      <c r="U21" s="4"/>
      <c r="V21" s="4"/>
      <c r="W21" s="4">
        <f>33000024500</f>
        <v>33000024500</v>
      </c>
      <c r="X21" s="4"/>
      <c r="Y21" s="4"/>
      <c r="Z21" s="3"/>
      <c r="AA21" s="2">
        <f>50293</f>
        <v>50293</v>
      </c>
      <c r="AB21" s="2" t="str">
        <f t="shared" si="0"/>
        <v>－</v>
      </c>
      <c r="AC21" s="1">
        <f>21</f>
        <v>21</v>
      </c>
    </row>
    <row r="22" spans="1:29">
      <c r="A22" s="9" t="s">
        <v>46</v>
      </c>
      <c r="B22" s="8" t="s">
        <v>143</v>
      </c>
      <c r="C22" s="8" t="s">
        <v>144</v>
      </c>
      <c r="D22" s="8" t="s">
        <v>46</v>
      </c>
      <c r="E22" s="7" t="s">
        <v>49</v>
      </c>
      <c r="F22" s="7" t="s">
        <v>50</v>
      </c>
      <c r="G22" s="3" t="s">
        <v>85</v>
      </c>
      <c r="H22" s="6" t="s">
        <v>145</v>
      </c>
      <c r="I22" s="3" t="s">
        <v>146</v>
      </c>
      <c r="J22" s="6" t="s">
        <v>147</v>
      </c>
      <c r="K22" s="3"/>
      <c r="L22" s="6"/>
      <c r="M22" s="3" t="s">
        <v>85</v>
      </c>
      <c r="N22" s="6" t="s">
        <v>145</v>
      </c>
      <c r="O22" s="3"/>
      <c r="P22" s="6"/>
      <c r="Q22" s="3" t="s">
        <v>97</v>
      </c>
      <c r="R22" s="6" t="s">
        <v>148</v>
      </c>
      <c r="S22" s="5">
        <f>83.36</f>
        <v>83.36</v>
      </c>
      <c r="T22" s="4">
        <f>41</f>
        <v>41</v>
      </c>
      <c r="U22" s="4"/>
      <c r="V22" s="4"/>
      <c r="W22" s="4">
        <f>34228000</f>
        <v>34228000</v>
      </c>
      <c r="X22" s="4"/>
      <c r="Y22" s="4"/>
      <c r="Z22" s="3" t="s">
        <v>58</v>
      </c>
      <c r="AA22" s="2">
        <f>81</f>
        <v>81</v>
      </c>
      <c r="AB22" s="2" t="str">
        <f t="shared" si="0"/>
        <v>－</v>
      </c>
      <c r="AC22" s="1">
        <f>8</f>
        <v>8</v>
      </c>
    </row>
    <row r="23" spans="1:29">
      <c r="A23" s="9" t="s">
        <v>46</v>
      </c>
      <c r="B23" s="8" t="s">
        <v>143</v>
      </c>
      <c r="C23" s="8" t="s">
        <v>144</v>
      </c>
      <c r="D23" s="8" t="s">
        <v>59</v>
      </c>
      <c r="E23" s="7" t="s">
        <v>60</v>
      </c>
      <c r="F23" s="7" t="s">
        <v>61</v>
      </c>
      <c r="G23" s="3" t="s">
        <v>51</v>
      </c>
      <c r="H23" s="6" t="s">
        <v>149</v>
      </c>
      <c r="I23" s="3" t="s">
        <v>56</v>
      </c>
      <c r="J23" s="6" t="s">
        <v>150</v>
      </c>
      <c r="K23" s="3"/>
      <c r="L23" s="6"/>
      <c r="M23" s="3" t="s">
        <v>51</v>
      </c>
      <c r="N23" s="6" t="s">
        <v>149</v>
      </c>
      <c r="O23" s="3"/>
      <c r="P23" s="6"/>
      <c r="Q23" s="3" t="s">
        <v>94</v>
      </c>
      <c r="R23" s="6" t="s">
        <v>151</v>
      </c>
      <c r="S23" s="5">
        <f>84.31</f>
        <v>84.31</v>
      </c>
      <c r="T23" s="4">
        <f>65</f>
        <v>65</v>
      </c>
      <c r="U23" s="4"/>
      <c r="V23" s="4"/>
      <c r="W23" s="4">
        <f>55518000</f>
        <v>55518000</v>
      </c>
      <c r="X23" s="4"/>
      <c r="Y23" s="4"/>
      <c r="Z23" s="3"/>
      <c r="AA23" s="2">
        <f>138</f>
        <v>138</v>
      </c>
      <c r="AB23" s="2" t="str">
        <f t="shared" si="0"/>
        <v>－</v>
      </c>
      <c r="AC23" s="1">
        <f>13</f>
        <v>13</v>
      </c>
    </row>
    <row r="24" spans="1:29">
      <c r="A24" s="9" t="s">
        <v>46</v>
      </c>
      <c r="B24" s="8" t="s">
        <v>143</v>
      </c>
      <c r="C24" s="8" t="s">
        <v>144</v>
      </c>
      <c r="D24" s="8" t="s">
        <v>66</v>
      </c>
      <c r="E24" s="7" t="s">
        <v>67</v>
      </c>
      <c r="F24" s="7" t="s">
        <v>68</v>
      </c>
      <c r="G24" s="3" t="s">
        <v>51</v>
      </c>
      <c r="H24" s="6" t="s">
        <v>152</v>
      </c>
      <c r="I24" s="3" t="s">
        <v>53</v>
      </c>
      <c r="J24" s="6" t="s">
        <v>153</v>
      </c>
      <c r="K24" s="3"/>
      <c r="L24" s="6"/>
      <c r="M24" s="3" t="s">
        <v>51</v>
      </c>
      <c r="N24" s="6" t="s">
        <v>154</v>
      </c>
      <c r="O24" s="3"/>
      <c r="P24" s="6"/>
      <c r="Q24" s="3" t="s">
        <v>105</v>
      </c>
      <c r="R24" s="6" t="s">
        <v>155</v>
      </c>
      <c r="S24" s="5">
        <f>84.38</f>
        <v>84.38</v>
      </c>
      <c r="T24" s="4">
        <f>34</f>
        <v>34</v>
      </c>
      <c r="U24" s="4"/>
      <c r="V24" s="4"/>
      <c r="W24" s="4">
        <f>29142000</f>
        <v>29142000</v>
      </c>
      <c r="X24" s="4"/>
      <c r="Y24" s="4"/>
      <c r="Z24" s="3"/>
      <c r="AA24" s="2">
        <f>240</f>
        <v>240</v>
      </c>
      <c r="AB24" s="2" t="str">
        <f t="shared" si="0"/>
        <v>－</v>
      </c>
      <c r="AC24" s="1">
        <f>12</f>
        <v>12</v>
      </c>
    </row>
    <row r="25" spans="1:29">
      <c r="A25" s="9" t="s">
        <v>46</v>
      </c>
      <c r="B25" s="8" t="s">
        <v>143</v>
      </c>
      <c r="C25" s="8" t="s">
        <v>144</v>
      </c>
      <c r="D25" s="8" t="s">
        <v>72</v>
      </c>
      <c r="E25" s="7" t="s">
        <v>73</v>
      </c>
      <c r="F25" s="7" t="s">
        <v>74</v>
      </c>
      <c r="G25" s="3" t="s">
        <v>156</v>
      </c>
      <c r="H25" s="6" t="s">
        <v>145</v>
      </c>
      <c r="I25" s="3" t="s">
        <v>56</v>
      </c>
      <c r="J25" s="6" t="s">
        <v>157</v>
      </c>
      <c r="K25" s="3"/>
      <c r="L25" s="6"/>
      <c r="M25" s="3" t="s">
        <v>85</v>
      </c>
      <c r="N25" s="6" t="s">
        <v>158</v>
      </c>
      <c r="O25" s="3"/>
      <c r="P25" s="6"/>
      <c r="Q25" s="3" t="s">
        <v>64</v>
      </c>
      <c r="R25" s="6" t="s">
        <v>151</v>
      </c>
      <c r="S25" s="5">
        <f>84.31</f>
        <v>84.31</v>
      </c>
      <c r="T25" s="4">
        <f>109</f>
        <v>109</v>
      </c>
      <c r="U25" s="4"/>
      <c r="V25" s="4"/>
      <c r="W25" s="4">
        <f>90651000</f>
        <v>90651000</v>
      </c>
      <c r="X25" s="4"/>
      <c r="Y25" s="4"/>
      <c r="Z25" s="3"/>
      <c r="AA25" s="2">
        <f>267</f>
        <v>267</v>
      </c>
      <c r="AB25" s="2" t="str">
        <f t="shared" si="0"/>
        <v>－</v>
      </c>
      <c r="AC25" s="1">
        <f>18</f>
        <v>18</v>
      </c>
    </row>
    <row r="26" spans="1:29">
      <c r="A26" s="9" t="s">
        <v>46</v>
      </c>
      <c r="B26" s="8" t="s">
        <v>143</v>
      </c>
      <c r="C26" s="8" t="s">
        <v>144</v>
      </c>
      <c r="D26" s="8" t="s">
        <v>81</v>
      </c>
      <c r="E26" s="7" t="s">
        <v>82</v>
      </c>
      <c r="F26" s="7" t="s">
        <v>83</v>
      </c>
      <c r="G26" s="3" t="s">
        <v>51</v>
      </c>
      <c r="H26" s="6" t="s">
        <v>159</v>
      </c>
      <c r="I26" s="3" t="s">
        <v>56</v>
      </c>
      <c r="J26" s="6" t="s">
        <v>160</v>
      </c>
      <c r="K26" s="3"/>
      <c r="L26" s="6"/>
      <c r="M26" s="3" t="s">
        <v>156</v>
      </c>
      <c r="N26" s="6" t="s">
        <v>161</v>
      </c>
      <c r="O26" s="3"/>
      <c r="P26" s="6"/>
      <c r="Q26" s="3" t="s">
        <v>64</v>
      </c>
      <c r="R26" s="6" t="s">
        <v>151</v>
      </c>
      <c r="S26" s="5">
        <f>84.49</f>
        <v>84.49</v>
      </c>
      <c r="T26" s="4">
        <f>325</f>
        <v>325</v>
      </c>
      <c r="U26" s="4"/>
      <c r="V26" s="4"/>
      <c r="W26" s="4">
        <f>278240000</f>
        <v>278240000</v>
      </c>
      <c r="X26" s="4"/>
      <c r="Y26" s="4"/>
      <c r="Z26" s="3"/>
      <c r="AA26" s="2">
        <f>279</f>
        <v>279</v>
      </c>
      <c r="AB26" s="2" t="str">
        <f t="shared" si="0"/>
        <v>－</v>
      </c>
      <c r="AC26" s="1">
        <f>20</f>
        <v>20</v>
      </c>
    </row>
    <row r="27" spans="1:29">
      <c r="A27" s="9" t="s">
        <v>46</v>
      </c>
      <c r="B27" s="8" t="s">
        <v>143</v>
      </c>
      <c r="C27" s="8" t="s">
        <v>144</v>
      </c>
      <c r="D27" s="8" t="s">
        <v>90</v>
      </c>
      <c r="E27" s="7" t="s">
        <v>91</v>
      </c>
      <c r="F27" s="7" t="s">
        <v>92</v>
      </c>
      <c r="G27" s="3" t="s">
        <v>51</v>
      </c>
      <c r="H27" s="6" t="s">
        <v>162</v>
      </c>
      <c r="I27" s="3" t="s">
        <v>53</v>
      </c>
      <c r="J27" s="6" t="s">
        <v>163</v>
      </c>
      <c r="K27" s="3"/>
      <c r="L27" s="6"/>
      <c r="M27" s="3" t="s">
        <v>51</v>
      </c>
      <c r="N27" s="6" t="s">
        <v>162</v>
      </c>
      <c r="O27" s="3"/>
      <c r="P27" s="6"/>
      <c r="Q27" s="3" t="s">
        <v>64</v>
      </c>
      <c r="R27" s="6" t="s">
        <v>164</v>
      </c>
      <c r="S27" s="5">
        <f>84.7</f>
        <v>84.7</v>
      </c>
      <c r="T27" s="4">
        <f>1661</f>
        <v>1661</v>
      </c>
      <c r="U27" s="4"/>
      <c r="V27" s="4"/>
      <c r="W27" s="4">
        <f>1408342000</f>
        <v>1408342000</v>
      </c>
      <c r="X27" s="4"/>
      <c r="Y27" s="4"/>
      <c r="Z27" s="3"/>
      <c r="AA27" s="2">
        <f>573</f>
        <v>573</v>
      </c>
      <c r="AB27" s="2" t="str">
        <f t="shared" si="0"/>
        <v>－</v>
      </c>
      <c r="AC27" s="1">
        <f>21</f>
        <v>21</v>
      </c>
    </row>
    <row r="28" spans="1:29">
      <c r="A28" s="9" t="s">
        <v>46</v>
      </c>
      <c r="B28" s="8" t="s">
        <v>143</v>
      </c>
      <c r="C28" s="8" t="s">
        <v>144</v>
      </c>
      <c r="D28" s="8" t="s">
        <v>100</v>
      </c>
      <c r="E28" s="7" t="s">
        <v>101</v>
      </c>
      <c r="F28" s="7" t="s">
        <v>102</v>
      </c>
      <c r="G28" s="3" t="s">
        <v>94</v>
      </c>
      <c r="H28" s="6" t="s">
        <v>165</v>
      </c>
      <c r="I28" s="3" t="s">
        <v>94</v>
      </c>
      <c r="J28" s="6" t="s">
        <v>166</v>
      </c>
      <c r="K28" s="3"/>
      <c r="L28" s="6"/>
      <c r="M28" s="3" t="s">
        <v>105</v>
      </c>
      <c r="N28" s="6" t="s">
        <v>167</v>
      </c>
      <c r="O28" s="3"/>
      <c r="P28" s="6"/>
      <c r="Q28" s="3" t="s">
        <v>64</v>
      </c>
      <c r="R28" s="6" t="s">
        <v>155</v>
      </c>
      <c r="S28" s="5">
        <f>87.47</f>
        <v>87.47</v>
      </c>
      <c r="T28" s="4">
        <f>74</f>
        <v>74</v>
      </c>
      <c r="U28" s="4"/>
      <c r="V28" s="4"/>
      <c r="W28" s="4">
        <f>65058000</f>
        <v>65058000</v>
      </c>
      <c r="X28" s="4"/>
      <c r="Y28" s="4"/>
      <c r="Z28" s="3"/>
      <c r="AA28" s="2">
        <f>52</f>
        <v>52</v>
      </c>
      <c r="AB28" s="2" t="str">
        <f t="shared" si="0"/>
        <v>－</v>
      </c>
      <c r="AC28" s="1">
        <f>3</f>
        <v>3</v>
      </c>
    </row>
    <row r="29" spans="1:29">
      <c r="A29" s="9" t="s">
        <v>46</v>
      </c>
      <c r="B29" s="8" t="s">
        <v>168</v>
      </c>
      <c r="C29" s="8" t="s">
        <v>169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170</v>
      </c>
      <c r="I29" s="3" t="s">
        <v>53</v>
      </c>
      <c r="J29" s="6" t="s">
        <v>171</v>
      </c>
      <c r="K29" s="3"/>
      <c r="L29" s="6"/>
      <c r="M29" s="3" t="s">
        <v>172</v>
      </c>
      <c r="N29" s="6" t="s">
        <v>173</v>
      </c>
      <c r="O29" s="3"/>
      <c r="P29" s="6"/>
      <c r="Q29" s="3" t="s">
        <v>56</v>
      </c>
      <c r="R29" s="6" t="s">
        <v>174</v>
      </c>
      <c r="S29" s="5">
        <f>3702.94</f>
        <v>3702.94</v>
      </c>
      <c r="T29" s="4">
        <f>948</f>
        <v>948</v>
      </c>
      <c r="U29" s="4"/>
      <c r="V29" s="4">
        <v>7</v>
      </c>
      <c r="W29" s="4">
        <f>1773182000</f>
        <v>1773182000</v>
      </c>
      <c r="X29" s="4"/>
      <c r="Y29" s="4">
        <v>12953500</v>
      </c>
      <c r="Z29" s="3" t="s">
        <v>58</v>
      </c>
      <c r="AA29" s="2">
        <f>443</f>
        <v>443</v>
      </c>
      <c r="AB29" s="2" t="str">
        <f t="shared" si="0"/>
        <v>－</v>
      </c>
      <c r="AC29" s="1">
        <f>18</f>
        <v>18</v>
      </c>
    </row>
    <row r="30" spans="1:29">
      <c r="A30" s="9" t="s">
        <v>46</v>
      </c>
      <c r="B30" s="8" t="s">
        <v>168</v>
      </c>
      <c r="C30" s="8" t="s">
        <v>169</v>
      </c>
      <c r="D30" s="8" t="s">
        <v>59</v>
      </c>
      <c r="E30" s="7" t="s">
        <v>60</v>
      </c>
      <c r="F30" s="7" t="s">
        <v>61</v>
      </c>
      <c r="G30" s="3" t="s">
        <v>51</v>
      </c>
      <c r="H30" s="6" t="s">
        <v>175</v>
      </c>
      <c r="I30" s="3" t="s">
        <v>53</v>
      </c>
      <c r="J30" s="6" t="s">
        <v>176</v>
      </c>
      <c r="K30" s="3"/>
      <c r="L30" s="6"/>
      <c r="M30" s="3" t="s">
        <v>172</v>
      </c>
      <c r="N30" s="6" t="s">
        <v>177</v>
      </c>
      <c r="O30" s="3"/>
      <c r="P30" s="6"/>
      <c r="Q30" s="3" t="s">
        <v>64</v>
      </c>
      <c r="R30" s="6" t="s">
        <v>178</v>
      </c>
      <c r="S30" s="5">
        <f>3713.52</f>
        <v>3713.52</v>
      </c>
      <c r="T30" s="4">
        <f>1162</f>
        <v>1162</v>
      </c>
      <c r="U30" s="4"/>
      <c r="V30" s="4">
        <v>42</v>
      </c>
      <c r="W30" s="4">
        <f>2175339000</f>
        <v>2175339000</v>
      </c>
      <c r="X30" s="4"/>
      <c r="Y30" s="4">
        <v>79186500</v>
      </c>
      <c r="Z30" s="3"/>
      <c r="AA30" s="2">
        <f>1142</f>
        <v>1142</v>
      </c>
      <c r="AB30" s="2" t="str">
        <f t="shared" si="0"/>
        <v>－</v>
      </c>
      <c r="AC30" s="1">
        <f>21</f>
        <v>21</v>
      </c>
    </row>
    <row r="31" spans="1:29">
      <c r="A31" s="9" t="s">
        <v>46</v>
      </c>
      <c r="B31" s="8" t="s">
        <v>168</v>
      </c>
      <c r="C31" s="8" t="s">
        <v>169</v>
      </c>
      <c r="D31" s="8" t="s">
        <v>66</v>
      </c>
      <c r="E31" s="7" t="s">
        <v>67</v>
      </c>
      <c r="F31" s="7" t="s">
        <v>68</v>
      </c>
      <c r="G31" s="3" t="s">
        <v>51</v>
      </c>
      <c r="H31" s="6" t="s">
        <v>179</v>
      </c>
      <c r="I31" s="3" t="s">
        <v>53</v>
      </c>
      <c r="J31" s="6" t="s">
        <v>180</v>
      </c>
      <c r="K31" s="3"/>
      <c r="L31" s="6"/>
      <c r="M31" s="3" t="s">
        <v>172</v>
      </c>
      <c r="N31" s="6" t="s">
        <v>181</v>
      </c>
      <c r="O31" s="3"/>
      <c r="P31" s="6"/>
      <c r="Q31" s="3" t="s">
        <v>64</v>
      </c>
      <c r="R31" s="6" t="s">
        <v>182</v>
      </c>
      <c r="S31" s="5">
        <f>3714.67</f>
        <v>3714.67</v>
      </c>
      <c r="T31" s="4">
        <f>1724</f>
        <v>1724</v>
      </c>
      <c r="U31" s="4"/>
      <c r="V31" s="4">
        <v>145</v>
      </c>
      <c r="W31" s="4">
        <f>3220103500</f>
        <v>3220103500</v>
      </c>
      <c r="X31" s="4"/>
      <c r="Y31" s="4">
        <v>268976500</v>
      </c>
      <c r="Z31" s="3"/>
      <c r="AA31" s="2">
        <f>2926</f>
        <v>2926</v>
      </c>
      <c r="AB31" s="2" t="str">
        <f t="shared" si="0"/>
        <v>－</v>
      </c>
      <c r="AC31" s="1">
        <f>21</f>
        <v>21</v>
      </c>
    </row>
    <row r="32" spans="1:29">
      <c r="A32" s="9" t="s">
        <v>46</v>
      </c>
      <c r="B32" s="8" t="s">
        <v>168</v>
      </c>
      <c r="C32" s="8" t="s">
        <v>169</v>
      </c>
      <c r="D32" s="8" t="s">
        <v>72</v>
      </c>
      <c r="E32" s="7" t="s">
        <v>73</v>
      </c>
      <c r="F32" s="7" t="s">
        <v>74</v>
      </c>
      <c r="G32" s="3" t="s">
        <v>51</v>
      </c>
      <c r="H32" s="6" t="s">
        <v>183</v>
      </c>
      <c r="I32" s="3" t="s">
        <v>53</v>
      </c>
      <c r="J32" s="6" t="s">
        <v>184</v>
      </c>
      <c r="K32" s="3"/>
      <c r="L32" s="6"/>
      <c r="M32" s="3" t="s">
        <v>172</v>
      </c>
      <c r="N32" s="6" t="s">
        <v>185</v>
      </c>
      <c r="O32" s="3"/>
      <c r="P32" s="6"/>
      <c r="Q32" s="3" t="s">
        <v>64</v>
      </c>
      <c r="R32" s="6" t="s">
        <v>186</v>
      </c>
      <c r="S32" s="5">
        <f>3719.1</f>
        <v>3719.1</v>
      </c>
      <c r="T32" s="4">
        <f>6340</f>
        <v>6340</v>
      </c>
      <c r="U32" s="4"/>
      <c r="V32" s="4">
        <v>1008</v>
      </c>
      <c r="W32" s="4">
        <f>11778893000</f>
        <v>11778893000</v>
      </c>
      <c r="X32" s="4"/>
      <c r="Y32" s="4">
        <v>1846943000</v>
      </c>
      <c r="Z32" s="3"/>
      <c r="AA32" s="2">
        <f>9936</f>
        <v>9936</v>
      </c>
      <c r="AB32" s="2" t="str">
        <f t="shared" si="0"/>
        <v>－</v>
      </c>
      <c r="AC32" s="1">
        <f>21</f>
        <v>21</v>
      </c>
    </row>
    <row r="33" spans="1:29">
      <c r="A33" s="9" t="s">
        <v>46</v>
      </c>
      <c r="B33" s="8" t="s">
        <v>168</v>
      </c>
      <c r="C33" s="8" t="s">
        <v>169</v>
      </c>
      <c r="D33" s="8" t="s">
        <v>81</v>
      </c>
      <c r="E33" s="7" t="s">
        <v>82</v>
      </c>
      <c r="F33" s="7" t="s">
        <v>83</v>
      </c>
      <c r="G33" s="3" t="s">
        <v>51</v>
      </c>
      <c r="H33" s="6" t="s">
        <v>187</v>
      </c>
      <c r="I33" s="3" t="s">
        <v>53</v>
      </c>
      <c r="J33" s="6" t="s">
        <v>188</v>
      </c>
      <c r="K33" s="3" t="s">
        <v>97</v>
      </c>
      <c r="L33" s="6" t="s">
        <v>189</v>
      </c>
      <c r="M33" s="3" t="s">
        <v>172</v>
      </c>
      <c r="N33" s="6" t="s">
        <v>190</v>
      </c>
      <c r="O33" s="3" t="s">
        <v>97</v>
      </c>
      <c r="P33" s="6" t="s">
        <v>189</v>
      </c>
      <c r="Q33" s="3" t="s">
        <v>64</v>
      </c>
      <c r="R33" s="6" t="s">
        <v>191</v>
      </c>
      <c r="S33" s="5">
        <f>3695.24</f>
        <v>3695.24</v>
      </c>
      <c r="T33" s="4">
        <f>20819</f>
        <v>20819</v>
      </c>
      <c r="U33" s="4">
        <v>5</v>
      </c>
      <c r="V33" s="4">
        <v>4921</v>
      </c>
      <c r="W33" s="4">
        <f>38597084500</f>
        <v>38597084500</v>
      </c>
      <c r="X33" s="4">
        <v>9652500</v>
      </c>
      <c r="Y33" s="4">
        <v>9128387500</v>
      </c>
      <c r="Z33" s="3"/>
      <c r="AA33" s="2">
        <f>4845</f>
        <v>4845</v>
      </c>
      <c r="AB33" s="2" t="str">
        <f t="shared" si="0"/>
        <v>－</v>
      </c>
      <c r="AC33" s="1">
        <f>21</f>
        <v>21</v>
      </c>
    </row>
    <row r="34" spans="1:29">
      <c r="A34" s="9" t="s">
        <v>46</v>
      </c>
      <c r="B34" s="8" t="s">
        <v>168</v>
      </c>
      <c r="C34" s="8" t="s">
        <v>169</v>
      </c>
      <c r="D34" s="8" t="s">
        <v>90</v>
      </c>
      <c r="E34" s="7" t="s">
        <v>91</v>
      </c>
      <c r="F34" s="7" t="s">
        <v>92</v>
      </c>
      <c r="G34" s="3" t="s">
        <v>51</v>
      </c>
      <c r="H34" s="6" t="s">
        <v>192</v>
      </c>
      <c r="I34" s="3" t="s">
        <v>53</v>
      </c>
      <c r="J34" s="6" t="s">
        <v>193</v>
      </c>
      <c r="K34" s="3" t="s">
        <v>97</v>
      </c>
      <c r="L34" s="6" t="s">
        <v>194</v>
      </c>
      <c r="M34" s="3" t="s">
        <v>172</v>
      </c>
      <c r="N34" s="6" t="s">
        <v>195</v>
      </c>
      <c r="O34" s="3" t="s">
        <v>51</v>
      </c>
      <c r="P34" s="6" t="s">
        <v>196</v>
      </c>
      <c r="Q34" s="3" t="s">
        <v>64</v>
      </c>
      <c r="R34" s="6" t="s">
        <v>197</v>
      </c>
      <c r="S34" s="5">
        <f>3674.48</f>
        <v>3674.48</v>
      </c>
      <c r="T34" s="4">
        <f>167962</f>
        <v>167962</v>
      </c>
      <c r="U34" s="4">
        <v>10</v>
      </c>
      <c r="V34" s="4">
        <v>4885</v>
      </c>
      <c r="W34" s="4">
        <f>308012516500</f>
        <v>308012516500</v>
      </c>
      <c r="X34" s="4">
        <v>17666000</v>
      </c>
      <c r="Y34" s="4">
        <v>9049726500</v>
      </c>
      <c r="Z34" s="3"/>
      <c r="AA34" s="2">
        <f>13376</f>
        <v>13376</v>
      </c>
      <c r="AB34" s="2" t="str">
        <f t="shared" si="0"/>
        <v>－</v>
      </c>
      <c r="AC34" s="1">
        <f>21</f>
        <v>21</v>
      </c>
    </row>
    <row r="35" spans="1:29">
      <c r="A35" s="9" t="s">
        <v>46</v>
      </c>
      <c r="B35" s="8" t="s">
        <v>168</v>
      </c>
      <c r="C35" s="8" t="s">
        <v>169</v>
      </c>
      <c r="D35" s="8" t="s">
        <v>100</v>
      </c>
      <c r="E35" s="7" t="s">
        <v>101</v>
      </c>
      <c r="F35" s="7" t="s">
        <v>102</v>
      </c>
      <c r="G35" s="3" t="s">
        <v>94</v>
      </c>
      <c r="H35" s="6" t="s">
        <v>198</v>
      </c>
      <c r="I35" s="3" t="s">
        <v>94</v>
      </c>
      <c r="J35" s="6" t="s">
        <v>199</v>
      </c>
      <c r="K35" s="3"/>
      <c r="L35" s="6"/>
      <c r="M35" s="3" t="s">
        <v>105</v>
      </c>
      <c r="N35" s="6" t="s">
        <v>200</v>
      </c>
      <c r="O35" s="3"/>
      <c r="P35" s="6"/>
      <c r="Q35" s="3" t="s">
        <v>64</v>
      </c>
      <c r="R35" s="6" t="s">
        <v>201</v>
      </c>
      <c r="S35" s="5">
        <f>3697.67</f>
        <v>3697.67</v>
      </c>
      <c r="T35" s="4">
        <f>9860</f>
        <v>9860</v>
      </c>
      <c r="U35" s="4"/>
      <c r="V35" s="4">
        <v>876</v>
      </c>
      <c r="W35" s="4">
        <f>18274376000</f>
        <v>18274376000</v>
      </c>
      <c r="X35" s="4"/>
      <c r="Y35" s="4">
        <v>1621611000</v>
      </c>
      <c r="Z35" s="3"/>
      <c r="AA35" s="2">
        <f>2805</f>
        <v>2805</v>
      </c>
      <c r="AB35" s="2" t="str">
        <f t="shared" si="0"/>
        <v>－</v>
      </c>
      <c r="AC35" s="1">
        <f>3</f>
        <v>3</v>
      </c>
    </row>
    <row r="36" spans="1:29">
      <c r="A36" s="9" t="s">
        <v>46</v>
      </c>
      <c r="B36" s="8" t="s">
        <v>202</v>
      </c>
      <c r="C36" s="8" t="s">
        <v>203</v>
      </c>
      <c r="D36" s="8" t="s">
        <v>46</v>
      </c>
      <c r="E36" s="7" t="s">
        <v>49</v>
      </c>
      <c r="F36" s="7" t="s">
        <v>109</v>
      </c>
      <c r="G36" s="3" t="s">
        <v>156</v>
      </c>
      <c r="H36" s="6" t="s">
        <v>204</v>
      </c>
      <c r="I36" s="3" t="s">
        <v>97</v>
      </c>
      <c r="J36" s="6" t="s">
        <v>205</v>
      </c>
      <c r="K36" s="3"/>
      <c r="L36" s="6"/>
      <c r="M36" s="3" t="s">
        <v>85</v>
      </c>
      <c r="N36" s="6" t="s">
        <v>206</v>
      </c>
      <c r="O36" s="3"/>
      <c r="P36" s="6"/>
      <c r="Q36" s="3" t="s">
        <v>53</v>
      </c>
      <c r="R36" s="6" t="s">
        <v>207</v>
      </c>
      <c r="S36" s="5">
        <f>3694.12</f>
        <v>3694.12</v>
      </c>
      <c r="T36" s="4">
        <f>168</f>
        <v>168</v>
      </c>
      <c r="U36" s="4"/>
      <c r="V36" s="4"/>
      <c r="W36" s="4">
        <f>63668100</f>
        <v>63668100</v>
      </c>
      <c r="X36" s="4"/>
      <c r="Y36" s="4"/>
      <c r="Z36" s="3" t="s">
        <v>58</v>
      </c>
      <c r="AA36" s="2">
        <f>51</f>
        <v>51</v>
      </c>
      <c r="AB36" s="2" t="str">
        <f t="shared" si="0"/>
        <v>－</v>
      </c>
      <c r="AC36" s="1">
        <f>13</f>
        <v>13</v>
      </c>
    </row>
    <row r="37" spans="1:29">
      <c r="A37" s="9" t="s">
        <v>46</v>
      </c>
      <c r="B37" s="8" t="s">
        <v>202</v>
      </c>
      <c r="C37" s="8" t="s">
        <v>203</v>
      </c>
      <c r="D37" s="8" t="s">
        <v>59</v>
      </c>
      <c r="E37" s="7" t="s">
        <v>60</v>
      </c>
      <c r="F37" s="7" t="s">
        <v>113</v>
      </c>
      <c r="G37" s="3" t="s">
        <v>51</v>
      </c>
      <c r="H37" s="6" t="s">
        <v>206</v>
      </c>
      <c r="I37" s="3" t="s">
        <v>97</v>
      </c>
      <c r="J37" s="6" t="s">
        <v>208</v>
      </c>
      <c r="K37" s="3"/>
      <c r="L37" s="6"/>
      <c r="M37" s="3" t="s">
        <v>51</v>
      </c>
      <c r="N37" s="6" t="s">
        <v>206</v>
      </c>
      <c r="O37" s="3"/>
      <c r="P37" s="6"/>
      <c r="Q37" s="3" t="s">
        <v>64</v>
      </c>
      <c r="R37" s="6" t="s">
        <v>209</v>
      </c>
      <c r="S37" s="5">
        <f>3713.52</f>
        <v>3713.52</v>
      </c>
      <c r="T37" s="4">
        <f>108</f>
        <v>108</v>
      </c>
      <c r="U37" s="4"/>
      <c r="V37" s="4"/>
      <c r="W37" s="4">
        <f>40068600</f>
        <v>40068600</v>
      </c>
      <c r="X37" s="4"/>
      <c r="Y37" s="4"/>
      <c r="Z37" s="3"/>
      <c r="AA37" s="2">
        <f>123</f>
        <v>123</v>
      </c>
      <c r="AB37" s="2" t="str">
        <f t="shared" si="0"/>
        <v>－</v>
      </c>
      <c r="AC37" s="1">
        <f>13</f>
        <v>13</v>
      </c>
    </row>
    <row r="38" spans="1:29">
      <c r="A38" s="9" t="s">
        <v>46</v>
      </c>
      <c r="B38" s="8" t="s">
        <v>202</v>
      </c>
      <c r="C38" s="8" t="s">
        <v>203</v>
      </c>
      <c r="D38" s="8" t="s">
        <v>66</v>
      </c>
      <c r="E38" s="7" t="s">
        <v>67</v>
      </c>
      <c r="F38" s="7" t="s">
        <v>119</v>
      </c>
      <c r="G38" s="3" t="s">
        <v>85</v>
      </c>
      <c r="H38" s="6" t="s">
        <v>210</v>
      </c>
      <c r="I38" s="3" t="s">
        <v>211</v>
      </c>
      <c r="J38" s="6" t="s">
        <v>212</v>
      </c>
      <c r="K38" s="3"/>
      <c r="L38" s="6"/>
      <c r="M38" s="3" t="s">
        <v>85</v>
      </c>
      <c r="N38" s="6" t="s">
        <v>187</v>
      </c>
      <c r="O38" s="3"/>
      <c r="P38" s="6"/>
      <c r="Q38" s="3" t="s">
        <v>64</v>
      </c>
      <c r="R38" s="6" t="s">
        <v>213</v>
      </c>
      <c r="S38" s="5">
        <f>3714.67</f>
        <v>3714.67</v>
      </c>
      <c r="T38" s="4">
        <f>69</f>
        <v>69</v>
      </c>
      <c r="U38" s="4"/>
      <c r="V38" s="4"/>
      <c r="W38" s="4">
        <f>25682500</f>
        <v>25682500</v>
      </c>
      <c r="X38" s="4"/>
      <c r="Y38" s="4"/>
      <c r="Z38" s="3"/>
      <c r="AA38" s="2">
        <f>308</f>
        <v>308</v>
      </c>
      <c r="AB38" s="2" t="str">
        <f t="shared" si="0"/>
        <v>－</v>
      </c>
      <c r="AC38" s="1">
        <f>11</f>
        <v>11</v>
      </c>
    </row>
    <row r="39" spans="1:29">
      <c r="A39" s="9" t="s">
        <v>46</v>
      </c>
      <c r="B39" s="8" t="s">
        <v>202</v>
      </c>
      <c r="C39" s="8" t="s">
        <v>203</v>
      </c>
      <c r="D39" s="8" t="s">
        <v>72</v>
      </c>
      <c r="E39" s="7" t="s">
        <v>73</v>
      </c>
      <c r="F39" s="7" t="s">
        <v>122</v>
      </c>
      <c r="G39" s="3" t="s">
        <v>51</v>
      </c>
      <c r="H39" s="6" t="s">
        <v>214</v>
      </c>
      <c r="I39" s="3" t="s">
        <v>53</v>
      </c>
      <c r="J39" s="6" t="s">
        <v>215</v>
      </c>
      <c r="K39" s="3"/>
      <c r="L39" s="6"/>
      <c r="M39" s="3" t="s">
        <v>51</v>
      </c>
      <c r="N39" s="6" t="s">
        <v>216</v>
      </c>
      <c r="O39" s="3"/>
      <c r="P39" s="6"/>
      <c r="Q39" s="3" t="s">
        <v>64</v>
      </c>
      <c r="R39" s="6" t="s">
        <v>217</v>
      </c>
      <c r="S39" s="5">
        <f>3719.1</f>
        <v>3719.1</v>
      </c>
      <c r="T39" s="4">
        <f>312</f>
        <v>312</v>
      </c>
      <c r="U39" s="4"/>
      <c r="V39" s="4"/>
      <c r="W39" s="4">
        <f>115506800</f>
        <v>115506800</v>
      </c>
      <c r="X39" s="4"/>
      <c r="Y39" s="4"/>
      <c r="Z39" s="3"/>
      <c r="AA39" s="2">
        <f>705</f>
        <v>705</v>
      </c>
      <c r="AB39" s="2" t="str">
        <f t="shared" ref="AB39:AB70" si="1">"－"</f>
        <v>－</v>
      </c>
      <c r="AC39" s="1">
        <f>21</f>
        <v>21</v>
      </c>
    </row>
    <row r="40" spans="1:29">
      <c r="A40" s="9" t="s">
        <v>46</v>
      </c>
      <c r="B40" s="8" t="s">
        <v>202</v>
      </c>
      <c r="C40" s="8" t="s">
        <v>203</v>
      </c>
      <c r="D40" s="8" t="s">
        <v>81</v>
      </c>
      <c r="E40" s="7" t="s">
        <v>82</v>
      </c>
      <c r="F40" s="7" t="s">
        <v>126</v>
      </c>
      <c r="G40" s="3" t="s">
        <v>51</v>
      </c>
      <c r="H40" s="6" t="s">
        <v>218</v>
      </c>
      <c r="I40" s="3" t="s">
        <v>53</v>
      </c>
      <c r="J40" s="6" t="s">
        <v>219</v>
      </c>
      <c r="K40" s="3"/>
      <c r="L40" s="6"/>
      <c r="M40" s="3" t="s">
        <v>172</v>
      </c>
      <c r="N40" s="6" t="s">
        <v>220</v>
      </c>
      <c r="O40" s="3"/>
      <c r="P40" s="6"/>
      <c r="Q40" s="3" t="s">
        <v>64</v>
      </c>
      <c r="R40" s="6" t="s">
        <v>221</v>
      </c>
      <c r="S40" s="5">
        <f>3695.24</f>
        <v>3695.24</v>
      </c>
      <c r="T40" s="4">
        <f>1517</f>
        <v>1517</v>
      </c>
      <c r="U40" s="4"/>
      <c r="V40" s="4">
        <v>11</v>
      </c>
      <c r="W40" s="4">
        <f>563362800</f>
        <v>563362800</v>
      </c>
      <c r="X40" s="4"/>
      <c r="Y40" s="4">
        <v>3807800</v>
      </c>
      <c r="Z40" s="3"/>
      <c r="AA40" s="2">
        <f>622</f>
        <v>622</v>
      </c>
      <c r="AB40" s="2" t="str">
        <f t="shared" si="1"/>
        <v>－</v>
      </c>
      <c r="AC40" s="1">
        <f>21</f>
        <v>21</v>
      </c>
    </row>
    <row r="41" spans="1:29">
      <c r="A41" s="9" t="s">
        <v>46</v>
      </c>
      <c r="B41" s="8" t="s">
        <v>202</v>
      </c>
      <c r="C41" s="8" t="s">
        <v>203</v>
      </c>
      <c r="D41" s="8" t="s">
        <v>90</v>
      </c>
      <c r="E41" s="7" t="s">
        <v>91</v>
      </c>
      <c r="F41" s="7" t="s">
        <v>128</v>
      </c>
      <c r="G41" s="3" t="s">
        <v>51</v>
      </c>
      <c r="H41" s="6" t="s">
        <v>222</v>
      </c>
      <c r="I41" s="3" t="s">
        <v>53</v>
      </c>
      <c r="J41" s="6" t="s">
        <v>223</v>
      </c>
      <c r="K41" s="3"/>
      <c r="L41" s="6"/>
      <c r="M41" s="3" t="s">
        <v>172</v>
      </c>
      <c r="N41" s="6" t="s">
        <v>224</v>
      </c>
      <c r="O41" s="3"/>
      <c r="P41" s="6"/>
      <c r="Q41" s="3" t="s">
        <v>64</v>
      </c>
      <c r="R41" s="6" t="s">
        <v>225</v>
      </c>
      <c r="S41" s="5">
        <f>3674.48</f>
        <v>3674.48</v>
      </c>
      <c r="T41" s="4">
        <f>52366</f>
        <v>52366</v>
      </c>
      <c r="U41" s="4"/>
      <c r="V41" s="4">
        <v>11</v>
      </c>
      <c r="W41" s="4">
        <f>19340800000</f>
        <v>19340800000</v>
      </c>
      <c r="X41" s="4"/>
      <c r="Y41" s="4">
        <v>3774800</v>
      </c>
      <c r="Z41" s="3"/>
      <c r="AA41" s="2">
        <f>1193</f>
        <v>1193</v>
      </c>
      <c r="AB41" s="2" t="str">
        <f t="shared" si="1"/>
        <v>－</v>
      </c>
      <c r="AC41" s="1">
        <f>21</f>
        <v>21</v>
      </c>
    </row>
    <row r="42" spans="1:29">
      <c r="A42" s="9" t="s">
        <v>46</v>
      </c>
      <c r="B42" s="8" t="s">
        <v>202</v>
      </c>
      <c r="C42" s="8" t="s">
        <v>203</v>
      </c>
      <c r="D42" s="8" t="s">
        <v>100</v>
      </c>
      <c r="E42" s="7" t="s">
        <v>101</v>
      </c>
      <c r="F42" s="7" t="s">
        <v>132</v>
      </c>
      <c r="G42" s="3" t="s">
        <v>94</v>
      </c>
      <c r="H42" s="6" t="s">
        <v>226</v>
      </c>
      <c r="I42" s="3" t="s">
        <v>94</v>
      </c>
      <c r="J42" s="6" t="s">
        <v>227</v>
      </c>
      <c r="K42" s="3"/>
      <c r="L42" s="6"/>
      <c r="M42" s="3" t="s">
        <v>105</v>
      </c>
      <c r="N42" s="6" t="s">
        <v>228</v>
      </c>
      <c r="O42" s="3"/>
      <c r="P42" s="6"/>
      <c r="Q42" s="3" t="s">
        <v>64</v>
      </c>
      <c r="R42" s="6" t="s">
        <v>229</v>
      </c>
      <c r="S42" s="5">
        <f>3697.67</f>
        <v>3697.67</v>
      </c>
      <c r="T42" s="4">
        <f>1597</f>
        <v>1597</v>
      </c>
      <c r="U42" s="4"/>
      <c r="V42" s="4"/>
      <c r="W42" s="4">
        <f>591603700</f>
        <v>591603700</v>
      </c>
      <c r="X42" s="4"/>
      <c r="Y42" s="4"/>
      <c r="Z42" s="3"/>
      <c r="AA42" s="2">
        <f>301</f>
        <v>301</v>
      </c>
      <c r="AB42" s="2" t="str">
        <f t="shared" si="1"/>
        <v>－</v>
      </c>
      <c r="AC42" s="1">
        <f>3</f>
        <v>3</v>
      </c>
    </row>
    <row r="43" spans="1:29">
      <c r="A43" s="9" t="s">
        <v>46</v>
      </c>
      <c r="B43" s="8" t="s">
        <v>230</v>
      </c>
      <c r="C43" s="8" t="s">
        <v>231</v>
      </c>
      <c r="D43" s="8" t="s">
        <v>138</v>
      </c>
      <c r="E43" s="7" t="s">
        <v>138</v>
      </c>
      <c r="F43" s="7" t="s">
        <v>138</v>
      </c>
      <c r="G43" s="3" t="s">
        <v>51</v>
      </c>
      <c r="H43" s="6" t="s">
        <v>232</v>
      </c>
      <c r="I43" s="3" t="s">
        <v>53</v>
      </c>
      <c r="J43" s="6" t="s">
        <v>233</v>
      </c>
      <c r="K43" s="3"/>
      <c r="L43" s="6"/>
      <c r="M43" s="3" t="s">
        <v>172</v>
      </c>
      <c r="N43" s="6" t="s">
        <v>234</v>
      </c>
      <c r="O43" s="3"/>
      <c r="P43" s="6"/>
      <c r="Q43" s="3" t="s">
        <v>64</v>
      </c>
      <c r="R43" s="6" t="s">
        <v>235</v>
      </c>
      <c r="S43" s="5">
        <f>3724.62</f>
        <v>3724.62</v>
      </c>
      <c r="T43" s="4">
        <f>7748</f>
        <v>7748</v>
      </c>
      <c r="U43" s="4"/>
      <c r="V43" s="4"/>
      <c r="W43" s="4">
        <f>2906049300</f>
        <v>2906049300</v>
      </c>
      <c r="X43" s="4"/>
      <c r="Y43" s="4"/>
      <c r="Z43" s="3"/>
      <c r="AA43" s="2">
        <f>13109</f>
        <v>13109</v>
      </c>
      <c r="AB43" s="2" t="str">
        <f t="shared" si="1"/>
        <v>－</v>
      </c>
      <c r="AC43" s="1">
        <f>21</f>
        <v>21</v>
      </c>
    </row>
    <row r="44" spans="1:29">
      <c r="A44" s="9" t="s">
        <v>46</v>
      </c>
      <c r="B44" s="8" t="s">
        <v>236</v>
      </c>
      <c r="C44" s="8" t="s">
        <v>237</v>
      </c>
      <c r="D44" s="8" t="s">
        <v>46</v>
      </c>
      <c r="E44" s="7" t="s">
        <v>49</v>
      </c>
      <c r="F44" s="7" t="s">
        <v>50</v>
      </c>
      <c r="G44" s="3" t="s">
        <v>238</v>
      </c>
      <c r="H44" s="6" t="s">
        <v>239</v>
      </c>
      <c r="I44" s="3" t="s">
        <v>240</v>
      </c>
      <c r="J44" s="6" t="s">
        <v>241</v>
      </c>
      <c r="K44" s="3"/>
      <c r="L44" s="6"/>
      <c r="M44" s="3" t="s">
        <v>238</v>
      </c>
      <c r="N44" s="6" t="s">
        <v>239</v>
      </c>
      <c r="O44" s="3"/>
      <c r="P44" s="6"/>
      <c r="Q44" s="3" t="s">
        <v>240</v>
      </c>
      <c r="R44" s="6" t="s">
        <v>241</v>
      </c>
      <c r="S44" s="5">
        <f>7344.44</f>
        <v>7344.44</v>
      </c>
      <c r="T44" s="4">
        <f>2</f>
        <v>2</v>
      </c>
      <c r="U44" s="4"/>
      <c r="V44" s="4"/>
      <c r="W44" s="4">
        <f>7700000</f>
        <v>7700000</v>
      </c>
      <c r="X44" s="4"/>
      <c r="Y44" s="4"/>
      <c r="Z44" s="3" t="s">
        <v>58</v>
      </c>
      <c r="AA44" s="2">
        <f>12</f>
        <v>12</v>
      </c>
      <c r="AB44" s="2" t="str">
        <f t="shared" si="1"/>
        <v>－</v>
      </c>
      <c r="AC44" s="1">
        <f>2</f>
        <v>2</v>
      </c>
    </row>
    <row r="45" spans="1:29">
      <c r="A45" s="9" t="s">
        <v>46</v>
      </c>
      <c r="B45" s="8" t="s">
        <v>236</v>
      </c>
      <c r="C45" s="8" t="s">
        <v>237</v>
      </c>
      <c r="D45" s="8" t="s">
        <v>59</v>
      </c>
      <c r="E45" s="7" t="s">
        <v>60</v>
      </c>
      <c r="F45" s="7" t="s">
        <v>61</v>
      </c>
      <c r="G45" s="3" t="s">
        <v>94</v>
      </c>
      <c r="H45" s="6" t="s">
        <v>242</v>
      </c>
      <c r="I45" s="3" t="s">
        <v>94</v>
      </c>
      <c r="J45" s="6" t="s">
        <v>242</v>
      </c>
      <c r="K45" s="3"/>
      <c r="L45" s="6"/>
      <c r="M45" s="3" t="s">
        <v>64</v>
      </c>
      <c r="N45" s="6" t="s">
        <v>243</v>
      </c>
      <c r="O45" s="3"/>
      <c r="P45" s="6"/>
      <c r="Q45" s="3" t="s">
        <v>64</v>
      </c>
      <c r="R45" s="6" t="s">
        <v>243</v>
      </c>
      <c r="S45" s="5">
        <f>7333.33</f>
        <v>7333.33</v>
      </c>
      <c r="T45" s="4">
        <f>2</f>
        <v>2</v>
      </c>
      <c r="U45" s="4"/>
      <c r="V45" s="4"/>
      <c r="W45" s="4">
        <f>7450000</f>
        <v>7450000</v>
      </c>
      <c r="X45" s="4"/>
      <c r="Y45" s="4"/>
      <c r="Z45" s="3"/>
      <c r="AA45" s="2">
        <f>69</f>
        <v>69</v>
      </c>
      <c r="AB45" s="2" t="str">
        <f t="shared" si="1"/>
        <v>－</v>
      </c>
      <c r="AC45" s="1">
        <f>2</f>
        <v>2</v>
      </c>
    </row>
    <row r="46" spans="1:29">
      <c r="A46" s="9" t="s">
        <v>46</v>
      </c>
      <c r="B46" s="8" t="s">
        <v>236</v>
      </c>
      <c r="C46" s="8" t="s">
        <v>237</v>
      </c>
      <c r="D46" s="8" t="s">
        <v>66</v>
      </c>
      <c r="E46" s="7" t="s">
        <v>67</v>
      </c>
      <c r="F46" s="7" t="s">
        <v>68</v>
      </c>
      <c r="G46" s="3" t="s">
        <v>64</v>
      </c>
      <c r="H46" s="6" t="s">
        <v>244</v>
      </c>
      <c r="I46" s="3" t="s">
        <v>64</v>
      </c>
      <c r="J46" s="6" t="s">
        <v>244</v>
      </c>
      <c r="K46" s="3"/>
      <c r="L46" s="6"/>
      <c r="M46" s="3" t="s">
        <v>64</v>
      </c>
      <c r="N46" s="6" t="s">
        <v>244</v>
      </c>
      <c r="O46" s="3"/>
      <c r="P46" s="6"/>
      <c r="Q46" s="3" t="s">
        <v>64</v>
      </c>
      <c r="R46" s="6" t="s">
        <v>244</v>
      </c>
      <c r="S46" s="5">
        <f>7323.81</f>
        <v>7323.81</v>
      </c>
      <c r="T46" s="4">
        <f>1</f>
        <v>1</v>
      </c>
      <c r="U46" s="4"/>
      <c r="V46" s="4"/>
      <c r="W46" s="4">
        <f>3600000</f>
        <v>3600000</v>
      </c>
      <c r="X46" s="4"/>
      <c r="Y46" s="4"/>
      <c r="Z46" s="3"/>
      <c r="AA46" s="2">
        <f>74</f>
        <v>74</v>
      </c>
      <c r="AB46" s="2" t="str">
        <f t="shared" si="1"/>
        <v>－</v>
      </c>
      <c r="AC46" s="1">
        <f>1</f>
        <v>1</v>
      </c>
    </row>
    <row r="47" spans="1:29">
      <c r="A47" s="9" t="s">
        <v>46</v>
      </c>
      <c r="B47" s="8" t="s">
        <v>236</v>
      </c>
      <c r="C47" s="8" t="s">
        <v>237</v>
      </c>
      <c r="D47" s="8" t="s">
        <v>72</v>
      </c>
      <c r="E47" s="7" t="s">
        <v>73</v>
      </c>
      <c r="F47" s="7" t="s">
        <v>74</v>
      </c>
      <c r="G47" s="3" t="s">
        <v>238</v>
      </c>
      <c r="H47" s="6" t="s">
        <v>245</v>
      </c>
      <c r="I47" s="3" t="s">
        <v>238</v>
      </c>
      <c r="J47" s="6" t="s">
        <v>245</v>
      </c>
      <c r="K47" s="3"/>
      <c r="L47" s="6"/>
      <c r="M47" s="3" t="s">
        <v>238</v>
      </c>
      <c r="N47" s="6" t="s">
        <v>245</v>
      </c>
      <c r="O47" s="3"/>
      <c r="P47" s="6"/>
      <c r="Q47" s="3" t="s">
        <v>238</v>
      </c>
      <c r="R47" s="6" t="s">
        <v>245</v>
      </c>
      <c r="S47" s="5">
        <f>7320.05</f>
        <v>7320.05</v>
      </c>
      <c r="T47" s="4">
        <f>1</f>
        <v>1</v>
      </c>
      <c r="U47" s="4"/>
      <c r="V47" s="4"/>
      <c r="W47" s="4">
        <f>3760500</f>
        <v>3760500</v>
      </c>
      <c r="X47" s="4"/>
      <c r="Y47" s="4"/>
      <c r="Z47" s="3"/>
      <c r="AA47" s="2">
        <f>11</f>
        <v>11</v>
      </c>
      <c r="AB47" s="2" t="str">
        <f t="shared" si="1"/>
        <v>－</v>
      </c>
      <c r="AC47" s="1">
        <f>1</f>
        <v>1</v>
      </c>
    </row>
    <row r="48" spans="1:29">
      <c r="A48" s="9" t="s">
        <v>46</v>
      </c>
      <c r="B48" s="8" t="s">
        <v>236</v>
      </c>
      <c r="C48" s="8" t="s">
        <v>237</v>
      </c>
      <c r="D48" s="8" t="s">
        <v>81</v>
      </c>
      <c r="E48" s="7" t="s">
        <v>82</v>
      </c>
      <c r="F48" s="7" t="s">
        <v>83</v>
      </c>
      <c r="G48" s="3" t="s">
        <v>238</v>
      </c>
      <c r="H48" s="6" t="s">
        <v>246</v>
      </c>
      <c r="I48" s="3" t="s">
        <v>240</v>
      </c>
      <c r="J48" s="6" t="s">
        <v>247</v>
      </c>
      <c r="K48" s="3"/>
      <c r="L48" s="6"/>
      <c r="M48" s="3" t="s">
        <v>248</v>
      </c>
      <c r="N48" s="6" t="s">
        <v>249</v>
      </c>
      <c r="O48" s="3"/>
      <c r="P48" s="6"/>
      <c r="Q48" s="3" t="s">
        <v>248</v>
      </c>
      <c r="R48" s="6" t="s">
        <v>250</v>
      </c>
      <c r="S48" s="5">
        <f>7277.19</f>
        <v>7277.19</v>
      </c>
      <c r="T48" s="4">
        <f>6</f>
        <v>6</v>
      </c>
      <c r="U48" s="4"/>
      <c r="V48" s="4"/>
      <c r="W48" s="4">
        <f>22661000</f>
        <v>22661000</v>
      </c>
      <c r="X48" s="4"/>
      <c r="Y48" s="4"/>
      <c r="Z48" s="3"/>
      <c r="AA48" s="2">
        <f>8</f>
        <v>8</v>
      </c>
      <c r="AB48" s="2" t="str">
        <f t="shared" si="1"/>
        <v>－</v>
      </c>
      <c r="AC48" s="1">
        <f>4</f>
        <v>4</v>
      </c>
    </row>
    <row r="49" spans="1:29">
      <c r="A49" s="9" t="s">
        <v>46</v>
      </c>
      <c r="B49" s="8" t="s">
        <v>236</v>
      </c>
      <c r="C49" s="8" t="s">
        <v>237</v>
      </c>
      <c r="D49" s="8" t="s">
        <v>90</v>
      </c>
      <c r="E49" s="7" t="s">
        <v>91</v>
      </c>
      <c r="F49" s="7" t="s">
        <v>92</v>
      </c>
      <c r="G49" s="3" t="s">
        <v>51</v>
      </c>
      <c r="H49" s="6" t="s">
        <v>251</v>
      </c>
      <c r="I49" s="3" t="s">
        <v>146</v>
      </c>
      <c r="J49" s="6" t="s">
        <v>252</v>
      </c>
      <c r="K49" s="3"/>
      <c r="L49" s="6"/>
      <c r="M49" s="3" t="s">
        <v>253</v>
      </c>
      <c r="N49" s="6" t="s">
        <v>254</v>
      </c>
      <c r="O49" s="3"/>
      <c r="P49" s="6"/>
      <c r="Q49" s="3" t="s">
        <v>105</v>
      </c>
      <c r="R49" s="6" t="s">
        <v>255</v>
      </c>
      <c r="S49" s="5">
        <f>7284.71</f>
        <v>7284.71</v>
      </c>
      <c r="T49" s="4">
        <f>21</f>
        <v>21</v>
      </c>
      <c r="U49" s="4"/>
      <c r="V49" s="4"/>
      <c r="W49" s="4">
        <f>76002500</f>
        <v>76002500</v>
      </c>
      <c r="X49" s="4"/>
      <c r="Y49" s="4"/>
      <c r="Z49" s="3"/>
      <c r="AA49" s="2">
        <f>10</f>
        <v>10</v>
      </c>
      <c r="AB49" s="2" t="str">
        <f t="shared" si="1"/>
        <v>－</v>
      </c>
      <c r="AC49" s="1">
        <f>11</f>
        <v>11</v>
      </c>
    </row>
    <row r="50" spans="1:29">
      <c r="A50" s="9" t="s">
        <v>46</v>
      </c>
      <c r="B50" s="8" t="s">
        <v>236</v>
      </c>
      <c r="C50" s="8" t="s">
        <v>237</v>
      </c>
      <c r="D50" s="8" t="s">
        <v>100</v>
      </c>
      <c r="E50" s="7" t="s">
        <v>101</v>
      </c>
      <c r="F50" s="7" t="s">
        <v>102</v>
      </c>
      <c r="G50" s="3"/>
      <c r="H50" s="6" t="s">
        <v>138</v>
      </c>
      <c r="I50" s="3"/>
      <c r="J50" s="6" t="s">
        <v>138</v>
      </c>
      <c r="K50" s="3"/>
      <c r="L50" s="6"/>
      <c r="M50" s="3"/>
      <c r="N50" s="6" t="s">
        <v>138</v>
      </c>
      <c r="O50" s="3"/>
      <c r="P50" s="6"/>
      <c r="Q50" s="3"/>
      <c r="R50" s="6" t="s">
        <v>138</v>
      </c>
      <c r="S50" s="5">
        <f>7047</f>
        <v>7047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 t="str">
        <f>"－"</f>
        <v>－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256</v>
      </c>
      <c r="C51" s="8" t="s">
        <v>257</v>
      </c>
      <c r="D51" s="8" t="s">
        <v>46</v>
      </c>
      <c r="E51" s="7" t="s">
        <v>258</v>
      </c>
      <c r="F51" s="7" t="s">
        <v>259</v>
      </c>
      <c r="G51" s="3" t="s">
        <v>51</v>
      </c>
      <c r="H51" s="6" t="s">
        <v>260</v>
      </c>
      <c r="I51" s="3" t="s">
        <v>51</v>
      </c>
      <c r="J51" s="6" t="s">
        <v>261</v>
      </c>
      <c r="K51" s="3"/>
      <c r="L51" s="6"/>
      <c r="M51" s="3" t="s">
        <v>51</v>
      </c>
      <c r="N51" s="6" t="s">
        <v>262</v>
      </c>
      <c r="O51" s="3"/>
      <c r="P51" s="6"/>
      <c r="Q51" s="3" t="s">
        <v>51</v>
      </c>
      <c r="R51" s="6" t="s">
        <v>263</v>
      </c>
      <c r="S51" s="5">
        <f>183.85</f>
        <v>183.85</v>
      </c>
      <c r="T51" s="4">
        <f>26</f>
        <v>26</v>
      </c>
      <c r="U51" s="4"/>
      <c r="V51" s="4"/>
      <c r="W51" s="4">
        <f>47469500</f>
        <v>47469500</v>
      </c>
      <c r="X51" s="4"/>
      <c r="Y51" s="4"/>
      <c r="Z51" s="3" t="s">
        <v>58</v>
      </c>
      <c r="AA51" s="2">
        <f>32</f>
        <v>32</v>
      </c>
      <c r="AB51" s="2" t="str">
        <f t="shared" si="1"/>
        <v>－</v>
      </c>
      <c r="AC51" s="1">
        <f>1</f>
        <v>1</v>
      </c>
    </row>
    <row r="52" spans="1:29">
      <c r="A52" s="9" t="s">
        <v>46</v>
      </c>
      <c r="B52" s="8" t="s">
        <v>256</v>
      </c>
      <c r="C52" s="8" t="s">
        <v>257</v>
      </c>
      <c r="D52" s="8" t="s">
        <v>264</v>
      </c>
      <c r="E52" s="7" t="s">
        <v>258</v>
      </c>
      <c r="F52" s="7" t="s">
        <v>265</v>
      </c>
      <c r="G52" s="3" t="s">
        <v>51</v>
      </c>
      <c r="H52" s="6" t="s">
        <v>266</v>
      </c>
      <c r="I52" s="3" t="s">
        <v>94</v>
      </c>
      <c r="J52" s="6" t="s">
        <v>267</v>
      </c>
      <c r="K52" s="3" t="s">
        <v>268</v>
      </c>
      <c r="L52" s="6" t="s">
        <v>269</v>
      </c>
      <c r="M52" s="3" t="s">
        <v>51</v>
      </c>
      <c r="N52" s="6" t="s">
        <v>270</v>
      </c>
      <c r="O52" s="3" t="s">
        <v>268</v>
      </c>
      <c r="P52" s="6" t="s">
        <v>269</v>
      </c>
      <c r="Q52" s="3" t="s">
        <v>64</v>
      </c>
      <c r="R52" s="6" t="s">
        <v>271</v>
      </c>
      <c r="S52" s="5">
        <f>197.22</f>
        <v>197.22</v>
      </c>
      <c r="T52" s="4">
        <f>2505</f>
        <v>2505</v>
      </c>
      <c r="U52" s="4">
        <v>31</v>
      </c>
      <c r="V52" s="4">
        <v>5</v>
      </c>
      <c r="W52" s="4">
        <f>4918279000</f>
        <v>4918279000</v>
      </c>
      <c r="X52" s="4">
        <v>62294500</v>
      </c>
      <c r="Y52" s="4">
        <v>9765000</v>
      </c>
      <c r="Z52" s="3"/>
      <c r="AA52" s="2">
        <f>223</f>
        <v>223</v>
      </c>
      <c r="AB52" s="2" t="str">
        <f t="shared" si="1"/>
        <v>－</v>
      </c>
      <c r="AC52" s="1">
        <f>21</f>
        <v>21</v>
      </c>
    </row>
    <row r="53" spans="1:29">
      <c r="A53" s="9" t="s">
        <v>46</v>
      </c>
      <c r="B53" s="8" t="s">
        <v>256</v>
      </c>
      <c r="C53" s="8" t="s">
        <v>257</v>
      </c>
      <c r="D53" s="8" t="s">
        <v>59</v>
      </c>
      <c r="E53" s="7" t="s">
        <v>258</v>
      </c>
      <c r="F53" s="7" t="s">
        <v>272</v>
      </c>
      <c r="G53" s="3" t="s">
        <v>51</v>
      </c>
      <c r="H53" s="6" t="s">
        <v>273</v>
      </c>
      <c r="I53" s="3" t="s">
        <v>53</v>
      </c>
      <c r="J53" s="6" t="s">
        <v>274</v>
      </c>
      <c r="K53" s="3" t="s">
        <v>268</v>
      </c>
      <c r="L53" s="6" t="s">
        <v>275</v>
      </c>
      <c r="M53" s="3" t="s">
        <v>156</v>
      </c>
      <c r="N53" s="6" t="s">
        <v>276</v>
      </c>
      <c r="O53" s="3" t="s">
        <v>64</v>
      </c>
      <c r="P53" s="6" t="s">
        <v>277</v>
      </c>
      <c r="Q53" s="3" t="s">
        <v>64</v>
      </c>
      <c r="R53" s="6" t="s">
        <v>278</v>
      </c>
      <c r="S53" s="5">
        <f>194.41</f>
        <v>194.41</v>
      </c>
      <c r="T53" s="4">
        <f>123</f>
        <v>123</v>
      </c>
      <c r="U53" s="4">
        <v>8</v>
      </c>
      <c r="V53" s="4">
        <v>1</v>
      </c>
      <c r="W53" s="4">
        <f>240287500</f>
        <v>240287500</v>
      </c>
      <c r="X53" s="4">
        <v>15834000</v>
      </c>
      <c r="Y53" s="4">
        <v>2000000</v>
      </c>
      <c r="Z53" s="3"/>
      <c r="AA53" s="2">
        <f>22</f>
        <v>22</v>
      </c>
      <c r="AB53" s="2" t="str">
        <f t="shared" si="1"/>
        <v>－</v>
      </c>
      <c r="AC53" s="1">
        <f>14</f>
        <v>14</v>
      </c>
    </row>
    <row r="54" spans="1:29">
      <c r="A54" s="9" t="s">
        <v>46</v>
      </c>
      <c r="B54" s="8" t="s">
        <v>256</v>
      </c>
      <c r="C54" s="8" t="s">
        <v>257</v>
      </c>
      <c r="D54" s="8" t="s">
        <v>279</v>
      </c>
      <c r="E54" s="7" t="s">
        <v>258</v>
      </c>
      <c r="F54" s="7" t="s">
        <v>280</v>
      </c>
      <c r="G54" s="3"/>
      <c r="H54" s="6" t="s">
        <v>138</v>
      </c>
      <c r="I54" s="3"/>
      <c r="J54" s="6" t="s">
        <v>138</v>
      </c>
      <c r="K54" s="3"/>
      <c r="L54" s="6"/>
      <c r="M54" s="3"/>
      <c r="N54" s="6" t="s">
        <v>138</v>
      </c>
      <c r="O54" s="3"/>
      <c r="P54" s="6"/>
      <c r="Q54" s="3"/>
      <c r="R54" s="6" t="s">
        <v>138</v>
      </c>
      <c r="S54" s="5">
        <f>193.31</f>
        <v>193.31</v>
      </c>
      <c r="T54" s="4" t="str">
        <f>"－"</f>
        <v>－</v>
      </c>
      <c r="U54" s="4"/>
      <c r="V54" s="4"/>
      <c r="W54" s="4" t="str">
        <f>"－"</f>
        <v>－</v>
      </c>
      <c r="X54" s="4"/>
      <c r="Y54" s="4"/>
      <c r="Z54" s="3"/>
      <c r="AA54" s="2" t="str">
        <f>"－"</f>
        <v>－</v>
      </c>
      <c r="AB54" s="2" t="str">
        <f t="shared" si="1"/>
        <v>－</v>
      </c>
      <c r="AC54" s="1" t="str">
        <f>"－"</f>
        <v>－</v>
      </c>
    </row>
    <row r="55" spans="1:29">
      <c r="A55" s="9" t="s">
        <v>46</v>
      </c>
      <c r="B55" s="8" t="s">
        <v>256</v>
      </c>
      <c r="C55" s="8" t="s">
        <v>257</v>
      </c>
      <c r="D55" s="8" t="s">
        <v>66</v>
      </c>
      <c r="E55" s="7" t="s">
        <v>258</v>
      </c>
      <c r="F55" s="7" t="s">
        <v>281</v>
      </c>
      <c r="G55" s="3" t="s">
        <v>51</v>
      </c>
      <c r="H55" s="6" t="s">
        <v>282</v>
      </c>
      <c r="I55" s="3" t="s">
        <v>283</v>
      </c>
      <c r="J55" s="6" t="s">
        <v>284</v>
      </c>
      <c r="K55" s="3"/>
      <c r="L55" s="6"/>
      <c r="M55" s="3" t="s">
        <v>51</v>
      </c>
      <c r="N55" s="6" t="s">
        <v>282</v>
      </c>
      <c r="O55" s="3"/>
      <c r="P55" s="6"/>
      <c r="Q55" s="3" t="s">
        <v>283</v>
      </c>
      <c r="R55" s="6" t="s">
        <v>285</v>
      </c>
      <c r="S55" s="5">
        <f>191.35</f>
        <v>191.35</v>
      </c>
      <c r="T55" s="4">
        <f>15</f>
        <v>15</v>
      </c>
      <c r="U55" s="4"/>
      <c r="V55" s="4"/>
      <c r="W55" s="4">
        <f>28276000</f>
        <v>28276000</v>
      </c>
      <c r="X55" s="4"/>
      <c r="Y55" s="4"/>
      <c r="Z55" s="3"/>
      <c r="AA55" s="2">
        <f>6</f>
        <v>6</v>
      </c>
      <c r="AB55" s="2" t="str">
        <f t="shared" si="1"/>
        <v>－</v>
      </c>
      <c r="AC55" s="1">
        <f>6</f>
        <v>6</v>
      </c>
    </row>
    <row r="56" spans="1:29">
      <c r="A56" s="9" t="s">
        <v>46</v>
      </c>
      <c r="B56" s="8" t="s">
        <v>256</v>
      </c>
      <c r="C56" s="8" t="s">
        <v>257</v>
      </c>
      <c r="D56" s="8" t="s">
        <v>286</v>
      </c>
      <c r="E56" s="7" t="s">
        <v>258</v>
      </c>
      <c r="F56" s="7" t="s">
        <v>287</v>
      </c>
      <c r="G56" s="3" t="s">
        <v>51</v>
      </c>
      <c r="H56" s="6" t="s">
        <v>288</v>
      </c>
      <c r="I56" s="3" t="s">
        <v>97</v>
      </c>
      <c r="J56" s="6" t="s">
        <v>289</v>
      </c>
      <c r="K56" s="3" t="s">
        <v>248</v>
      </c>
      <c r="L56" s="6" t="s">
        <v>290</v>
      </c>
      <c r="M56" s="3" t="s">
        <v>51</v>
      </c>
      <c r="N56" s="6" t="s">
        <v>291</v>
      </c>
      <c r="O56" s="3" t="s">
        <v>172</v>
      </c>
      <c r="P56" s="6" t="s">
        <v>292</v>
      </c>
      <c r="Q56" s="3" t="s">
        <v>105</v>
      </c>
      <c r="R56" s="6" t="s">
        <v>293</v>
      </c>
      <c r="S56" s="5">
        <f>191.16</f>
        <v>191.16</v>
      </c>
      <c r="T56" s="4">
        <f>618</f>
        <v>618</v>
      </c>
      <c r="U56" s="4">
        <v>21</v>
      </c>
      <c r="V56" s="4">
        <v>5</v>
      </c>
      <c r="W56" s="4">
        <f>1164621000</f>
        <v>1164621000</v>
      </c>
      <c r="X56" s="4">
        <v>40514000</v>
      </c>
      <c r="Y56" s="4">
        <v>9515000</v>
      </c>
      <c r="Z56" s="3"/>
      <c r="AA56" s="2">
        <f>191</f>
        <v>191</v>
      </c>
      <c r="AB56" s="2" t="str">
        <f t="shared" si="1"/>
        <v>－</v>
      </c>
      <c r="AC56" s="1">
        <f>18</f>
        <v>18</v>
      </c>
    </row>
    <row r="57" spans="1:29">
      <c r="A57" s="9" t="s">
        <v>46</v>
      </c>
      <c r="B57" s="8" t="s">
        <v>256</v>
      </c>
      <c r="C57" s="8" t="s">
        <v>257</v>
      </c>
      <c r="D57" s="8" t="s">
        <v>72</v>
      </c>
      <c r="E57" s="7" t="s">
        <v>294</v>
      </c>
      <c r="F57" s="7" t="s">
        <v>295</v>
      </c>
      <c r="G57" s="3" t="s">
        <v>156</v>
      </c>
      <c r="H57" s="6" t="s">
        <v>296</v>
      </c>
      <c r="I57" s="3" t="s">
        <v>211</v>
      </c>
      <c r="J57" s="6" t="s">
        <v>297</v>
      </c>
      <c r="K57" s="3" t="s">
        <v>268</v>
      </c>
      <c r="L57" s="6" t="s">
        <v>298</v>
      </c>
      <c r="M57" s="3" t="s">
        <v>253</v>
      </c>
      <c r="N57" s="6" t="s">
        <v>299</v>
      </c>
      <c r="O57" s="3" t="s">
        <v>64</v>
      </c>
      <c r="P57" s="6" t="s">
        <v>300</v>
      </c>
      <c r="Q57" s="3" t="s">
        <v>64</v>
      </c>
      <c r="R57" s="6" t="s">
        <v>301</v>
      </c>
      <c r="S57" s="5">
        <f>190.09</f>
        <v>190.09</v>
      </c>
      <c r="T57" s="4">
        <f>838</f>
        <v>838</v>
      </c>
      <c r="U57" s="4">
        <v>33</v>
      </c>
      <c r="V57" s="4">
        <v>1</v>
      </c>
      <c r="W57" s="4">
        <f>1588411600</f>
        <v>1588411600</v>
      </c>
      <c r="X57" s="4">
        <v>63229500</v>
      </c>
      <c r="Y57" s="4">
        <v>1920100</v>
      </c>
      <c r="Z57" s="3"/>
      <c r="AA57" s="2">
        <f>244</f>
        <v>244</v>
      </c>
      <c r="AB57" s="2" t="str">
        <f t="shared" si="1"/>
        <v>－</v>
      </c>
      <c r="AC57" s="1">
        <f>20</f>
        <v>20</v>
      </c>
    </row>
    <row r="58" spans="1:29">
      <c r="A58" s="9" t="s">
        <v>46</v>
      </c>
      <c r="B58" s="8" t="s">
        <v>302</v>
      </c>
      <c r="C58" s="8" t="s">
        <v>303</v>
      </c>
      <c r="D58" s="8" t="s">
        <v>46</v>
      </c>
      <c r="E58" s="7" t="s">
        <v>304</v>
      </c>
      <c r="F58" s="7" t="s">
        <v>109</v>
      </c>
      <c r="G58" s="3" t="s">
        <v>51</v>
      </c>
      <c r="H58" s="6" t="s">
        <v>305</v>
      </c>
      <c r="I58" s="3" t="s">
        <v>211</v>
      </c>
      <c r="J58" s="6" t="s">
        <v>306</v>
      </c>
      <c r="K58" s="3" t="s">
        <v>248</v>
      </c>
      <c r="L58" s="6" t="s">
        <v>307</v>
      </c>
      <c r="M58" s="3" t="s">
        <v>116</v>
      </c>
      <c r="N58" s="6" t="s">
        <v>308</v>
      </c>
      <c r="O58" s="3" t="s">
        <v>77</v>
      </c>
      <c r="P58" s="6" t="s">
        <v>309</v>
      </c>
      <c r="Q58" s="3" t="s">
        <v>53</v>
      </c>
      <c r="R58" s="6" t="s">
        <v>310</v>
      </c>
      <c r="S58" s="5">
        <f>207.59</f>
        <v>207.59</v>
      </c>
      <c r="T58" s="4">
        <f>1383</f>
        <v>1383</v>
      </c>
      <c r="U58" s="4">
        <v>58</v>
      </c>
      <c r="V58" s="4">
        <v>363</v>
      </c>
      <c r="W58" s="4">
        <f>1410631500</f>
        <v>1410631500</v>
      </c>
      <c r="X58" s="4">
        <v>61254500</v>
      </c>
      <c r="Y58" s="4">
        <v>374313500</v>
      </c>
      <c r="Z58" s="3" t="s">
        <v>58</v>
      </c>
      <c r="AA58" s="2">
        <f>305</f>
        <v>305</v>
      </c>
      <c r="AB58" s="2" t="str">
        <f t="shared" si="1"/>
        <v>－</v>
      </c>
      <c r="AC58" s="1">
        <f>17</f>
        <v>17</v>
      </c>
    </row>
    <row r="59" spans="1:29">
      <c r="A59" s="9" t="s">
        <v>46</v>
      </c>
      <c r="B59" s="8" t="s">
        <v>302</v>
      </c>
      <c r="C59" s="8" t="s">
        <v>303</v>
      </c>
      <c r="D59" s="8" t="s">
        <v>264</v>
      </c>
      <c r="E59" s="7" t="s">
        <v>311</v>
      </c>
      <c r="F59" s="7" t="s">
        <v>312</v>
      </c>
      <c r="G59" s="3" t="s">
        <v>51</v>
      </c>
      <c r="H59" s="6" t="s">
        <v>313</v>
      </c>
      <c r="I59" s="3" t="s">
        <v>211</v>
      </c>
      <c r="J59" s="6" t="s">
        <v>314</v>
      </c>
      <c r="K59" s="3"/>
      <c r="L59" s="6"/>
      <c r="M59" s="3" t="s">
        <v>116</v>
      </c>
      <c r="N59" s="6" t="s">
        <v>315</v>
      </c>
      <c r="O59" s="3"/>
      <c r="P59" s="6"/>
      <c r="Q59" s="3" t="s">
        <v>64</v>
      </c>
      <c r="R59" s="6" t="s">
        <v>316</v>
      </c>
      <c r="S59" s="5">
        <f>211.3</f>
        <v>211.3</v>
      </c>
      <c r="T59" s="4">
        <f>1604</f>
        <v>1604</v>
      </c>
      <c r="U59" s="4"/>
      <c r="V59" s="4">
        <v>801</v>
      </c>
      <c r="W59" s="4">
        <f>1713407500</f>
        <v>1713407500</v>
      </c>
      <c r="X59" s="4"/>
      <c r="Y59" s="4">
        <v>862941000</v>
      </c>
      <c r="Z59" s="3"/>
      <c r="AA59" s="2">
        <f>643</f>
        <v>643</v>
      </c>
      <c r="AB59" s="2" t="str">
        <f t="shared" si="1"/>
        <v>－</v>
      </c>
      <c r="AC59" s="1">
        <f>21</f>
        <v>21</v>
      </c>
    </row>
    <row r="60" spans="1:29">
      <c r="A60" s="9" t="s">
        <v>46</v>
      </c>
      <c r="B60" s="8" t="s">
        <v>302</v>
      </c>
      <c r="C60" s="8" t="s">
        <v>303</v>
      </c>
      <c r="D60" s="8" t="s">
        <v>59</v>
      </c>
      <c r="E60" s="7" t="s">
        <v>317</v>
      </c>
      <c r="F60" s="7" t="s">
        <v>113</v>
      </c>
      <c r="G60" s="3" t="s">
        <v>51</v>
      </c>
      <c r="H60" s="6" t="s">
        <v>318</v>
      </c>
      <c r="I60" s="3" t="s">
        <v>211</v>
      </c>
      <c r="J60" s="6" t="s">
        <v>319</v>
      </c>
      <c r="K60" s="3" t="s">
        <v>268</v>
      </c>
      <c r="L60" s="6" t="s">
        <v>320</v>
      </c>
      <c r="M60" s="3" t="s">
        <v>116</v>
      </c>
      <c r="N60" s="6" t="s">
        <v>321</v>
      </c>
      <c r="O60" s="3" t="s">
        <v>268</v>
      </c>
      <c r="P60" s="6" t="s">
        <v>320</v>
      </c>
      <c r="Q60" s="3" t="s">
        <v>64</v>
      </c>
      <c r="R60" s="6" t="s">
        <v>322</v>
      </c>
      <c r="S60" s="5">
        <f>214.25</f>
        <v>214.25</v>
      </c>
      <c r="T60" s="4">
        <f>2365</f>
        <v>2365</v>
      </c>
      <c r="U60" s="4">
        <v>4</v>
      </c>
      <c r="V60" s="4">
        <v>1143</v>
      </c>
      <c r="W60" s="4">
        <f>2563473500</f>
        <v>2563473500</v>
      </c>
      <c r="X60" s="4">
        <v>4398000</v>
      </c>
      <c r="Y60" s="4">
        <v>1238172500</v>
      </c>
      <c r="Z60" s="3"/>
      <c r="AA60" s="2">
        <f>781</f>
        <v>781</v>
      </c>
      <c r="AB60" s="2" t="str">
        <f t="shared" si="1"/>
        <v>－</v>
      </c>
      <c r="AC60" s="1">
        <f>21</f>
        <v>21</v>
      </c>
    </row>
    <row r="61" spans="1:29">
      <c r="A61" s="9" t="s">
        <v>46</v>
      </c>
      <c r="B61" s="8" t="s">
        <v>302</v>
      </c>
      <c r="C61" s="8" t="s">
        <v>303</v>
      </c>
      <c r="D61" s="8" t="s">
        <v>279</v>
      </c>
      <c r="E61" s="7" t="s">
        <v>323</v>
      </c>
      <c r="F61" s="7" t="s">
        <v>324</v>
      </c>
      <c r="G61" s="3" t="s">
        <v>51</v>
      </c>
      <c r="H61" s="6" t="s">
        <v>325</v>
      </c>
      <c r="I61" s="3" t="s">
        <v>211</v>
      </c>
      <c r="J61" s="6" t="s">
        <v>326</v>
      </c>
      <c r="K61" s="3"/>
      <c r="L61" s="6"/>
      <c r="M61" s="3" t="s">
        <v>116</v>
      </c>
      <c r="N61" s="6" t="s">
        <v>327</v>
      </c>
      <c r="O61" s="3"/>
      <c r="P61" s="6"/>
      <c r="Q61" s="3" t="s">
        <v>64</v>
      </c>
      <c r="R61" s="6" t="s">
        <v>328</v>
      </c>
      <c r="S61" s="5">
        <f>217.72</f>
        <v>217.72</v>
      </c>
      <c r="T61" s="4">
        <f>4930</f>
        <v>4930</v>
      </c>
      <c r="U61" s="4"/>
      <c r="V61" s="4">
        <v>1829</v>
      </c>
      <c r="W61" s="4">
        <f>5411129500</f>
        <v>5411129500</v>
      </c>
      <c r="X61" s="4"/>
      <c r="Y61" s="4">
        <v>2004587500</v>
      </c>
      <c r="Z61" s="3"/>
      <c r="AA61" s="2">
        <f>1119</f>
        <v>1119</v>
      </c>
      <c r="AB61" s="2" t="str">
        <f t="shared" si="1"/>
        <v>－</v>
      </c>
      <c r="AC61" s="1">
        <f>21</f>
        <v>21</v>
      </c>
    </row>
    <row r="62" spans="1:29">
      <c r="A62" s="9" t="s">
        <v>46</v>
      </c>
      <c r="B62" s="8" t="s">
        <v>302</v>
      </c>
      <c r="C62" s="8" t="s">
        <v>303</v>
      </c>
      <c r="D62" s="8" t="s">
        <v>66</v>
      </c>
      <c r="E62" s="7" t="s">
        <v>329</v>
      </c>
      <c r="F62" s="7" t="s">
        <v>119</v>
      </c>
      <c r="G62" s="3" t="s">
        <v>51</v>
      </c>
      <c r="H62" s="6" t="s">
        <v>330</v>
      </c>
      <c r="I62" s="3" t="s">
        <v>211</v>
      </c>
      <c r="J62" s="6" t="s">
        <v>331</v>
      </c>
      <c r="K62" s="3" t="s">
        <v>64</v>
      </c>
      <c r="L62" s="6" t="s">
        <v>332</v>
      </c>
      <c r="M62" s="3" t="s">
        <v>116</v>
      </c>
      <c r="N62" s="6" t="s">
        <v>333</v>
      </c>
      <c r="O62" s="3" t="s">
        <v>51</v>
      </c>
      <c r="P62" s="6" t="s">
        <v>309</v>
      </c>
      <c r="Q62" s="3" t="s">
        <v>64</v>
      </c>
      <c r="R62" s="6" t="s">
        <v>334</v>
      </c>
      <c r="S62" s="5">
        <f>220.94</f>
        <v>220.94</v>
      </c>
      <c r="T62" s="4">
        <f>12902</f>
        <v>12902</v>
      </c>
      <c r="U62" s="4">
        <v>7</v>
      </c>
      <c r="V62" s="4">
        <v>4350</v>
      </c>
      <c r="W62" s="4">
        <f>14298546500</f>
        <v>14298546500</v>
      </c>
      <c r="X62" s="4">
        <v>7705000</v>
      </c>
      <c r="Y62" s="4">
        <v>4806628500</v>
      </c>
      <c r="Z62" s="3"/>
      <c r="AA62" s="2">
        <f>1906</f>
        <v>1906</v>
      </c>
      <c r="AB62" s="2" t="str">
        <f t="shared" si="1"/>
        <v>－</v>
      </c>
      <c r="AC62" s="1">
        <f>21</f>
        <v>21</v>
      </c>
    </row>
    <row r="63" spans="1:29">
      <c r="A63" s="9" t="s">
        <v>46</v>
      </c>
      <c r="B63" s="8" t="s">
        <v>302</v>
      </c>
      <c r="C63" s="8" t="s">
        <v>303</v>
      </c>
      <c r="D63" s="8" t="s">
        <v>286</v>
      </c>
      <c r="E63" s="7" t="s">
        <v>258</v>
      </c>
      <c r="F63" s="7" t="s">
        <v>335</v>
      </c>
      <c r="G63" s="3" t="s">
        <v>51</v>
      </c>
      <c r="H63" s="6" t="s">
        <v>336</v>
      </c>
      <c r="I63" s="3" t="s">
        <v>211</v>
      </c>
      <c r="J63" s="6" t="s">
        <v>337</v>
      </c>
      <c r="K63" s="3" t="s">
        <v>248</v>
      </c>
      <c r="L63" s="6" t="s">
        <v>338</v>
      </c>
      <c r="M63" s="3" t="s">
        <v>116</v>
      </c>
      <c r="N63" s="6" t="s">
        <v>339</v>
      </c>
      <c r="O63" s="3" t="s">
        <v>51</v>
      </c>
      <c r="P63" s="6" t="s">
        <v>340</v>
      </c>
      <c r="Q63" s="3" t="s">
        <v>64</v>
      </c>
      <c r="R63" s="6" t="s">
        <v>314</v>
      </c>
      <c r="S63" s="5">
        <f>224.4</f>
        <v>224.4</v>
      </c>
      <c r="T63" s="4">
        <f>33457</f>
        <v>33457</v>
      </c>
      <c r="U63" s="4">
        <v>45</v>
      </c>
      <c r="V63" s="4">
        <v>6364</v>
      </c>
      <c r="W63" s="4">
        <f>37955445000</f>
        <v>37955445000</v>
      </c>
      <c r="X63" s="4">
        <v>52349000</v>
      </c>
      <c r="Y63" s="4">
        <v>7193486500</v>
      </c>
      <c r="Z63" s="3"/>
      <c r="AA63" s="2">
        <f>3487</f>
        <v>3487</v>
      </c>
      <c r="AB63" s="2" t="str">
        <f t="shared" si="1"/>
        <v>－</v>
      </c>
      <c r="AC63" s="1">
        <f>21</f>
        <v>21</v>
      </c>
    </row>
    <row r="64" spans="1:29">
      <c r="A64" s="9" t="s">
        <v>46</v>
      </c>
      <c r="B64" s="8" t="s">
        <v>302</v>
      </c>
      <c r="C64" s="8" t="s">
        <v>303</v>
      </c>
      <c r="D64" s="8" t="s">
        <v>72</v>
      </c>
      <c r="E64" s="7" t="s">
        <v>258</v>
      </c>
      <c r="F64" s="7" t="s">
        <v>122</v>
      </c>
      <c r="G64" s="3" t="s">
        <v>85</v>
      </c>
      <c r="H64" s="6" t="s">
        <v>341</v>
      </c>
      <c r="I64" s="3" t="s">
        <v>211</v>
      </c>
      <c r="J64" s="6" t="s">
        <v>342</v>
      </c>
      <c r="K64" s="3"/>
      <c r="L64" s="6"/>
      <c r="M64" s="3" t="s">
        <v>85</v>
      </c>
      <c r="N64" s="6" t="s">
        <v>341</v>
      </c>
      <c r="O64" s="3"/>
      <c r="P64" s="6"/>
      <c r="Q64" s="3" t="s">
        <v>64</v>
      </c>
      <c r="R64" s="6" t="s">
        <v>343</v>
      </c>
      <c r="S64" s="5">
        <f>226.1</f>
        <v>226.1</v>
      </c>
      <c r="T64" s="4">
        <f>5251</f>
        <v>5251</v>
      </c>
      <c r="U64" s="4"/>
      <c r="V64" s="4">
        <v>2315</v>
      </c>
      <c r="W64" s="4">
        <f>6102715000</f>
        <v>6102715000</v>
      </c>
      <c r="X64" s="4"/>
      <c r="Y64" s="4">
        <v>2687304500</v>
      </c>
      <c r="Z64" s="3"/>
      <c r="AA64" s="2">
        <f>1763</f>
        <v>1763</v>
      </c>
      <c r="AB64" s="2" t="str">
        <f t="shared" si="1"/>
        <v>－</v>
      </c>
      <c r="AC64" s="1">
        <f>16</f>
        <v>16</v>
      </c>
    </row>
    <row r="65" spans="1:29">
      <c r="A65" s="9" t="s">
        <v>46</v>
      </c>
      <c r="B65" s="8" t="s">
        <v>302</v>
      </c>
      <c r="C65" s="8" t="s">
        <v>303</v>
      </c>
      <c r="D65" s="8" t="s">
        <v>344</v>
      </c>
      <c r="E65" s="7" t="s">
        <v>258</v>
      </c>
      <c r="F65" s="7" t="s">
        <v>345</v>
      </c>
      <c r="G65" s="3" t="s">
        <v>53</v>
      </c>
      <c r="H65" s="6" t="s">
        <v>346</v>
      </c>
      <c r="I65" s="3" t="s">
        <v>53</v>
      </c>
      <c r="J65" s="6" t="s">
        <v>346</v>
      </c>
      <c r="K65" s="3"/>
      <c r="L65" s="6"/>
      <c r="M65" s="3" t="s">
        <v>53</v>
      </c>
      <c r="N65" s="6" t="s">
        <v>346</v>
      </c>
      <c r="O65" s="3"/>
      <c r="P65" s="6"/>
      <c r="Q65" s="3" t="s">
        <v>53</v>
      </c>
      <c r="R65" s="6" t="s">
        <v>346</v>
      </c>
      <c r="S65" s="5">
        <f>226.91</f>
        <v>226.91</v>
      </c>
      <c r="T65" s="4">
        <f>26</f>
        <v>26</v>
      </c>
      <c r="U65" s="4"/>
      <c r="V65" s="4">
        <v>25</v>
      </c>
      <c r="W65" s="4">
        <f>28101500</f>
        <v>28101500</v>
      </c>
      <c r="X65" s="4"/>
      <c r="Y65" s="4">
        <v>26945000</v>
      </c>
      <c r="Z65" s="3"/>
      <c r="AA65" s="2">
        <f>26</f>
        <v>26</v>
      </c>
      <c r="AB65" s="2" t="str">
        <f t="shared" si="1"/>
        <v>－</v>
      </c>
      <c r="AC65" s="1">
        <f>3</f>
        <v>3</v>
      </c>
    </row>
    <row r="66" spans="1:29">
      <c r="A66" s="9" t="s">
        <v>46</v>
      </c>
      <c r="B66" s="8" t="s">
        <v>302</v>
      </c>
      <c r="C66" s="8" t="s">
        <v>303</v>
      </c>
      <c r="D66" s="8" t="s">
        <v>81</v>
      </c>
      <c r="E66" s="7" t="s">
        <v>258</v>
      </c>
      <c r="F66" s="7" t="s">
        <v>126</v>
      </c>
      <c r="G66" s="3"/>
      <c r="H66" s="6" t="s">
        <v>138</v>
      </c>
      <c r="I66" s="3"/>
      <c r="J66" s="6" t="s">
        <v>138</v>
      </c>
      <c r="K66" s="3"/>
      <c r="L66" s="6"/>
      <c r="M66" s="3"/>
      <c r="N66" s="6" t="s">
        <v>138</v>
      </c>
      <c r="O66" s="3"/>
      <c r="P66" s="6"/>
      <c r="Q66" s="3"/>
      <c r="R66" s="6" t="s">
        <v>138</v>
      </c>
      <c r="S66" s="5">
        <f>227.52</f>
        <v>227.52</v>
      </c>
      <c r="T66" s="4" t="str">
        <f>"－"</f>
        <v>－</v>
      </c>
      <c r="U66" s="4"/>
      <c r="V66" s="4"/>
      <c r="W66" s="4" t="str">
        <f>"－"</f>
        <v>－</v>
      </c>
      <c r="X66" s="4"/>
      <c r="Y66" s="4"/>
      <c r="Z66" s="3"/>
      <c r="AA66" s="2" t="str">
        <f>"－"</f>
        <v>－</v>
      </c>
      <c r="AB66" s="2" t="str">
        <f t="shared" si="1"/>
        <v>－</v>
      </c>
      <c r="AC66" s="1" t="str">
        <f>"－"</f>
        <v>－</v>
      </c>
    </row>
    <row r="67" spans="1:29">
      <c r="A67" s="9" t="s">
        <v>46</v>
      </c>
      <c r="B67" s="8" t="s">
        <v>302</v>
      </c>
      <c r="C67" s="8" t="s">
        <v>303</v>
      </c>
      <c r="D67" s="8" t="s">
        <v>347</v>
      </c>
      <c r="E67" s="7" t="s">
        <v>258</v>
      </c>
      <c r="F67" s="7" t="s">
        <v>348</v>
      </c>
      <c r="G67" s="3" t="s">
        <v>283</v>
      </c>
      <c r="H67" s="6" t="s">
        <v>349</v>
      </c>
      <c r="I67" s="3" t="s">
        <v>283</v>
      </c>
      <c r="J67" s="6" t="s">
        <v>349</v>
      </c>
      <c r="K67" s="3"/>
      <c r="L67" s="6"/>
      <c r="M67" s="3" t="s">
        <v>283</v>
      </c>
      <c r="N67" s="6" t="s">
        <v>349</v>
      </c>
      <c r="O67" s="3"/>
      <c r="P67" s="6"/>
      <c r="Q67" s="3" t="s">
        <v>283</v>
      </c>
      <c r="R67" s="6" t="s">
        <v>349</v>
      </c>
      <c r="S67" s="5">
        <f>227.76</f>
        <v>227.76</v>
      </c>
      <c r="T67" s="4">
        <f>1</f>
        <v>1</v>
      </c>
      <c r="U67" s="4"/>
      <c r="V67" s="4"/>
      <c r="W67" s="4">
        <f>1150000</f>
        <v>1150000</v>
      </c>
      <c r="X67" s="4"/>
      <c r="Y67" s="4"/>
      <c r="Z67" s="3"/>
      <c r="AA67" s="2">
        <f>7</f>
        <v>7</v>
      </c>
      <c r="AB67" s="2" t="str">
        <f t="shared" si="1"/>
        <v>－</v>
      </c>
      <c r="AC67" s="1">
        <f>1</f>
        <v>1</v>
      </c>
    </row>
    <row r="68" spans="1:29">
      <c r="A68" s="9" t="s">
        <v>46</v>
      </c>
      <c r="B68" s="8" t="s">
        <v>302</v>
      </c>
      <c r="C68" s="8" t="s">
        <v>303</v>
      </c>
      <c r="D68" s="8" t="s">
        <v>90</v>
      </c>
      <c r="E68" s="7" t="s">
        <v>258</v>
      </c>
      <c r="F68" s="7" t="s">
        <v>128</v>
      </c>
      <c r="G68" s="3" t="s">
        <v>51</v>
      </c>
      <c r="H68" s="6" t="s">
        <v>350</v>
      </c>
      <c r="I68" s="3" t="s">
        <v>211</v>
      </c>
      <c r="J68" s="6" t="s">
        <v>351</v>
      </c>
      <c r="K68" s="3"/>
      <c r="L68" s="6"/>
      <c r="M68" s="3" t="s">
        <v>253</v>
      </c>
      <c r="N68" s="6" t="s">
        <v>352</v>
      </c>
      <c r="O68" s="3"/>
      <c r="P68" s="6"/>
      <c r="Q68" s="3" t="s">
        <v>105</v>
      </c>
      <c r="R68" s="6" t="s">
        <v>353</v>
      </c>
      <c r="S68" s="5">
        <f>229.45</f>
        <v>229.45</v>
      </c>
      <c r="T68" s="4">
        <f>136</f>
        <v>136</v>
      </c>
      <c r="U68" s="4"/>
      <c r="V68" s="4">
        <v>11</v>
      </c>
      <c r="W68" s="4">
        <f>154030500</f>
        <v>154030500</v>
      </c>
      <c r="X68" s="4"/>
      <c r="Y68" s="4">
        <v>12481000</v>
      </c>
      <c r="Z68" s="3"/>
      <c r="AA68" s="2">
        <f>44</f>
        <v>44</v>
      </c>
      <c r="AB68" s="2" t="str">
        <f t="shared" si="1"/>
        <v>－</v>
      </c>
      <c r="AC68" s="1">
        <f>15</f>
        <v>15</v>
      </c>
    </row>
    <row r="69" spans="1:29">
      <c r="A69" s="9" t="s">
        <v>46</v>
      </c>
      <c r="B69" s="8" t="s">
        <v>302</v>
      </c>
      <c r="C69" s="8" t="s">
        <v>303</v>
      </c>
      <c r="D69" s="8" t="s">
        <v>354</v>
      </c>
      <c r="E69" s="7" t="s">
        <v>355</v>
      </c>
      <c r="F69" s="7" t="s">
        <v>356</v>
      </c>
      <c r="G69" s="3" t="s">
        <v>51</v>
      </c>
      <c r="H69" s="6" t="s">
        <v>357</v>
      </c>
      <c r="I69" s="3" t="s">
        <v>211</v>
      </c>
      <c r="J69" s="6" t="s">
        <v>358</v>
      </c>
      <c r="K69" s="3"/>
      <c r="L69" s="6"/>
      <c r="M69" s="3" t="s">
        <v>116</v>
      </c>
      <c r="N69" s="6" t="s">
        <v>359</v>
      </c>
      <c r="O69" s="3"/>
      <c r="P69" s="6"/>
      <c r="Q69" s="3" t="s">
        <v>105</v>
      </c>
      <c r="R69" s="6" t="s">
        <v>360</v>
      </c>
      <c r="S69" s="5">
        <f>231.29</f>
        <v>231.29</v>
      </c>
      <c r="T69" s="4">
        <f>485</f>
        <v>485</v>
      </c>
      <c r="U69" s="4"/>
      <c r="V69" s="4">
        <v>1</v>
      </c>
      <c r="W69" s="4">
        <f>565785500</f>
        <v>565785500</v>
      </c>
      <c r="X69" s="4"/>
      <c r="Y69" s="4">
        <v>1210000</v>
      </c>
      <c r="Z69" s="3"/>
      <c r="AA69" s="2">
        <f>117</f>
        <v>117</v>
      </c>
      <c r="AB69" s="2" t="str">
        <f t="shared" si="1"/>
        <v>－</v>
      </c>
      <c r="AC69" s="1">
        <f>20</f>
        <v>20</v>
      </c>
    </row>
    <row r="70" spans="1:29">
      <c r="A70" s="9" t="s">
        <v>46</v>
      </c>
      <c r="B70" s="8" t="s">
        <v>302</v>
      </c>
      <c r="C70" s="8" t="s">
        <v>303</v>
      </c>
      <c r="D70" s="8" t="s">
        <v>100</v>
      </c>
      <c r="E70" s="7" t="s">
        <v>50</v>
      </c>
      <c r="F70" s="7" t="s">
        <v>132</v>
      </c>
      <c r="G70" s="3" t="s">
        <v>56</v>
      </c>
      <c r="H70" s="6" t="s">
        <v>361</v>
      </c>
      <c r="I70" s="3" t="s">
        <v>64</v>
      </c>
      <c r="J70" s="6" t="s">
        <v>362</v>
      </c>
      <c r="K70" s="3"/>
      <c r="L70" s="6"/>
      <c r="M70" s="3" t="s">
        <v>105</v>
      </c>
      <c r="N70" s="6" t="s">
        <v>363</v>
      </c>
      <c r="O70" s="3"/>
      <c r="P70" s="6"/>
      <c r="Q70" s="3" t="s">
        <v>64</v>
      </c>
      <c r="R70" s="6" t="s">
        <v>364</v>
      </c>
      <c r="S70" s="5">
        <f>236.18</f>
        <v>236.18</v>
      </c>
      <c r="T70" s="4">
        <f>72</f>
        <v>72</v>
      </c>
      <c r="U70" s="4"/>
      <c r="V70" s="4"/>
      <c r="W70" s="4">
        <f>85132500</f>
        <v>85132500</v>
      </c>
      <c r="X70" s="4"/>
      <c r="Y70" s="4"/>
      <c r="Z70" s="3"/>
      <c r="AA70" s="2">
        <f>38</f>
        <v>38</v>
      </c>
      <c r="AB70" s="2" t="str">
        <f t="shared" si="1"/>
        <v>－</v>
      </c>
      <c r="AC70" s="1">
        <f>4</f>
        <v>4</v>
      </c>
    </row>
    <row r="71" spans="1:29">
      <c r="A71" s="9" t="s">
        <v>46</v>
      </c>
      <c r="B71" s="8" t="s">
        <v>365</v>
      </c>
      <c r="C71" s="8" t="s">
        <v>366</v>
      </c>
      <c r="D71" s="8" t="s">
        <v>264</v>
      </c>
      <c r="E71" s="7" t="s">
        <v>367</v>
      </c>
      <c r="F71" s="7" t="s">
        <v>368</v>
      </c>
      <c r="G71" s="3"/>
      <c r="H71" s="6" t="s">
        <v>138</v>
      </c>
      <c r="I71" s="3"/>
      <c r="J71" s="6" t="s">
        <v>138</v>
      </c>
      <c r="K71" s="3" t="s">
        <v>211</v>
      </c>
      <c r="L71" s="6" t="s">
        <v>369</v>
      </c>
      <c r="M71" s="3"/>
      <c r="N71" s="6" t="s">
        <v>138</v>
      </c>
      <c r="O71" s="3" t="s">
        <v>211</v>
      </c>
      <c r="P71" s="6" t="s">
        <v>369</v>
      </c>
      <c r="Q71" s="3"/>
      <c r="R71" s="6" t="s">
        <v>138</v>
      </c>
      <c r="S71" s="5">
        <f>193.43</f>
        <v>193.43</v>
      </c>
      <c r="T71" s="4">
        <f>3</f>
        <v>3</v>
      </c>
      <c r="U71" s="4">
        <v>3</v>
      </c>
      <c r="V71" s="4"/>
      <c r="W71" s="4">
        <f>2970000</f>
        <v>2970000</v>
      </c>
      <c r="X71" s="4">
        <v>2970000</v>
      </c>
      <c r="Y71" s="4"/>
      <c r="Z71" s="3" t="s">
        <v>58</v>
      </c>
      <c r="AA71" s="2" t="str">
        <f>"－"</f>
        <v>－</v>
      </c>
      <c r="AB71" s="2" t="str">
        <f t="shared" ref="AB71:AB103" si="2">"－"</f>
        <v>－</v>
      </c>
      <c r="AC71" s="1" t="str">
        <f>"－"</f>
        <v>－</v>
      </c>
    </row>
    <row r="72" spans="1:29">
      <c r="A72" s="9" t="s">
        <v>46</v>
      </c>
      <c r="B72" s="8" t="s">
        <v>365</v>
      </c>
      <c r="C72" s="8" t="s">
        <v>366</v>
      </c>
      <c r="D72" s="8" t="s">
        <v>59</v>
      </c>
      <c r="E72" s="7" t="s">
        <v>370</v>
      </c>
      <c r="F72" s="7" t="s">
        <v>371</v>
      </c>
      <c r="G72" s="3"/>
      <c r="H72" s="6" t="s">
        <v>138</v>
      </c>
      <c r="I72" s="3"/>
      <c r="J72" s="6" t="s">
        <v>138</v>
      </c>
      <c r="K72" s="3"/>
      <c r="L72" s="6"/>
      <c r="M72" s="3"/>
      <c r="N72" s="6" t="s">
        <v>138</v>
      </c>
      <c r="O72" s="3"/>
      <c r="P72" s="6"/>
      <c r="Q72" s="3"/>
      <c r="R72" s="6" t="s">
        <v>138</v>
      </c>
      <c r="S72" s="5">
        <f>193.48</f>
        <v>193.48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>
        <f>3</f>
        <v>3</v>
      </c>
      <c r="AB72" s="2" t="str">
        <f t="shared" si="2"/>
        <v>－</v>
      </c>
      <c r="AC72" s="1" t="str">
        <f>"－"</f>
        <v>－</v>
      </c>
    </row>
    <row r="73" spans="1:29">
      <c r="A73" s="9" t="s">
        <v>46</v>
      </c>
      <c r="B73" s="8" t="s">
        <v>365</v>
      </c>
      <c r="C73" s="8" t="s">
        <v>366</v>
      </c>
      <c r="D73" s="8" t="s">
        <v>279</v>
      </c>
      <c r="E73" s="7" t="s">
        <v>372</v>
      </c>
      <c r="F73" s="7" t="s">
        <v>373</v>
      </c>
      <c r="G73" s="3" t="s">
        <v>77</v>
      </c>
      <c r="H73" s="6" t="s">
        <v>374</v>
      </c>
      <c r="I73" s="3" t="s">
        <v>268</v>
      </c>
      <c r="J73" s="6" t="s">
        <v>375</v>
      </c>
      <c r="K73" s="3" t="s">
        <v>77</v>
      </c>
      <c r="L73" s="6" t="s">
        <v>376</v>
      </c>
      <c r="M73" s="3" t="s">
        <v>77</v>
      </c>
      <c r="N73" s="6" t="s">
        <v>377</v>
      </c>
      <c r="O73" s="3" t="s">
        <v>77</v>
      </c>
      <c r="P73" s="6" t="s">
        <v>376</v>
      </c>
      <c r="Q73" s="3" t="s">
        <v>105</v>
      </c>
      <c r="R73" s="6" t="s">
        <v>378</v>
      </c>
      <c r="S73" s="5">
        <f>195.22</f>
        <v>195.22</v>
      </c>
      <c r="T73" s="4">
        <f>38</f>
        <v>38</v>
      </c>
      <c r="U73" s="4">
        <v>4</v>
      </c>
      <c r="V73" s="4"/>
      <c r="W73" s="4">
        <f>38012500</f>
        <v>38012500</v>
      </c>
      <c r="X73" s="4">
        <v>3918000</v>
      </c>
      <c r="Y73" s="4"/>
      <c r="Z73" s="3"/>
      <c r="AA73" s="2" t="str">
        <f t="shared" ref="AA73:AA83" si="3">"－"</f>
        <v>－</v>
      </c>
      <c r="AB73" s="2" t="str">
        <f t="shared" si="2"/>
        <v>－</v>
      </c>
      <c r="AC73" s="1">
        <f>3</f>
        <v>3</v>
      </c>
    </row>
    <row r="74" spans="1:29">
      <c r="A74" s="9" t="s">
        <v>46</v>
      </c>
      <c r="B74" s="8" t="s">
        <v>365</v>
      </c>
      <c r="C74" s="8" t="s">
        <v>366</v>
      </c>
      <c r="D74" s="8" t="s">
        <v>66</v>
      </c>
      <c r="E74" s="7" t="s">
        <v>379</v>
      </c>
      <c r="F74" s="7" t="s">
        <v>380</v>
      </c>
      <c r="G74" s="3" t="s">
        <v>253</v>
      </c>
      <c r="H74" s="6" t="s">
        <v>381</v>
      </c>
      <c r="I74" s="3" t="s">
        <v>268</v>
      </c>
      <c r="J74" s="6" t="s">
        <v>333</v>
      </c>
      <c r="K74" s="3"/>
      <c r="L74" s="6"/>
      <c r="M74" s="3" t="s">
        <v>253</v>
      </c>
      <c r="N74" s="6" t="s">
        <v>381</v>
      </c>
      <c r="O74" s="3"/>
      <c r="P74" s="6"/>
      <c r="Q74" s="3" t="s">
        <v>105</v>
      </c>
      <c r="R74" s="6" t="s">
        <v>382</v>
      </c>
      <c r="S74" s="5">
        <f>195.52</f>
        <v>195.52</v>
      </c>
      <c r="T74" s="4">
        <f>75</f>
        <v>75</v>
      </c>
      <c r="U74" s="4"/>
      <c r="V74" s="4"/>
      <c r="W74" s="4">
        <f>73956000</f>
        <v>73956000</v>
      </c>
      <c r="X74" s="4"/>
      <c r="Y74" s="4"/>
      <c r="Z74" s="3"/>
      <c r="AA74" s="2" t="str">
        <f t="shared" si="3"/>
        <v>－</v>
      </c>
      <c r="AB74" s="2" t="str">
        <f t="shared" si="2"/>
        <v>－</v>
      </c>
      <c r="AC74" s="1">
        <f>4</f>
        <v>4</v>
      </c>
    </row>
    <row r="75" spans="1:29">
      <c r="A75" s="9" t="s">
        <v>46</v>
      </c>
      <c r="B75" s="8" t="s">
        <v>365</v>
      </c>
      <c r="C75" s="8" t="s">
        <v>366</v>
      </c>
      <c r="D75" s="8" t="s">
        <v>286</v>
      </c>
      <c r="E75" s="7" t="s">
        <v>383</v>
      </c>
      <c r="F75" s="7" t="s">
        <v>384</v>
      </c>
      <c r="G75" s="3"/>
      <c r="H75" s="6" t="s">
        <v>138</v>
      </c>
      <c r="I75" s="3"/>
      <c r="J75" s="6" t="s">
        <v>138</v>
      </c>
      <c r="K75" s="3"/>
      <c r="L75" s="6"/>
      <c r="M75" s="3"/>
      <c r="N75" s="6" t="s">
        <v>138</v>
      </c>
      <c r="O75" s="3"/>
      <c r="P75" s="6"/>
      <c r="Q75" s="3"/>
      <c r="R75" s="6" t="s">
        <v>138</v>
      </c>
      <c r="S75" s="5">
        <f>196</f>
        <v>196</v>
      </c>
      <c r="T75" s="4" t="str">
        <f t="shared" ref="T75:T82" si="4">"－"</f>
        <v>－</v>
      </c>
      <c r="U75" s="4"/>
      <c r="V75" s="4"/>
      <c r="W75" s="4" t="str">
        <f t="shared" ref="W75:W82" si="5">"－"</f>
        <v>－</v>
      </c>
      <c r="X75" s="4"/>
      <c r="Y75" s="4"/>
      <c r="Z75" s="3"/>
      <c r="AA75" s="2" t="str">
        <f t="shared" si="3"/>
        <v>－</v>
      </c>
      <c r="AB75" s="2" t="str">
        <f t="shared" si="2"/>
        <v>－</v>
      </c>
      <c r="AC75" s="1" t="str">
        <f t="shared" ref="AC75:AC82" si="6">"－"</f>
        <v>－</v>
      </c>
    </row>
    <row r="76" spans="1:29">
      <c r="A76" s="9" t="s">
        <v>46</v>
      </c>
      <c r="B76" s="8" t="s">
        <v>365</v>
      </c>
      <c r="C76" s="8" t="s">
        <v>366</v>
      </c>
      <c r="D76" s="8" t="s">
        <v>72</v>
      </c>
      <c r="E76" s="7" t="s">
        <v>258</v>
      </c>
      <c r="F76" s="7" t="s">
        <v>385</v>
      </c>
      <c r="G76" s="3"/>
      <c r="H76" s="6" t="s">
        <v>138</v>
      </c>
      <c r="I76" s="3"/>
      <c r="J76" s="6" t="s">
        <v>138</v>
      </c>
      <c r="K76" s="3"/>
      <c r="L76" s="6"/>
      <c r="M76" s="3"/>
      <c r="N76" s="6" t="s">
        <v>138</v>
      </c>
      <c r="O76" s="3"/>
      <c r="P76" s="6"/>
      <c r="Q76" s="3"/>
      <c r="R76" s="6" t="s">
        <v>138</v>
      </c>
      <c r="S76" s="5">
        <f>196.57</f>
        <v>196.57</v>
      </c>
      <c r="T76" s="4" t="str">
        <f t="shared" si="4"/>
        <v>－</v>
      </c>
      <c r="U76" s="4"/>
      <c r="V76" s="4"/>
      <c r="W76" s="4" t="str">
        <f t="shared" si="5"/>
        <v>－</v>
      </c>
      <c r="X76" s="4"/>
      <c r="Y76" s="4"/>
      <c r="Z76" s="3"/>
      <c r="AA76" s="2" t="str">
        <f t="shared" si="3"/>
        <v>－</v>
      </c>
      <c r="AB76" s="2" t="str">
        <f t="shared" si="2"/>
        <v>－</v>
      </c>
      <c r="AC76" s="1" t="str">
        <f t="shared" si="6"/>
        <v>－</v>
      </c>
    </row>
    <row r="77" spans="1:29">
      <c r="A77" s="9" t="s">
        <v>46</v>
      </c>
      <c r="B77" s="8" t="s">
        <v>365</v>
      </c>
      <c r="C77" s="8" t="s">
        <v>366</v>
      </c>
      <c r="D77" s="8" t="s">
        <v>344</v>
      </c>
      <c r="E77" s="7" t="s">
        <v>258</v>
      </c>
      <c r="F77" s="7" t="s">
        <v>386</v>
      </c>
      <c r="G77" s="3"/>
      <c r="H77" s="6" t="s">
        <v>138</v>
      </c>
      <c r="I77" s="3"/>
      <c r="J77" s="6" t="s">
        <v>138</v>
      </c>
      <c r="K77" s="3"/>
      <c r="L77" s="6"/>
      <c r="M77" s="3"/>
      <c r="N77" s="6" t="s">
        <v>138</v>
      </c>
      <c r="O77" s="3"/>
      <c r="P77" s="6"/>
      <c r="Q77" s="3"/>
      <c r="R77" s="6" t="s">
        <v>138</v>
      </c>
      <c r="S77" s="5">
        <f>196.9</f>
        <v>196.9</v>
      </c>
      <c r="T77" s="4" t="str">
        <f t="shared" si="4"/>
        <v>－</v>
      </c>
      <c r="U77" s="4"/>
      <c r="V77" s="4"/>
      <c r="W77" s="4" t="str">
        <f t="shared" si="5"/>
        <v>－</v>
      </c>
      <c r="X77" s="4"/>
      <c r="Y77" s="4"/>
      <c r="Z77" s="3"/>
      <c r="AA77" s="2" t="str">
        <f t="shared" si="3"/>
        <v>－</v>
      </c>
      <c r="AB77" s="2" t="str">
        <f t="shared" si="2"/>
        <v>－</v>
      </c>
      <c r="AC77" s="1" t="str">
        <f t="shared" si="6"/>
        <v>－</v>
      </c>
    </row>
    <row r="78" spans="1:29">
      <c r="A78" s="9" t="s">
        <v>46</v>
      </c>
      <c r="B78" s="8" t="s">
        <v>365</v>
      </c>
      <c r="C78" s="8" t="s">
        <v>366</v>
      </c>
      <c r="D78" s="8" t="s">
        <v>81</v>
      </c>
      <c r="E78" s="7" t="s">
        <v>258</v>
      </c>
      <c r="F78" s="7" t="s">
        <v>387</v>
      </c>
      <c r="G78" s="3"/>
      <c r="H78" s="6" t="s">
        <v>138</v>
      </c>
      <c r="I78" s="3"/>
      <c r="J78" s="6" t="s">
        <v>138</v>
      </c>
      <c r="K78" s="3"/>
      <c r="L78" s="6"/>
      <c r="M78" s="3"/>
      <c r="N78" s="6" t="s">
        <v>138</v>
      </c>
      <c r="O78" s="3"/>
      <c r="P78" s="6"/>
      <c r="Q78" s="3"/>
      <c r="R78" s="6" t="s">
        <v>138</v>
      </c>
      <c r="S78" s="5">
        <f>197.57</f>
        <v>197.57</v>
      </c>
      <c r="T78" s="4" t="str">
        <f t="shared" si="4"/>
        <v>－</v>
      </c>
      <c r="U78" s="4"/>
      <c r="V78" s="4"/>
      <c r="W78" s="4" t="str">
        <f t="shared" si="5"/>
        <v>－</v>
      </c>
      <c r="X78" s="4"/>
      <c r="Y78" s="4"/>
      <c r="Z78" s="3"/>
      <c r="AA78" s="2" t="str">
        <f t="shared" si="3"/>
        <v>－</v>
      </c>
      <c r="AB78" s="2" t="str">
        <f t="shared" si="2"/>
        <v>－</v>
      </c>
      <c r="AC78" s="1" t="str">
        <f t="shared" si="6"/>
        <v>－</v>
      </c>
    </row>
    <row r="79" spans="1:29">
      <c r="A79" s="9" t="s">
        <v>46</v>
      </c>
      <c r="B79" s="8" t="s">
        <v>365</v>
      </c>
      <c r="C79" s="8" t="s">
        <v>366</v>
      </c>
      <c r="D79" s="8" t="s">
        <v>347</v>
      </c>
      <c r="E79" s="7" t="s">
        <v>258</v>
      </c>
      <c r="F79" s="7" t="s">
        <v>388</v>
      </c>
      <c r="G79" s="3"/>
      <c r="H79" s="6" t="s">
        <v>138</v>
      </c>
      <c r="I79" s="3"/>
      <c r="J79" s="6" t="s">
        <v>138</v>
      </c>
      <c r="K79" s="3"/>
      <c r="L79" s="6"/>
      <c r="M79" s="3"/>
      <c r="N79" s="6" t="s">
        <v>138</v>
      </c>
      <c r="O79" s="3"/>
      <c r="P79" s="6"/>
      <c r="Q79" s="3"/>
      <c r="R79" s="6" t="s">
        <v>138</v>
      </c>
      <c r="S79" s="5">
        <f>197.9</f>
        <v>197.9</v>
      </c>
      <c r="T79" s="4" t="str">
        <f t="shared" si="4"/>
        <v>－</v>
      </c>
      <c r="U79" s="4"/>
      <c r="V79" s="4"/>
      <c r="W79" s="4" t="str">
        <f t="shared" si="5"/>
        <v>－</v>
      </c>
      <c r="X79" s="4"/>
      <c r="Y79" s="4"/>
      <c r="Z79" s="3"/>
      <c r="AA79" s="2" t="str">
        <f t="shared" si="3"/>
        <v>－</v>
      </c>
      <c r="AB79" s="2" t="str">
        <f t="shared" si="2"/>
        <v>－</v>
      </c>
      <c r="AC79" s="1" t="str">
        <f t="shared" si="6"/>
        <v>－</v>
      </c>
    </row>
    <row r="80" spans="1:29">
      <c r="A80" s="9" t="s">
        <v>46</v>
      </c>
      <c r="B80" s="8" t="s">
        <v>365</v>
      </c>
      <c r="C80" s="8" t="s">
        <v>366</v>
      </c>
      <c r="D80" s="8" t="s">
        <v>90</v>
      </c>
      <c r="E80" s="7" t="s">
        <v>258</v>
      </c>
      <c r="F80" s="7" t="s">
        <v>389</v>
      </c>
      <c r="G80" s="3"/>
      <c r="H80" s="6" t="s">
        <v>138</v>
      </c>
      <c r="I80" s="3"/>
      <c r="J80" s="6" t="s">
        <v>138</v>
      </c>
      <c r="K80" s="3"/>
      <c r="L80" s="6"/>
      <c r="M80" s="3"/>
      <c r="N80" s="6" t="s">
        <v>138</v>
      </c>
      <c r="O80" s="3"/>
      <c r="P80" s="6"/>
      <c r="Q80" s="3"/>
      <c r="R80" s="6" t="s">
        <v>138</v>
      </c>
      <c r="S80" s="5">
        <f>198.9</f>
        <v>198.9</v>
      </c>
      <c r="T80" s="4" t="str">
        <f t="shared" si="4"/>
        <v>－</v>
      </c>
      <c r="U80" s="4"/>
      <c r="V80" s="4"/>
      <c r="W80" s="4" t="str">
        <f t="shared" si="5"/>
        <v>－</v>
      </c>
      <c r="X80" s="4"/>
      <c r="Y80" s="4"/>
      <c r="Z80" s="3"/>
      <c r="AA80" s="2" t="str">
        <f t="shared" si="3"/>
        <v>－</v>
      </c>
      <c r="AB80" s="2" t="str">
        <f t="shared" si="2"/>
        <v>－</v>
      </c>
      <c r="AC80" s="1" t="str">
        <f t="shared" si="6"/>
        <v>－</v>
      </c>
    </row>
    <row r="81" spans="1:29">
      <c r="A81" s="9" t="s">
        <v>46</v>
      </c>
      <c r="B81" s="8" t="s">
        <v>365</v>
      </c>
      <c r="C81" s="8" t="s">
        <v>366</v>
      </c>
      <c r="D81" s="8" t="s">
        <v>354</v>
      </c>
      <c r="E81" s="7" t="s">
        <v>258</v>
      </c>
      <c r="F81" s="7" t="s">
        <v>390</v>
      </c>
      <c r="G81" s="3"/>
      <c r="H81" s="6" t="s">
        <v>138</v>
      </c>
      <c r="I81" s="3"/>
      <c r="J81" s="6" t="s">
        <v>138</v>
      </c>
      <c r="K81" s="3"/>
      <c r="L81" s="6"/>
      <c r="M81" s="3"/>
      <c r="N81" s="6" t="s">
        <v>138</v>
      </c>
      <c r="O81" s="3"/>
      <c r="P81" s="6"/>
      <c r="Q81" s="3"/>
      <c r="R81" s="6" t="s">
        <v>138</v>
      </c>
      <c r="S81" s="5">
        <f>199.76</f>
        <v>199.76</v>
      </c>
      <c r="T81" s="4" t="str">
        <f t="shared" si="4"/>
        <v>－</v>
      </c>
      <c r="U81" s="4"/>
      <c r="V81" s="4"/>
      <c r="W81" s="4" t="str">
        <f t="shared" si="5"/>
        <v>－</v>
      </c>
      <c r="X81" s="4"/>
      <c r="Y81" s="4"/>
      <c r="Z81" s="3"/>
      <c r="AA81" s="2" t="str">
        <f t="shared" si="3"/>
        <v>－</v>
      </c>
      <c r="AB81" s="2" t="str">
        <f t="shared" si="2"/>
        <v>－</v>
      </c>
      <c r="AC81" s="1" t="str">
        <f t="shared" si="6"/>
        <v>－</v>
      </c>
    </row>
    <row r="82" spans="1:29">
      <c r="A82" s="9" t="s">
        <v>46</v>
      </c>
      <c r="B82" s="8" t="s">
        <v>365</v>
      </c>
      <c r="C82" s="8" t="s">
        <v>366</v>
      </c>
      <c r="D82" s="8" t="s">
        <v>100</v>
      </c>
      <c r="E82" s="7" t="s">
        <v>259</v>
      </c>
      <c r="F82" s="7" t="s">
        <v>391</v>
      </c>
      <c r="G82" s="3"/>
      <c r="H82" s="6" t="s">
        <v>138</v>
      </c>
      <c r="I82" s="3"/>
      <c r="J82" s="6" t="s">
        <v>138</v>
      </c>
      <c r="K82" s="3"/>
      <c r="L82" s="6"/>
      <c r="M82" s="3"/>
      <c r="N82" s="6" t="s">
        <v>138</v>
      </c>
      <c r="O82" s="3"/>
      <c r="P82" s="6"/>
      <c r="Q82" s="3"/>
      <c r="R82" s="6" t="s">
        <v>138</v>
      </c>
      <c r="S82" s="5">
        <f>200.43</f>
        <v>200.43</v>
      </c>
      <c r="T82" s="4" t="str">
        <f t="shared" si="4"/>
        <v>－</v>
      </c>
      <c r="U82" s="4"/>
      <c r="V82" s="4"/>
      <c r="W82" s="4" t="str">
        <f t="shared" si="5"/>
        <v>－</v>
      </c>
      <c r="X82" s="4"/>
      <c r="Y82" s="4"/>
      <c r="Z82" s="3"/>
      <c r="AA82" s="2" t="str">
        <f t="shared" si="3"/>
        <v>－</v>
      </c>
      <c r="AB82" s="2" t="str">
        <f t="shared" si="2"/>
        <v>－</v>
      </c>
      <c r="AC82" s="1" t="str">
        <f t="shared" si="6"/>
        <v>－</v>
      </c>
    </row>
    <row r="83" spans="1:29">
      <c r="A83" s="9" t="s">
        <v>46</v>
      </c>
      <c r="B83" s="8" t="s">
        <v>392</v>
      </c>
      <c r="C83" s="8" t="s">
        <v>393</v>
      </c>
      <c r="D83" s="8" t="s">
        <v>264</v>
      </c>
      <c r="E83" s="7" t="s">
        <v>394</v>
      </c>
      <c r="F83" s="7" t="s">
        <v>395</v>
      </c>
      <c r="G83" s="3" t="s">
        <v>51</v>
      </c>
      <c r="H83" s="6" t="s">
        <v>396</v>
      </c>
      <c r="I83" s="3" t="s">
        <v>238</v>
      </c>
      <c r="J83" s="6" t="s">
        <v>397</v>
      </c>
      <c r="K83" s="3"/>
      <c r="L83" s="6"/>
      <c r="M83" s="3" t="s">
        <v>51</v>
      </c>
      <c r="N83" s="6" t="s">
        <v>396</v>
      </c>
      <c r="O83" s="3"/>
      <c r="P83" s="6"/>
      <c r="Q83" s="3" t="s">
        <v>240</v>
      </c>
      <c r="R83" s="6" t="s">
        <v>397</v>
      </c>
      <c r="S83" s="5">
        <f>52759.09</f>
        <v>52759.09</v>
      </c>
      <c r="T83" s="4">
        <f>150</f>
        <v>150</v>
      </c>
      <c r="U83" s="4"/>
      <c r="V83" s="4"/>
      <c r="W83" s="4">
        <f>426024500</f>
        <v>426024500</v>
      </c>
      <c r="X83" s="4"/>
      <c r="Y83" s="4"/>
      <c r="Z83" s="3" t="s">
        <v>58</v>
      </c>
      <c r="AA83" s="2" t="str">
        <f t="shared" si="3"/>
        <v>－</v>
      </c>
      <c r="AB83" s="2" t="str">
        <f t="shared" si="2"/>
        <v>－</v>
      </c>
      <c r="AC83" s="1">
        <f>8</f>
        <v>8</v>
      </c>
    </row>
    <row r="84" spans="1:29">
      <c r="A84" s="9" t="s">
        <v>46</v>
      </c>
      <c r="B84" s="8" t="s">
        <v>392</v>
      </c>
      <c r="C84" s="8" t="s">
        <v>393</v>
      </c>
      <c r="D84" s="8" t="s">
        <v>279</v>
      </c>
      <c r="E84" s="7" t="s">
        <v>398</v>
      </c>
      <c r="F84" s="7" t="s">
        <v>399</v>
      </c>
      <c r="G84" s="3" t="s">
        <v>51</v>
      </c>
      <c r="H84" s="6" t="s">
        <v>400</v>
      </c>
      <c r="I84" s="3" t="s">
        <v>56</v>
      </c>
      <c r="J84" s="6" t="s">
        <v>401</v>
      </c>
      <c r="K84" s="3" t="s">
        <v>77</v>
      </c>
      <c r="L84" s="6" t="s">
        <v>402</v>
      </c>
      <c r="M84" s="3" t="s">
        <v>51</v>
      </c>
      <c r="N84" s="6" t="s">
        <v>403</v>
      </c>
      <c r="O84" s="3" t="s">
        <v>77</v>
      </c>
      <c r="P84" s="6" t="s">
        <v>402</v>
      </c>
      <c r="Q84" s="3" t="s">
        <v>105</v>
      </c>
      <c r="R84" s="6" t="s">
        <v>404</v>
      </c>
      <c r="S84" s="5">
        <f>41229.52</f>
        <v>41229.519999999997</v>
      </c>
      <c r="T84" s="4">
        <f>158</f>
        <v>158</v>
      </c>
      <c r="U84" s="4">
        <v>1</v>
      </c>
      <c r="V84" s="4">
        <v>1</v>
      </c>
      <c r="W84" s="4">
        <f>327089500</f>
        <v>327089500</v>
      </c>
      <c r="X84" s="4">
        <v>2070000</v>
      </c>
      <c r="Y84" s="4">
        <v>2159500</v>
      </c>
      <c r="Z84" s="3"/>
      <c r="AA84" s="2">
        <f>142</f>
        <v>142</v>
      </c>
      <c r="AB84" s="2" t="str">
        <f t="shared" si="2"/>
        <v>－</v>
      </c>
      <c r="AC84" s="1">
        <f>16</f>
        <v>16</v>
      </c>
    </row>
    <row r="85" spans="1:29">
      <c r="A85" s="9" t="s">
        <v>46</v>
      </c>
      <c r="B85" s="8" t="s">
        <v>392</v>
      </c>
      <c r="C85" s="8" t="s">
        <v>393</v>
      </c>
      <c r="D85" s="8" t="s">
        <v>286</v>
      </c>
      <c r="E85" s="7" t="s">
        <v>405</v>
      </c>
      <c r="F85" s="7" t="s">
        <v>406</v>
      </c>
      <c r="G85" s="3" t="s">
        <v>51</v>
      </c>
      <c r="H85" s="6" t="s">
        <v>407</v>
      </c>
      <c r="I85" s="3" t="s">
        <v>53</v>
      </c>
      <c r="J85" s="6" t="s">
        <v>408</v>
      </c>
      <c r="K85" s="3"/>
      <c r="L85" s="6"/>
      <c r="M85" s="3" t="s">
        <v>51</v>
      </c>
      <c r="N85" s="6" t="s">
        <v>407</v>
      </c>
      <c r="O85" s="3"/>
      <c r="P85" s="6"/>
      <c r="Q85" s="3" t="s">
        <v>64</v>
      </c>
      <c r="R85" s="6" t="s">
        <v>409</v>
      </c>
      <c r="S85" s="5">
        <f>41237.14</f>
        <v>41237.14</v>
      </c>
      <c r="T85" s="4">
        <f>190</f>
        <v>190</v>
      </c>
      <c r="U85" s="4"/>
      <c r="V85" s="4">
        <v>1</v>
      </c>
      <c r="W85" s="4">
        <f>396689500</f>
        <v>396689500</v>
      </c>
      <c r="X85" s="4"/>
      <c r="Y85" s="4">
        <v>2184500</v>
      </c>
      <c r="Z85" s="3"/>
      <c r="AA85" s="2">
        <f>214</f>
        <v>214</v>
      </c>
      <c r="AB85" s="2" t="str">
        <f t="shared" si="2"/>
        <v>－</v>
      </c>
      <c r="AC85" s="1">
        <f>20</f>
        <v>20</v>
      </c>
    </row>
    <row r="86" spans="1:29">
      <c r="A86" s="9" t="s">
        <v>46</v>
      </c>
      <c r="B86" s="8" t="s">
        <v>392</v>
      </c>
      <c r="C86" s="8" t="s">
        <v>393</v>
      </c>
      <c r="D86" s="8" t="s">
        <v>344</v>
      </c>
      <c r="E86" s="7" t="s">
        <v>410</v>
      </c>
      <c r="F86" s="7" t="s">
        <v>411</v>
      </c>
      <c r="G86" s="3" t="s">
        <v>51</v>
      </c>
      <c r="H86" s="6" t="s">
        <v>412</v>
      </c>
      <c r="I86" s="3" t="s">
        <v>56</v>
      </c>
      <c r="J86" s="6" t="s">
        <v>413</v>
      </c>
      <c r="K86" s="3" t="s">
        <v>51</v>
      </c>
      <c r="L86" s="6" t="s">
        <v>414</v>
      </c>
      <c r="M86" s="3" t="s">
        <v>51</v>
      </c>
      <c r="N86" s="6" t="s">
        <v>412</v>
      </c>
      <c r="O86" s="3" t="s">
        <v>51</v>
      </c>
      <c r="P86" s="6" t="s">
        <v>414</v>
      </c>
      <c r="Q86" s="3" t="s">
        <v>64</v>
      </c>
      <c r="R86" s="6" t="s">
        <v>415</v>
      </c>
      <c r="S86" s="5">
        <f>39380.95</f>
        <v>39380.949999999997</v>
      </c>
      <c r="T86" s="4">
        <f>332</f>
        <v>332</v>
      </c>
      <c r="U86" s="4">
        <v>5</v>
      </c>
      <c r="V86" s="4"/>
      <c r="W86" s="4">
        <f>657556000</f>
        <v>657556000</v>
      </c>
      <c r="X86" s="4">
        <v>9250000</v>
      </c>
      <c r="Y86" s="4"/>
      <c r="Z86" s="3"/>
      <c r="AA86" s="2">
        <f>491</f>
        <v>491</v>
      </c>
      <c r="AB86" s="2" t="str">
        <f t="shared" si="2"/>
        <v>－</v>
      </c>
      <c r="AC86" s="1">
        <f>21</f>
        <v>21</v>
      </c>
    </row>
    <row r="87" spans="1:29">
      <c r="A87" s="9" t="s">
        <v>46</v>
      </c>
      <c r="B87" s="8" t="s">
        <v>392</v>
      </c>
      <c r="C87" s="8" t="s">
        <v>393</v>
      </c>
      <c r="D87" s="8" t="s">
        <v>347</v>
      </c>
      <c r="E87" s="7" t="s">
        <v>416</v>
      </c>
      <c r="F87" s="7" t="s">
        <v>417</v>
      </c>
      <c r="G87" s="3" t="s">
        <v>51</v>
      </c>
      <c r="H87" s="6" t="s">
        <v>418</v>
      </c>
      <c r="I87" s="3" t="s">
        <v>56</v>
      </c>
      <c r="J87" s="6" t="s">
        <v>419</v>
      </c>
      <c r="K87" s="3" t="s">
        <v>56</v>
      </c>
      <c r="L87" s="6" t="s">
        <v>420</v>
      </c>
      <c r="M87" s="3" t="s">
        <v>51</v>
      </c>
      <c r="N87" s="6" t="s">
        <v>421</v>
      </c>
      <c r="O87" s="3" t="s">
        <v>268</v>
      </c>
      <c r="P87" s="6" t="s">
        <v>422</v>
      </c>
      <c r="Q87" s="3" t="s">
        <v>105</v>
      </c>
      <c r="R87" s="6" t="s">
        <v>423</v>
      </c>
      <c r="S87" s="5">
        <f>39077.62</f>
        <v>39077.620000000003</v>
      </c>
      <c r="T87" s="4">
        <f>538</f>
        <v>538</v>
      </c>
      <c r="U87" s="4">
        <v>5</v>
      </c>
      <c r="V87" s="4">
        <v>1</v>
      </c>
      <c r="W87" s="4">
        <f>1053572500</f>
        <v>1053572500</v>
      </c>
      <c r="X87" s="4">
        <v>10665500</v>
      </c>
      <c r="Y87" s="4">
        <v>1896500</v>
      </c>
      <c r="Z87" s="3"/>
      <c r="AA87" s="2">
        <f>221</f>
        <v>221</v>
      </c>
      <c r="AB87" s="2" t="str">
        <f t="shared" si="2"/>
        <v>－</v>
      </c>
      <c r="AC87" s="1">
        <f>20</f>
        <v>20</v>
      </c>
    </row>
    <row r="88" spans="1:29">
      <c r="A88" s="9" t="s">
        <v>46</v>
      </c>
      <c r="B88" s="8" t="s">
        <v>392</v>
      </c>
      <c r="C88" s="8" t="s">
        <v>393</v>
      </c>
      <c r="D88" s="8" t="s">
        <v>354</v>
      </c>
      <c r="E88" s="7" t="s">
        <v>424</v>
      </c>
      <c r="F88" s="7" t="s">
        <v>425</v>
      </c>
      <c r="G88" s="3" t="s">
        <v>51</v>
      </c>
      <c r="H88" s="6" t="s">
        <v>426</v>
      </c>
      <c r="I88" s="3" t="s">
        <v>56</v>
      </c>
      <c r="J88" s="6" t="s">
        <v>427</v>
      </c>
      <c r="K88" s="3" t="s">
        <v>240</v>
      </c>
      <c r="L88" s="6" t="s">
        <v>428</v>
      </c>
      <c r="M88" s="3" t="s">
        <v>51</v>
      </c>
      <c r="N88" s="6" t="s">
        <v>429</v>
      </c>
      <c r="O88" s="3" t="s">
        <v>77</v>
      </c>
      <c r="P88" s="6" t="s">
        <v>430</v>
      </c>
      <c r="Q88" s="3" t="s">
        <v>64</v>
      </c>
      <c r="R88" s="6" t="s">
        <v>431</v>
      </c>
      <c r="S88" s="5">
        <f>38525.24</f>
        <v>38525.24</v>
      </c>
      <c r="T88" s="4">
        <f>3434</f>
        <v>3434</v>
      </c>
      <c r="U88" s="4">
        <v>2</v>
      </c>
      <c r="V88" s="4">
        <v>31</v>
      </c>
      <c r="W88" s="4">
        <f>6650745500</f>
        <v>6650745500</v>
      </c>
      <c r="X88" s="4">
        <v>3738500</v>
      </c>
      <c r="Y88" s="4">
        <v>63944500</v>
      </c>
      <c r="Z88" s="3"/>
      <c r="AA88" s="2">
        <f>477</f>
        <v>477</v>
      </c>
      <c r="AB88" s="2" t="str">
        <f t="shared" si="2"/>
        <v>－</v>
      </c>
      <c r="AC88" s="1">
        <f>21</f>
        <v>21</v>
      </c>
    </row>
    <row r="89" spans="1:29">
      <c r="A89" s="9" t="s">
        <v>46</v>
      </c>
      <c r="B89" s="8" t="s">
        <v>392</v>
      </c>
      <c r="C89" s="8" t="s">
        <v>393</v>
      </c>
      <c r="D89" s="8" t="s">
        <v>432</v>
      </c>
      <c r="E89" s="7" t="s">
        <v>433</v>
      </c>
      <c r="F89" s="7" t="s">
        <v>434</v>
      </c>
      <c r="G89" s="3" t="s">
        <v>97</v>
      </c>
      <c r="H89" s="6" t="s">
        <v>435</v>
      </c>
      <c r="I89" s="3" t="s">
        <v>56</v>
      </c>
      <c r="J89" s="6" t="s">
        <v>436</v>
      </c>
      <c r="K89" s="3"/>
      <c r="L89" s="6"/>
      <c r="M89" s="3" t="s">
        <v>105</v>
      </c>
      <c r="N89" s="6" t="s">
        <v>437</v>
      </c>
      <c r="O89" s="3"/>
      <c r="P89" s="6"/>
      <c r="Q89" s="3" t="s">
        <v>64</v>
      </c>
      <c r="R89" s="6" t="s">
        <v>438</v>
      </c>
      <c r="S89" s="5">
        <f>38995</f>
        <v>38995</v>
      </c>
      <c r="T89" s="4">
        <f>2535</f>
        <v>2535</v>
      </c>
      <c r="U89" s="4"/>
      <c r="V89" s="4">
        <v>30</v>
      </c>
      <c r="W89" s="4">
        <f>4984269000</f>
        <v>4984269000</v>
      </c>
      <c r="X89" s="4"/>
      <c r="Y89" s="4">
        <v>58515500</v>
      </c>
      <c r="Z89" s="3"/>
      <c r="AA89" s="2">
        <f>427</f>
        <v>427</v>
      </c>
      <c r="AB89" s="2" t="str">
        <f t="shared" si="2"/>
        <v>－</v>
      </c>
      <c r="AC89" s="1">
        <f>10</f>
        <v>10</v>
      </c>
    </row>
    <row r="90" spans="1:29">
      <c r="A90" s="9" t="s">
        <v>46</v>
      </c>
      <c r="B90" s="8" t="s">
        <v>439</v>
      </c>
      <c r="C90" s="8" t="s">
        <v>440</v>
      </c>
      <c r="D90" s="8" t="s">
        <v>46</v>
      </c>
      <c r="E90" s="7" t="s">
        <v>394</v>
      </c>
      <c r="F90" s="7" t="s">
        <v>395</v>
      </c>
      <c r="G90" s="3"/>
      <c r="H90" s="6" t="s">
        <v>138</v>
      </c>
      <c r="I90" s="3"/>
      <c r="J90" s="6" t="s">
        <v>138</v>
      </c>
      <c r="K90" s="3"/>
      <c r="L90" s="6"/>
      <c r="M90" s="3"/>
      <c r="N90" s="6" t="s">
        <v>138</v>
      </c>
      <c r="O90" s="3"/>
      <c r="P90" s="6"/>
      <c r="Q90" s="3"/>
      <c r="R90" s="6" t="s">
        <v>138</v>
      </c>
      <c r="S90" s="5">
        <f>64000</f>
        <v>64000</v>
      </c>
      <c r="T90" s="4" t="str">
        <f t="shared" ref="T90:T103" si="7">"－"</f>
        <v>－</v>
      </c>
      <c r="U90" s="4"/>
      <c r="V90" s="4"/>
      <c r="W90" s="4" t="str">
        <f t="shared" ref="W90:W103" si="8">"－"</f>
        <v>－</v>
      </c>
      <c r="X90" s="4"/>
      <c r="Y90" s="4"/>
      <c r="Z90" s="3" t="s">
        <v>58</v>
      </c>
      <c r="AA90" s="2" t="str">
        <f t="shared" ref="AA90:AA103" si="9">"－"</f>
        <v>－</v>
      </c>
      <c r="AB90" s="2" t="str">
        <f t="shared" si="2"/>
        <v>－</v>
      </c>
      <c r="AC90" s="1" t="str">
        <f t="shared" ref="AC90:AC103" si="10">"－"</f>
        <v>－</v>
      </c>
    </row>
    <row r="91" spans="1:29">
      <c r="A91" s="9" t="s">
        <v>46</v>
      </c>
      <c r="B91" s="8" t="s">
        <v>439</v>
      </c>
      <c r="C91" s="8" t="s">
        <v>440</v>
      </c>
      <c r="D91" s="8" t="s">
        <v>59</v>
      </c>
      <c r="E91" s="7" t="s">
        <v>398</v>
      </c>
      <c r="F91" s="7" t="s">
        <v>399</v>
      </c>
      <c r="G91" s="3"/>
      <c r="H91" s="6" t="s">
        <v>138</v>
      </c>
      <c r="I91" s="3"/>
      <c r="J91" s="6" t="s">
        <v>138</v>
      </c>
      <c r="K91" s="3"/>
      <c r="L91" s="6"/>
      <c r="M91" s="3"/>
      <c r="N91" s="6" t="s">
        <v>138</v>
      </c>
      <c r="O91" s="3"/>
      <c r="P91" s="6"/>
      <c r="Q91" s="3"/>
      <c r="R91" s="6" t="s">
        <v>138</v>
      </c>
      <c r="S91" s="5">
        <f>64000</f>
        <v>64000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2"/>
        <v>－</v>
      </c>
      <c r="AC91" s="1" t="str">
        <f t="shared" si="10"/>
        <v>－</v>
      </c>
    </row>
    <row r="92" spans="1:29">
      <c r="A92" s="9" t="s">
        <v>46</v>
      </c>
      <c r="B92" s="8" t="s">
        <v>439</v>
      </c>
      <c r="C92" s="8" t="s">
        <v>440</v>
      </c>
      <c r="D92" s="8" t="s">
        <v>66</v>
      </c>
      <c r="E92" s="7" t="s">
        <v>405</v>
      </c>
      <c r="F92" s="7" t="s">
        <v>406</v>
      </c>
      <c r="G92" s="3"/>
      <c r="H92" s="6" t="s">
        <v>138</v>
      </c>
      <c r="I92" s="3"/>
      <c r="J92" s="6" t="s">
        <v>138</v>
      </c>
      <c r="K92" s="3"/>
      <c r="L92" s="6"/>
      <c r="M92" s="3"/>
      <c r="N92" s="6" t="s">
        <v>138</v>
      </c>
      <c r="O92" s="3"/>
      <c r="P92" s="6"/>
      <c r="Q92" s="3"/>
      <c r="R92" s="6" t="s">
        <v>138</v>
      </c>
      <c r="S92" s="5">
        <f>64000</f>
        <v>64000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2"/>
        <v>－</v>
      </c>
      <c r="AC92" s="1" t="str">
        <f t="shared" si="10"/>
        <v>－</v>
      </c>
    </row>
    <row r="93" spans="1:29">
      <c r="A93" s="9" t="s">
        <v>46</v>
      </c>
      <c r="B93" s="8" t="s">
        <v>439</v>
      </c>
      <c r="C93" s="8" t="s">
        <v>440</v>
      </c>
      <c r="D93" s="8" t="s">
        <v>72</v>
      </c>
      <c r="E93" s="7" t="s">
        <v>410</v>
      </c>
      <c r="F93" s="7" t="s">
        <v>411</v>
      </c>
      <c r="G93" s="3"/>
      <c r="H93" s="6" t="s">
        <v>138</v>
      </c>
      <c r="I93" s="3"/>
      <c r="J93" s="6" t="s">
        <v>138</v>
      </c>
      <c r="K93" s="3"/>
      <c r="L93" s="6"/>
      <c r="M93" s="3"/>
      <c r="N93" s="6" t="s">
        <v>138</v>
      </c>
      <c r="O93" s="3"/>
      <c r="P93" s="6"/>
      <c r="Q93" s="3"/>
      <c r="R93" s="6" t="s">
        <v>138</v>
      </c>
      <c r="S93" s="5">
        <f>64000</f>
        <v>64000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2"/>
        <v>－</v>
      </c>
      <c r="AC93" s="1" t="str">
        <f t="shared" si="10"/>
        <v>－</v>
      </c>
    </row>
    <row r="94" spans="1:29">
      <c r="A94" s="9" t="s">
        <v>46</v>
      </c>
      <c r="B94" s="8" t="s">
        <v>439</v>
      </c>
      <c r="C94" s="8" t="s">
        <v>440</v>
      </c>
      <c r="D94" s="8" t="s">
        <v>81</v>
      </c>
      <c r="E94" s="7" t="s">
        <v>416</v>
      </c>
      <c r="F94" s="7" t="s">
        <v>417</v>
      </c>
      <c r="G94" s="3"/>
      <c r="H94" s="6" t="s">
        <v>138</v>
      </c>
      <c r="I94" s="3"/>
      <c r="J94" s="6" t="s">
        <v>138</v>
      </c>
      <c r="K94" s="3"/>
      <c r="L94" s="6"/>
      <c r="M94" s="3"/>
      <c r="N94" s="6" t="s">
        <v>138</v>
      </c>
      <c r="O94" s="3"/>
      <c r="P94" s="6"/>
      <c r="Q94" s="3"/>
      <c r="R94" s="6" t="s">
        <v>138</v>
      </c>
      <c r="S94" s="5">
        <f>64000</f>
        <v>64000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2"/>
        <v>－</v>
      </c>
      <c r="AC94" s="1" t="str">
        <f t="shared" si="10"/>
        <v>－</v>
      </c>
    </row>
    <row r="95" spans="1:29">
      <c r="A95" s="9" t="s">
        <v>46</v>
      </c>
      <c r="B95" s="8" t="s">
        <v>439</v>
      </c>
      <c r="C95" s="8" t="s">
        <v>440</v>
      </c>
      <c r="D95" s="8" t="s">
        <v>90</v>
      </c>
      <c r="E95" s="7" t="s">
        <v>424</v>
      </c>
      <c r="F95" s="7" t="s">
        <v>425</v>
      </c>
      <c r="G95" s="3"/>
      <c r="H95" s="6" t="s">
        <v>138</v>
      </c>
      <c r="I95" s="3"/>
      <c r="J95" s="6" t="s">
        <v>138</v>
      </c>
      <c r="K95" s="3"/>
      <c r="L95" s="6"/>
      <c r="M95" s="3"/>
      <c r="N95" s="6" t="s">
        <v>138</v>
      </c>
      <c r="O95" s="3"/>
      <c r="P95" s="6"/>
      <c r="Q95" s="3"/>
      <c r="R95" s="6" t="s">
        <v>138</v>
      </c>
      <c r="S95" s="5">
        <f>64000</f>
        <v>64000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2"/>
        <v>－</v>
      </c>
      <c r="AC95" s="1" t="str">
        <f t="shared" si="10"/>
        <v>－</v>
      </c>
    </row>
    <row r="96" spans="1:29">
      <c r="A96" s="9" t="s">
        <v>46</v>
      </c>
      <c r="B96" s="8" t="s">
        <v>439</v>
      </c>
      <c r="C96" s="8" t="s">
        <v>440</v>
      </c>
      <c r="D96" s="8" t="s">
        <v>100</v>
      </c>
      <c r="E96" s="7" t="s">
        <v>433</v>
      </c>
      <c r="F96" s="7" t="s">
        <v>434</v>
      </c>
      <c r="G96" s="3"/>
      <c r="H96" s="6" t="s">
        <v>138</v>
      </c>
      <c r="I96" s="3"/>
      <c r="J96" s="6" t="s">
        <v>138</v>
      </c>
      <c r="K96" s="3"/>
      <c r="L96" s="6"/>
      <c r="M96" s="3"/>
      <c r="N96" s="6" t="s">
        <v>138</v>
      </c>
      <c r="O96" s="3"/>
      <c r="P96" s="6"/>
      <c r="Q96" s="3"/>
      <c r="R96" s="6" t="s">
        <v>138</v>
      </c>
      <c r="S96" s="5">
        <f>64000</f>
        <v>64000</v>
      </c>
      <c r="T96" s="4" t="str">
        <f t="shared" si="7"/>
        <v>－</v>
      </c>
      <c r="U96" s="4"/>
      <c r="V96" s="4"/>
      <c r="W96" s="4" t="str">
        <f t="shared" si="8"/>
        <v>－</v>
      </c>
      <c r="X96" s="4"/>
      <c r="Y96" s="4"/>
      <c r="Z96" s="3"/>
      <c r="AA96" s="2" t="str">
        <f t="shared" si="9"/>
        <v>－</v>
      </c>
      <c r="AB96" s="2" t="str">
        <f t="shared" si="2"/>
        <v>－</v>
      </c>
      <c r="AC96" s="1" t="str">
        <f t="shared" si="10"/>
        <v>－</v>
      </c>
    </row>
    <row r="97" spans="1:29">
      <c r="A97" s="9" t="s">
        <v>46</v>
      </c>
      <c r="B97" s="8" t="s">
        <v>441</v>
      </c>
      <c r="C97" s="8" t="s">
        <v>442</v>
      </c>
      <c r="D97" s="8" t="s">
        <v>46</v>
      </c>
      <c r="E97" s="7" t="s">
        <v>73</v>
      </c>
      <c r="F97" s="7" t="s">
        <v>50</v>
      </c>
      <c r="G97" s="3"/>
      <c r="H97" s="6" t="s">
        <v>138</v>
      </c>
      <c r="I97" s="3"/>
      <c r="J97" s="6" t="s">
        <v>138</v>
      </c>
      <c r="K97" s="3"/>
      <c r="L97" s="6"/>
      <c r="M97" s="3"/>
      <c r="N97" s="6" t="s">
        <v>138</v>
      </c>
      <c r="O97" s="3"/>
      <c r="P97" s="6"/>
      <c r="Q97" s="3"/>
      <c r="R97" s="6" t="s">
        <v>138</v>
      </c>
      <c r="S97" s="5">
        <f>12300</f>
        <v>12300</v>
      </c>
      <c r="T97" s="4" t="str">
        <f t="shared" si="7"/>
        <v>－</v>
      </c>
      <c r="U97" s="4"/>
      <c r="V97" s="4"/>
      <c r="W97" s="4" t="str">
        <f t="shared" si="8"/>
        <v>－</v>
      </c>
      <c r="X97" s="4"/>
      <c r="Y97" s="4"/>
      <c r="Z97" s="3" t="s">
        <v>58</v>
      </c>
      <c r="AA97" s="2" t="str">
        <f t="shared" si="9"/>
        <v>－</v>
      </c>
      <c r="AB97" s="2" t="str">
        <f t="shared" si="2"/>
        <v>－</v>
      </c>
      <c r="AC97" s="1" t="str">
        <f t="shared" si="10"/>
        <v>－</v>
      </c>
    </row>
    <row r="98" spans="1:29">
      <c r="A98" s="9" t="s">
        <v>46</v>
      </c>
      <c r="B98" s="8" t="s">
        <v>441</v>
      </c>
      <c r="C98" s="8" t="s">
        <v>442</v>
      </c>
      <c r="D98" s="8" t="s">
        <v>264</v>
      </c>
      <c r="E98" s="7" t="s">
        <v>443</v>
      </c>
      <c r="F98" s="7" t="s">
        <v>444</v>
      </c>
      <c r="G98" s="3"/>
      <c r="H98" s="6" t="s">
        <v>138</v>
      </c>
      <c r="I98" s="3"/>
      <c r="J98" s="6" t="s">
        <v>138</v>
      </c>
      <c r="K98" s="3"/>
      <c r="L98" s="6"/>
      <c r="M98" s="3"/>
      <c r="N98" s="6" t="s">
        <v>138</v>
      </c>
      <c r="O98" s="3"/>
      <c r="P98" s="6"/>
      <c r="Q98" s="3"/>
      <c r="R98" s="6" t="s">
        <v>138</v>
      </c>
      <c r="S98" s="5">
        <f>12300</f>
        <v>12300</v>
      </c>
      <c r="T98" s="4" t="str">
        <f t="shared" si="7"/>
        <v>－</v>
      </c>
      <c r="U98" s="4"/>
      <c r="V98" s="4"/>
      <c r="W98" s="4" t="str">
        <f t="shared" si="8"/>
        <v>－</v>
      </c>
      <c r="X98" s="4"/>
      <c r="Y98" s="4"/>
      <c r="Z98" s="3"/>
      <c r="AA98" s="2" t="str">
        <f t="shared" si="9"/>
        <v>－</v>
      </c>
      <c r="AB98" s="2" t="str">
        <f t="shared" si="2"/>
        <v>－</v>
      </c>
      <c r="AC98" s="1" t="str">
        <f t="shared" si="10"/>
        <v>－</v>
      </c>
    </row>
    <row r="99" spans="1:29">
      <c r="A99" s="9" t="s">
        <v>46</v>
      </c>
      <c r="B99" s="8" t="s">
        <v>441</v>
      </c>
      <c r="C99" s="8" t="s">
        <v>442</v>
      </c>
      <c r="D99" s="8" t="s">
        <v>59</v>
      </c>
      <c r="E99" s="7" t="s">
        <v>82</v>
      </c>
      <c r="F99" s="7" t="s">
        <v>113</v>
      </c>
      <c r="G99" s="3"/>
      <c r="H99" s="6" t="s">
        <v>138</v>
      </c>
      <c r="I99" s="3"/>
      <c r="J99" s="6" t="s">
        <v>138</v>
      </c>
      <c r="K99" s="3"/>
      <c r="L99" s="6"/>
      <c r="M99" s="3"/>
      <c r="N99" s="6" t="s">
        <v>138</v>
      </c>
      <c r="O99" s="3"/>
      <c r="P99" s="6"/>
      <c r="Q99" s="3"/>
      <c r="R99" s="6" t="s">
        <v>138</v>
      </c>
      <c r="S99" s="5">
        <f>12300</f>
        <v>12300</v>
      </c>
      <c r="T99" s="4" t="str">
        <f t="shared" si="7"/>
        <v>－</v>
      </c>
      <c r="U99" s="4"/>
      <c r="V99" s="4"/>
      <c r="W99" s="4" t="str">
        <f t="shared" si="8"/>
        <v>－</v>
      </c>
      <c r="X99" s="4"/>
      <c r="Y99" s="4"/>
      <c r="Z99" s="3"/>
      <c r="AA99" s="2" t="str">
        <f t="shared" si="9"/>
        <v>－</v>
      </c>
      <c r="AB99" s="2" t="str">
        <f t="shared" si="2"/>
        <v>－</v>
      </c>
      <c r="AC99" s="1" t="str">
        <f t="shared" si="10"/>
        <v>－</v>
      </c>
    </row>
    <row r="100" spans="1:29">
      <c r="A100" s="9" t="s">
        <v>46</v>
      </c>
      <c r="B100" s="8" t="s">
        <v>441</v>
      </c>
      <c r="C100" s="8" t="s">
        <v>442</v>
      </c>
      <c r="D100" s="8" t="s">
        <v>279</v>
      </c>
      <c r="E100" s="7" t="s">
        <v>445</v>
      </c>
      <c r="F100" s="7" t="s">
        <v>446</v>
      </c>
      <c r="G100" s="3"/>
      <c r="H100" s="6" t="s">
        <v>138</v>
      </c>
      <c r="I100" s="3"/>
      <c r="J100" s="6" t="s">
        <v>138</v>
      </c>
      <c r="K100" s="3"/>
      <c r="L100" s="6"/>
      <c r="M100" s="3"/>
      <c r="N100" s="6" t="s">
        <v>138</v>
      </c>
      <c r="O100" s="3"/>
      <c r="P100" s="6"/>
      <c r="Q100" s="3"/>
      <c r="R100" s="6" t="s">
        <v>138</v>
      </c>
      <c r="S100" s="5">
        <f>12300</f>
        <v>12300</v>
      </c>
      <c r="T100" s="4" t="str">
        <f t="shared" si="7"/>
        <v>－</v>
      </c>
      <c r="U100" s="4"/>
      <c r="V100" s="4"/>
      <c r="W100" s="4" t="str">
        <f t="shared" si="8"/>
        <v>－</v>
      </c>
      <c r="X100" s="4"/>
      <c r="Y100" s="4"/>
      <c r="Z100" s="3"/>
      <c r="AA100" s="2" t="str">
        <f t="shared" si="9"/>
        <v>－</v>
      </c>
      <c r="AB100" s="2" t="str">
        <f t="shared" si="2"/>
        <v>－</v>
      </c>
      <c r="AC100" s="1" t="str">
        <f t="shared" si="10"/>
        <v>－</v>
      </c>
    </row>
    <row r="101" spans="1:29">
      <c r="A101" s="9" t="s">
        <v>46</v>
      </c>
      <c r="B101" s="8" t="s">
        <v>441</v>
      </c>
      <c r="C101" s="8" t="s">
        <v>442</v>
      </c>
      <c r="D101" s="8" t="s">
        <v>66</v>
      </c>
      <c r="E101" s="7" t="s">
        <v>91</v>
      </c>
      <c r="F101" s="7" t="s">
        <v>68</v>
      </c>
      <c r="G101" s="3"/>
      <c r="H101" s="6" t="s">
        <v>138</v>
      </c>
      <c r="I101" s="3"/>
      <c r="J101" s="6" t="s">
        <v>138</v>
      </c>
      <c r="K101" s="3"/>
      <c r="L101" s="6"/>
      <c r="M101" s="3"/>
      <c r="N101" s="6" t="s">
        <v>138</v>
      </c>
      <c r="O101" s="3"/>
      <c r="P101" s="6"/>
      <c r="Q101" s="3"/>
      <c r="R101" s="6" t="s">
        <v>138</v>
      </c>
      <c r="S101" s="5">
        <f>12300</f>
        <v>12300</v>
      </c>
      <c r="T101" s="4" t="str">
        <f t="shared" si="7"/>
        <v>－</v>
      </c>
      <c r="U101" s="4"/>
      <c r="V101" s="4"/>
      <c r="W101" s="4" t="str">
        <f t="shared" si="8"/>
        <v>－</v>
      </c>
      <c r="X101" s="4"/>
      <c r="Y101" s="4"/>
      <c r="Z101" s="3"/>
      <c r="AA101" s="2" t="str">
        <f t="shared" si="9"/>
        <v>－</v>
      </c>
      <c r="AB101" s="2" t="str">
        <f t="shared" si="2"/>
        <v>－</v>
      </c>
      <c r="AC101" s="1" t="str">
        <f t="shared" si="10"/>
        <v>－</v>
      </c>
    </row>
    <row r="102" spans="1:29">
      <c r="A102" s="9" t="s">
        <v>46</v>
      </c>
      <c r="B102" s="8" t="s">
        <v>441</v>
      </c>
      <c r="C102" s="8" t="s">
        <v>442</v>
      </c>
      <c r="D102" s="8" t="s">
        <v>286</v>
      </c>
      <c r="E102" s="7" t="s">
        <v>447</v>
      </c>
      <c r="F102" s="7" t="s">
        <v>448</v>
      </c>
      <c r="G102" s="3"/>
      <c r="H102" s="6" t="s">
        <v>138</v>
      </c>
      <c r="I102" s="3"/>
      <c r="J102" s="6" t="s">
        <v>138</v>
      </c>
      <c r="K102" s="3"/>
      <c r="L102" s="6"/>
      <c r="M102" s="3"/>
      <c r="N102" s="6" t="s">
        <v>138</v>
      </c>
      <c r="O102" s="3"/>
      <c r="P102" s="6"/>
      <c r="Q102" s="3"/>
      <c r="R102" s="6" t="s">
        <v>138</v>
      </c>
      <c r="S102" s="5">
        <f>12300</f>
        <v>12300</v>
      </c>
      <c r="T102" s="4" t="str">
        <f t="shared" si="7"/>
        <v>－</v>
      </c>
      <c r="U102" s="4"/>
      <c r="V102" s="4"/>
      <c r="W102" s="4" t="str">
        <f t="shared" si="8"/>
        <v>－</v>
      </c>
      <c r="X102" s="4"/>
      <c r="Y102" s="4"/>
      <c r="Z102" s="3"/>
      <c r="AA102" s="2" t="str">
        <f t="shared" si="9"/>
        <v>－</v>
      </c>
      <c r="AB102" s="2" t="str">
        <f t="shared" si="2"/>
        <v>－</v>
      </c>
      <c r="AC102" s="1" t="str">
        <f t="shared" si="10"/>
        <v>－</v>
      </c>
    </row>
    <row r="103" spans="1:29">
      <c r="A103" s="9" t="s">
        <v>46</v>
      </c>
      <c r="B103" s="8" t="s">
        <v>441</v>
      </c>
      <c r="C103" s="8" t="s">
        <v>442</v>
      </c>
      <c r="D103" s="8" t="s">
        <v>72</v>
      </c>
      <c r="E103" s="7" t="s">
        <v>101</v>
      </c>
      <c r="F103" s="7" t="s">
        <v>74</v>
      </c>
      <c r="G103" s="3"/>
      <c r="H103" s="6" t="s">
        <v>138</v>
      </c>
      <c r="I103" s="3"/>
      <c r="J103" s="6" t="s">
        <v>138</v>
      </c>
      <c r="K103" s="3"/>
      <c r="L103" s="6"/>
      <c r="M103" s="3"/>
      <c r="N103" s="6" t="s">
        <v>138</v>
      </c>
      <c r="O103" s="3"/>
      <c r="P103" s="6"/>
      <c r="Q103" s="3"/>
      <c r="R103" s="6" t="s">
        <v>138</v>
      </c>
      <c r="S103" s="5">
        <f>12300</f>
        <v>12300</v>
      </c>
      <c r="T103" s="4" t="str">
        <f t="shared" si="7"/>
        <v>－</v>
      </c>
      <c r="U103" s="4"/>
      <c r="V103" s="4"/>
      <c r="W103" s="4" t="str">
        <f t="shared" si="8"/>
        <v>－</v>
      </c>
      <c r="X103" s="4"/>
      <c r="Y103" s="4"/>
      <c r="Z103" s="3"/>
      <c r="AA103" s="2" t="str">
        <f t="shared" si="9"/>
        <v>－</v>
      </c>
      <c r="AB103" s="2" t="str">
        <f t="shared" si="2"/>
        <v>－</v>
      </c>
      <c r="AC103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0A07-CADD-443D-9F2A-086F6BD84D00}">
  <sheetPr>
    <pageSetUpPr fitToPage="1"/>
  </sheetPr>
  <dimension ref="A1:AD118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449</v>
      </c>
      <c r="AA2" s="68">
        <f>DATE(LEFT(A7,4),RIGHT(A7,2)+1,1)-1</f>
        <v>44500</v>
      </c>
      <c r="AB2" s="68"/>
      <c r="AC2" s="69"/>
      <c r="AD2" s="70" t="s">
        <v>450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451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452</v>
      </c>
      <c r="U3" s="77" t="s">
        <v>23</v>
      </c>
      <c r="V3" s="78"/>
      <c r="W3" s="79"/>
      <c r="X3" s="77" t="s">
        <v>22</v>
      </c>
      <c r="Y3" s="78"/>
      <c r="Z3" s="79"/>
      <c r="AA3" s="80" t="s">
        <v>453</v>
      </c>
      <c r="AB3" s="81"/>
      <c r="AC3" s="72" t="s">
        <v>28</v>
      </c>
      <c r="AD3" s="82" t="s">
        <v>454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455</v>
      </c>
      <c r="J4" s="85" t="s">
        <v>6</v>
      </c>
      <c r="K4" s="41" t="s">
        <v>456</v>
      </c>
      <c r="L4" s="86" t="s">
        <v>2</v>
      </c>
      <c r="M4" s="86"/>
      <c r="N4" s="85" t="s">
        <v>6</v>
      </c>
      <c r="O4" s="41" t="s">
        <v>457</v>
      </c>
      <c r="P4" s="86" t="s">
        <v>2</v>
      </c>
      <c r="Q4" s="86"/>
      <c r="R4" s="85" t="s">
        <v>6</v>
      </c>
      <c r="S4" s="37" t="s">
        <v>458</v>
      </c>
      <c r="T4" s="45"/>
      <c r="U4" s="44" t="s">
        <v>3</v>
      </c>
      <c r="V4" s="45" t="s">
        <v>459</v>
      </c>
      <c r="W4" s="45" t="s">
        <v>30</v>
      </c>
      <c r="X4" s="44" t="s">
        <v>3</v>
      </c>
      <c r="Y4" s="45" t="s">
        <v>460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461</v>
      </c>
      <c r="N5" s="89"/>
      <c r="O5" s="42"/>
      <c r="P5" s="90" t="s">
        <v>17</v>
      </c>
      <c r="Q5" s="20" t="s">
        <v>461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462</v>
      </c>
      <c r="H6" s="90" t="s">
        <v>14</v>
      </c>
      <c r="I6" s="21" t="s">
        <v>463</v>
      </c>
      <c r="J6" s="90" t="s">
        <v>14</v>
      </c>
      <c r="K6" s="20" t="s">
        <v>464</v>
      </c>
      <c r="L6" s="90" t="s">
        <v>14</v>
      </c>
      <c r="M6" s="20" t="s">
        <v>465</v>
      </c>
      <c r="N6" s="90" t="s">
        <v>14</v>
      </c>
      <c r="O6" s="20" t="s">
        <v>466</v>
      </c>
      <c r="P6" s="90" t="s">
        <v>14</v>
      </c>
      <c r="Q6" s="20" t="s">
        <v>465</v>
      </c>
      <c r="R6" s="90" t="s">
        <v>14</v>
      </c>
      <c r="S6" s="20" t="s">
        <v>467</v>
      </c>
      <c r="T6" s="28" t="s">
        <v>468</v>
      </c>
      <c r="U6" s="28" t="s">
        <v>13</v>
      </c>
      <c r="V6" s="28" t="s">
        <v>469</v>
      </c>
      <c r="W6" s="28" t="s">
        <v>31</v>
      </c>
      <c r="X6" s="28" t="s">
        <v>11</v>
      </c>
      <c r="Y6" s="28" t="s">
        <v>465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470</v>
      </c>
      <c r="C7" s="96" t="s">
        <v>471</v>
      </c>
      <c r="D7" s="96" t="s">
        <v>264</v>
      </c>
      <c r="E7" s="97" t="s">
        <v>304</v>
      </c>
      <c r="F7" s="97" t="s">
        <v>109</v>
      </c>
      <c r="G7" s="98">
        <v>50</v>
      </c>
      <c r="H7" s="99" t="s">
        <v>51</v>
      </c>
      <c r="I7" s="100" t="s">
        <v>472</v>
      </c>
      <c r="J7" s="99" t="s">
        <v>97</v>
      </c>
      <c r="K7" s="100" t="s">
        <v>473</v>
      </c>
      <c r="L7" s="99" t="s">
        <v>53</v>
      </c>
      <c r="M7" s="100" t="s">
        <v>474</v>
      </c>
      <c r="N7" s="99" t="s">
        <v>51</v>
      </c>
      <c r="O7" s="100" t="s">
        <v>472</v>
      </c>
      <c r="P7" s="99" t="s">
        <v>53</v>
      </c>
      <c r="Q7" s="100" t="s">
        <v>475</v>
      </c>
      <c r="R7" s="99" t="s">
        <v>53</v>
      </c>
      <c r="S7" s="100" t="s">
        <v>476</v>
      </c>
      <c r="T7" s="101">
        <f>73810</f>
        <v>73810</v>
      </c>
      <c r="U7" s="102">
        <f>120</f>
        <v>120</v>
      </c>
      <c r="V7" s="102">
        <v>61</v>
      </c>
      <c r="W7" s="102"/>
      <c r="X7" s="102">
        <f>455683000</f>
        <v>455683000</v>
      </c>
      <c r="Y7" s="102">
        <v>235947500</v>
      </c>
      <c r="Z7" s="103"/>
      <c r="AA7" s="99" t="s">
        <v>58</v>
      </c>
      <c r="AB7" s="104">
        <f>160</f>
        <v>160</v>
      </c>
      <c r="AC7" s="104" t="str">
        <f t="shared" ref="AC7:AD38" si="0">"－"</f>
        <v>－</v>
      </c>
      <c r="AD7" s="105">
        <f>14</f>
        <v>14</v>
      </c>
    </row>
    <row r="8" spans="1:30">
      <c r="A8" s="95" t="s">
        <v>46</v>
      </c>
      <c r="B8" s="96" t="s">
        <v>470</v>
      </c>
      <c r="C8" s="96" t="s">
        <v>471</v>
      </c>
      <c r="D8" s="96" t="s">
        <v>59</v>
      </c>
      <c r="E8" s="97" t="s">
        <v>311</v>
      </c>
      <c r="F8" s="97" t="s">
        <v>444</v>
      </c>
      <c r="G8" s="98">
        <v>50</v>
      </c>
      <c r="H8" s="99" t="s">
        <v>116</v>
      </c>
      <c r="I8" s="100" t="s">
        <v>477</v>
      </c>
      <c r="J8" s="99" t="s">
        <v>94</v>
      </c>
      <c r="K8" s="100" t="s">
        <v>478</v>
      </c>
      <c r="L8" s="99" t="s">
        <v>211</v>
      </c>
      <c r="M8" s="100" t="s">
        <v>479</v>
      </c>
      <c r="N8" s="99" t="s">
        <v>172</v>
      </c>
      <c r="O8" s="100" t="s">
        <v>480</v>
      </c>
      <c r="P8" s="99" t="s">
        <v>211</v>
      </c>
      <c r="Q8" s="100" t="s">
        <v>479</v>
      </c>
      <c r="R8" s="99" t="s">
        <v>64</v>
      </c>
      <c r="S8" s="100" t="s">
        <v>481</v>
      </c>
      <c r="T8" s="101">
        <f>74145.71</f>
        <v>74145.710000000006</v>
      </c>
      <c r="U8" s="102">
        <f>104</f>
        <v>104</v>
      </c>
      <c r="V8" s="102">
        <v>5</v>
      </c>
      <c r="W8" s="102"/>
      <c r="X8" s="102">
        <f>387489500</f>
        <v>387489500</v>
      </c>
      <c r="Y8" s="102">
        <v>19250000</v>
      </c>
      <c r="Z8" s="103"/>
      <c r="AA8" s="99"/>
      <c r="AB8" s="104">
        <f>149</f>
        <v>149</v>
      </c>
      <c r="AC8" s="104" t="str">
        <f t="shared" si="0"/>
        <v>－</v>
      </c>
      <c r="AD8" s="105">
        <f>14</f>
        <v>14</v>
      </c>
    </row>
    <row r="9" spans="1:30">
      <c r="A9" s="95" t="s">
        <v>46</v>
      </c>
      <c r="B9" s="96" t="s">
        <v>470</v>
      </c>
      <c r="C9" s="96" t="s">
        <v>471</v>
      </c>
      <c r="D9" s="96" t="s">
        <v>279</v>
      </c>
      <c r="E9" s="97" t="s">
        <v>82</v>
      </c>
      <c r="F9" s="97" t="s">
        <v>482</v>
      </c>
      <c r="G9" s="98">
        <v>50</v>
      </c>
      <c r="H9" s="99" t="s">
        <v>51</v>
      </c>
      <c r="I9" s="100" t="s">
        <v>483</v>
      </c>
      <c r="J9" s="99" t="s">
        <v>211</v>
      </c>
      <c r="K9" s="100" t="s">
        <v>484</v>
      </c>
      <c r="L9" s="99"/>
      <c r="M9" s="100"/>
      <c r="N9" s="99" t="s">
        <v>156</v>
      </c>
      <c r="O9" s="100" t="s">
        <v>485</v>
      </c>
      <c r="P9" s="99"/>
      <c r="Q9" s="100"/>
      <c r="R9" s="99" t="s">
        <v>64</v>
      </c>
      <c r="S9" s="100" t="s">
        <v>486</v>
      </c>
      <c r="T9" s="101">
        <f>73852.38</f>
        <v>73852.38</v>
      </c>
      <c r="U9" s="102">
        <f>63</f>
        <v>63</v>
      </c>
      <c r="V9" s="102"/>
      <c r="W9" s="102"/>
      <c r="X9" s="102">
        <f>235074000</f>
        <v>235074000</v>
      </c>
      <c r="Y9" s="102"/>
      <c r="Z9" s="103"/>
      <c r="AA9" s="99"/>
      <c r="AB9" s="104">
        <f>134</f>
        <v>134</v>
      </c>
      <c r="AC9" s="104" t="str">
        <f t="shared" si="0"/>
        <v>－</v>
      </c>
      <c r="AD9" s="105">
        <f>17</f>
        <v>17</v>
      </c>
    </row>
    <row r="10" spans="1:30">
      <c r="A10" s="95" t="s">
        <v>46</v>
      </c>
      <c r="B10" s="96" t="s">
        <v>470</v>
      </c>
      <c r="C10" s="96" t="s">
        <v>471</v>
      </c>
      <c r="D10" s="96" t="s">
        <v>66</v>
      </c>
      <c r="E10" s="97" t="s">
        <v>487</v>
      </c>
      <c r="F10" s="97" t="s">
        <v>324</v>
      </c>
      <c r="G10" s="98">
        <v>50</v>
      </c>
      <c r="H10" s="99" t="s">
        <v>51</v>
      </c>
      <c r="I10" s="100" t="s">
        <v>488</v>
      </c>
      <c r="J10" s="99" t="s">
        <v>94</v>
      </c>
      <c r="K10" s="100" t="s">
        <v>489</v>
      </c>
      <c r="L10" s="99"/>
      <c r="M10" s="100"/>
      <c r="N10" s="99" t="s">
        <v>51</v>
      </c>
      <c r="O10" s="100" t="s">
        <v>490</v>
      </c>
      <c r="P10" s="99"/>
      <c r="Q10" s="100"/>
      <c r="R10" s="99" t="s">
        <v>64</v>
      </c>
      <c r="S10" s="100" t="s">
        <v>491</v>
      </c>
      <c r="T10" s="101">
        <f>72885.71</f>
        <v>72885.710000000006</v>
      </c>
      <c r="U10" s="102">
        <f>89</f>
        <v>89</v>
      </c>
      <c r="V10" s="102"/>
      <c r="W10" s="102">
        <v>8</v>
      </c>
      <c r="X10" s="102">
        <f>321444500</f>
        <v>321444500</v>
      </c>
      <c r="Y10" s="102"/>
      <c r="Z10" s="103">
        <v>28778000</v>
      </c>
      <c r="AA10" s="99"/>
      <c r="AB10" s="104">
        <f>175</f>
        <v>175</v>
      </c>
      <c r="AC10" s="104" t="str">
        <f t="shared" si="0"/>
        <v>－</v>
      </c>
      <c r="AD10" s="105">
        <f>17</f>
        <v>17</v>
      </c>
    </row>
    <row r="11" spans="1:30">
      <c r="A11" s="95" t="s">
        <v>46</v>
      </c>
      <c r="B11" s="96" t="s">
        <v>470</v>
      </c>
      <c r="C11" s="96" t="s">
        <v>471</v>
      </c>
      <c r="D11" s="96" t="s">
        <v>286</v>
      </c>
      <c r="E11" s="97" t="s">
        <v>329</v>
      </c>
      <c r="F11" s="97" t="s">
        <v>492</v>
      </c>
      <c r="G11" s="98">
        <v>50</v>
      </c>
      <c r="H11" s="99" t="s">
        <v>51</v>
      </c>
      <c r="I11" s="100" t="s">
        <v>493</v>
      </c>
      <c r="J11" s="99" t="s">
        <v>211</v>
      </c>
      <c r="K11" s="100" t="s">
        <v>494</v>
      </c>
      <c r="L11" s="99"/>
      <c r="M11" s="100"/>
      <c r="N11" s="99" t="s">
        <v>156</v>
      </c>
      <c r="O11" s="100" t="s">
        <v>495</v>
      </c>
      <c r="P11" s="99"/>
      <c r="Q11" s="100"/>
      <c r="R11" s="99" t="s">
        <v>64</v>
      </c>
      <c r="S11" s="100" t="s">
        <v>496</v>
      </c>
      <c r="T11" s="101">
        <f>72740</f>
        <v>72740</v>
      </c>
      <c r="U11" s="102">
        <f>629</f>
        <v>629</v>
      </c>
      <c r="V11" s="102"/>
      <c r="W11" s="102">
        <v>29</v>
      </c>
      <c r="X11" s="102">
        <f>2264077500</f>
        <v>2264077500</v>
      </c>
      <c r="Y11" s="102"/>
      <c r="Z11" s="103">
        <v>106085500</v>
      </c>
      <c r="AA11" s="99"/>
      <c r="AB11" s="104">
        <f>379</f>
        <v>379</v>
      </c>
      <c r="AC11" s="104" t="str">
        <f t="shared" si="0"/>
        <v>－</v>
      </c>
      <c r="AD11" s="105">
        <f>21</f>
        <v>21</v>
      </c>
    </row>
    <row r="12" spans="1:30">
      <c r="A12" s="95" t="s">
        <v>46</v>
      </c>
      <c r="B12" s="96" t="s">
        <v>470</v>
      </c>
      <c r="C12" s="96" t="s">
        <v>471</v>
      </c>
      <c r="D12" s="96" t="s">
        <v>72</v>
      </c>
      <c r="E12" s="97" t="s">
        <v>355</v>
      </c>
      <c r="F12" s="97" t="s">
        <v>335</v>
      </c>
      <c r="G12" s="98">
        <v>50</v>
      </c>
      <c r="H12" s="99" t="s">
        <v>51</v>
      </c>
      <c r="I12" s="100" t="s">
        <v>497</v>
      </c>
      <c r="J12" s="99" t="s">
        <v>211</v>
      </c>
      <c r="K12" s="100" t="s">
        <v>498</v>
      </c>
      <c r="L12" s="99"/>
      <c r="M12" s="100"/>
      <c r="N12" s="99" t="s">
        <v>51</v>
      </c>
      <c r="O12" s="100" t="s">
        <v>499</v>
      </c>
      <c r="P12" s="99"/>
      <c r="Q12" s="100"/>
      <c r="R12" s="99" t="s">
        <v>64</v>
      </c>
      <c r="S12" s="100" t="s">
        <v>500</v>
      </c>
      <c r="T12" s="101">
        <f>72422.38</f>
        <v>72422.38</v>
      </c>
      <c r="U12" s="102">
        <f>481</f>
        <v>481</v>
      </c>
      <c r="V12" s="102"/>
      <c r="W12" s="102">
        <v>21</v>
      </c>
      <c r="X12" s="102">
        <f>1735992000</f>
        <v>1735992000</v>
      </c>
      <c r="Y12" s="102"/>
      <c r="Z12" s="103">
        <v>77108500</v>
      </c>
      <c r="AA12" s="99"/>
      <c r="AB12" s="104">
        <f>163</f>
        <v>163</v>
      </c>
      <c r="AC12" s="104" t="str">
        <f t="shared" si="0"/>
        <v>－</v>
      </c>
      <c r="AD12" s="105">
        <f>21</f>
        <v>21</v>
      </c>
    </row>
    <row r="13" spans="1:30">
      <c r="A13" s="95" t="s">
        <v>46</v>
      </c>
      <c r="B13" s="96" t="s">
        <v>470</v>
      </c>
      <c r="C13" s="96" t="s">
        <v>471</v>
      </c>
      <c r="D13" s="96" t="s">
        <v>344</v>
      </c>
      <c r="E13" s="97" t="s">
        <v>50</v>
      </c>
      <c r="F13" s="97" t="s">
        <v>74</v>
      </c>
      <c r="G13" s="98">
        <v>50</v>
      </c>
      <c r="H13" s="99" t="s">
        <v>56</v>
      </c>
      <c r="I13" s="100" t="s">
        <v>501</v>
      </c>
      <c r="J13" s="99" t="s">
        <v>56</v>
      </c>
      <c r="K13" s="100" t="s">
        <v>501</v>
      </c>
      <c r="L13" s="99"/>
      <c r="M13" s="100"/>
      <c r="N13" s="99" t="s">
        <v>105</v>
      </c>
      <c r="O13" s="100" t="s">
        <v>502</v>
      </c>
      <c r="P13" s="99"/>
      <c r="Q13" s="100"/>
      <c r="R13" s="99" t="s">
        <v>64</v>
      </c>
      <c r="S13" s="100" t="s">
        <v>503</v>
      </c>
      <c r="T13" s="101">
        <f>72860</f>
        <v>72860</v>
      </c>
      <c r="U13" s="102">
        <f>77</f>
        <v>77</v>
      </c>
      <c r="V13" s="102"/>
      <c r="W13" s="102"/>
      <c r="X13" s="102">
        <f>280100000</f>
        <v>280100000</v>
      </c>
      <c r="Y13" s="102"/>
      <c r="Z13" s="103"/>
      <c r="AA13" s="99"/>
      <c r="AB13" s="104">
        <f>55</f>
        <v>55</v>
      </c>
      <c r="AC13" s="104" t="str">
        <f t="shared" si="0"/>
        <v>－</v>
      </c>
      <c r="AD13" s="105">
        <f>4</f>
        <v>4</v>
      </c>
    </row>
    <row r="14" spans="1:30">
      <c r="A14" s="95" t="s">
        <v>46</v>
      </c>
      <c r="B14" s="96" t="s">
        <v>504</v>
      </c>
      <c r="C14" s="96" t="s">
        <v>505</v>
      </c>
      <c r="D14" s="96" t="s">
        <v>264</v>
      </c>
      <c r="E14" s="97" t="s">
        <v>304</v>
      </c>
      <c r="F14" s="97" t="s">
        <v>109</v>
      </c>
      <c r="G14" s="98">
        <v>50</v>
      </c>
      <c r="H14" s="99" t="s">
        <v>51</v>
      </c>
      <c r="I14" s="100" t="s">
        <v>506</v>
      </c>
      <c r="J14" s="99" t="s">
        <v>211</v>
      </c>
      <c r="K14" s="100" t="s">
        <v>507</v>
      </c>
      <c r="L14" s="99" t="s">
        <v>53</v>
      </c>
      <c r="M14" s="100" t="s">
        <v>508</v>
      </c>
      <c r="N14" s="99" t="s">
        <v>51</v>
      </c>
      <c r="O14" s="100" t="s">
        <v>509</v>
      </c>
      <c r="P14" s="99" t="s">
        <v>116</v>
      </c>
      <c r="Q14" s="100" t="s">
        <v>510</v>
      </c>
      <c r="R14" s="99" t="s">
        <v>53</v>
      </c>
      <c r="S14" s="100" t="s">
        <v>511</v>
      </c>
      <c r="T14" s="101">
        <f>73902.94</f>
        <v>73902.94</v>
      </c>
      <c r="U14" s="102">
        <f>153</f>
        <v>153</v>
      </c>
      <c r="V14" s="102">
        <v>88</v>
      </c>
      <c r="W14" s="102"/>
      <c r="X14" s="102">
        <f>572176500</f>
        <v>572176500</v>
      </c>
      <c r="Y14" s="102">
        <v>330341000</v>
      </c>
      <c r="Z14" s="103"/>
      <c r="AA14" s="99" t="s">
        <v>58</v>
      </c>
      <c r="AB14" s="104">
        <f>208</f>
        <v>208</v>
      </c>
      <c r="AC14" s="104" t="str">
        <f t="shared" si="0"/>
        <v>－</v>
      </c>
      <c r="AD14" s="105">
        <f>16</f>
        <v>16</v>
      </c>
    </row>
    <row r="15" spans="1:30">
      <c r="A15" s="95" t="s">
        <v>46</v>
      </c>
      <c r="B15" s="96" t="s">
        <v>504</v>
      </c>
      <c r="C15" s="96" t="s">
        <v>505</v>
      </c>
      <c r="D15" s="96" t="s">
        <v>59</v>
      </c>
      <c r="E15" s="97" t="s">
        <v>311</v>
      </c>
      <c r="F15" s="97" t="s">
        <v>444</v>
      </c>
      <c r="G15" s="98">
        <v>50</v>
      </c>
      <c r="H15" s="99" t="s">
        <v>51</v>
      </c>
      <c r="I15" s="100" t="s">
        <v>512</v>
      </c>
      <c r="J15" s="99" t="s">
        <v>94</v>
      </c>
      <c r="K15" s="100" t="s">
        <v>513</v>
      </c>
      <c r="L15" s="99" t="s">
        <v>64</v>
      </c>
      <c r="M15" s="100" t="s">
        <v>514</v>
      </c>
      <c r="N15" s="99" t="s">
        <v>51</v>
      </c>
      <c r="O15" s="100" t="s">
        <v>485</v>
      </c>
      <c r="P15" s="99" t="s">
        <v>64</v>
      </c>
      <c r="Q15" s="100" t="s">
        <v>515</v>
      </c>
      <c r="R15" s="99" t="s">
        <v>64</v>
      </c>
      <c r="S15" s="100" t="s">
        <v>516</v>
      </c>
      <c r="T15" s="101">
        <f>74201.43</f>
        <v>74201.429999999993</v>
      </c>
      <c r="U15" s="102">
        <f>143</f>
        <v>143</v>
      </c>
      <c r="V15" s="102">
        <v>21</v>
      </c>
      <c r="W15" s="102"/>
      <c r="X15" s="102">
        <f>533271000</f>
        <v>533271000</v>
      </c>
      <c r="Y15" s="102">
        <v>79990000</v>
      </c>
      <c r="Z15" s="103"/>
      <c r="AA15" s="99"/>
      <c r="AB15" s="104">
        <f>246</f>
        <v>246</v>
      </c>
      <c r="AC15" s="104" t="str">
        <f t="shared" si="0"/>
        <v>－</v>
      </c>
      <c r="AD15" s="105">
        <f>15</f>
        <v>15</v>
      </c>
    </row>
    <row r="16" spans="1:30">
      <c r="A16" s="95" t="s">
        <v>46</v>
      </c>
      <c r="B16" s="96" t="s">
        <v>504</v>
      </c>
      <c r="C16" s="96" t="s">
        <v>505</v>
      </c>
      <c r="D16" s="96" t="s">
        <v>279</v>
      </c>
      <c r="E16" s="97" t="s">
        <v>82</v>
      </c>
      <c r="F16" s="97" t="s">
        <v>482</v>
      </c>
      <c r="G16" s="98">
        <v>50</v>
      </c>
      <c r="H16" s="99" t="s">
        <v>51</v>
      </c>
      <c r="I16" s="100" t="s">
        <v>517</v>
      </c>
      <c r="J16" s="99" t="s">
        <v>97</v>
      </c>
      <c r="K16" s="100" t="s">
        <v>518</v>
      </c>
      <c r="L16" s="99" t="s">
        <v>64</v>
      </c>
      <c r="M16" s="100" t="s">
        <v>519</v>
      </c>
      <c r="N16" s="99" t="s">
        <v>51</v>
      </c>
      <c r="O16" s="100" t="s">
        <v>517</v>
      </c>
      <c r="P16" s="99" t="s">
        <v>64</v>
      </c>
      <c r="Q16" s="100" t="s">
        <v>519</v>
      </c>
      <c r="R16" s="99" t="s">
        <v>64</v>
      </c>
      <c r="S16" s="100" t="s">
        <v>520</v>
      </c>
      <c r="T16" s="101">
        <f>73913.81</f>
        <v>73913.81</v>
      </c>
      <c r="U16" s="102">
        <f>225</f>
        <v>225</v>
      </c>
      <c r="V16" s="102">
        <v>20</v>
      </c>
      <c r="W16" s="102"/>
      <c r="X16" s="102">
        <f>842869500</f>
        <v>842869500</v>
      </c>
      <c r="Y16" s="102">
        <v>75580000</v>
      </c>
      <c r="Z16" s="103"/>
      <c r="AA16" s="99"/>
      <c r="AB16" s="104">
        <f>221</f>
        <v>221</v>
      </c>
      <c r="AC16" s="104" t="str">
        <f t="shared" si="0"/>
        <v>－</v>
      </c>
      <c r="AD16" s="105">
        <f>19</f>
        <v>19</v>
      </c>
    </row>
    <row r="17" spans="1:30">
      <c r="A17" s="95" t="s">
        <v>46</v>
      </c>
      <c r="B17" s="96" t="s">
        <v>504</v>
      </c>
      <c r="C17" s="96" t="s">
        <v>505</v>
      </c>
      <c r="D17" s="96" t="s">
        <v>66</v>
      </c>
      <c r="E17" s="97" t="s">
        <v>487</v>
      </c>
      <c r="F17" s="97" t="s">
        <v>324</v>
      </c>
      <c r="G17" s="98">
        <v>50</v>
      </c>
      <c r="H17" s="99" t="s">
        <v>51</v>
      </c>
      <c r="I17" s="100" t="s">
        <v>521</v>
      </c>
      <c r="J17" s="99" t="s">
        <v>211</v>
      </c>
      <c r="K17" s="100" t="s">
        <v>522</v>
      </c>
      <c r="L17" s="99"/>
      <c r="M17" s="100"/>
      <c r="N17" s="99" t="s">
        <v>51</v>
      </c>
      <c r="O17" s="100" t="s">
        <v>523</v>
      </c>
      <c r="P17" s="99"/>
      <c r="Q17" s="100"/>
      <c r="R17" s="99" t="s">
        <v>64</v>
      </c>
      <c r="S17" s="100" t="s">
        <v>524</v>
      </c>
      <c r="T17" s="101">
        <f>73354.29</f>
        <v>73354.289999999994</v>
      </c>
      <c r="U17" s="102">
        <f>133</f>
        <v>133</v>
      </c>
      <c r="V17" s="102"/>
      <c r="W17" s="102"/>
      <c r="X17" s="102">
        <f>493857000</f>
        <v>493857000</v>
      </c>
      <c r="Y17" s="102"/>
      <c r="Z17" s="103"/>
      <c r="AA17" s="99"/>
      <c r="AB17" s="104">
        <f>120</f>
        <v>120</v>
      </c>
      <c r="AC17" s="104" t="str">
        <f t="shared" si="0"/>
        <v>－</v>
      </c>
      <c r="AD17" s="105">
        <f>20</f>
        <v>20</v>
      </c>
    </row>
    <row r="18" spans="1:30">
      <c r="A18" s="95" t="s">
        <v>46</v>
      </c>
      <c r="B18" s="96" t="s">
        <v>504</v>
      </c>
      <c r="C18" s="96" t="s">
        <v>505</v>
      </c>
      <c r="D18" s="96" t="s">
        <v>286</v>
      </c>
      <c r="E18" s="97" t="s">
        <v>329</v>
      </c>
      <c r="F18" s="97" t="s">
        <v>492</v>
      </c>
      <c r="G18" s="98">
        <v>50</v>
      </c>
      <c r="H18" s="99" t="s">
        <v>51</v>
      </c>
      <c r="I18" s="100" t="s">
        <v>525</v>
      </c>
      <c r="J18" s="99" t="s">
        <v>56</v>
      </c>
      <c r="K18" s="100" t="s">
        <v>526</v>
      </c>
      <c r="L18" s="99" t="s">
        <v>268</v>
      </c>
      <c r="M18" s="100" t="s">
        <v>527</v>
      </c>
      <c r="N18" s="99" t="s">
        <v>51</v>
      </c>
      <c r="O18" s="100" t="s">
        <v>528</v>
      </c>
      <c r="P18" s="99" t="s">
        <v>105</v>
      </c>
      <c r="Q18" s="100" t="s">
        <v>529</v>
      </c>
      <c r="R18" s="99" t="s">
        <v>64</v>
      </c>
      <c r="S18" s="100" t="s">
        <v>530</v>
      </c>
      <c r="T18" s="101">
        <f>73119.05</f>
        <v>73119.05</v>
      </c>
      <c r="U18" s="102">
        <f>239</f>
        <v>239</v>
      </c>
      <c r="V18" s="102">
        <v>6</v>
      </c>
      <c r="W18" s="102">
        <v>8</v>
      </c>
      <c r="X18" s="102">
        <f>872164500</f>
        <v>872164500</v>
      </c>
      <c r="Y18" s="102">
        <v>22259500</v>
      </c>
      <c r="Z18" s="103">
        <v>28414000</v>
      </c>
      <c r="AA18" s="99"/>
      <c r="AB18" s="104">
        <f>85</f>
        <v>85</v>
      </c>
      <c r="AC18" s="104" t="str">
        <f t="shared" si="0"/>
        <v>－</v>
      </c>
      <c r="AD18" s="105">
        <f>20</f>
        <v>20</v>
      </c>
    </row>
    <row r="19" spans="1:30">
      <c r="A19" s="95" t="s">
        <v>46</v>
      </c>
      <c r="B19" s="96" t="s">
        <v>504</v>
      </c>
      <c r="C19" s="96" t="s">
        <v>505</v>
      </c>
      <c r="D19" s="96" t="s">
        <v>72</v>
      </c>
      <c r="E19" s="97" t="s">
        <v>355</v>
      </c>
      <c r="F19" s="97" t="s">
        <v>335</v>
      </c>
      <c r="G19" s="98">
        <v>50</v>
      </c>
      <c r="H19" s="99" t="s">
        <v>51</v>
      </c>
      <c r="I19" s="100" t="s">
        <v>531</v>
      </c>
      <c r="J19" s="99" t="s">
        <v>97</v>
      </c>
      <c r="K19" s="100" t="s">
        <v>520</v>
      </c>
      <c r="L19" s="99"/>
      <c r="M19" s="100"/>
      <c r="N19" s="99" t="s">
        <v>51</v>
      </c>
      <c r="O19" s="100" t="s">
        <v>532</v>
      </c>
      <c r="P19" s="99"/>
      <c r="Q19" s="100"/>
      <c r="R19" s="99" t="s">
        <v>64</v>
      </c>
      <c r="S19" s="100" t="s">
        <v>533</v>
      </c>
      <c r="T19" s="101">
        <f>72560.48</f>
        <v>72560.479999999996</v>
      </c>
      <c r="U19" s="102">
        <f>227</f>
        <v>227</v>
      </c>
      <c r="V19" s="102"/>
      <c r="W19" s="102">
        <v>8</v>
      </c>
      <c r="X19" s="102">
        <f>824589500</f>
        <v>824589500</v>
      </c>
      <c r="Y19" s="102"/>
      <c r="Z19" s="103">
        <v>28219000</v>
      </c>
      <c r="AA19" s="99"/>
      <c r="AB19" s="104">
        <f>45</f>
        <v>45</v>
      </c>
      <c r="AC19" s="104" t="str">
        <f t="shared" si="0"/>
        <v>－</v>
      </c>
      <c r="AD19" s="105">
        <f>20</f>
        <v>20</v>
      </c>
    </row>
    <row r="20" spans="1:30">
      <c r="A20" s="95" t="s">
        <v>46</v>
      </c>
      <c r="B20" s="96" t="s">
        <v>504</v>
      </c>
      <c r="C20" s="96" t="s">
        <v>505</v>
      </c>
      <c r="D20" s="96" t="s">
        <v>344</v>
      </c>
      <c r="E20" s="97" t="s">
        <v>50</v>
      </c>
      <c r="F20" s="97" t="s">
        <v>74</v>
      </c>
      <c r="G20" s="98">
        <v>50</v>
      </c>
      <c r="H20" s="99" t="s">
        <v>56</v>
      </c>
      <c r="I20" s="100" t="s">
        <v>534</v>
      </c>
      <c r="J20" s="99" t="s">
        <v>94</v>
      </c>
      <c r="K20" s="100" t="s">
        <v>489</v>
      </c>
      <c r="L20" s="99"/>
      <c r="M20" s="100"/>
      <c r="N20" s="99" t="s">
        <v>105</v>
      </c>
      <c r="O20" s="100" t="s">
        <v>535</v>
      </c>
      <c r="P20" s="99"/>
      <c r="Q20" s="100"/>
      <c r="R20" s="99" t="s">
        <v>64</v>
      </c>
      <c r="S20" s="100" t="s">
        <v>536</v>
      </c>
      <c r="T20" s="101">
        <f>74290</f>
        <v>74290</v>
      </c>
      <c r="U20" s="102">
        <f>11</f>
        <v>11</v>
      </c>
      <c r="V20" s="102"/>
      <c r="W20" s="102"/>
      <c r="X20" s="102">
        <f>41088500</f>
        <v>41088500</v>
      </c>
      <c r="Y20" s="102"/>
      <c r="Z20" s="103"/>
      <c r="AA20" s="99"/>
      <c r="AB20" s="104">
        <f>8</f>
        <v>8</v>
      </c>
      <c r="AC20" s="104" t="str">
        <f t="shared" si="0"/>
        <v>－</v>
      </c>
      <c r="AD20" s="105">
        <f>4</f>
        <v>4</v>
      </c>
    </row>
    <row r="21" spans="1:30">
      <c r="A21" s="95" t="s">
        <v>46</v>
      </c>
      <c r="B21" s="96" t="s">
        <v>537</v>
      </c>
      <c r="C21" s="96" t="s">
        <v>538</v>
      </c>
      <c r="D21" s="96" t="s">
        <v>264</v>
      </c>
      <c r="E21" s="97" t="s">
        <v>304</v>
      </c>
      <c r="F21" s="97" t="s">
        <v>109</v>
      </c>
      <c r="G21" s="98">
        <v>50</v>
      </c>
      <c r="H21" s="99"/>
      <c r="I21" s="100" t="s">
        <v>138</v>
      </c>
      <c r="J21" s="99"/>
      <c r="K21" s="100" t="s">
        <v>138</v>
      </c>
      <c r="L21" s="99"/>
      <c r="M21" s="100"/>
      <c r="N21" s="99"/>
      <c r="O21" s="100" t="s">
        <v>138</v>
      </c>
      <c r="P21" s="99"/>
      <c r="Q21" s="100"/>
      <c r="R21" s="99"/>
      <c r="S21" s="100" t="s">
        <v>138</v>
      </c>
      <c r="T21" s="101">
        <f>75905.88</f>
        <v>75905.88</v>
      </c>
      <c r="U21" s="102" t="str">
        <f t="shared" ref="U21:U27" si="1">"－"</f>
        <v>－</v>
      </c>
      <c r="V21" s="102"/>
      <c r="W21" s="102"/>
      <c r="X21" s="102" t="str">
        <f t="shared" ref="X21:X27" si="2">"－"</f>
        <v>－</v>
      </c>
      <c r="Y21" s="102"/>
      <c r="Z21" s="103"/>
      <c r="AA21" s="99" t="s">
        <v>58</v>
      </c>
      <c r="AB21" s="104" t="str">
        <f t="shared" ref="AB21:AB27" si="3">"－"</f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537</v>
      </c>
      <c r="C22" s="96" t="s">
        <v>538</v>
      </c>
      <c r="D22" s="96" t="s">
        <v>59</v>
      </c>
      <c r="E22" s="97" t="s">
        <v>311</v>
      </c>
      <c r="F22" s="97" t="s">
        <v>444</v>
      </c>
      <c r="G22" s="98">
        <v>50</v>
      </c>
      <c r="H22" s="99"/>
      <c r="I22" s="100" t="s">
        <v>138</v>
      </c>
      <c r="J22" s="99"/>
      <c r="K22" s="100" t="s">
        <v>138</v>
      </c>
      <c r="L22" s="99"/>
      <c r="M22" s="100"/>
      <c r="N22" s="99"/>
      <c r="O22" s="100" t="s">
        <v>138</v>
      </c>
      <c r="P22" s="99"/>
      <c r="Q22" s="100"/>
      <c r="R22" s="99"/>
      <c r="S22" s="100" t="s">
        <v>138</v>
      </c>
      <c r="T22" s="101">
        <f>76161.9</f>
        <v>76161.899999999994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537</v>
      </c>
      <c r="C23" s="96" t="s">
        <v>538</v>
      </c>
      <c r="D23" s="96" t="s">
        <v>279</v>
      </c>
      <c r="E23" s="97" t="s">
        <v>82</v>
      </c>
      <c r="F23" s="97" t="s">
        <v>482</v>
      </c>
      <c r="G23" s="98">
        <v>50</v>
      </c>
      <c r="H23" s="99"/>
      <c r="I23" s="100" t="s">
        <v>138</v>
      </c>
      <c r="J23" s="99"/>
      <c r="K23" s="100" t="s">
        <v>138</v>
      </c>
      <c r="L23" s="99"/>
      <c r="M23" s="100"/>
      <c r="N23" s="99"/>
      <c r="O23" s="100" t="s">
        <v>138</v>
      </c>
      <c r="P23" s="99"/>
      <c r="Q23" s="100"/>
      <c r="R23" s="99"/>
      <c r="S23" s="100" t="s">
        <v>138</v>
      </c>
      <c r="T23" s="101">
        <f>75500</f>
        <v>75500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537</v>
      </c>
      <c r="C24" s="96" t="s">
        <v>538</v>
      </c>
      <c r="D24" s="96" t="s">
        <v>66</v>
      </c>
      <c r="E24" s="97" t="s">
        <v>487</v>
      </c>
      <c r="F24" s="97" t="s">
        <v>324</v>
      </c>
      <c r="G24" s="98">
        <v>50</v>
      </c>
      <c r="H24" s="99"/>
      <c r="I24" s="100" t="s">
        <v>138</v>
      </c>
      <c r="J24" s="99"/>
      <c r="K24" s="100" t="s">
        <v>138</v>
      </c>
      <c r="L24" s="99"/>
      <c r="M24" s="100"/>
      <c r="N24" s="99"/>
      <c r="O24" s="100" t="s">
        <v>138</v>
      </c>
      <c r="P24" s="99"/>
      <c r="Q24" s="100"/>
      <c r="R24" s="99"/>
      <c r="S24" s="100" t="s">
        <v>138</v>
      </c>
      <c r="T24" s="101">
        <f>74923.81</f>
        <v>74923.81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537</v>
      </c>
      <c r="C25" s="96" t="s">
        <v>538</v>
      </c>
      <c r="D25" s="96" t="s">
        <v>286</v>
      </c>
      <c r="E25" s="97" t="s">
        <v>329</v>
      </c>
      <c r="F25" s="97" t="s">
        <v>492</v>
      </c>
      <c r="G25" s="98">
        <v>50</v>
      </c>
      <c r="H25" s="99"/>
      <c r="I25" s="100" t="s">
        <v>138</v>
      </c>
      <c r="J25" s="99"/>
      <c r="K25" s="100" t="s">
        <v>138</v>
      </c>
      <c r="L25" s="99"/>
      <c r="M25" s="100"/>
      <c r="N25" s="99"/>
      <c r="O25" s="100" t="s">
        <v>138</v>
      </c>
      <c r="P25" s="99"/>
      <c r="Q25" s="100"/>
      <c r="R25" s="99"/>
      <c r="S25" s="100" t="s">
        <v>138</v>
      </c>
      <c r="T25" s="101">
        <f>74371.43</f>
        <v>74371.429999999993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537</v>
      </c>
      <c r="C26" s="96" t="s">
        <v>538</v>
      </c>
      <c r="D26" s="96" t="s">
        <v>72</v>
      </c>
      <c r="E26" s="97" t="s">
        <v>355</v>
      </c>
      <c r="F26" s="97" t="s">
        <v>335</v>
      </c>
      <c r="G26" s="98">
        <v>50</v>
      </c>
      <c r="H26" s="99"/>
      <c r="I26" s="100" t="s">
        <v>138</v>
      </c>
      <c r="J26" s="99"/>
      <c r="K26" s="100" t="s">
        <v>138</v>
      </c>
      <c r="L26" s="99"/>
      <c r="M26" s="100"/>
      <c r="N26" s="99"/>
      <c r="O26" s="100" t="s">
        <v>138</v>
      </c>
      <c r="P26" s="99"/>
      <c r="Q26" s="100"/>
      <c r="R26" s="99"/>
      <c r="S26" s="100" t="s">
        <v>138</v>
      </c>
      <c r="T26" s="101">
        <f>73847.62</f>
        <v>73847.62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537</v>
      </c>
      <c r="C27" s="96" t="s">
        <v>538</v>
      </c>
      <c r="D27" s="96" t="s">
        <v>344</v>
      </c>
      <c r="E27" s="97" t="s">
        <v>50</v>
      </c>
      <c r="F27" s="97" t="s">
        <v>74</v>
      </c>
      <c r="G27" s="98">
        <v>50</v>
      </c>
      <c r="H27" s="99"/>
      <c r="I27" s="100" t="s">
        <v>138</v>
      </c>
      <c r="J27" s="99"/>
      <c r="K27" s="100" t="s">
        <v>138</v>
      </c>
      <c r="L27" s="99"/>
      <c r="M27" s="100"/>
      <c r="N27" s="99"/>
      <c r="O27" s="100" t="s">
        <v>138</v>
      </c>
      <c r="P27" s="99"/>
      <c r="Q27" s="100"/>
      <c r="R27" s="99"/>
      <c r="S27" s="100" t="s">
        <v>138</v>
      </c>
      <c r="T27" s="101">
        <f>75725</f>
        <v>75725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539</v>
      </c>
      <c r="C28" s="96" t="s">
        <v>540</v>
      </c>
      <c r="D28" s="96" t="s">
        <v>46</v>
      </c>
      <c r="E28" s="97" t="s">
        <v>367</v>
      </c>
      <c r="F28" s="97" t="s">
        <v>368</v>
      </c>
      <c r="G28" s="98">
        <v>50</v>
      </c>
      <c r="H28" s="99" t="s">
        <v>51</v>
      </c>
      <c r="I28" s="100" t="s">
        <v>541</v>
      </c>
      <c r="J28" s="99" t="s">
        <v>97</v>
      </c>
      <c r="K28" s="100" t="s">
        <v>542</v>
      </c>
      <c r="L28" s="99" t="s">
        <v>268</v>
      </c>
      <c r="M28" s="100" t="s">
        <v>543</v>
      </c>
      <c r="N28" s="99" t="s">
        <v>51</v>
      </c>
      <c r="O28" s="100" t="s">
        <v>544</v>
      </c>
      <c r="P28" s="99" t="s">
        <v>51</v>
      </c>
      <c r="Q28" s="100" t="s">
        <v>545</v>
      </c>
      <c r="R28" s="99" t="s">
        <v>64</v>
      </c>
      <c r="S28" s="100" t="s">
        <v>546</v>
      </c>
      <c r="T28" s="101">
        <f>57080.95</f>
        <v>57080.95</v>
      </c>
      <c r="U28" s="102">
        <f>719</f>
        <v>719</v>
      </c>
      <c r="V28" s="102">
        <v>461</v>
      </c>
      <c r="W28" s="102">
        <v>3</v>
      </c>
      <c r="X28" s="102">
        <f>2055699000</f>
        <v>2055699000</v>
      </c>
      <c r="Y28" s="102">
        <v>1333934000</v>
      </c>
      <c r="Z28" s="103">
        <v>7967500</v>
      </c>
      <c r="AA28" s="99" t="s">
        <v>58</v>
      </c>
      <c r="AB28" s="104">
        <f>3935</f>
        <v>3935</v>
      </c>
      <c r="AC28" s="104" t="str">
        <f t="shared" si="0"/>
        <v>－</v>
      </c>
      <c r="AD28" s="105">
        <f>18</f>
        <v>18</v>
      </c>
    </row>
    <row r="29" spans="1:30">
      <c r="A29" s="95" t="s">
        <v>46</v>
      </c>
      <c r="B29" s="96" t="s">
        <v>539</v>
      </c>
      <c r="C29" s="96" t="s">
        <v>540</v>
      </c>
      <c r="D29" s="96" t="s">
        <v>264</v>
      </c>
      <c r="E29" s="97" t="s">
        <v>370</v>
      </c>
      <c r="F29" s="97" t="s">
        <v>371</v>
      </c>
      <c r="G29" s="98">
        <v>50</v>
      </c>
      <c r="H29" s="99" t="s">
        <v>51</v>
      </c>
      <c r="I29" s="100" t="s">
        <v>547</v>
      </c>
      <c r="J29" s="99" t="s">
        <v>211</v>
      </c>
      <c r="K29" s="100" t="s">
        <v>548</v>
      </c>
      <c r="L29" s="99" t="s">
        <v>53</v>
      </c>
      <c r="M29" s="100" t="s">
        <v>549</v>
      </c>
      <c r="N29" s="99" t="s">
        <v>51</v>
      </c>
      <c r="O29" s="100" t="s">
        <v>550</v>
      </c>
      <c r="P29" s="99" t="s">
        <v>51</v>
      </c>
      <c r="Q29" s="100" t="s">
        <v>551</v>
      </c>
      <c r="R29" s="99" t="s">
        <v>64</v>
      </c>
      <c r="S29" s="100" t="s">
        <v>552</v>
      </c>
      <c r="T29" s="101">
        <f>57215.71</f>
        <v>57215.71</v>
      </c>
      <c r="U29" s="102">
        <f>2178</f>
        <v>2178</v>
      </c>
      <c r="V29" s="102">
        <v>1248</v>
      </c>
      <c r="W29" s="102">
        <v>33</v>
      </c>
      <c r="X29" s="102">
        <f>6229625000</f>
        <v>6229625000</v>
      </c>
      <c r="Y29" s="102">
        <v>3610080500</v>
      </c>
      <c r="Z29" s="103">
        <v>89886000</v>
      </c>
      <c r="AA29" s="99"/>
      <c r="AB29" s="104">
        <f>2310</f>
        <v>2310</v>
      </c>
      <c r="AC29" s="104" t="str">
        <f t="shared" si="0"/>
        <v>－</v>
      </c>
      <c r="AD29" s="105">
        <f>21</f>
        <v>21</v>
      </c>
    </row>
    <row r="30" spans="1:30">
      <c r="A30" s="95" t="s">
        <v>46</v>
      </c>
      <c r="B30" s="96" t="s">
        <v>539</v>
      </c>
      <c r="C30" s="96" t="s">
        <v>540</v>
      </c>
      <c r="D30" s="96" t="s">
        <v>59</v>
      </c>
      <c r="E30" s="97" t="s">
        <v>372</v>
      </c>
      <c r="F30" s="97" t="s">
        <v>373</v>
      </c>
      <c r="G30" s="98">
        <v>50</v>
      </c>
      <c r="H30" s="99" t="s">
        <v>51</v>
      </c>
      <c r="I30" s="100" t="s">
        <v>553</v>
      </c>
      <c r="J30" s="99" t="s">
        <v>211</v>
      </c>
      <c r="K30" s="100" t="s">
        <v>554</v>
      </c>
      <c r="L30" s="99" t="s">
        <v>211</v>
      </c>
      <c r="M30" s="100" t="s">
        <v>555</v>
      </c>
      <c r="N30" s="99" t="s">
        <v>51</v>
      </c>
      <c r="O30" s="100" t="s">
        <v>556</v>
      </c>
      <c r="P30" s="99" t="s">
        <v>156</v>
      </c>
      <c r="Q30" s="100" t="s">
        <v>557</v>
      </c>
      <c r="R30" s="99" t="s">
        <v>64</v>
      </c>
      <c r="S30" s="100" t="s">
        <v>558</v>
      </c>
      <c r="T30" s="101">
        <f>56419.05</f>
        <v>56419.05</v>
      </c>
      <c r="U30" s="102">
        <f>4274</f>
        <v>4274</v>
      </c>
      <c r="V30" s="102">
        <v>1605</v>
      </c>
      <c r="W30" s="102">
        <v>280</v>
      </c>
      <c r="X30" s="102">
        <f>12002202000</f>
        <v>12002202000</v>
      </c>
      <c r="Y30" s="102">
        <v>4599166500</v>
      </c>
      <c r="Z30" s="103">
        <v>757758000</v>
      </c>
      <c r="AA30" s="99"/>
      <c r="AB30" s="104">
        <f>7177</f>
        <v>7177</v>
      </c>
      <c r="AC30" s="104" t="str">
        <f t="shared" si="0"/>
        <v>－</v>
      </c>
      <c r="AD30" s="105">
        <f>21</f>
        <v>21</v>
      </c>
    </row>
    <row r="31" spans="1:30">
      <c r="A31" s="95" t="s">
        <v>46</v>
      </c>
      <c r="B31" s="96" t="s">
        <v>539</v>
      </c>
      <c r="C31" s="96" t="s">
        <v>540</v>
      </c>
      <c r="D31" s="96" t="s">
        <v>279</v>
      </c>
      <c r="E31" s="97" t="s">
        <v>379</v>
      </c>
      <c r="F31" s="97" t="s">
        <v>380</v>
      </c>
      <c r="G31" s="98">
        <v>50</v>
      </c>
      <c r="H31" s="99" t="s">
        <v>51</v>
      </c>
      <c r="I31" s="100" t="s">
        <v>559</v>
      </c>
      <c r="J31" s="99" t="s">
        <v>211</v>
      </c>
      <c r="K31" s="100" t="s">
        <v>560</v>
      </c>
      <c r="L31" s="99" t="s">
        <v>94</v>
      </c>
      <c r="M31" s="100" t="s">
        <v>561</v>
      </c>
      <c r="N31" s="99" t="s">
        <v>51</v>
      </c>
      <c r="O31" s="100" t="s">
        <v>562</v>
      </c>
      <c r="P31" s="99" t="s">
        <v>85</v>
      </c>
      <c r="Q31" s="100" t="s">
        <v>563</v>
      </c>
      <c r="R31" s="99" t="s">
        <v>64</v>
      </c>
      <c r="S31" s="100" t="s">
        <v>564</v>
      </c>
      <c r="T31" s="101">
        <f>55771.9</f>
        <v>55771.9</v>
      </c>
      <c r="U31" s="102">
        <f>12233</f>
        <v>12233</v>
      </c>
      <c r="V31" s="102">
        <v>3859</v>
      </c>
      <c r="W31" s="102">
        <v>2429</v>
      </c>
      <c r="X31" s="102">
        <f>33972315000</f>
        <v>33972315000</v>
      </c>
      <c r="Y31" s="102">
        <v>11010389500</v>
      </c>
      <c r="Z31" s="103">
        <v>6686042000</v>
      </c>
      <c r="AA31" s="99"/>
      <c r="AB31" s="104">
        <f>5157</f>
        <v>5157</v>
      </c>
      <c r="AC31" s="104" t="str">
        <f t="shared" si="0"/>
        <v>－</v>
      </c>
      <c r="AD31" s="105">
        <f>21</f>
        <v>21</v>
      </c>
    </row>
    <row r="32" spans="1:30">
      <c r="A32" s="95" t="s">
        <v>46</v>
      </c>
      <c r="B32" s="96" t="s">
        <v>539</v>
      </c>
      <c r="C32" s="96" t="s">
        <v>540</v>
      </c>
      <c r="D32" s="96" t="s">
        <v>66</v>
      </c>
      <c r="E32" s="97" t="s">
        <v>383</v>
      </c>
      <c r="F32" s="97" t="s">
        <v>384</v>
      </c>
      <c r="G32" s="98">
        <v>50</v>
      </c>
      <c r="H32" s="99" t="s">
        <v>51</v>
      </c>
      <c r="I32" s="100" t="s">
        <v>565</v>
      </c>
      <c r="J32" s="99" t="s">
        <v>211</v>
      </c>
      <c r="K32" s="100" t="s">
        <v>566</v>
      </c>
      <c r="L32" s="99" t="s">
        <v>97</v>
      </c>
      <c r="M32" s="100" t="s">
        <v>567</v>
      </c>
      <c r="N32" s="99" t="s">
        <v>51</v>
      </c>
      <c r="O32" s="100" t="s">
        <v>568</v>
      </c>
      <c r="P32" s="99" t="s">
        <v>156</v>
      </c>
      <c r="Q32" s="100" t="s">
        <v>569</v>
      </c>
      <c r="R32" s="99" t="s">
        <v>64</v>
      </c>
      <c r="S32" s="100" t="s">
        <v>570</v>
      </c>
      <c r="T32" s="101">
        <f>55253.81</f>
        <v>55253.81</v>
      </c>
      <c r="U32" s="102">
        <f>118832</f>
        <v>118832</v>
      </c>
      <c r="V32" s="102">
        <v>4163</v>
      </c>
      <c r="W32" s="102">
        <v>17516</v>
      </c>
      <c r="X32" s="102">
        <f>324861114500</f>
        <v>324861114500</v>
      </c>
      <c r="Y32" s="102">
        <v>11752451000</v>
      </c>
      <c r="Z32" s="103">
        <v>48459123500</v>
      </c>
      <c r="AA32" s="99"/>
      <c r="AB32" s="104">
        <f>10238</f>
        <v>10238</v>
      </c>
      <c r="AC32" s="104" t="str">
        <f t="shared" si="0"/>
        <v>－</v>
      </c>
      <c r="AD32" s="105">
        <f>21</f>
        <v>21</v>
      </c>
    </row>
    <row r="33" spans="1:30">
      <c r="A33" s="95" t="s">
        <v>46</v>
      </c>
      <c r="B33" s="96" t="s">
        <v>539</v>
      </c>
      <c r="C33" s="96" t="s">
        <v>540</v>
      </c>
      <c r="D33" s="96" t="s">
        <v>286</v>
      </c>
      <c r="E33" s="97" t="s">
        <v>258</v>
      </c>
      <c r="F33" s="97" t="s">
        <v>385</v>
      </c>
      <c r="G33" s="98">
        <v>50</v>
      </c>
      <c r="H33" s="99" t="s">
        <v>51</v>
      </c>
      <c r="I33" s="100" t="s">
        <v>571</v>
      </c>
      <c r="J33" s="99" t="s">
        <v>97</v>
      </c>
      <c r="K33" s="100" t="s">
        <v>572</v>
      </c>
      <c r="L33" s="99" t="s">
        <v>211</v>
      </c>
      <c r="M33" s="100" t="s">
        <v>573</v>
      </c>
      <c r="N33" s="99" t="s">
        <v>51</v>
      </c>
      <c r="O33" s="100" t="s">
        <v>574</v>
      </c>
      <c r="P33" s="99" t="s">
        <v>105</v>
      </c>
      <c r="Q33" s="100" t="s">
        <v>575</v>
      </c>
      <c r="R33" s="99" t="s">
        <v>64</v>
      </c>
      <c r="S33" s="100" t="s">
        <v>576</v>
      </c>
      <c r="T33" s="101">
        <f>54814.76</f>
        <v>54814.76</v>
      </c>
      <c r="U33" s="102">
        <f>156722</f>
        <v>156722</v>
      </c>
      <c r="V33" s="102">
        <v>1263</v>
      </c>
      <c r="W33" s="102">
        <v>15240</v>
      </c>
      <c r="X33" s="102">
        <f>429732101500</f>
        <v>429732101500</v>
      </c>
      <c r="Y33" s="102">
        <v>3459401500</v>
      </c>
      <c r="Z33" s="103">
        <v>41936139000</v>
      </c>
      <c r="AA33" s="99"/>
      <c r="AB33" s="104">
        <f>71497</f>
        <v>71497</v>
      </c>
      <c r="AC33" s="104" t="str">
        <f t="shared" si="0"/>
        <v>－</v>
      </c>
      <c r="AD33" s="105">
        <f>21</f>
        <v>21</v>
      </c>
    </row>
    <row r="34" spans="1:30">
      <c r="A34" s="95" t="s">
        <v>46</v>
      </c>
      <c r="B34" s="96" t="s">
        <v>539</v>
      </c>
      <c r="C34" s="96" t="s">
        <v>540</v>
      </c>
      <c r="D34" s="96" t="s">
        <v>72</v>
      </c>
      <c r="E34" s="97" t="s">
        <v>258</v>
      </c>
      <c r="F34" s="97" t="s">
        <v>386</v>
      </c>
      <c r="G34" s="98">
        <v>50</v>
      </c>
      <c r="H34" s="99" t="s">
        <v>268</v>
      </c>
      <c r="I34" s="100" t="s">
        <v>577</v>
      </c>
      <c r="J34" s="99" t="s">
        <v>268</v>
      </c>
      <c r="K34" s="100" t="s">
        <v>578</v>
      </c>
      <c r="L34" s="99" t="s">
        <v>268</v>
      </c>
      <c r="M34" s="100" t="s">
        <v>579</v>
      </c>
      <c r="N34" s="99" t="s">
        <v>105</v>
      </c>
      <c r="O34" s="100" t="s">
        <v>580</v>
      </c>
      <c r="P34" s="99" t="s">
        <v>268</v>
      </c>
      <c r="Q34" s="100" t="s">
        <v>579</v>
      </c>
      <c r="R34" s="99" t="s">
        <v>64</v>
      </c>
      <c r="S34" s="100" t="s">
        <v>581</v>
      </c>
      <c r="T34" s="101">
        <f>54497.14</f>
        <v>54497.14</v>
      </c>
      <c r="U34" s="102">
        <f>58</f>
        <v>58</v>
      </c>
      <c r="V34" s="102">
        <v>1</v>
      </c>
      <c r="W34" s="102">
        <v>3</v>
      </c>
      <c r="X34" s="102">
        <f>158130500</f>
        <v>158130500</v>
      </c>
      <c r="Y34" s="102">
        <v>2795500</v>
      </c>
      <c r="Z34" s="103">
        <v>8012500</v>
      </c>
      <c r="AA34" s="99"/>
      <c r="AB34" s="104">
        <f>35</f>
        <v>35</v>
      </c>
      <c r="AC34" s="104" t="str">
        <f t="shared" si="0"/>
        <v>－</v>
      </c>
      <c r="AD34" s="105">
        <f>4</f>
        <v>4</v>
      </c>
    </row>
    <row r="35" spans="1:30">
      <c r="A35" s="95" t="s">
        <v>46</v>
      </c>
      <c r="B35" s="96" t="s">
        <v>539</v>
      </c>
      <c r="C35" s="96" t="s">
        <v>540</v>
      </c>
      <c r="D35" s="96" t="s">
        <v>344</v>
      </c>
      <c r="E35" s="97" t="s">
        <v>258</v>
      </c>
      <c r="F35" s="97" t="s">
        <v>387</v>
      </c>
      <c r="G35" s="98">
        <v>50</v>
      </c>
      <c r="H35" s="99"/>
      <c r="I35" s="100" t="s">
        <v>138</v>
      </c>
      <c r="J35" s="99"/>
      <c r="K35" s="100" t="s">
        <v>138</v>
      </c>
      <c r="L35" s="99"/>
      <c r="M35" s="100"/>
      <c r="N35" s="99"/>
      <c r="O35" s="100" t="s">
        <v>138</v>
      </c>
      <c r="P35" s="99"/>
      <c r="Q35" s="100"/>
      <c r="R35" s="99"/>
      <c r="S35" s="100" t="s">
        <v>138</v>
      </c>
      <c r="T35" s="101">
        <f>53929.52</f>
        <v>53929.52</v>
      </c>
      <c r="U35" s="102" t="str">
        <f>"－"</f>
        <v>－</v>
      </c>
      <c r="V35" s="102"/>
      <c r="W35" s="102"/>
      <c r="X35" s="102" t="str">
        <f>"－"</f>
        <v>－</v>
      </c>
      <c r="Y35" s="102"/>
      <c r="Z35" s="103"/>
      <c r="AA35" s="99"/>
      <c r="AB35" s="104" t="str">
        <f>"－"</f>
        <v>－</v>
      </c>
      <c r="AC35" s="104" t="str">
        <f t="shared" si="0"/>
        <v>－</v>
      </c>
      <c r="AD35" s="105" t="str">
        <f>"－"</f>
        <v>－</v>
      </c>
    </row>
    <row r="36" spans="1:30">
      <c r="A36" s="95" t="s">
        <v>46</v>
      </c>
      <c r="B36" s="96" t="s">
        <v>539</v>
      </c>
      <c r="C36" s="96" t="s">
        <v>540</v>
      </c>
      <c r="D36" s="96" t="s">
        <v>81</v>
      </c>
      <c r="E36" s="97" t="s">
        <v>258</v>
      </c>
      <c r="F36" s="97" t="s">
        <v>388</v>
      </c>
      <c r="G36" s="98">
        <v>50</v>
      </c>
      <c r="H36" s="99" t="s">
        <v>85</v>
      </c>
      <c r="I36" s="100" t="s">
        <v>582</v>
      </c>
      <c r="J36" s="99" t="s">
        <v>85</v>
      </c>
      <c r="K36" s="100" t="s">
        <v>582</v>
      </c>
      <c r="L36" s="99"/>
      <c r="M36" s="100"/>
      <c r="N36" s="99" t="s">
        <v>85</v>
      </c>
      <c r="O36" s="100" t="s">
        <v>582</v>
      </c>
      <c r="P36" s="99"/>
      <c r="Q36" s="100"/>
      <c r="R36" s="99" t="s">
        <v>85</v>
      </c>
      <c r="S36" s="100" t="s">
        <v>582</v>
      </c>
      <c r="T36" s="101">
        <f>53454.76</f>
        <v>53454.76</v>
      </c>
      <c r="U36" s="102">
        <f>1</f>
        <v>1</v>
      </c>
      <c r="V36" s="102"/>
      <c r="W36" s="102"/>
      <c r="X36" s="102">
        <f>2603500</f>
        <v>2603500</v>
      </c>
      <c r="Y36" s="102"/>
      <c r="Z36" s="103"/>
      <c r="AA36" s="99"/>
      <c r="AB36" s="104">
        <f>1</f>
        <v>1</v>
      </c>
      <c r="AC36" s="104" t="str">
        <f t="shared" si="0"/>
        <v>－</v>
      </c>
      <c r="AD36" s="105">
        <f>1</f>
        <v>1</v>
      </c>
    </row>
    <row r="37" spans="1:30">
      <c r="A37" s="95" t="s">
        <v>46</v>
      </c>
      <c r="B37" s="96" t="s">
        <v>539</v>
      </c>
      <c r="C37" s="96" t="s">
        <v>540</v>
      </c>
      <c r="D37" s="96" t="s">
        <v>347</v>
      </c>
      <c r="E37" s="97" t="s">
        <v>258</v>
      </c>
      <c r="F37" s="97" t="s">
        <v>389</v>
      </c>
      <c r="G37" s="98">
        <v>50</v>
      </c>
      <c r="H37" s="99"/>
      <c r="I37" s="100" t="s">
        <v>138</v>
      </c>
      <c r="J37" s="99"/>
      <c r="K37" s="100" t="s">
        <v>138</v>
      </c>
      <c r="L37" s="99"/>
      <c r="M37" s="100"/>
      <c r="N37" s="99"/>
      <c r="O37" s="100" t="s">
        <v>138</v>
      </c>
      <c r="P37" s="99"/>
      <c r="Q37" s="100"/>
      <c r="R37" s="99"/>
      <c r="S37" s="100" t="s">
        <v>138</v>
      </c>
      <c r="T37" s="101">
        <f>53035.71</f>
        <v>53035.71</v>
      </c>
      <c r="U37" s="102" t="str">
        <f>"－"</f>
        <v>－</v>
      </c>
      <c r="V37" s="102"/>
      <c r="W37" s="102"/>
      <c r="X37" s="102" t="str">
        <f>"－"</f>
        <v>－</v>
      </c>
      <c r="Y37" s="102"/>
      <c r="Z37" s="103"/>
      <c r="AA37" s="99"/>
      <c r="AB37" s="104" t="str">
        <f>"－"</f>
        <v>－</v>
      </c>
      <c r="AC37" s="104" t="str">
        <f t="shared" si="0"/>
        <v>－</v>
      </c>
      <c r="AD37" s="105" t="str">
        <f>"－"</f>
        <v>－</v>
      </c>
    </row>
    <row r="38" spans="1:30">
      <c r="A38" s="95" t="s">
        <v>46</v>
      </c>
      <c r="B38" s="96" t="s">
        <v>539</v>
      </c>
      <c r="C38" s="96" t="s">
        <v>540</v>
      </c>
      <c r="D38" s="96" t="s">
        <v>90</v>
      </c>
      <c r="E38" s="97" t="s">
        <v>258</v>
      </c>
      <c r="F38" s="97" t="s">
        <v>390</v>
      </c>
      <c r="G38" s="98">
        <v>50</v>
      </c>
      <c r="H38" s="99" t="s">
        <v>238</v>
      </c>
      <c r="I38" s="100" t="s">
        <v>583</v>
      </c>
      <c r="J38" s="99" t="s">
        <v>97</v>
      </c>
      <c r="K38" s="100" t="s">
        <v>584</v>
      </c>
      <c r="L38" s="99"/>
      <c r="M38" s="100"/>
      <c r="N38" s="99" t="s">
        <v>238</v>
      </c>
      <c r="O38" s="100" t="s">
        <v>583</v>
      </c>
      <c r="P38" s="99"/>
      <c r="Q38" s="100"/>
      <c r="R38" s="99" t="s">
        <v>283</v>
      </c>
      <c r="S38" s="100" t="s">
        <v>585</v>
      </c>
      <c r="T38" s="101">
        <f>52575.24</f>
        <v>52575.24</v>
      </c>
      <c r="U38" s="102">
        <f>4</f>
        <v>4</v>
      </c>
      <c r="V38" s="102"/>
      <c r="W38" s="102"/>
      <c r="X38" s="102">
        <f>10688500</f>
        <v>10688500</v>
      </c>
      <c r="Y38" s="102"/>
      <c r="Z38" s="103"/>
      <c r="AA38" s="99"/>
      <c r="AB38" s="104">
        <f>2</f>
        <v>2</v>
      </c>
      <c r="AC38" s="104" t="str">
        <f t="shared" si="0"/>
        <v>－</v>
      </c>
      <c r="AD38" s="105">
        <f>4</f>
        <v>4</v>
      </c>
    </row>
    <row r="39" spans="1:30">
      <c r="A39" s="95" t="s">
        <v>46</v>
      </c>
      <c r="B39" s="96" t="s">
        <v>539</v>
      </c>
      <c r="C39" s="96" t="s">
        <v>540</v>
      </c>
      <c r="D39" s="96" t="s">
        <v>354</v>
      </c>
      <c r="E39" s="97" t="s">
        <v>258</v>
      </c>
      <c r="F39" s="97" t="s">
        <v>391</v>
      </c>
      <c r="G39" s="98">
        <v>50</v>
      </c>
      <c r="H39" s="99"/>
      <c r="I39" s="100" t="s">
        <v>138</v>
      </c>
      <c r="J39" s="99"/>
      <c r="K39" s="100" t="s">
        <v>138</v>
      </c>
      <c r="L39" s="99"/>
      <c r="M39" s="100"/>
      <c r="N39" s="99"/>
      <c r="O39" s="100" t="s">
        <v>138</v>
      </c>
      <c r="P39" s="99"/>
      <c r="Q39" s="100"/>
      <c r="R39" s="99"/>
      <c r="S39" s="100" t="s">
        <v>138</v>
      </c>
      <c r="T39" s="101">
        <f>52163.81</f>
        <v>52163.81</v>
      </c>
      <c r="U39" s="102" t="str">
        <f>"－"</f>
        <v>－</v>
      </c>
      <c r="V39" s="102"/>
      <c r="W39" s="102"/>
      <c r="X39" s="102" t="str">
        <f>"－"</f>
        <v>－</v>
      </c>
      <c r="Y39" s="102"/>
      <c r="Z39" s="103"/>
      <c r="AA39" s="99"/>
      <c r="AB39" s="104" t="str">
        <f>"－"</f>
        <v>－</v>
      </c>
      <c r="AC39" s="104" t="str">
        <f t="shared" ref="AC39:AD70" si="4">"－"</f>
        <v>－</v>
      </c>
      <c r="AD39" s="105" t="str">
        <f>"－"</f>
        <v>－</v>
      </c>
    </row>
    <row r="40" spans="1:30">
      <c r="A40" s="95" t="s">
        <v>46</v>
      </c>
      <c r="B40" s="96" t="s">
        <v>539</v>
      </c>
      <c r="C40" s="96" t="s">
        <v>540</v>
      </c>
      <c r="D40" s="96" t="s">
        <v>100</v>
      </c>
      <c r="E40" s="97" t="s">
        <v>258</v>
      </c>
      <c r="F40" s="97" t="s">
        <v>586</v>
      </c>
      <c r="G40" s="98">
        <v>50</v>
      </c>
      <c r="H40" s="99" t="s">
        <v>283</v>
      </c>
      <c r="I40" s="100" t="s">
        <v>587</v>
      </c>
      <c r="J40" s="99" t="s">
        <v>283</v>
      </c>
      <c r="K40" s="100" t="s">
        <v>587</v>
      </c>
      <c r="L40" s="99"/>
      <c r="M40" s="100"/>
      <c r="N40" s="99" t="s">
        <v>283</v>
      </c>
      <c r="O40" s="100" t="s">
        <v>587</v>
      </c>
      <c r="P40" s="99"/>
      <c r="Q40" s="100"/>
      <c r="R40" s="99" t="s">
        <v>283</v>
      </c>
      <c r="S40" s="100" t="s">
        <v>587</v>
      </c>
      <c r="T40" s="101">
        <f>51744.29</f>
        <v>51744.29</v>
      </c>
      <c r="U40" s="102">
        <f>1</f>
        <v>1</v>
      </c>
      <c r="V40" s="102"/>
      <c r="W40" s="102"/>
      <c r="X40" s="102">
        <f>2645500</f>
        <v>2645500</v>
      </c>
      <c r="Y40" s="102"/>
      <c r="Z40" s="103"/>
      <c r="AA40" s="99"/>
      <c r="AB40" s="104">
        <f>1</f>
        <v>1</v>
      </c>
      <c r="AC40" s="104" t="str">
        <f t="shared" si="4"/>
        <v>－</v>
      </c>
      <c r="AD40" s="105">
        <f>1</f>
        <v>1</v>
      </c>
    </row>
    <row r="41" spans="1:30">
      <c r="A41" s="95" t="s">
        <v>46</v>
      </c>
      <c r="B41" s="96" t="s">
        <v>539</v>
      </c>
      <c r="C41" s="96" t="s">
        <v>540</v>
      </c>
      <c r="D41" s="96" t="s">
        <v>432</v>
      </c>
      <c r="E41" s="97" t="s">
        <v>258</v>
      </c>
      <c r="F41" s="97" t="s">
        <v>588</v>
      </c>
      <c r="G41" s="98">
        <v>50</v>
      </c>
      <c r="H41" s="99" t="s">
        <v>51</v>
      </c>
      <c r="I41" s="100" t="s">
        <v>589</v>
      </c>
      <c r="J41" s="99" t="s">
        <v>211</v>
      </c>
      <c r="K41" s="100" t="s">
        <v>590</v>
      </c>
      <c r="L41" s="99" t="s">
        <v>268</v>
      </c>
      <c r="M41" s="100" t="s">
        <v>591</v>
      </c>
      <c r="N41" s="99" t="s">
        <v>156</v>
      </c>
      <c r="O41" s="100" t="s">
        <v>592</v>
      </c>
      <c r="P41" s="99" t="s">
        <v>268</v>
      </c>
      <c r="Q41" s="100" t="s">
        <v>591</v>
      </c>
      <c r="R41" s="99" t="s">
        <v>64</v>
      </c>
      <c r="S41" s="100" t="s">
        <v>593</v>
      </c>
      <c r="T41" s="101">
        <f>51300.95</f>
        <v>51300.95</v>
      </c>
      <c r="U41" s="102">
        <f>540</f>
        <v>540</v>
      </c>
      <c r="V41" s="102">
        <v>4</v>
      </c>
      <c r="W41" s="102"/>
      <c r="X41" s="102">
        <f>1356101000</f>
        <v>1356101000</v>
      </c>
      <c r="Y41" s="102">
        <v>10426000</v>
      </c>
      <c r="Z41" s="103"/>
      <c r="AA41" s="99"/>
      <c r="AB41" s="104">
        <f>168</f>
        <v>168</v>
      </c>
      <c r="AC41" s="104" t="str">
        <f t="shared" si="4"/>
        <v>－</v>
      </c>
      <c r="AD41" s="105">
        <f>20</f>
        <v>20</v>
      </c>
    </row>
    <row r="42" spans="1:30">
      <c r="A42" s="95" t="s">
        <v>46</v>
      </c>
      <c r="B42" s="96" t="s">
        <v>539</v>
      </c>
      <c r="C42" s="96" t="s">
        <v>540</v>
      </c>
      <c r="D42" s="96" t="s">
        <v>594</v>
      </c>
      <c r="E42" s="97" t="s">
        <v>259</v>
      </c>
      <c r="F42" s="97" t="s">
        <v>595</v>
      </c>
      <c r="G42" s="98">
        <v>50</v>
      </c>
      <c r="H42" s="99" t="s">
        <v>156</v>
      </c>
      <c r="I42" s="100" t="s">
        <v>596</v>
      </c>
      <c r="J42" s="99" t="s">
        <v>211</v>
      </c>
      <c r="K42" s="100" t="s">
        <v>597</v>
      </c>
      <c r="L42" s="99" t="s">
        <v>268</v>
      </c>
      <c r="M42" s="100" t="s">
        <v>598</v>
      </c>
      <c r="N42" s="99" t="s">
        <v>156</v>
      </c>
      <c r="O42" s="100" t="s">
        <v>599</v>
      </c>
      <c r="P42" s="99" t="s">
        <v>268</v>
      </c>
      <c r="Q42" s="100" t="s">
        <v>598</v>
      </c>
      <c r="R42" s="99" t="s">
        <v>64</v>
      </c>
      <c r="S42" s="100" t="s">
        <v>600</v>
      </c>
      <c r="T42" s="101">
        <f>50989.52</f>
        <v>50989.52</v>
      </c>
      <c r="U42" s="102">
        <f>1033</f>
        <v>1033</v>
      </c>
      <c r="V42" s="102">
        <v>10</v>
      </c>
      <c r="W42" s="102"/>
      <c r="X42" s="102">
        <f>2628991000</f>
        <v>2628991000</v>
      </c>
      <c r="Y42" s="102">
        <v>26015000</v>
      </c>
      <c r="Z42" s="103"/>
      <c r="AA42" s="99"/>
      <c r="AB42" s="104">
        <f>192</f>
        <v>192</v>
      </c>
      <c r="AC42" s="104" t="str">
        <f t="shared" si="4"/>
        <v>－</v>
      </c>
      <c r="AD42" s="105">
        <f>20</f>
        <v>20</v>
      </c>
    </row>
    <row r="43" spans="1:30">
      <c r="A43" s="95" t="s">
        <v>46</v>
      </c>
      <c r="B43" s="96" t="s">
        <v>601</v>
      </c>
      <c r="C43" s="96" t="s">
        <v>602</v>
      </c>
      <c r="D43" s="96" t="s">
        <v>46</v>
      </c>
      <c r="E43" s="97" t="s">
        <v>603</v>
      </c>
      <c r="F43" s="97" t="s">
        <v>368</v>
      </c>
      <c r="G43" s="98">
        <v>74400</v>
      </c>
      <c r="H43" s="99"/>
      <c r="I43" s="100" t="s">
        <v>138</v>
      </c>
      <c r="J43" s="99"/>
      <c r="K43" s="100" t="s">
        <v>138</v>
      </c>
      <c r="L43" s="99"/>
      <c r="M43" s="100"/>
      <c r="N43" s="99"/>
      <c r="O43" s="100" t="s">
        <v>138</v>
      </c>
      <c r="P43" s="99"/>
      <c r="Q43" s="100"/>
      <c r="R43" s="99"/>
      <c r="S43" s="100" t="s">
        <v>138</v>
      </c>
      <c r="T43" s="101">
        <f>10.87</f>
        <v>10.87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58</v>
      </c>
      <c r="AB43" s="104">
        <f>205</f>
        <v>205</v>
      </c>
      <c r="AC43" s="104" t="str">
        <f t="shared" si="4"/>
        <v>－</v>
      </c>
      <c r="AD43" s="105" t="str">
        <f>"－"</f>
        <v>－</v>
      </c>
    </row>
    <row r="44" spans="1:30">
      <c r="A44" s="95" t="s">
        <v>46</v>
      </c>
      <c r="B44" s="96" t="s">
        <v>601</v>
      </c>
      <c r="C44" s="96" t="s">
        <v>602</v>
      </c>
      <c r="D44" s="96" t="s">
        <v>264</v>
      </c>
      <c r="E44" s="97" t="s">
        <v>604</v>
      </c>
      <c r="F44" s="97" t="s">
        <v>605</v>
      </c>
      <c r="G44" s="98">
        <v>72000</v>
      </c>
      <c r="H44" s="99" t="s">
        <v>51</v>
      </c>
      <c r="I44" s="100" t="s">
        <v>606</v>
      </c>
      <c r="J44" s="99" t="s">
        <v>238</v>
      </c>
      <c r="K44" s="100" t="s">
        <v>607</v>
      </c>
      <c r="L44" s="99" t="s">
        <v>77</v>
      </c>
      <c r="M44" s="100" t="s">
        <v>608</v>
      </c>
      <c r="N44" s="99" t="s">
        <v>51</v>
      </c>
      <c r="O44" s="100" t="s">
        <v>606</v>
      </c>
      <c r="P44" s="99" t="s">
        <v>211</v>
      </c>
      <c r="Q44" s="100" t="s">
        <v>609</v>
      </c>
      <c r="R44" s="99" t="s">
        <v>94</v>
      </c>
      <c r="S44" s="100" t="s">
        <v>610</v>
      </c>
      <c r="T44" s="101">
        <f>18.53</f>
        <v>18.53</v>
      </c>
      <c r="U44" s="102">
        <f>31</f>
        <v>31</v>
      </c>
      <c r="V44" s="102">
        <v>14</v>
      </c>
      <c r="W44" s="102"/>
      <c r="X44" s="102">
        <f>44467920</f>
        <v>44467920</v>
      </c>
      <c r="Y44" s="102">
        <v>21110400</v>
      </c>
      <c r="Z44" s="103"/>
      <c r="AA44" s="99"/>
      <c r="AB44" s="104">
        <f>190</f>
        <v>190</v>
      </c>
      <c r="AC44" s="104" t="str">
        <f t="shared" si="4"/>
        <v>－</v>
      </c>
      <c r="AD44" s="105">
        <f>6</f>
        <v>6</v>
      </c>
    </row>
    <row r="45" spans="1:30">
      <c r="A45" s="95" t="s">
        <v>46</v>
      </c>
      <c r="B45" s="96" t="s">
        <v>601</v>
      </c>
      <c r="C45" s="96" t="s">
        <v>602</v>
      </c>
      <c r="D45" s="96" t="s">
        <v>59</v>
      </c>
      <c r="E45" s="97" t="s">
        <v>611</v>
      </c>
      <c r="F45" s="97" t="s">
        <v>373</v>
      </c>
      <c r="G45" s="98">
        <v>74400</v>
      </c>
      <c r="H45" s="99" t="s">
        <v>612</v>
      </c>
      <c r="I45" s="100" t="s">
        <v>613</v>
      </c>
      <c r="J45" s="99" t="s">
        <v>211</v>
      </c>
      <c r="K45" s="100" t="s">
        <v>614</v>
      </c>
      <c r="L45" s="99" t="s">
        <v>248</v>
      </c>
      <c r="M45" s="100" t="s">
        <v>615</v>
      </c>
      <c r="N45" s="99" t="s">
        <v>612</v>
      </c>
      <c r="O45" s="100" t="s">
        <v>613</v>
      </c>
      <c r="P45" s="99" t="s">
        <v>612</v>
      </c>
      <c r="Q45" s="100" t="s">
        <v>616</v>
      </c>
      <c r="R45" s="99" t="s">
        <v>211</v>
      </c>
      <c r="S45" s="100" t="s">
        <v>614</v>
      </c>
      <c r="T45" s="101">
        <f>22.31</f>
        <v>22.31</v>
      </c>
      <c r="U45" s="102">
        <f>139</f>
        <v>139</v>
      </c>
      <c r="V45" s="102">
        <v>137</v>
      </c>
      <c r="W45" s="102"/>
      <c r="X45" s="102">
        <f>270853200</f>
        <v>270853200</v>
      </c>
      <c r="Y45" s="102">
        <v>266984400</v>
      </c>
      <c r="Z45" s="103"/>
      <c r="AA45" s="99"/>
      <c r="AB45" s="104">
        <f>331</f>
        <v>331</v>
      </c>
      <c r="AC45" s="104" t="str">
        <f t="shared" si="4"/>
        <v>－</v>
      </c>
      <c r="AD45" s="105">
        <f>2</f>
        <v>2</v>
      </c>
    </row>
    <row r="46" spans="1:30">
      <c r="A46" s="95" t="s">
        <v>46</v>
      </c>
      <c r="B46" s="96" t="s">
        <v>601</v>
      </c>
      <c r="C46" s="96" t="s">
        <v>602</v>
      </c>
      <c r="D46" s="96" t="s">
        <v>279</v>
      </c>
      <c r="E46" s="97" t="s">
        <v>617</v>
      </c>
      <c r="F46" s="97" t="s">
        <v>618</v>
      </c>
      <c r="G46" s="98">
        <v>74400</v>
      </c>
      <c r="H46" s="99"/>
      <c r="I46" s="100" t="s">
        <v>138</v>
      </c>
      <c r="J46" s="99"/>
      <c r="K46" s="100" t="s">
        <v>138</v>
      </c>
      <c r="L46" s="99" t="s">
        <v>53</v>
      </c>
      <c r="M46" s="100" t="s">
        <v>619</v>
      </c>
      <c r="N46" s="99"/>
      <c r="O46" s="100" t="s">
        <v>138</v>
      </c>
      <c r="P46" s="99" t="s">
        <v>156</v>
      </c>
      <c r="Q46" s="100" t="s">
        <v>620</v>
      </c>
      <c r="R46" s="99"/>
      <c r="S46" s="100" t="s">
        <v>138</v>
      </c>
      <c r="T46" s="101">
        <f>25.41</f>
        <v>25.41</v>
      </c>
      <c r="U46" s="102">
        <f>206</f>
        <v>206</v>
      </c>
      <c r="V46" s="102">
        <v>206</v>
      </c>
      <c r="W46" s="102"/>
      <c r="X46" s="102">
        <f>354536832</f>
        <v>354536832</v>
      </c>
      <c r="Y46" s="102">
        <v>354536832</v>
      </c>
      <c r="Z46" s="103"/>
      <c r="AA46" s="99"/>
      <c r="AB46" s="104">
        <f>404</f>
        <v>404</v>
      </c>
      <c r="AC46" s="104" t="str">
        <f t="shared" si="4"/>
        <v>－</v>
      </c>
      <c r="AD46" s="105" t="str">
        <f>"－"</f>
        <v>－</v>
      </c>
    </row>
    <row r="47" spans="1:30">
      <c r="A47" s="95" t="s">
        <v>46</v>
      </c>
      <c r="B47" s="96" t="s">
        <v>601</v>
      </c>
      <c r="C47" s="96" t="s">
        <v>602</v>
      </c>
      <c r="D47" s="96" t="s">
        <v>66</v>
      </c>
      <c r="E47" s="97" t="s">
        <v>621</v>
      </c>
      <c r="F47" s="97" t="s">
        <v>492</v>
      </c>
      <c r="G47" s="98">
        <v>67200</v>
      </c>
      <c r="H47" s="99"/>
      <c r="I47" s="100" t="s">
        <v>138</v>
      </c>
      <c r="J47" s="99"/>
      <c r="K47" s="100" t="s">
        <v>138</v>
      </c>
      <c r="L47" s="99" t="s">
        <v>248</v>
      </c>
      <c r="M47" s="100" t="s">
        <v>622</v>
      </c>
      <c r="N47" s="99"/>
      <c r="O47" s="100" t="s">
        <v>138</v>
      </c>
      <c r="P47" s="99" t="s">
        <v>156</v>
      </c>
      <c r="Q47" s="100" t="s">
        <v>620</v>
      </c>
      <c r="R47" s="99"/>
      <c r="S47" s="100" t="s">
        <v>138</v>
      </c>
      <c r="T47" s="101">
        <f>25.02</f>
        <v>25.02</v>
      </c>
      <c r="U47" s="102">
        <f>215</f>
        <v>215</v>
      </c>
      <c r="V47" s="102">
        <v>215</v>
      </c>
      <c r="W47" s="102"/>
      <c r="X47" s="102">
        <f>337957536</f>
        <v>337957536</v>
      </c>
      <c r="Y47" s="102">
        <v>337957536</v>
      </c>
      <c r="Z47" s="103"/>
      <c r="AA47" s="99"/>
      <c r="AB47" s="104">
        <f>413</f>
        <v>413</v>
      </c>
      <c r="AC47" s="104" t="str">
        <f t="shared" si="4"/>
        <v>－</v>
      </c>
      <c r="AD47" s="105" t="str">
        <f>"－"</f>
        <v>－</v>
      </c>
    </row>
    <row r="48" spans="1:30">
      <c r="A48" s="95" t="s">
        <v>46</v>
      </c>
      <c r="B48" s="96" t="s">
        <v>601</v>
      </c>
      <c r="C48" s="96" t="s">
        <v>602</v>
      </c>
      <c r="D48" s="96" t="s">
        <v>286</v>
      </c>
      <c r="E48" s="97" t="s">
        <v>623</v>
      </c>
      <c r="F48" s="97" t="s">
        <v>624</v>
      </c>
      <c r="G48" s="98">
        <v>74400</v>
      </c>
      <c r="H48" s="99" t="s">
        <v>172</v>
      </c>
      <c r="I48" s="100" t="s">
        <v>625</v>
      </c>
      <c r="J48" s="99" t="s">
        <v>253</v>
      </c>
      <c r="K48" s="100" t="s">
        <v>626</v>
      </c>
      <c r="L48" s="99" t="s">
        <v>238</v>
      </c>
      <c r="M48" s="100" t="s">
        <v>627</v>
      </c>
      <c r="N48" s="99" t="s">
        <v>172</v>
      </c>
      <c r="O48" s="100" t="s">
        <v>625</v>
      </c>
      <c r="P48" s="99" t="s">
        <v>172</v>
      </c>
      <c r="Q48" s="100" t="s">
        <v>628</v>
      </c>
      <c r="R48" s="99" t="s">
        <v>64</v>
      </c>
      <c r="S48" s="100" t="s">
        <v>629</v>
      </c>
      <c r="T48" s="101">
        <f>15.63</f>
        <v>15.63</v>
      </c>
      <c r="U48" s="102">
        <f>716</f>
        <v>716</v>
      </c>
      <c r="V48" s="102">
        <v>431</v>
      </c>
      <c r="W48" s="102"/>
      <c r="X48" s="102">
        <f>874497600</f>
        <v>874497600</v>
      </c>
      <c r="Y48" s="102">
        <v>533076000</v>
      </c>
      <c r="Z48" s="103"/>
      <c r="AA48" s="99"/>
      <c r="AB48" s="104">
        <f>876</f>
        <v>876</v>
      </c>
      <c r="AC48" s="104" t="str">
        <f t="shared" si="4"/>
        <v>－</v>
      </c>
      <c r="AD48" s="105">
        <f>3</f>
        <v>3</v>
      </c>
    </row>
    <row r="49" spans="1:30">
      <c r="A49" s="95" t="s">
        <v>46</v>
      </c>
      <c r="B49" s="96" t="s">
        <v>601</v>
      </c>
      <c r="C49" s="96" t="s">
        <v>602</v>
      </c>
      <c r="D49" s="96" t="s">
        <v>72</v>
      </c>
      <c r="E49" s="97" t="s">
        <v>630</v>
      </c>
      <c r="F49" s="97" t="s">
        <v>386</v>
      </c>
      <c r="G49" s="98">
        <v>72000</v>
      </c>
      <c r="H49" s="99"/>
      <c r="I49" s="100" t="s">
        <v>138</v>
      </c>
      <c r="J49" s="99"/>
      <c r="K49" s="100" t="s">
        <v>138</v>
      </c>
      <c r="L49" s="99" t="s">
        <v>612</v>
      </c>
      <c r="M49" s="100" t="s">
        <v>631</v>
      </c>
      <c r="N49" s="99"/>
      <c r="O49" s="100" t="s">
        <v>138</v>
      </c>
      <c r="P49" s="99" t="s">
        <v>146</v>
      </c>
      <c r="Q49" s="100" t="s">
        <v>632</v>
      </c>
      <c r="R49" s="99"/>
      <c r="S49" s="100" t="s">
        <v>138</v>
      </c>
      <c r="T49" s="101">
        <f>11.43</f>
        <v>11.43</v>
      </c>
      <c r="U49" s="102">
        <f>100</f>
        <v>100</v>
      </c>
      <c r="V49" s="102">
        <v>100</v>
      </c>
      <c r="W49" s="102"/>
      <c r="X49" s="102">
        <f>99720000</f>
        <v>99720000</v>
      </c>
      <c r="Y49" s="102">
        <v>99720000</v>
      </c>
      <c r="Z49" s="103"/>
      <c r="AA49" s="99"/>
      <c r="AB49" s="104">
        <f>100</f>
        <v>100</v>
      </c>
      <c r="AC49" s="104" t="str">
        <f t="shared" si="4"/>
        <v>－</v>
      </c>
      <c r="AD49" s="105" t="str">
        <f t="shared" si="4"/>
        <v>－</v>
      </c>
    </row>
    <row r="50" spans="1:30">
      <c r="A50" s="95" t="s">
        <v>46</v>
      </c>
      <c r="B50" s="96" t="s">
        <v>601</v>
      </c>
      <c r="C50" s="96" t="s">
        <v>602</v>
      </c>
      <c r="D50" s="96" t="s">
        <v>344</v>
      </c>
      <c r="E50" s="97" t="s">
        <v>633</v>
      </c>
      <c r="F50" s="97" t="s">
        <v>634</v>
      </c>
      <c r="G50" s="98">
        <v>74400</v>
      </c>
      <c r="H50" s="99"/>
      <c r="I50" s="100" t="s">
        <v>138</v>
      </c>
      <c r="J50" s="99"/>
      <c r="K50" s="100" t="s">
        <v>138</v>
      </c>
      <c r="L50" s="99" t="s">
        <v>612</v>
      </c>
      <c r="M50" s="100" t="s">
        <v>631</v>
      </c>
      <c r="N50" s="99"/>
      <c r="O50" s="100" t="s">
        <v>138</v>
      </c>
      <c r="P50" s="99" t="s">
        <v>146</v>
      </c>
      <c r="Q50" s="100" t="s">
        <v>632</v>
      </c>
      <c r="R50" s="99"/>
      <c r="S50" s="100" t="s">
        <v>138</v>
      </c>
      <c r="T50" s="101">
        <f>11.11</f>
        <v>11.11</v>
      </c>
      <c r="U50" s="102">
        <f>100</f>
        <v>100</v>
      </c>
      <c r="V50" s="102">
        <v>100</v>
      </c>
      <c r="W50" s="102"/>
      <c r="X50" s="102">
        <f>103044000</f>
        <v>103044000</v>
      </c>
      <c r="Y50" s="102">
        <v>103044000</v>
      </c>
      <c r="Z50" s="103"/>
      <c r="AA50" s="99"/>
      <c r="AB50" s="104">
        <f>100</f>
        <v>100</v>
      </c>
      <c r="AC50" s="104" t="str">
        <f t="shared" si="4"/>
        <v>－</v>
      </c>
      <c r="AD50" s="105" t="str">
        <f t="shared" si="4"/>
        <v>－</v>
      </c>
    </row>
    <row r="51" spans="1:30">
      <c r="A51" s="95" t="s">
        <v>46</v>
      </c>
      <c r="B51" s="96" t="s">
        <v>601</v>
      </c>
      <c r="C51" s="96" t="s">
        <v>602</v>
      </c>
      <c r="D51" s="96" t="s">
        <v>81</v>
      </c>
      <c r="E51" s="97" t="s">
        <v>635</v>
      </c>
      <c r="F51" s="97" t="s">
        <v>636</v>
      </c>
      <c r="G51" s="98">
        <v>72000</v>
      </c>
      <c r="H51" s="99"/>
      <c r="I51" s="100" t="s">
        <v>138</v>
      </c>
      <c r="J51" s="99"/>
      <c r="K51" s="100" t="s">
        <v>138</v>
      </c>
      <c r="L51" s="99" t="s">
        <v>612</v>
      </c>
      <c r="M51" s="100" t="s">
        <v>631</v>
      </c>
      <c r="N51" s="99"/>
      <c r="O51" s="100" t="s">
        <v>138</v>
      </c>
      <c r="P51" s="99" t="s">
        <v>146</v>
      </c>
      <c r="Q51" s="100" t="s">
        <v>632</v>
      </c>
      <c r="R51" s="99"/>
      <c r="S51" s="100" t="s">
        <v>138</v>
      </c>
      <c r="T51" s="101">
        <f>11.47</f>
        <v>11.47</v>
      </c>
      <c r="U51" s="102">
        <f>100</f>
        <v>100</v>
      </c>
      <c r="V51" s="102">
        <v>100</v>
      </c>
      <c r="W51" s="102"/>
      <c r="X51" s="102">
        <f>99720000</f>
        <v>99720000</v>
      </c>
      <c r="Y51" s="102">
        <v>99720000</v>
      </c>
      <c r="Z51" s="103"/>
      <c r="AA51" s="99"/>
      <c r="AB51" s="104">
        <f>100</f>
        <v>100</v>
      </c>
      <c r="AC51" s="104" t="str">
        <f t="shared" si="4"/>
        <v>－</v>
      </c>
      <c r="AD51" s="105" t="str">
        <f t="shared" si="4"/>
        <v>－</v>
      </c>
    </row>
    <row r="52" spans="1:30">
      <c r="A52" s="95" t="s">
        <v>46</v>
      </c>
      <c r="B52" s="96" t="s">
        <v>601</v>
      </c>
      <c r="C52" s="96" t="s">
        <v>602</v>
      </c>
      <c r="D52" s="96" t="s">
        <v>347</v>
      </c>
      <c r="E52" s="97" t="s">
        <v>637</v>
      </c>
      <c r="F52" s="97" t="s">
        <v>389</v>
      </c>
      <c r="G52" s="98">
        <v>74400</v>
      </c>
      <c r="H52" s="99"/>
      <c r="I52" s="100" t="s">
        <v>138</v>
      </c>
      <c r="J52" s="99"/>
      <c r="K52" s="100" t="s">
        <v>138</v>
      </c>
      <c r="L52" s="99" t="s">
        <v>612</v>
      </c>
      <c r="M52" s="100" t="s">
        <v>631</v>
      </c>
      <c r="N52" s="99"/>
      <c r="O52" s="100" t="s">
        <v>138</v>
      </c>
      <c r="P52" s="99" t="s">
        <v>146</v>
      </c>
      <c r="Q52" s="100" t="s">
        <v>632</v>
      </c>
      <c r="R52" s="99"/>
      <c r="S52" s="100" t="s">
        <v>138</v>
      </c>
      <c r="T52" s="101">
        <f>12.1</f>
        <v>12.1</v>
      </c>
      <c r="U52" s="102">
        <f>100</f>
        <v>100</v>
      </c>
      <c r="V52" s="102">
        <v>100</v>
      </c>
      <c r="W52" s="102"/>
      <c r="X52" s="102">
        <f>103044000</f>
        <v>103044000</v>
      </c>
      <c r="Y52" s="102">
        <v>103044000</v>
      </c>
      <c r="Z52" s="103"/>
      <c r="AA52" s="99"/>
      <c r="AB52" s="104">
        <f>100</f>
        <v>100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601</v>
      </c>
      <c r="C53" s="96" t="s">
        <v>602</v>
      </c>
      <c r="D53" s="96" t="s">
        <v>90</v>
      </c>
      <c r="E53" s="97" t="s">
        <v>638</v>
      </c>
      <c r="F53" s="97" t="s">
        <v>639</v>
      </c>
      <c r="G53" s="98">
        <v>74400</v>
      </c>
      <c r="H53" s="99"/>
      <c r="I53" s="100" t="s">
        <v>138</v>
      </c>
      <c r="J53" s="99"/>
      <c r="K53" s="100" t="s">
        <v>138</v>
      </c>
      <c r="L53" s="99" t="s">
        <v>612</v>
      </c>
      <c r="M53" s="100" t="s">
        <v>631</v>
      </c>
      <c r="N53" s="99"/>
      <c r="O53" s="100" t="s">
        <v>138</v>
      </c>
      <c r="P53" s="99" t="s">
        <v>146</v>
      </c>
      <c r="Q53" s="100" t="s">
        <v>632</v>
      </c>
      <c r="R53" s="99"/>
      <c r="S53" s="100" t="s">
        <v>138</v>
      </c>
      <c r="T53" s="101">
        <f>13.77</f>
        <v>13.77</v>
      </c>
      <c r="U53" s="102">
        <f>100</f>
        <v>100</v>
      </c>
      <c r="V53" s="102">
        <v>100</v>
      </c>
      <c r="W53" s="102"/>
      <c r="X53" s="102">
        <f>103044000</f>
        <v>103044000</v>
      </c>
      <c r="Y53" s="102">
        <v>103044000</v>
      </c>
      <c r="Z53" s="103"/>
      <c r="AA53" s="99"/>
      <c r="AB53" s="104">
        <f>100</f>
        <v>100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601</v>
      </c>
      <c r="C54" s="96" t="s">
        <v>602</v>
      </c>
      <c r="D54" s="96" t="s">
        <v>354</v>
      </c>
      <c r="E54" s="97" t="s">
        <v>640</v>
      </c>
      <c r="F54" s="97" t="s">
        <v>641</v>
      </c>
      <c r="G54" s="98">
        <v>72000</v>
      </c>
      <c r="H54" s="99"/>
      <c r="I54" s="100" t="s">
        <v>138</v>
      </c>
      <c r="J54" s="99"/>
      <c r="K54" s="100" t="s">
        <v>138</v>
      </c>
      <c r="L54" s="99" t="s">
        <v>612</v>
      </c>
      <c r="M54" s="100" t="s">
        <v>631</v>
      </c>
      <c r="N54" s="99"/>
      <c r="O54" s="100" t="s">
        <v>138</v>
      </c>
      <c r="P54" s="99" t="s">
        <v>146</v>
      </c>
      <c r="Q54" s="100" t="s">
        <v>632</v>
      </c>
      <c r="R54" s="99"/>
      <c r="S54" s="100" t="s">
        <v>138</v>
      </c>
      <c r="T54" s="101">
        <f>11.43</f>
        <v>11.43</v>
      </c>
      <c r="U54" s="102">
        <f>100</f>
        <v>100</v>
      </c>
      <c r="V54" s="102">
        <v>100</v>
      </c>
      <c r="W54" s="102"/>
      <c r="X54" s="102">
        <f>99720000</f>
        <v>99720000</v>
      </c>
      <c r="Y54" s="102">
        <v>99720000</v>
      </c>
      <c r="Z54" s="103"/>
      <c r="AA54" s="99"/>
      <c r="AB54" s="104">
        <f>100</f>
        <v>100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601</v>
      </c>
      <c r="C55" s="96" t="s">
        <v>602</v>
      </c>
      <c r="D55" s="96" t="s">
        <v>100</v>
      </c>
      <c r="E55" s="97" t="s">
        <v>379</v>
      </c>
      <c r="F55" s="97" t="s">
        <v>642</v>
      </c>
      <c r="G55" s="98">
        <v>74400</v>
      </c>
      <c r="H55" s="99"/>
      <c r="I55" s="100" t="s">
        <v>138</v>
      </c>
      <c r="J55" s="99"/>
      <c r="K55" s="100" t="s">
        <v>138</v>
      </c>
      <c r="L55" s="99" t="s">
        <v>612</v>
      </c>
      <c r="M55" s="100" t="s">
        <v>631</v>
      </c>
      <c r="N55" s="99"/>
      <c r="O55" s="100" t="s">
        <v>138</v>
      </c>
      <c r="P55" s="99" t="s">
        <v>146</v>
      </c>
      <c r="Q55" s="100" t="s">
        <v>632</v>
      </c>
      <c r="R55" s="99"/>
      <c r="S55" s="100" t="s">
        <v>138</v>
      </c>
      <c r="T55" s="101">
        <f>11.4</f>
        <v>11.4</v>
      </c>
      <c r="U55" s="102">
        <f>100</f>
        <v>100</v>
      </c>
      <c r="V55" s="102">
        <v>100</v>
      </c>
      <c r="W55" s="102"/>
      <c r="X55" s="102">
        <f>103044000</f>
        <v>103044000</v>
      </c>
      <c r="Y55" s="102">
        <v>103044000</v>
      </c>
      <c r="Z55" s="103"/>
      <c r="AA55" s="99"/>
      <c r="AB55" s="104">
        <f>100</f>
        <v>100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601</v>
      </c>
      <c r="C56" s="96" t="s">
        <v>602</v>
      </c>
      <c r="D56" s="96" t="s">
        <v>432</v>
      </c>
      <c r="E56" s="97" t="s">
        <v>643</v>
      </c>
      <c r="F56" s="97" t="s">
        <v>644</v>
      </c>
      <c r="G56" s="98">
        <v>72000</v>
      </c>
      <c r="H56" s="99"/>
      <c r="I56" s="100" t="s">
        <v>138</v>
      </c>
      <c r="J56" s="99"/>
      <c r="K56" s="100" t="s">
        <v>138</v>
      </c>
      <c r="L56" s="99" t="s">
        <v>612</v>
      </c>
      <c r="M56" s="100" t="s">
        <v>631</v>
      </c>
      <c r="N56" s="99"/>
      <c r="O56" s="100" t="s">
        <v>138</v>
      </c>
      <c r="P56" s="99" t="s">
        <v>146</v>
      </c>
      <c r="Q56" s="100" t="s">
        <v>632</v>
      </c>
      <c r="R56" s="99"/>
      <c r="S56" s="100" t="s">
        <v>138</v>
      </c>
      <c r="T56" s="101">
        <f>11.4</f>
        <v>11.4</v>
      </c>
      <c r="U56" s="102">
        <f>100</f>
        <v>100</v>
      </c>
      <c r="V56" s="102">
        <v>100</v>
      </c>
      <c r="W56" s="102"/>
      <c r="X56" s="102">
        <f>99720000</f>
        <v>99720000</v>
      </c>
      <c r="Y56" s="102">
        <v>99720000</v>
      </c>
      <c r="Z56" s="103"/>
      <c r="AA56" s="99"/>
      <c r="AB56" s="104">
        <f>100</f>
        <v>100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601</v>
      </c>
      <c r="C57" s="96" t="s">
        <v>602</v>
      </c>
      <c r="D57" s="96" t="s">
        <v>594</v>
      </c>
      <c r="E57" s="97" t="s">
        <v>645</v>
      </c>
      <c r="F57" s="97" t="s">
        <v>595</v>
      </c>
      <c r="G57" s="98">
        <v>74400</v>
      </c>
      <c r="H57" s="99"/>
      <c r="I57" s="100" t="s">
        <v>138</v>
      </c>
      <c r="J57" s="99"/>
      <c r="K57" s="100" t="s">
        <v>138</v>
      </c>
      <c r="L57" s="99" t="s">
        <v>612</v>
      </c>
      <c r="M57" s="100" t="s">
        <v>631</v>
      </c>
      <c r="N57" s="99"/>
      <c r="O57" s="100" t="s">
        <v>138</v>
      </c>
      <c r="P57" s="99" t="s">
        <v>146</v>
      </c>
      <c r="Q57" s="100" t="s">
        <v>632</v>
      </c>
      <c r="R57" s="99"/>
      <c r="S57" s="100" t="s">
        <v>138</v>
      </c>
      <c r="T57" s="101">
        <f>12.85</f>
        <v>12.85</v>
      </c>
      <c r="U57" s="102">
        <f>100</f>
        <v>100</v>
      </c>
      <c r="V57" s="102">
        <v>100</v>
      </c>
      <c r="W57" s="102"/>
      <c r="X57" s="102">
        <f>103044000</f>
        <v>103044000</v>
      </c>
      <c r="Y57" s="102">
        <v>103044000</v>
      </c>
      <c r="Z57" s="103"/>
      <c r="AA57" s="99"/>
      <c r="AB57" s="104">
        <f>100</f>
        <v>100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646</v>
      </c>
      <c r="C58" s="96" t="s">
        <v>647</v>
      </c>
      <c r="D58" s="96" t="s">
        <v>46</v>
      </c>
      <c r="E58" s="97" t="s">
        <v>603</v>
      </c>
      <c r="F58" s="97" t="s">
        <v>368</v>
      </c>
      <c r="G58" s="98">
        <v>74400</v>
      </c>
      <c r="H58" s="99"/>
      <c r="I58" s="100" t="s">
        <v>138</v>
      </c>
      <c r="J58" s="99"/>
      <c r="K58" s="100" t="s">
        <v>138</v>
      </c>
      <c r="L58" s="99"/>
      <c r="M58" s="100"/>
      <c r="N58" s="99"/>
      <c r="O58" s="100" t="s">
        <v>138</v>
      </c>
      <c r="P58" s="99"/>
      <c r="Q58" s="100"/>
      <c r="R58" s="99"/>
      <c r="S58" s="100" t="s">
        <v>138</v>
      </c>
      <c r="T58" s="101">
        <f>12.17</f>
        <v>12.17</v>
      </c>
      <c r="U58" s="102" t="str">
        <f>"－"</f>
        <v>－</v>
      </c>
      <c r="V58" s="102"/>
      <c r="W58" s="102"/>
      <c r="X58" s="102" t="str">
        <f>"－"</f>
        <v>－</v>
      </c>
      <c r="Y58" s="102"/>
      <c r="Z58" s="103"/>
      <c r="AA58" s="99" t="s">
        <v>58</v>
      </c>
      <c r="AB58" s="104">
        <f>100</f>
        <v>100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646</v>
      </c>
      <c r="C59" s="96" t="s">
        <v>647</v>
      </c>
      <c r="D59" s="96" t="s">
        <v>264</v>
      </c>
      <c r="E59" s="97" t="s">
        <v>604</v>
      </c>
      <c r="F59" s="97" t="s">
        <v>605</v>
      </c>
      <c r="G59" s="98">
        <v>72000</v>
      </c>
      <c r="H59" s="99"/>
      <c r="I59" s="100" t="s">
        <v>138</v>
      </c>
      <c r="J59" s="99"/>
      <c r="K59" s="100" t="s">
        <v>138</v>
      </c>
      <c r="L59" s="99" t="s">
        <v>612</v>
      </c>
      <c r="M59" s="100" t="s">
        <v>648</v>
      </c>
      <c r="N59" s="99"/>
      <c r="O59" s="100" t="s">
        <v>138</v>
      </c>
      <c r="P59" s="99" t="s">
        <v>53</v>
      </c>
      <c r="Q59" s="100" t="s">
        <v>649</v>
      </c>
      <c r="R59" s="99"/>
      <c r="S59" s="100" t="s">
        <v>138</v>
      </c>
      <c r="T59" s="101">
        <f>16.81</f>
        <v>16.809999999999999</v>
      </c>
      <c r="U59" s="102">
        <f>20</f>
        <v>20</v>
      </c>
      <c r="V59" s="102">
        <v>20</v>
      </c>
      <c r="W59" s="102"/>
      <c r="X59" s="102">
        <f>31536000</f>
        <v>31536000</v>
      </c>
      <c r="Y59" s="102">
        <v>31536000</v>
      </c>
      <c r="Z59" s="103"/>
      <c r="AA59" s="99"/>
      <c r="AB59" s="104">
        <f>168</f>
        <v>168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646</v>
      </c>
      <c r="C60" s="96" t="s">
        <v>647</v>
      </c>
      <c r="D60" s="96" t="s">
        <v>59</v>
      </c>
      <c r="E60" s="97" t="s">
        <v>611</v>
      </c>
      <c r="F60" s="97" t="s">
        <v>373</v>
      </c>
      <c r="G60" s="98">
        <v>74400</v>
      </c>
      <c r="H60" s="99"/>
      <c r="I60" s="100" t="s">
        <v>138</v>
      </c>
      <c r="J60" s="99"/>
      <c r="K60" s="100" t="s">
        <v>138</v>
      </c>
      <c r="L60" s="99" t="s">
        <v>612</v>
      </c>
      <c r="M60" s="100" t="s">
        <v>650</v>
      </c>
      <c r="N60" s="99"/>
      <c r="O60" s="100" t="s">
        <v>138</v>
      </c>
      <c r="P60" s="99" t="s">
        <v>612</v>
      </c>
      <c r="Q60" s="100" t="s">
        <v>648</v>
      </c>
      <c r="R60" s="99"/>
      <c r="S60" s="100" t="s">
        <v>138</v>
      </c>
      <c r="T60" s="101">
        <f>20.89</f>
        <v>20.89</v>
      </c>
      <c r="U60" s="102">
        <f>86</f>
        <v>86</v>
      </c>
      <c r="V60" s="102">
        <v>86</v>
      </c>
      <c r="W60" s="102"/>
      <c r="X60" s="102">
        <f>162638400</f>
        <v>162638400</v>
      </c>
      <c r="Y60" s="102">
        <v>162638400</v>
      </c>
      <c r="Z60" s="103"/>
      <c r="AA60" s="99"/>
      <c r="AB60" s="104">
        <f>54</f>
        <v>54</v>
      </c>
      <c r="AC60" s="104" t="str">
        <f t="shared" si="4"/>
        <v>－</v>
      </c>
      <c r="AD60" s="105" t="str">
        <f t="shared" si="4"/>
        <v>－</v>
      </c>
    </row>
    <row r="61" spans="1:30">
      <c r="A61" s="95" t="s">
        <v>46</v>
      </c>
      <c r="B61" s="96" t="s">
        <v>646</v>
      </c>
      <c r="C61" s="96" t="s">
        <v>647</v>
      </c>
      <c r="D61" s="96" t="s">
        <v>279</v>
      </c>
      <c r="E61" s="97" t="s">
        <v>617</v>
      </c>
      <c r="F61" s="97" t="s">
        <v>618</v>
      </c>
      <c r="G61" s="98">
        <v>74400</v>
      </c>
      <c r="H61" s="99" t="s">
        <v>268</v>
      </c>
      <c r="I61" s="100" t="s">
        <v>651</v>
      </c>
      <c r="J61" s="99" t="s">
        <v>268</v>
      </c>
      <c r="K61" s="100" t="s">
        <v>651</v>
      </c>
      <c r="L61" s="99" t="s">
        <v>77</v>
      </c>
      <c r="M61" s="100" t="s">
        <v>652</v>
      </c>
      <c r="N61" s="99" t="s">
        <v>268</v>
      </c>
      <c r="O61" s="100" t="s">
        <v>651</v>
      </c>
      <c r="P61" s="99" t="s">
        <v>105</v>
      </c>
      <c r="Q61" s="100" t="s">
        <v>653</v>
      </c>
      <c r="R61" s="99" t="s">
        <v>268</v>
      </c>
      <c r="S61" s="100" t="s">
        <v>651</v>
      </c>
      <c r="T61" s="101">
        <f>23.9</f>
        <v>23.9</v>
      </c>
      <c r="U61" s="102">
        <f>90</f>
        <v>90</v>
      </c>
      <c r="V61" s="102">
        <v>89</v>
      </c>
      <c r="W61" s="102"/>
      <c r="X61" s="102">
        <f>168428208</f>
        <v>168428208</v>
      </c>
      <c r="Y61" s="102">
        <v>166196208</v>
      </c>
      <c r="Z61" s="103"/>
      <c r="AA61" s="99"/>
      <c r="AB61" s="104">
        <f>61</f>
        <v>61</v>
      </c>
      <c r="AC61" s="104" t="str">
        <f t="shared" si="4"/>
        <v>－</v>
      </c>
      <c r="AD61" s="105">
        <f>1</f>
        <v>1</v>
      </c>
    </row>
    <row r="62" spans="1:30">
      <c r="A62" s="95" t="s">
        <v>46</v>
      </c>
      <c r="B62" s="96" t="s">
        <v>646</v>
      </c>
      <c r="C62" s="96" t="s">
        <v>647</v>
      </c>
      <c r="D62" s="96" t="s">
        <v>66</v>
      </c>
      <c r="E62" s="97" t="s">
        <v>621</v>
      </c>
      <c r="F62" s="97" t="s">
        <v>492</v>
      </c>
      <c r="G62" s="98">
        <v>67200</v>
      </c>
      <c r="H62" s="99"/>
      <c r="I62" s="100" t="s">
        <v>138</v>
      </c>
      <c r="J62" s="99"/>
      <c r="K62" s="100" t="s">
        <v>138</v>
      </c>
      <c r="L62" s="99" t="s">
        <v>94</v>
      </c>
      <c r="M62" s="100" t="s">
        <v>654</v>
      </c>
      <c r="N62" s="99"/>
      <c r="O62" s="100" t="s">
        <v>138</v>
      </c>
      <c r="P62" s="99" t="s">
        <v>105</v>
      </c>
      <c r="Q62" s="100" t="s">
        <v>653</v>
      </c>
      <c r="R62" s="99"/>
      <c r="S62" s="100" t="s">
        <v>138</v>
      </c>
      <c r="T62" s="101">
        <f>23.97</f>
        <v>23.97</v>
      </c>
      <c r="U62" s="102">
        <f>90</f>
        <v>90</v>
      </c>
      <c r="V62" s="102">
        <v>90</v>
      </c>
      <c r="W62" s="102"/>
      <c r="X62" s="102">
        <f>152078304</f>
        <v>152078304</v>
      </c>
      <c r="Y62" s="102">
        <v>152078304</v>
      </c>
      <c r="Z62" s="103"/>
      <c r="AA62" s="99"/>
      <c r="AB62" s="104">
        <f>60</f>
        <v>60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646</v>
      </c>
      <c r="C63" s="96" t="s">
        <v>647</v>
      </c>
      <c r="D63" s="96" t="s">
        <v>286</v>
      </c>
      <c r="E63" s="97" t="s">
        <v>623</v>
      </c>
      <c r="F63" s="97" t="s">
        <v>624</v>
      </c>
      <c r="G63" s="98">
        <v>74400</v>
      </c>
      <c r="H63" s="99"/>
      <c r="I63" s="100" t="s">
        <v>138</v>
      </c>
      <c r="J63" s="99"/>
      <c r="K63" s="100" t="s">
        <v>138</v>
      </c>
      <c r="L63" s="99" t="s">
        <v>612</v>
      </c>
      <c r="M63" s="100" t="s">
        <v>648</v>
      </c>
      <c r="N63" s="99"/>
      <c r="O63" s="100" t="s">
        <v>138</v>
      </c>
      <c r="P63" s="99" t="s">
        <v>612</v>
      </c>
      <c r="Q63" s="100" t="s">
        <v>648</v>
      </c>
      <c r="R63" s="99"/>
      <c r="S63" s="100" t="s">
        <v>138</v>
      </c>
      <c r="T63" s="101">
        <f>13.69</f>
        <v>13.69</v>
      </c>
      <c r="U63" s="102">
        <f>10</f>
        <v>10</v>
      </c>
      <c r="V63" s="102">
        <v>10</v>
      </c>
      <c r="W63" s="102"/>
      <c r="X63" s="102">
        <f>18228000</f>
        <v>18228000</v>
      </c>
      <c r="Y63" s="102">
        <v>18228000</v>
      </c>
      <c r="Z63" s="103"/>
      <c r="AA63" s="99"/>
      <c r="AB63" s="104">
        <f>38</f>
        <v>38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646</v>
      </c>
      <c r="C64" s="96" t="s">
        <v>647</v>
      </c>
      <c r="D64" s="96" t="s">
        <v>72</v>
      </c>
      <c r="E64" s="97" t="s">
        <v>630</v>
      </c>
      <c r="F64" s="97" t="s">
        <v>386</v>
      </c>
      <c r="G64" s="98">
        <v>72000</v>
      </c>
      <c r="H64" s="99"/>
      <c r="I64" s="100" t="s">
        <v>138</v>
      </c>
      <c r="J64" s="99"/>
      <c r="K64" s="100" t="s">
        <v>138</v>
      </c>
      <c r="L64" s="99"/>
      <c r="M64" s="100"/>
      <c r="N64" s="99"/>
      <c r="O64" s="100" t="s">
        <v>138</v>
      </c>
      <c r="P64" s="99"/>
      <c r="Q64" s="100"/>
      <c r="R64" s="99"/>
      <c r="S64" s="100" t="s">
        <v>138</v>
      </c>
      <c r="T64" s="101">
        <f>9.33</f>
        <v>9.33</v>
      </c>
      <c r="U64" s="102" t="str">
        <f t="shared" ref="U64:U73" si="5">"－"</f>
        <v>－</v>
      </c>
      <c r="V64" s="102"/>
      <c r="W64" s="102"/>
      <c r="X64" s="102" t="str">
        <f t="shared" ref="X64:X73" si="6">"－"</f>
        <v>－</v>
      </c>
      <c r="Y64" s="102"/>
      <c r="Z64" s="103"/>
      <c r="AA64" s="99"/>
      <c r="AB64" s="104" t="str">
        <f t="shared" ref="AB64:AD79" si="7">"－"</f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646</v>
      </c>
      <c r="C65" s="96" t="s">
        <v>647</v>
      </c>
      <c r="D65" s="96" t="s">
        <v>344</v>
      </c>
      <c r="E65" s="97" t="s">
        <v>633</v>
      </c>
      <c r="F65" s="97" t="s">
        <v>634</v>
      </c>
      <c r="G65" s="98">
        <v>74400</v>
      </c>
      <c r="H65" s="99"/>
      <c r="I65" s="100" t="s">
        <v>138</v>
      </c>
      <c r="J65" s="99"/>
      <c r="K65" s="100" t="s">
        <v>138</v>
      </c>
      <c r="L65" s="99"/>
      <c r="M65" s="100"/>
      <c r="N65" s="99"/>
      <c r="O65" s="100" t="s">
        <v>138</v>
      </c>
      <c r="P65" s="99"/>
      <c r="Q65" s="100"/>
      <c r="R65" s="99"/>
      <c r="S65" s="100" t="s">
        <v>138</v>
      </c>
      <c r="T65" s="101">
        <f>9.53</f>
        <v>9.5299999999999994</v>
      </c>
      <c r="U65" s="102" t="str">
        <f t="shared" si="5"/>
        <v>－</v>
      </c>
      <c r="V65" s="102"/>
      <c r="W65" s="102"/>
      <c r="X65" s="102" t="str">
        <f t="shared" si="6"/>
        <v>－</v>
      </c>
      <c r="Y65" s="102"/>
      <c r="Z65" s="103"/>
      <c r="AA65" s="99"/>
      <c r="AB65" s="104" t="str">
        <f t="shared" si="7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646</v>
      </c>
      <c r="C66" s="96" t="s">
        <v>647</v>
      </c>
      <c r="D66" s="96" t="s">
        <v>81</v>
      </c>
      <c r="E66" s="97" t="s">
        <v>635</v>
      </c>
      <c r="F66" s="97" t="s">
        <v>636</v>
      </c>
      <c r="G66" s="98">
        <v>72000</v>
      </c>
      <c r="H66" s="99"/>
      <c r="I66" s="100" t="s">
        <v>138</v>
      </c>
      <c r="J66" s="99"/>
      <c r="K66" s="100" t="s">
        <v>138</v>
      </c>
      <c r="L66" s="99"/>
      <c r="M66" s="100"/>
      <c r="N66" s="99"/>
      <c r="O66" s="100" t="s">
        <v>138</v>
      </c>
      <c r="P66" s="99"/>
      <c r="Q66" s="100"/>
      <c r="R66" s="99"/>
      <c r="S66" s="100" t="s">
        <v>138</v>
      </c>
      <c r="T66" s="101">
        <f>9.8</f>
        <v>9.8000000000000007</v>
      </c>
      <c r="U66" s="102" t="str">
        <f t="shared" si="5"/>
        <v>－</v>
      </c>
      <c r="V66" s="102"/>
      <c r="W66" s="102"/>
      <c r="X66" s="102" t="str">
        <f t="shared" si="6"/>
        <v>－</v>
      </c>
      <c r="Y66" s="102"/>
      <c r="Z66" s="103"/>
      <c r="AA66" s="99"/>
      <c r="AB66" s="104" t="str">
        <f t="shared" si="7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646</v>
      </c>
      <c r="C67" s="96" t="s">
        <v>647</v>
      </c>
      <c r="D67" s="96" t="s">
        <v>347</v>
      </c>
      <c r="E67" s="97" t="s">
        <v>637</v>
      </c>
      <c r="F67" s="97" t="s">
        <v>389</v>
      </c>
      <c r="G67" s="98">
        <v>74400</v>
      </c>
      <c r="H67" s="99"/>
      <c r="I67" s="100" t="s">
        <v>138</v>
      </c>
      <c r="J67" s="99"/>
      <c r="K67" s="100" t="s">
        <v>138</v>
      </c>
      <c r="L67" s="99"/>
      <c r="M67" s="100"/>
      <c r="N67" s="99"/>
      <c r="O67" s="100" t="s">
        <v>138</v>
      </c>
      <c r="P67" s="99"/>
      <c r="Q67" s="100"/>
      <c r="R67" s="99"/>
      <c r="S67" s="100" t="s">
        <v>138</v>
      </c>
      <c r="T67" s="101">
        <f>10.4</f>
        <v>10.4</v>
      </c>
      <c r="U67" s="102" t="str">
        <f t="shared" si="5"/>
        <v>－</v>
      </c>
      <c r="V67" s="102"/>
      <c r="W67" s="102"/>
      <c r="X67" s="102" t="str">
        <f t="shared" si="6"/>
        <v>－</v>
      </c>
      <c r="Y67" s="102"/>
      <c r="Z67" s="103"/>
      <c r="AA67" s="99"/>
      <c r="AB67" s="104" t="str">
        <f t="shared" si="7"/>
        <v>－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646</v>
      </c>
      <c r="C68" s="96" t="s">
        <v>647</v>
      </c>
      <c r="D68" s="96" t="s">
        <v>90</v>
      </c>
      <c r="E68" s="97" t="s">
        <v>638</v>
      </c>
      <c r="F68" s="97" t="s">
        <v>639</v>
      </c>
      <c r="G68" s="98">
        <v>74400</v>
      </c>
      <c r="H68" s="99"/>
      <c r="I68" s="100" t="s">
        <v>138</v>
      </c>
      <c r="J68" s="99"/>
      <c r="K68" s="100" t="s">
        <v>138</v>
      </c>
      <c r="L68" s="99"/>
      <c r="M68" s="100"/>
      <c r="N68" s="99"/>
      <c r="O68" s="100" t="s">
        <v>138</v>
      </c>
      <c r="P68" s="99"/>
      <c r="Q68" s="100"/>
      <c r="R68" s="99"/>
      <c r="S68" s="100" t="s">
        <v>138</v>
      </c>
      <c r="T68" s="101">
        <f>11.56</f>
        <v>11.56</v>
      </c>
      <c r="U68" s="102" t="str">
        <f t="shared" si="5"/>
        <v>－</v>
      </c>
      <c r="V68" s="102"/>
      <c r="W68" s="102"/>
      <c r="X68" s="102" t="str">
        <f t="shared" si="6"/>
        <v>－</v>
      </c>
      <c r="Y68" s="102"/>
      <c r="Z68" s="103"/>
      <c r="AA68" s="99"/>
      <c r="AB68" s="104" t="str">
        <f t="shared" si="7"/>
        <v>－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646</v>
      </c>
      <c r="C69" s="96" t="s">
        <v>647</v>
      </c>
      <c r="D69" s="96" t="s">
        <v>354</v>
      </c>
      <c r="E69" s="97" t="s">
        <v>640</v>
      </c>
      <c r="F69" s="97" t="s">
        <v>641</v>
      </c>
      <c r="G69" s="98">
        <v>72000</v>
      </c>
      <c r="H69" s="99"/>
      <c r="I69" s="100" t="s">
        <v>138</v>
      </c>
      <c r="J69" s="99"/>
      <c r="K69" s="100" t="s">
        <v>138</v>
      </c>
      <c r="L69" s="99"/>
      <c r="M69" s="100"/>
      <c r="N69" s="99"/>
      <c r="O69" s="100" t="s">
        <v>138</v>
      </c>
      <c r="P69" s="99"/>
      <c r="Q69" s="100"/>
      <c r="R69" s="99"/>
      <c r="S69" s="100" t="s">
        <v>138</v>
      </c>
      <c r="T69" s="101">
        <f>9.85</f>
        <v>9.85</v>
      </c>
      <c r="U69" s="102" t="str">
        <f t="shared" si="5"/>
        <v>－</v>
      </c>
      <c r="V69" s="102"/>
      <c r="W69" s="102"/>
      <c r="X69" s="102" t="str">
        <f t="shared" si="6"/>
        <v>－</v>
      </c>
      <c r="Y69" s="102"/>
      <c r="Z69" s="103"/>
      <c r="AA69" s="99"/>
      <c r="AB69" s="104" t="str">
        <f t="shared" si="7"/>
        <v>－</v>
      </c>
      <c r="AC69" s="104" t="str">
        <f t="shared" si="4"/>
        <v>－</v>
      </c>
      <c r="AD69" s="105" t="str">
        <f t="shared" si="4"/>
        <v>－</v>
      </c>
    </row>
    <row r="70" spans="1:30">
      <c r="A70" s="95" t="s">
        <v>46</v>
      </c>
      <c r="B70" s="96" t="s">
        <v>646</v>
      </c>
      <c r="C70" s="96" t="s">
        <v>647</v>
      </c>
      <c r="D70" s="96" t="s">
        <v>100</v>
      </c>
      <c r="E70" s="97" t="s">
        <v>379</v>
      </c>
      <c r="F70" s="97" t="s">
        <v>642</v>
      </c>
      <c r="G70" s="98">
        <v>74400</v>
      </c>
      <c r="H70" s="99"/>
      <c r="I70" s="100" t="s">
        <v>138</v>
      </c>
      <c r="J70" s="99"/>
      <c r="K70" s="100" t="s">
        <v>138</v>
      </c>
      <c r="L70" s="99"/>
      <c r="M70" s="100"/>
      <c r="N70" s="99"/>
      <c r="O70" s="100" t="s">
        <v>138</v>
      </c>
      <c r="P70" s="99"/>
      <c r="Q70" s="100"/>
      <c r="R70" s="99"/>
      <c r="S70" s="100" t="s">
        <v>138</v>
      </c>
      <c r="T70" s="101">
        <f>9.81</f>
        <v>9.81</v>
      </c>
      <c r="U70" s="102" t="str">
        <f t="shared" si="5"/>
        <v>－</v>
      </c>
      <c r="V70" s="102"/>
      <c r="W70" s="102"/>
      <c r="X70" s="102" t="str">
        <f t="shared" si="6"/>
        <v>－</v>
      </c>
      <c r="Y70" s="102"/>
      <c r="Z70" s="103"/>
      <c r="AA70" s="99"/>
      <c r="AB70" s="104" t="str">
        <f t="shared" si="7"/>
        <v>－</v>
      </c>
      <c r="AC70" s="104" t="str">
        <f t="shared" si="4"/>
        <v>－</v>
      </c>
      <c r="AD70" s="105" t="str">
        <f t="shared" si="4"/>
        <v>－</v>
      </c>
    </row>
    <row r="71" spans="1:30">
      <c r="A71" s="95" t="s">
        <v>46</v>
      </c>
      <c r="B71" s="96" t="s">
        <v>646</v>
      </c>
      <c r="C71" s="96" t="s">
        <v>647</v>
      </c>
      <c r="D71" s="96" t="s">
        <v>432</v>
      </c>
      <c r="E71" s="97" t="s">
        <v>643</v>
      </c>
      <c r="F71" s="97" t="s">
        <v>644</v>
      </c>
      <c r="G71" s="98">
        <v>72000</v>
      </c>
      <c r="H71" s="99"/>
      <c r="I71" s="100" t="s">
        <v>138</v>
      </c>
      <c r="J71" s="99"/>
      <c r="K71" s="100" t="s">
        <v>138</v>
      </c>
      <c r="L71" s="99"/>
      <c r="M71" s="100"/>
      <c r="N71" s="99"/>
      <c r="O71" s="100" t="s">
        <v>138</v>
      </c>
      <c r="P71" s="99"/>
      <c r="Q71" s="100"/>
      <c r="R71" s="99"/>
      <c r="S71" s="100" t="s">
        <v>138</v>
      </c>
      <c r="T71" s="101">
        <f>9.75</f>
        <v>9.75</v>
      </c>
      <c r="U71" s="102" t="str">
        <f t="shared" si="5"/>
        <v>－</v>
      </c>
      <c r="V71" s="102"/>
      <c r="W71" s="102"/>
      <c r="X71" s="102" t="str">
        <f t="shared" si="6"/>
        <v>－</v>
      </c>
      <c r="Y71" s="102"/>
      <c r="Z71" s="103"/>
      <c r="AA71" s="99"/>
      <c r="AB71" s="104" t="str">
        <f t="shared" si="7"/>
        <v>－</v>
      </c>
      <c r="AC71" s="104" t="str">
        <f t="shared" si="7"/>
        <v>－</v>
      </c>
      <c r="AD71" s="105" t="str">
        <f t="shared" si="7"/>
        <v>－</v>
      </c>
    </row>
    <row r="72" spans="1:30">
      <c r="A72" s="95" t="s">
        <v>46</v>
      </c>
      <c r="B72" s="96" t="s">
        <v>646</v>
      </c>
      <c r="C72" s="96" t="s">
        <v>647</v>
      </c>
      <c r="D72" s="96" t="s">
        <v>594</v>
      </c>
      <c r="E72" s="97" t="s">
        <v>645</v>
      </c>
      <c r="F72" s="97" t="s">
        <v>595</v>
      </c>
      <c r="G72" s="98">
        <v>74400</v>
      </c>
      <c r="H72" s="99"/>
      <c r="I72" s="100" t="s">
        <v>138</v>
      </c>
      <c r="J72" s="99"/>
      <c r="K72" s="100" t="s">
        <v>138</v>
      </c>
      <c r="L72" s="99"/>
      <c r="M72" s="100"/>
      <c r="N72" s="99"/>
      <c r="O72" s="100" t="s">
        <v>138</v>
      </c>
      <c r="P72" s="99"/>
      <c r="Q72" s="100"/>
      <c r="R72" s="99"/>
      <c r="S72" s="100" t="s">
        <v>138</v>
      </c>
      <c r="T72" s="101">
        <f>11.08</f>
        <v>11.08</v>
      </c>
      <c r="U72" s="102" t="str">
        <f t="shared" si="5"/>
        <v>－</v>
      </c>
      <c r="V72" s="102"/>
      <c r="W72" s="102"/>
      <c r="X72" s="102" t="str">
        <f t="shared" si="6"/>
        <v>－</v>
      </c>
      <c r="Y72" s="102"/>
      <c r="Z72" s="103"/>
      <c r="AA72" s="99"/>
      <c r="AB72" s="104" t="str">
        <f t="shared" si="7"/>
        <v>－</v>
      </c>
      <c r="AC72" s="104" t="str">
        <f t="shared" si="7"/>
        <v>－</v>
      </c>
      <c r="AD72" s="105" t="str">
        <f t="shared" si="7"/>
        <v>－</v>
      </c>
    </row>
    <row r="73" spans="1:30">
      <c r="A73" s="95" t="s">
        <v>46</v>
      </c>
      <c r="B73" s="96" t="s">
        <v>655</v>
      </c>
      <c r="C73" s="96" t="s">
        <v>656</v>
      </c>
      <c r="D73" s="96" t="s">
        <v>46</v>
      </c>
      <c r="E73" s="97" t="s">
        <v>603</v>
      </c>
      <c r="F73" s="97" t="s">
        <v>657</v>
      </c>
      <c r="G73" s="98">
        <v>24000</v>
      </c>
      <c r="H73" s="99"/>
      <c r="I73" s="100" t="s">
        <v>138</v>
      </c>
      <c r="J73" s="99"/>
      <c r="K73" s="100" t="s">
        <v>138</v>
      </c>
      <c r="L73" s="99"/>
      <c r="M73" s="100"/>
      <c r="N73" s="99"/>
      <c r="O73" s="100" t="s">
        <v>138</v>
      </c>
      <c r="P73" s="99"/>
      <c r="Q73" s="100"/>
      <c r="R73" s="99"/>
      <c r="S73" s="100" t="s">
        <v>138</v>
      </c>
      <c r="T73" s="101">
        <f>13.78</f>
        <v>13.78</v>
      </c>
      <c r="U73" s="102" t="str">
        <f t="shared" si="5"/>
        <v>－</v>
      </c>
      <c r="V73" s="102"/>
      <c r="W73" s="102"/>
      <c r="X73" s="102" t="str">
        <f t="shared" si="6"/>
        <v>－</v>
      </c>
      <c r="Y73" s="102"/>
      <c r="Z73" s="103"/>
      <c r="AA73" s="99" t="s">
        <v>58</v>
      </c>
      <c r="AB73" s="104">
        <f>108</f>
        <v>108</v>
      </c>
      <c r="AC73" s="104" t="str">
        <f t="shared" si="7"/>
        <v>－</v>
      </c>
      <c r="AD73" s="105" t="str">
        <f t="shared" si="7"/>
        <v>－</v>
      </c>
    </row>
    <row r="74" spans="1:30">
      <c r="A74" s="95" t="s">
        <v>46</v>
      </c>
      <c r="B74" s="96" t="s">
        <v>655</v>
      </c>
      <c r="C74" s="96" t="s">
        <v>656</v>
      </c>
      <c r="D74" s="96" t="s">
        <v>264</v>
      </c>
      <c r="E74" s="97" t="s">
        <v>604</v>
      </c>
      <c r="F74" s="97" t="s">
        <v>605</v>
      </c>
      <c r="G74" s="98">
        <v>24000</v>
      </c>
      <c r="H74" s="99" t="s">
        <v>51</v>
      </c>
      <c r="I74" s="100" t="s">
        <v>658</v>
      </c>
      <c r="J74" s="99" t="s">
        <v>612</v>
      </c>
      <c r="K74" s="100" t="s">
        <v>613</v>
      </c>
      <c r="L74" s="99"/>
      <c r="M74" s="100"/>
      <c r="N74" s="99" t="s">
        <v>51</v>
      </c>
      <c r="O74" s="100" t="s">
        <v>658</v>
      </c>
      <c r="P74" s="99"/>
      <c r="Q74" s="100"/>
      <c r="R74" s="99" t="s">
        <v>97</v>
      </c>
      <c r="S74" s="100" t="s">
        <v>607</v>
      </c>
      <c r="T74" s="101">
        <f>19.76</f>
        <v>19.760000000000002</v>
      </c>
      <c r="U74" s="102">
        <f>10</f>
        <v>10</v>
      </c>
      <c r="V74" s="102"/>
      <c r="W74" s="102"/>
      <c r="X74" s="102">
        <f>3984000</f>
        <v>3984000</v>
      </c>
      <c r="Y74" s="102"/>
      <c r="Z74" s="103"/>
      <c r="AA74" s="99"/>
      <c r="AB74" s="104">
        <f>112</f>
        <v>112</v>
      </c>
      <c r="AC74" s="104" t="str">
        <f t="shared" si="7"/>
        <v>－</v>
      </c>
      <c r="AD74" s="105">
        <f>4</f>
        <v>4</v>
      </c>
    </row>
    <row r="75" spans="1:30">
      <c r="A75" s="95" t="s">
        <v>46</v>
      </c>
      <c r="B75" s="96" t="s">
        <v>655</v>
      </c>
      <c r="C75" s="96" t="s">
        <v>656</v>
      </c>
      <c r="D75" s="96" t="s">
        <v>59</v>
      </c>
      <c r="E75" s="97" t="s">
        <v>611</v>
      </c>
      <c r="F75" s="97" t="s">
        <v>659</v>
      </c>
      <c r="G75" s="98">
        <v>25200</v>
      </c>
      <c r="H75" s="99" t="s">
        <v>105</v>
      </c>
      <c r="I75" s="100" t="s">
        <v>660</v>
      </c>
      <c r="J75" s="99" t="s">
        <v>105</v>
      </c>
      <c r="K75" s="100" t="s">
        <v>660</v>
      </c>
      <c r="L75" s="99" t="s">
        <v>94</v>
      </c>
      <c r="M75" s="100" t="s">
        <v>661</v>
      </c>
      <c r="N75" s="99" t="s">
        <v>105</v>
      </c>
      <c r="O75" s="100" t="s">
        <v>660</v>
      </c>
      <c r="P75" s="99" t="s">
        <v>94</v>
      </c>
      <c r="Q75" s="100" t="s">
        <v>661</v>
      </c>
      <c r="R75" s="99" t="s">
        <v>105</v>
      </c>
      <c r="S75" s="100" t="s">
        <v>660</v>
      </c>
      <c r="T75" s="101">
        <f>24.06</f>
        <v>24.06</v>
      </c>
      <c r="U75" s="102">
        <f>48</f>
        <v>48</v>
      </c>
      <c r="V75" s="102">
        <v>42</v>
      </c>
      <c r="W75" s="102"/>
      <c r="X75" s="102">
        <f>37497600</f>
        <v>37497600</v>
      </c>
      <c r="Y75" s="102">
        <v>32810400</v>
      </c>
      <c r="Z75" s="103"/>
      <c r="AA75" s="99"/>
      <c r="AB75" s="104">
        <f>250</f>
        <v>250</v>
      </c>
      <c r="AC75" s="104" t="str">
        <f t="shared" si="7"/>
        <v>－</v>
      </c>
      <c r="AD75" s="105">
        <f>1</f>
        <v>1</v>
      </c>
    </row>
    <row r="76" spans="1:30">
      <c r="A76" s="95" t="s">
        <v>46</v>
      </c>
      <c r="B76" s="96" t="s">
        <v>655</v>
      </c>
      <c r="C76" s="96" t="s">
        <v>656</v>
      </c>
      <c r="D76" s="96" t="s">
        <v>279</v>
      </c>
      <c r="E76" s="97" t="s">
        <v>662</v>
      </c>
      <c r="F76" s="97" t="s">
        <v>618</v>
      </c>
      <c r="G76" s="98">
        <v>22800</v>
      </c>
      <c r="H76" s="99" t="s">
        <v>105</v>
      </c>
      <c r="I76" s="100" t="s">
        <v>663</v>
      </c>
      <c r="J76" s="99" t="s">
        <v>105</v>
      </c>
      <c r="K76" s="100" t="s">
        <v>663</v>
      </c>
      <c r="L76" s="99" t="s">
        <v>64</v>
      </c>
      <c r="M76" s="100" t="s">
        <v>664</v>
      </c>
      <c r="N76" s="99" t="s">
        <v>105</v>
      </c>
      <c r="O76" s="100" t="s">
        <v>663</v>
      </c>
      <c r="P76" s="99" t="s">
        <v>64</v>
      </c>
      <c r="Q76" s="100" t="s">
        <v>664</v>
      </c>
      <c r="R76" s="99" t="s">
        <v>105</v>
      </c>
      <c r="S76" s="100" t="s">
        <v>663</v>
      </c>
      <c r="T76" s="101">
        <f>27.21</f>
        <v>27.21</v>
      </c>
      <c r="U76" s="102">
        <f>88</f>
        <v>88</v>
      </c>
      <c r="V76" s="102">
        <v>83</v>
      </c>
      <c r="W76" s="102"/>
      <c r="X76" s="102">
        <f>64526280</f>
        <v>64526280</v>
      </c>
      <c r="Y76" s="102">
        <v>60746040</v>
      </c>
      <c r="Z76" s="103"/>
      <c r="AA76" s="99"/>
      <c r="AB76" s="104">
        <f>138</f>
        <v>138</v>
      </c>
      <c r="AC76" s="104" t="str">
        <f t="shared" si="7"/>
        <v>－</v>
      </c>
      <c r="AD76" s="105">
        <f>1</f>
        <v>1</v>
      </c>
    </row>
    <row r="77" spans="1:30">
      <c r="A77" s="95" t="s">
        <v>46</v>
      </c>
      <c r="B77" s="96" t="s">
        <v>655</v>
      </c>
      <c r="C77" s="96" t="s">
        <v>656</v>
      </c>
      <c r="D77" s="96" t="s">
        <v>66</v>
      </c>
      <c r="E77" s="97" t="s">
        <v>621</v>
      </c>
      <c r="F77" s="97" t="s">
        <v>492</v>
      </c>
      <c r="G77" s="98">
        <v>21600</v>
      </c>
      <c r="H77" s="99"/>
      <c r="I77" s="100" t="s">
        <v>138</v>
      </c>
      <c r="J77" s="99"/>
      <c r="K77" s="100" t="s">
        <v>138</v>
      </c>
      <c r="L77" s="99" t="s">
        <v>64</v>
      </c>
      <c r="M77" s="100" t="s">
        <v>665</v>
      </c>
      <c r="N77" s="99"/>
      <c r="O77" s="100" t="s">
        <v>138</v>
      </c>
      <c r="P77" s="99" t="s">
        <v>64</v>
      </c>
      <c r="Q77" s="100" t="s">
        <v>661</v>
      </c>
      <c r="R77" s="99"/>
      <c r="S77" s="100" t="s">
        <v>138</v>
      </c>
      <c r="T77" s="101">
        <f>26.29</f>
        <v>26.29</v>
      </c>
      <c r="U77" s="102">
        <f>34</f>
        <v>34</v>
      </c>
      <c r="V77" s="102">
        <v>34</v>
      </c>
      <c r="W77" s="102"/>
      <c r="X77" s="102">
        <f>22904640</f>
        <v>22904640</v>
      </c>
      <c r="Y77" s="102">
        <v>22904640</v>
      </c>
      <c r="Z77" s="103"/>
      <c r="AA77" s="99"/>
      <c r="AB77" s="104">
        <f>134</f>
        <v>134</v>
      </c>
      <c r="AC77" s="104" t="str">
        <f t="shared" si="7"/>
        <v>－</v>
      </c>
      <c r="AD77" s="105" t="str">
        <f t="shared" si="7"/>
        <v>－</v>
      </c>
    </row>
    <row r="78" spans="1:30">
      <c r="A78" s="95" t="s">
        <v>46</v>
      </c>
      <c r="B78" s="96" t="s">
        <v>655</v>
      </c>
      <c r="C78" s="96" t="s">
        <v>656</v>
      </c>
      <c r="D78" s="96" t="s">
        <v>286</v>
      </c>
      <c r="E78" s="97" t="s">
        <v>666</v>
      </c>
      <c r="F78" s="97" t="s">
        <v>624</v>
      </c>
      <c r="G78" s="98">
        <v>26400</v>
      </c>
      <c r="H78" s="99"/>
      <c r="I78" s="100" t="s">
        <v>138</v>
      </c>
      <c r="J78" s="99"/>
      <c r="K78" s="100" t="s">
        <v>138</v>
      </c>
      <c r="L78" s="99"/>
      <c r="M78" s="100"/>
      <c r="N78" s="99"/>
      <c r="O78" s="100" t="s">
        <v>138</v>
      </c>
      <c r="P78" s="99"/>
      <c r="Q78" s="100"/>
      <c r="R78" s="99"/>
      <c r="S78" s="100" t="s">
        <v>138</v>
      </c>
      <c r="T78" s="101">
        <f>16.54</f>
        <v>16.54</v>
      </c>
      <c r="U78" s="102" t="str">
        <f t="shared" ref="U78:U104" si="8">"－"</f>
        <v>－</v>
      </c>
      <c r="V78" s="102"/>
      <c r="W78" s="102"/>
      <c r="X78" s="102" t="str">
        <f t="shared" ref="X78:X104" si="9">"－"</f>
        <v>－</v>
      </c>
      <c r="Y78" s="102"/>
      <c r="Z78" s="103"/>
      <c r="AA78" s="99"/>
      <c r="AB78" s="104">
        <f>100</f>
        <v>100</v>
      </c>
      <c r="AC78" s="104" t="str">
        <f t="shared" si="7"/>
        <v>－</v>
      </c>
      <c r="AD78" s="105" t="str">
        <f t="shared" si="7"/>
        <v>－</v>
      </c>
    </row>
    <row r="79" spans="1:30">
      <c r="A79" s="95" t="s">
        <v>46</v>
      </c>
      <c r="B79" s="96" t="s">
        <v>655</v>
      </c>
      <c r="C79" s="96" t="s">
        <v>656</v>
      </c>
      <c r="D79" s="96" t="s">
        <v>72</v>
      </c>
      <c r="E79" s="97" t="s">
        <v>667</v>
      </c>
      <c r="F79" s="97" t="s">
        <v>668</v>
      </c>
      <c r="G79" s="98">
        <v>24000</v>
      </c>
      <c r="H79" s="99"/>
      <c r="I79" s="100" t="s">
        <v>138</v>
      </c>
      <c r="J79" s="99"/>
      <c r="K79" s="100" t="s">
        <v>138</v>
      </c>
      <c r="L79" s="99"/>
      <c r="M79" s="100"/>
      <c r="N79" s="99"/>
      <c r="O79" s="100" t="s">
        <v>138</v>
      </c>
      <c r="P79" s="99"/>
      <c r="Q79" s="100"/>
      <c r="R79" s="99"/>
      <c r="S79" s="100" t="s">
        <v>138</v>
      </c>
      <c r="T79" s="101">
        <f>11.98</f>
        <v>11.98</v>
      </c>
      <c r="U79" s="102" t="str">
        <f t="shared" si="8"/>
        <v>－</v>
      </c>
      <c r="V79" s="102"/>
      <c r="W79" s="102"/>
      <c r="X79" s="102" t="str">
        <f t="shared" si="9"/>
        <v>－</v>
      </c>
      <c r="Y79" s="102"/>
      <c r="Z79" s="103"/>
      <c r="AA79" s="99"/>
      <c r="AB79" s="104" t="str">
        <f t="shared" ref="AB79:AD94" si="10">"－"</f>
        <v>－</v>
      </c>
      <c r="AC79" s="104" t="str">
        <f t="shared" si="7"/>
        <v>－</v>
      </c>
      <c r="AD79" s="105" t="str">
        <f t="shared" si="7"/>
        <v>－</v>
      </c>
    </row>
    <row r="80" spans="1:30">
      <c r="A80" s="95" t="s">
        <v>46</v>
      </c>
      <c r="B80" s="96" t="s">
        <v>655</v>
      </c>
      <c r="C80" s="96" t="s">
        <v>656</v>
      </c>
      <c r="D80" s="96" t="s">
        <v>344</v>
      </c>
      <c r="E80" s="97" t="s">
        <v>669</v>
      </c>
      <c r="F80" s="97" t="s">
        <v>634</v>
      </c>
      <c r="G80" s="98">
        <v>21600</v>
      </c>
      <c r="H80" s="99"/>
      <c r="I80" s="100" t="s">
        <v>138</v>
      </c>
      <c r="J80" s="99"/>
      <c r="K80" s="100" t="s">
        <v>138</v>
      </c>
      <c r="L80" s="99"/>
      <c r="M80" s="100"/>
      <c r="N80" s="99"/>
      <c r="O80" s="100" t="s">
        <v>138</v>
      </c>
      <c r="P80" s="99"/>
      <c r="Q80" s="100"/>
      <c r="R80" s="99"/>
      <c r="S80" s="100" t="s">
        <v>138</v>
      </c>
      <c r="T80" s="101">
        <f>12.59</f>
        <v>12.59</v>
      </c>
      <c r="U80" s="102" t="str">
        <f t="shared" si="8"/>
        <v>－</v>
      </c>
      <c r="V80" s="102"/>
      <c r="W80" s="102"/>
      <c r="X80" s="102" t="str">
        <f t="shared" si="9"/>
        <v>－</v>
      </c>
      <c r="Y80" s="102"/>
      <c r="Z80" s="103"/>
      <c r="AA80" s="99"/>
      <c r="AB80" s="104" t="str">
        <f t="shared" si="10"/>
        <v>－</v>
      </c>
      <c r="AC80" s="104" t="str">
        <f t="shared" si="10"/>
        <v>－</v>
      </c>
      <c r="AD80" s="105" t="str">
        <f t="shared" si="10"/>
        <v>－</v>
      </c>
    </row>
    <row r="81" spans="1:30">
      <c r="A81" s="95" t="s">
        <v>46</v>
      </c>
      <c r="B81" s="96" t="s">
        <v>655</v>
      </c>
      <c r="C81" s="96" t="s">
        <v>656</v>
      </c>
      <c r="D81" s="96" t="s">
        <v>81</v>
      </c>
      <c r="E81" s="97" t="s">
        <v>635</v>
      </c>
      <c r="F81" s="97" t="s">
        <v>636</v>
      </c>
      <c r="G81" s="98">
        <v>26400</v>
      </c>
      <c r="H81" s="99"/>
      <c r="I81" s="100" t="s">
        <v>138</v>
      </c>
      <c r="J81" s="99"/>
      <c r="K81" s="100" t="s">
        <v>138</v>
      </c>
      <c r="L81" s="99"/>
      <c r="M81" s="100"/>
      <c r="N81" s="99"/>
      <c r="O81" s="100" t="s">
        <v>138</v>
      </c>
      <c r="P81" s="99"/>
      <c r="Q81" s="100"/>
      <c r="R81" s="99"/>
      <c r="S81" s="100" t="s">
        <v>138</v>
      </c>
      <c r="T81" s="101">
        <f>13.12</f>
        <v>13.12</v>
      </c>
      <c r="U81" s="102" t="str">
        <f t="shared" si="8"/>
        <v>－</v>
      </c>
      <c r="V81" s="102"/>
      <c r="W81" s="102"/>
      <c r="X81" s="102" t="str">
        <f t="shared" si="9"/>
        <v>－</v>
      </c>
      <c r="Y81" s="102"/>
      <c r="Z81" s="103"/>
      <c r="AA81" s="99"/>
      <c r="AB81" s="104" t="str">
        <f t="shared" si="10"/>
        <v>－</v>
      </c>
      <c r="AC81" s="104" t="str">
        <f t="shared" si="10"/>
        <v>－</v>
      </c>
      <c r="AD81" s="105" t="str">
        <f t="shared" si="10"/>
        <v>－</v>
      </c>
    </row>
    <row r="82" spans="1:30">
      <c r="A82" s="95" t="s">
        <v>46</v>
      </c>
      <c r="B82" s="96" t="s">
        <v>655</v>
      </c>
      <c r="C82" s="96" t="s">
        <v>656</v>
      </c>
      <c r="D82" s="96" t="s">
        <v>347</v>
      </c>
      <c r="E82" s="97" t="s">
        <v>637</v>
      </c>
      <c r="F82" s="97" t="s">
        <v>670</v>
      </c>
      <c r="G82" s="98">
        <v>24000</v>
      </c>
      <c r="H82" s="99"/>
      <c r="I82" s="100" t="s">
        <v>138</v>
      </c>
      <c r="J82" s="99"/>
      <c r="K82" s="100" t="s">
        <v>138</v>
      </c>
      <c r="L82" s="99"/>
      <c r="M82" s="100"/>
      <c r="N82" s="99"/>
      <c r="O82" s="100" t="s">
        <v>138</v>
      </c>
      <c r="P82" s="99"/>
      <c r="Q82" s="100"/>
      <c r="R82" s="99"/>
      <c r="S82" s="100" t="s">
        <v>138</v>
      </c>
      <c r="T82" s="101">
        <f>15.1</f>
        <v>15.1</v>
      </c>
      <c r="U82" s="102" t="str">
        <f t="shared" si="8"/>
        <v>－</v>
      </c>
      <c r="V82" s="102"/>
      <c r="W82" s="102"/>
      <c r="X82" s="102" t="str">
        <f t="shared" si="9"/>
        <v>－</v>
      </c>
      <c r="Y82" s="102"/>
      <c r="Z82" s="103"/>
      <c r="AA82" s="99"/>
      <c r="AB82" s="104" t="str">
        <f t="shared" si="10"/>
        <v>－</v>
      </c>
      <c r="AC82" s="104" t="str">
        <f t="shared" si="10"/>
        <v>－</v>
      </c>
      <c r="AD82" s="105" t="str">
        <f t="shared" si="10"/>
        <v>－</v>
      </c>
    </row>
    <row r="83" spans="1:30">
      <c r="A83" s="95" t="s">
        <v>46</v>
      </c>
      <c r="B83" s="96" t="s">
        <v>655</v>
      </c>
      <c r="C83" s="96" t="s">
        <v>656</v>
      </c>
      <c r="D83" s="96" t="s">
        <v>90</v>
      </c>
      <c r="E83" s="97" t="s">
        <v>638</v>
      </c>
      <c r="F83" s="97" t="s">
        <v>639</v>
      </c>
      <c r="G83" s="98">
        <v>26400</v>
      </c>
      <c r="H83" s="99"/>
      <c r="I83" s="100" t="s">
        <v>138</v>
      </c>
      <c r="J83" s="99"/>
      <c r="K83" s="100" t="s">
        <v>138</v>
      </c>
      <c r="L83" s="99"/>
      <c r="M83" s="100"/>
      <c r="N83" s="99"/>
      <c r="O83" s="100" t="s">
        <v>138</v>
      </c>
      <c r="P83" s="99"/>
      <c r="Q83" s="100"/>
      <c r="R83" s="99"/>
      <c r="S83" s="100" t="s">
        <v>138</v>
      </c>
      <c r="T83" s="101">
        <f>17.07</f>
        <v>17.07</v>
      </c>
      <c r="U83" s="102" t="str">
        <f t="shared" si="8"/>
        <v>－</v>
      </c>
      <c r="V83" s="102"/>
      <c r="W83" s="102"/>
      <c r="X83" s="102" t="str">
        <f t="shared" si="9"/>
        <v>－</v>
      </c>
      <c r="Y83" s="102"/>
      <c r="Z83" s="103"/>
      <c r="AA83" s="99"/>
      <c r="AB83" s="104" t="str">
        <f t="shared" si="10"/>
        <v>－</v>
      </c>
      <c r="AC83" s="104" t="str">
        <f t="shared" si="10"/>
        <v>－</v>
      </c>
      <c r="AD83" s="105" t="str">
        <f t="shared" si="10"/>
        <v>－</v>
      </c>
    </row>
    <row r="84" spans="1:30">
      <c r="A84" s="95" t="s">
        <v>46</v>
      </c>
      <c r="B84" s="96" t="s">
        <v>655</v>
      </c>
      <c r="C84" s="96" t="s">
        <v>656</v>
      </c>
      <c r="D84" s="96" t="s">
        <v>354</v>
      </c>
      <c r="E84" s="97" t="s">
        <v>640</v>
      </c>
      <c r="F84" s="97" t="s">
        <v>641</v>
      </c>
      <c r="G84" s="98">
        <v>24000</v>
      </c>
      <c r="H84" s="99"/>
      <c r="I84" s="100" t="s">
        <v>138</v>
      </c>
      <c r="J84" s="99"/>
      <c r="K84" s="100" t="s">
        <v>138</v>
      </c>
      <c r="L84" s="99"/>
      <c r="M84" s="100"/>
      <c r="N84" s="99"/>
      <c r="O84" s="100" t="s">
        <v>138</v>
      </c>
      <c r="P84" s="99"/>
      <c r="Q84" s="100"/>
      <c r="R84" s="99"/>
      <c r="S84" s="100" t="s">
        <v>138</v>
      </c>
      <c r="T84" s="101">
        <f>13.65</f>
        <v>13.65</v>
      </c>
      <c r="U84" s="102" t="str">
        <f t="shared" si="8"/>
        <v>－</v>
      </c>
      <c r="V84" s="102"/>
      <c r="W84" s="102"/>
      <c r="X84" s="102" t="str">
        <f t="shared" si="9"/>
        <v>－</v>
      </c>
      <c r="Y84" s="102"/>
      <c r="Z84" s="103"/>
      <c r="AA84" s="99"/>
      <c r="AB84" s="104" t="str">
        <f t="shared" si="10"/>
        <v>－</v>
      </c>
      <c r="AC84" s="104" t="str">
        <f t="shared" si="10"/>
        <v>－</v>
      </c>
      <c r="AD84" s="105" t="str">
        <f t="shared" si="10"/>
        <v>－</v>
      </c>
    </row>
    <row r="85" spans="1:30">
      <c r="A85" s="95" t="s">
        <v>46</v>
      </c>
      <c r="B85" s="96" t="s">
        <v>655</v>
      </c>
      <c r="C85" s="96" t="s">
        <v>656</v>
      </c>
      <c r="D85" s="96" t="s">
        <v>100</v>
      </c>
      <c r="E85" s="97" t="s">
        <v>671</v>
      </c>
      <c r="F85" s="97" t="s">
        <v>642</v>
      </c>
      <c r="G85" s="98">
        <v>24000</v>
      </c>
      <c r="H85" s="99"/>
      <c r="I85" s="100" t="s">
        <v>138</v>
      </c>
      <c r="J85" s="99"/>
      <c r="K85" s="100" t="s">
        <v>138</v>
      </c>
      <c r="L85" s="99"/>
      <c r="M85" s="100"/>
      <c r="N85" s="99"/>
      <c r="O85" s="100" t="s">
        <v>138</v>
      </c>
      <c r="P85" s="99"/>
      <c r="Q85" s="100"/>
      <c r="R85" s="99"/>
      <c r="S85" s="100" t="s">
        <v>138</v>
      </c>
      <c r="T85" s="101">
        <f>12.7</f>
        <v>12.7</v>
      </c>
      <c r="U85" s="102" t="str">
        <f t="shared" si="8"/>
        <v>－</v>
      </c>
      <c r="V85" s="102"/>
      <c r="W85" s="102"/>
      <c r="X85" s="102" t="str">
        <f t="shared" si="9"/>
        <v>－</v>
      </c>
      <c r="Y85" s="102"/>
      <c r="Z85" s="103"/>
      <c r="AA85" s="99"/>
      <c r="AB85" s="104" t="str">
        <f t="shared" si="10"/>
        <v>－</v>
      </c>
      <c r="AC85" s="104" t="str">
        <f t="shared" si="10"/>
        <v>－</v>
      </c>
      <c r="AD85" s="105" t="str">
        <f t="shared" si="10"/>
        <v>－</v>
      </c>
    </row>
    <row r="86" spans="1:30">
      <c r="A86" s="95" t="s">
        <v>46</v>
      </c>
      <c r="B86" s="96" t="s">
        <v>655</v>
      </c>
      <c r="C86" s="96" t="s">
        <v>656</v>
      </c>
      <c r="D86" s="96" t="s">
        <v>432</v>
      </c>
      <c r="E86" s="97" t="s">
        <v>643</v>
      </c>
      <c r="F86" s="97" t="s">
        <v>644</v>
      </c>
      <c r="G86" s="98">
        <v>24000</v>
      </c>
      <c r="H86" s="99"/>
      <c r="I86" s="100" t="s">
        <v>138</v>
      </c>
      <c r="J86" s="99"/>
      <c r="K86" s="100" t="s">
        <v>138</v>
      </c>
      <c r="L86" s="99"/>
      <c r="M86" s="100"/>
      <c r="N86" s="99"/>
      <c r="O86" s="100" t="s">
        <v>138</v>
      </c>
      <c r="P86" s="99"/>
      <c r="Q86" s="100"/>
      <c r="R86" s="99"/>
      <c r="S86" s="100" t="s">
        <v>138</v>
      </c>
      <c r="T86" s="101">
        <f>12.4</f>
        <v>12.4</v>
      </c>
      <c r="U86" s="102" t="str">
        <f t="shared" si="8"/>
        <v>－</v>
      </c>
      <c r="V86" s="102"/>
      <c r="W86" s="102"/>
      <c r="X86" s="102" t="str">
        <f t="shared" si="9"/>
        <v>－</v>
      </c>
      <c r="Y86" s="102"/>
      <c r="Z86" s="103"/>
      <c r="AA86" s="99"/>
      <c r="AB86" s="104" t="str">
        <f t="shared" si="10"/>
        <v>－</v>
      </c>
      <c r="AC86" s="104" t="str">
        <f t="shared" si="10"/>
        <v>－</v>
      </c>
      <c r="AD86" s="105" t="str">
        <f t="shared" si="10"/>
        <v>－</v>
      </c>
    </row>
    <row r="87" spans="1:30">
      <c r="A87" s="95" t="s">
        <v>46</v>
      </c>
      <c r="B87" s="96" t="s">
        <v>655</v>
      </c>
      <c r="C87" s="96" t="s">
        <v>656</v>
      </c>
      <c r="D87" s="96" t="s">
        <v>594</v>
      </c>
      <c r="E87" s="97" t="s">
        <v>645</v>
      </c>
      <c r="F87" s="97" t="s">
        <v>672</v>
      </c>
      <c r="G87" s="98">
        <v>25200</v>
      </c>
      <c r="H87" s="99"/>
      <c r="I87" s="100" t="s">
        <v>138</v>
      </c>
      <c r="J87" s="99"/>
      <c r="K87" s="100" t="s">
        <v>138</v>
      </c>
      <c r="L87" s="99"/>
      <c r="M87" s="100"/>
      <c r="N87" s="99"/>
      <c r="O87" s="100" t="s">
        <v>138</v>
      </c>
      <c r="P87" s="99"/>
      <c r="Q87" s="100"/>
      <c r="R87" s="99"/>
      <c r="S87" s="100" t="s">
        <v>138</v>
      </c>
      <c r="T87" s="101">
        <f>14.43</f>
        <v>14.43</v>
      </c>
      <c r="U87" s="102" t="str">
        <f t="shared" si="8"/>
        <v>－</v>
      </c>
      <c r="V87" s="102"/>
      <c r="W87" s="102"/>
      <c r="X87" s="102" t="str">
        <f t="shared" si="9"/>
        <v>－</v>
      </c>
      <c r="Y87" s="102"/>
      <c r="Z87" s="103"/>
      <c r="AA87" s="99"/>
      <c r="AB87" s="104" t="str">
        <f t="shared" si="10"/>
        <v>－</v>
      </c>
      <c r="AC87" s="104" t="str">
        <f t="shared" si="10"/>
        <v>－</v>
      </c>
      <c r="AD87" s="105" t="str">
        <f t="shared" si="10"/>
        <v>－</v>
      </c>
    </row>
    <row r="88" spans="1:30">
      <c r="A88" s="95" t="s">
        <v>46</v>
      </c>
      <c r="B88" s="96" t="s">
        <v>655</v>
      </c>
      <c r="C88" s="96" t="s">
        <v>656</v>
      </c>
      <c r="D88" s="96" t="s">
        <v>673</v>
      </c>
      <c r="E88" s="97" t="s">
        <v>368</v>
      </c>
      <c r="F88" s="97" t="s">
        <v>674</v>
      </c>
      <c r="G88" s="98">
        <v>22800</v>
      </c>
      <c r="H88" s="99"/>
      <c r="I88" s="100" t="s">
        <v>138</v>
      </c>
      <c r="J88" s="99"/>
      <c r="K88" s="100" t="s">
        <v>138</v>
      </c>
      <c r="L88" s="99"/>
      <c r="M88" s="100"/>
      <c r="N88" s="99"/>
      <c r="O88" s="100" t="s">
        <v>138</v>
      </c>
      <c r="P88" s="99"/>
      <c r="Q88" s="100"/>
      <c r="R88" s="99"/>
      <c r="S88" s="100" t="s">
        <v>138</v>
      </c>
      <c r="T88" s="101">
        <f>16</f>
        <v>16</v>
      </c>
      <c r="U88" s="102" t="str">
        <f t="shared" si="8"/>
        <v>－</v>
      </c>
      <c r="V88" s="102"/>
      <c r="W88" s="102"/>
      <c r="X88" s="102" t="str">
        <f t="shared" si="9"/>
        <v>－</v>
      </c>
      <c r="Y88" s="102"/>
      <c r="Z88" s="103"/>
      <c r="AA88" s="99"/>
      <c r="AB88" s="104" t="str">
        <f t="shared" si="10"/>
        <v>－</v>
      </c>
      <c r="AC88" s="104" t="str">
        <f t="shared" si="10"/>
        <v>－</v>
      </c>
      <c r="AD88" s="105" t="str">
        <f t="shared" si="10"/>
        <v>－</v>
      </c>
    </row>
    <row r="89" spans="1:30">
      <c r="A89" s="95" t="s">
        <v>46</v>
      </c>
      <c r="B89" s="96" t="s">
        <v>675</v>
      </c>
      <c r="C89" s="96" t="s">
        <v>676</v>
      </c>
      <c r="D89" s="96" t="s">
        <v>46</v>
      </c>
      <c r="E89" s="97" t="s">
        <v>603</v>
      </c>
      <c r="F89" s="97" t="s">
        <v>657</v>
      </c>
      <c r="G89" s="98">
        <v>24000</v>
      </c>
      <c r="H89" s="99"/>
      <c r="I89" s="100" t="s">
        <v>138</v>
      </c>
      <c r="J89" s="99"/>
      <c r="K89" s="100" t="s">
        <v>138</v>
      </c>
      <c r="L89" s="99"/>
      <c r="M89" s="100"/>
      <c r="N89" s="99"/>
      <c r="O89" s="100" t="s">
        <v>138</v>
      </c>
      <c r="P89" s="99"/>
      <c r="Q89" s="100"/>
      <c r="R89" s="99"/>
      <c r="S89" s="100" t="s">
        <v>138</v>
      </c>
      <c r="T89" s="101">
        <f>14.73</f>
        <v>14.73</v>
      </c>
      <c r="U89" s="102" t="str">
        <f t="shared" si="8"/>
        <v>－</v>
      </c>
      <c r="V89" s="102"/>
      <c r="W89" s="102"/>
      <c r="X89" s="102" t="str">
        <f t="shared" si="9"/>
        <v>－</v>
      </c>
      <c r="Y89" s="102"/>
      <c r="Z89" s="103"/>
      <c r="AA89" s="99" t="s">
        <v>58</v>
      </c>
      <c r="AB89" s="104">
        <f>150</f>
        <v>150</v>
      </c>
      <c r="AC89" s="104" t="str">
        <f t="shared" si="10"/>
        <v>－</v>
      </c>
      <c r="AD89" s="105" t="str">
        <f t="shared" si="10"/>
        <v>－</v>
      </c>
    </row>
    <row r="90" spans="1:30">
      <c r="A90" s="95" t="s">
        <v>46</v>
      </c>
      <c r="B90" s="96" t="s">
        <v>675</v>
      </c>
      <c r="C90" s="96" t="s">
        <v>676</v>
      </c>
      <c r="D90" s="96" t="s">
        <v>264</v>
      </c>
      <c r="E90" s="97" t="s">
        <v>604</v>
      </c>
      <c r="F90" s="97" t="s">
        <v>605</v>
      </c>
      <c r="G90" s="98">
        <v>24000</v>
      </c>
      <c r="H90" s="99"/>
      <c r="I90" s="100" t="s">
        <v>138</v>
      </c>
      <c r="J90" s="99"/>
      <c r="K90" s="100" t="s">
        <v>138</v>
      </c>
      <c r="L90" s="99"/>
      <c r="M90" s="100"/>
      <c r="N90" s="99"/>
      <c r="O90" s="100" t="s">
        <v>138</v>
      </c>
      <c r="P90" s="99"/>
      <c r="Q90" s="100"/>
      <c r="R90" s="99"/>
      <c r="S90" s="100" t="s">
        <v>138</v>
      </c>
      <c r="T90" s="101">
        <f>17.3</f>
        <v>17.3</v>
      </c>
      <c r="U90" s="102" t="str">
        <f t="shared" si="8"/>
        <v>－</v>
      </c>
      <c r="V90" s="102"/>
      <c r="W90" s="102"/>
      <c r="X90" s="102" t="str">
        <f t="shared" si="9"/>
        <v>－</v>
      </c>
      <c r="Y90" s="102"/>
      <c r="Z90" s="103"/>
      <c r="AA90" s="99"/>
      <c r="AB90" s="104">
        <f>150</f>
        <v>150</v>
      </c>
      <c r="AC90" s="104" t="str">
        <f t="shared" si="10"/>
        <v>－</v>
      </c>
      <c r="AD90" s="105" t="str">
        <f t="shared" si="10"/>
        <v>－</v>
      </c>
    </row>
    <row r="91" spans="1:30">
      <c r="A91" s="95" t="s">
        <v>46</v>
      </c>
      <c r="B91" s="96" t="s">
        <v>675</v>
      </c>
      <c r="C91" s="96" t="s">
        <v>676</v>
      </c>
      <c r="D91" s="96" t="s">
        <v>59</v>
      </c>
      <c r="E91" s="97" t="s">
        <v>611</v>
      </c>
      <c r="F91" s="97" t="s">
        <v>659</v>
      </c>
      <c r="G91" s="98">
        <v>25200</v>
      </c>
      <c r="H91" s="99"/>
      <c r="I91" s="100" t="s">
        <v>138</v>
      </c>
      <c r="J91" s="99"/>
      <c r="K91" s="100" t="s">
        <v>138</v>
      </c>
      <c r="L91" s="99"/>
      <c r="M91" s="100"/>
      <c r="N91" s="99"/>
      <c r="O91" s="100" t="s">
        <v>138</v>
      </c>
      <c r="P91" s="99"/>
      <c r="Q91" s="100"/>
      <c r="R91" s="99"/>
      <c r="S91" s="100" t="s">
        <v>138</v>
      </c>
      <c r="T91" s="101">
        <f>21.56</f>
        <v>21.56</v>
      </c>
      <c r="U91" s="102" t="str">
        <f t="shared" si="8"/>
        <v>－</v>
      </c>
      <c r="V91" s="102"/>
      <c r="W91" s="102"/>
      <c r="X91" s="102" t="str">
        <f t="shared" si="9"/>
        <v>－</v>
      </c>
      <c r="Y91" s="102"/>
      <c r="Z91" s="103"/>
      <c r="AA91" s="99"/>
      <c r="AB91" s="104">
        <f>150</f>
        <v>150</v>
      </c>
      <c r="AC91" s="104" t="str">
        <f t="shared" si="10"/>
        <v>－</v>
      </c>
      <c r="AD91" s="105" t="str">
        <f t="shared" si="10"/>
        <v>－</v>
      </c>
    </row>
    <row r="92" spans="1:30">
      <c r="A92" s="95" t="s">
        <v>46</v>
      </c>
      <c r="B92" s="96" t="s">
        <v>675</v>
      </c>
      <c r="C92" s="96" t="s">
        <v>676</v>
      </c>
      <c r="D92" s="96" t="s">
        <v>279</v>
      </c>
      <c r="E92" s="97" t="s">
        <v>662</v>
      </c>
      <c r="F92" s="97" t="s">
        <v>618</v>
      </c>
      <c r="G92" s="98">
        <v>22800</v>
      </c>
      <c r="H92" s="99"/>
      <c r="I92" s="100" t="s">
        <v>138</v>
      </c>
      <c r="J92" s="99"/>
      <c r="K92" s="100" t="s">
        <v>138</v>
      </c>
      <c r="L92" s="99"/>
      <c r="M92" s="100"/>
      <c r="N92" s="99"/>
      <c r="O92" s="100" t="s">
        <v>138</v>
      </c>
      <c r="P92" s="99"/>
      <c r="Q92" s="100"/>
      <c r="R92" s="99"/>
      <c r="S92" s="100" t="s">
        <v>138</v>
      </c>
      <c r="T92" s="101">
        <f>25.71</f>
        <v>25.71</v>
      </c>
      <c r="U92" s="102" t="str">
        <f t="shared" si="8"/>
        <v>－</v>
      </c>
      <c r="V92" s="102"/>
      <c r="W92" s="102"/>
      <c r="X92" s="102" t="str">
        <f t="shared" si="9"/>
        <v>－</v>
      </c>
      <c r="Y92" s="102"/>
      <c r="Z92" s="103"/>
      <c r="AA92" s="99"/>
      <c r="AB92" s="104">
        <f>20</f>
        <v>20</v>
      </c>
      <c r="AC92" s="104" t="str">
        <f t="shared" si="10"/>
        <v>－</v>
      </c>
      <c r="AD92" s="105" t="str">
        <f t="shared" si="10"/>
        <v>－</v>
      </c>
    </row>
    <row r="93" spans="1:30">
      <c r="A93" s="95" t="s">
        <v>46</v>
      </c>
      <c r="B93" s="96" t="s">
        <v>675</v>
      </c>
      <c r="C93" s="96" t="s">
        <v>676</v>
      </c>
      <c r="D93" s="96" t="s">
        <v>66</v>
      </c>
      <c r="E93" s="97" t="s">
        <v>621</v>
      </c>
      <c r="F93" s="97" t="s">
        <v>492</v>
      </c>
      <c r="G93" s="98">
        <v>21600</v>
      </c>
      <c r="H93" s="99"/>
      <c r="I93" s="100" t="s">
        <v>138</v>
      </c>
      <c r="J93" s="99"/>
      <c r="K93" s="100" t="s">
        <v>138</v>
      </c>
      <c r="L93" s="99"/>
      <c r="M93" s="100"/>
      <c r="N93" s="99"/>
      <c r="O93" s="100" t="s">
        <v>138</v>
      </c>
      <c r="P93" s="99"/>
      <c r="Q93" s="100"/>
      <c r="R93" s="99"/>
      <c r="S93" s="100" t="s">
        <v>138</v>
      </c>
      <c r="T93" s="101">
        <f>24.8</f>
        <v>24.8</v>
      </c>
      <c r="U93" s="102" t="str">
        <f t="shared" si="8"/>
        <v>－</v>
      </c>
      <c r="V93" s="102"/>
      <c r="W93" s="102"/>
      <c r="X93" s="102" t="str">
        <f t="shared" si="9"/>
        <v>－</v>
      </c>
      <c r="Y93" s="102"/>
      <c r="Z93" s="103"/>
      <c r="AA93" s="99"/>
      <c r="AB93" s="104">
        <f>20</f>
        <v>20</v>
      </c>
      <c r="AC93" s="104" t="str">
        <f t="shared" si="10"/>
        <v>－</v>
      </c>
      <c r="AD93" s="105" t="str">
        <f t="shared" si="10"/>
        <v>－</v>
      </c>
    </row>
    <row r="94" spans="1:30">
      <c r="A94" s="95" t="s">
        <v>46</v>
      </c>
      <c r="B94" s="96" t="s">
        <v>675</v>
      </c>
      <c r="C94" s="96" t="s">
        <v>676</v>
      </c>
      <c r="D94" s="96" t="s">
        <v>286</v>
      </c>
      <c r="E94" s="97" t="s">
        <v>666</v>
      </c>
      <c r="F94" s="97" t="s">
        <v>624</v>
      </c>
      <c r="G94" s="98">
        <v>26400</v>
      </c>
      <c r="H94" s="99"/>
      <c r="I94" s="100" t="s">
        <v>138</v>
      </c>
      <c r="J94" s="99"/>
      <c r="K94" s="100" t="s">
        <v>138</v>
      </c>
      <c r="L94" s="99"/>
      <c r="M94" s="100"/>
      <c r="N94" s="99"/>
      <c r="O94" s="100" t="s">
        <v>138</v>
      </c>
      <c r="P94" s="99"/>
      <c r="Q94" s="100"/>
      <c r="R94" s="99"/>
      <c r="S94" s="100" t="s">
        <v>138</v>
      </c>
      <c r="T94" s="101">
        <f>14.02</f>
        <v>14.02</v>
      </c>
      <c r="U94" s="102" t="str">
        <f t="shared" si="8"/>
        <v>－</v>
      </c>
      <c r="V94" s="102"/>
      <c r="W94" s="102"/>
      <c r="X94" s="102" t="str">
        <f t="shared" si="9"/>
        <v>－</v>
      </c>
      <c r="Y94" s="102"/>
      <c r="Z94" s="103"/>
      <c r="AA94" s="99"/>
      <c r="AB94" s="104" t="str">
        <f t="shared" ref="AB94:AD109" si="11">"－"</f>
        <v>－</v>
      </c>
      <c r="AC94" s="104" t="str">
        <f t="shared" si="10"/>
        <v>－</v>
      </c>
      <c r="AD94" s="105" t="str">
        <f t="shared" si="10"/>
        <v>－</v>
      </c>
    </row>
    <row r="95" spans="1:30">
      <c r="A95" s="95" t="s">
        <v>46</v>
      </c>
      <c r="B95" s="96" t="s">
        <v>675</v>
      </c>
      <c r="C95" s="96" t="s">
        <v>676</v>
      </c>
      <c r="D95" s="96" t="s">
        <v>72</v>
      </c>
      <c r="E95" s="97" t="s">
        <v>667</v>
      </c>
      <c r="F95" s="97" t="s">
        <v>668</v>
      </c>
      <c r="G95" s="98">
        <v>24000</v>
      </c>
      <c r="H95" s="99"/>
      <c r="I95" s="100" t="s">
        <v>138</v>
      </c>
      <c r="J95" s="99"/>
      <c r="K95" s="100" t="s">
        <v>138</v>
      </c>
      <c r="L95" s="99"/>
      <c r="M95" s="100"/>
      <c r="N95" s="99"/>
      <c r="O95" s="100" t="s">
        <v>138</v>
      </c>
      <c r="P95" s="99"/>
      <c r="Q95" s="100"/>
      <c r="R95" s="99"/>
      <c r="S95" s="100" t="s">
        <v>138</v>
      </c>
      <c r="T95" s="101">
        <f>9.76</f>
        <v>9.76</v>
      </c>
      <c r="U95" s="102" t="str">
        <f t="shared" si="8"/>
        <v>－</v>
      </c>
      <c r="V95" s="102"/>
      <c r="W95" s="102"/>
      <c r="X95" s="102" t="str">
        <f t="shared" si="9"/>
        <v>－</v>
      </c>
      <c r="Y95" s="102"/>
      <c r="Z95" s="103"/>
      <c r="AA95" s="99"/>
      <c r="AB95" s="104" t="str">
        <f t="shared" si="11"/>
        <v>－</v>
      </c>
      <c r="AC95" s="104" t="str">
        <f t="shared" si="11"/>
        <v>－</v>
      </c>
      <c r="AD95" s="105" t="str">
        <f t="shared" si="11"/>
        <v>－</v>
      </c>
    </row>
    <row r="96" spans="1:30">
      <c r="A96" s="95" t="s">
        <v>46</v>
      </c>
      <c r="B96" s="96" t="s">
        <v>675</v>
      </c>
      <c r="C96" s="96" t="s">
        <v>676</v>
      </c>
      <c r="D96" s="96" t="s">
        <v>344</v>
      </c>
      <c r="E96" s="97" t="s">
        <v>669</v>
      </c>
      <c r="F96" s="97" t="s">
        <v>634</v>
      </c>
      <c r="G96" s="98">
        <v>21600</v>
      </c>
      <c r="H96" s="99"/>
      <c r="I96" s="100" t="s">
        <v>138</v>
      </c>
      <c r="J96" s="99"/>
      <c r="K96" s="100" t="s">
        <v>138</v>
      </c>
      <c r="L96" s="99"/>
      <c r="M96" s="100"/>
      <c r="N96" s="99"/>
      <c r="O96" s="100" t="s">
        <v>138</v>
      </c>
      <c r="P96" s="99"/>
      <c r="Q96" s="100"/>
      <c r="R96" s="99"/>
      <c r="S96" s="100" t="s">
        <v>138</v>
      </c>
      <c r="T96" s="101">
        <f>10.66</f>
        <v>10.66</v>
      </c>
      <c r="U96" s="102" t="str">
        <f t="shared" si="8"/>
        <v>－</v>
      </c>
      <c r="V96" s="102"/>
      <c r="W96" s="102"/>
      <c r="X96" s="102" t="str">
        <f t="shared" si="9"/>
        <v>－</v>
      </c>
      <c r="Y96" s="102"/>
      <c r="Z96" s="103"/>
      <c r="AA96" s="99"/>
      <c r="AB96" s="104" t="str">
        <f t="shared" si="11"/>
        <v>－</v>
      </c>
      <c r="AC96" s="104" t="str">
        <f t="shared" si="11"/>
        <v>－</v>
      </c>
      <c r="AD96" s="105" t="str">
        <f t="shared" si="11"/>
        <v>－</v>
      </c>
    </row>
    <row r="97" spans="1:30">
      <c r="A97" s="95" t="s">
        <v>46</v>
      </c>
      <c r="B97" s="96" t="s">
        <v>675</v>
      </c>
      <c r="C97" s="96" t="s">
        <v>676</v>
      </c>
      <c r="D97" s="96" t="s">
        <v>81</v>
      </c>
      <c r="E97" s="97" t="s">
        <v>635</v>
      </c>
      <c r="F97" s="97" t="s">
        <v>636</v>
      </c>
      <c r="G97" s="98">
        <v>26400</v>
      </c>
      <c r="H97" s="99"/>
      <c r="I97" s="100" t="s">
        <v>138</v>
      </c>
      <c r="J97" s="99"/>
      <c r="K97" s="100" t="s">
        <v>138</v>
      </c>
      <c r="L97" s="99"/>
      <c r="M97" s="100"/>
      <c r="N97" s="99"/>
      <c r="O97" s="100" t="s">
        <v>138</v>
      </c>
      <c r="P97" s="99"/>
      <c r="Q97" s="100"/>
      <c r="R97" s="99"/>
      <c r="S97" s="100" t="s">
        <v>138</v>
      </c>
      <c r="T97" s="101">
        <f>11.04</f>
        <v>11.04</v>
      </c>
      <c r="U97" s="102" t="str">
        <f t="shared" si="8"/>
        <v>－</v>
      </c>
      <c r="V97" s="102"/>
      <c r="W97" s="102"/>
      <c r="X97" s="102" t="str">
        <f t="shared" si="9"/>
        <v>－</v>
      </c>
      <c r="Y97" s="102"/>
      <c r="Z97" s="103"/>
      <c r="AA97" s="99"/>
      <c r="AB97" s="104" t="str">
        <f t="shared" si="11"/>
        <v>－</v>
      </c>
      <c r="AC97" s="104" t="str">
        <f t="shared" si="11"/>
        <v>－</v>
      </c>
      <c r="AD97" s="105" t="str">
        <f t="shared" si="11"/>
        <v>－</v>
      </c>
    </row>
    <row r="98" spans="1:30">
      <c r="A98" s="95" t="s">
        <v>46</v>
      </c>
      <c r="B98" s="96" t="s">
        <v>675</v>
      </c>
      <c r="C98" s="96" t="s">
        <v>676</v>
      </c>
      <c r="D98" s="96" t="s">
        <v>347</v>
      </c>
      <c r="E98" s="97" t="s">
        <v>637</v>
      </c>
      <c r="F98" s="97" t="s">
        <v>670</v>
      </c>
      <c r="G98" s="98">
        <v>24000</v>
      </c>
      <c r="H98" s="99"/>
      <c r="I98" s="100" t="s">
        <v>138</v>
      </c>
      <c r="J98" s="99"/>
      <c r="K98" s="100" t="s">
        <v>138</v>
      </c>
      <c r="L98" s="99"/>
      <c r="M98" s="100"/>
      <c r="N98" s="99"/>
      <c r="O98" s="100" t="s">
        <v>138</v>
      </c>
      <c r="P98" s="99"/>
      <c r="Q98" s="100"/>
      <c r="R98" s="99"/>
      <c r="S98" s="100" t="s">
        <v>138</v>
      </c>
      <c r="T98" s="101">
        <f>12.96</f>
        <v>12.96</v>
      </c>
      <c r="U98" s="102" t="str">
        <f t="shared" si="8"/>
        <v>－</v>
      </c>
      <c r="V98" s="102"/>
      <c r="W98" s="102"/>
      <c r="X98" s="102" t="str">
        <f t="shared" si="9"/>
        <v>－</v>
      </c>
      <c r="Y98" s="102"/>
      <c r="Z98" s="103"/>
      <c r="AA98" s="99"/>
      <c r="AB98" s="104" t="str">
        <f t="shared" si="11"/>
        <v>－</v>
      </c>
      <c r="AC98" s="104" t="str">
        <f t="shared" si="11"/>
        <v>－</v>
      </c>
      <c r="AD98" s="105" t="str">
        <f t="shared" si="11"/>
        <v>－</v>
      </c>
    </row>
    <row r="99" spans="1:30">
      <c r="A99" s="95" t="s">
        <v>46</v>
      </c>
      <c r="B99" s="96" t="s">
        <v>675</v>
      </c>
      <c r="C99" s="96" t="s">
        <v>676</v>
      </c>
      <c r="D99" s="96" t="s">
        <v>90</v>
      </c>
      <c r="E99" s="97" t="s">
        <v>638</v>
      </c>
      <c r="F99" s="97" t="s">
        <v>639</v>
      </c>
      <c r="G99" s="98">
        <v>26400</v>
      </c>
      <c r="H99" s="99"/>
      <c r="I99" s="100" t="s">
        <v>138</v>
      </c>
      <c r="J99" s="99"/>
      <c r="K99" s="100" t="s">
        <v>138</v>
      </c>
      <c r="L99" s="99"/>
      <c r="M99" s="100"/>
      <c r="N99" s="99"/>
      <c r="O99" s="100" t="s">
        <v>138</v>
      </c>
      <c r="P99" s="99"/>
      <c r="Q99" s="100"/>
      <c r="R99" s="99"/>
      <c r="S99" s="100" t="s">
        <v>138</v>
      </c>
      <c r="T99" s="101">
        <f>14.54</f>
        <v>14.54</v>
      </c>
      <c r="U99" s="102" t="str">
        <f t="shared" si="8"/>
        <v>－</v>
      </c>
      <c r="V99" s="102"/>
      <c r="W99" s="102"/>
      <c r="X99" s="102" t="str">
        <f t="shared" si="9"/>
        <v>－</v>
      </c>
      <c r="Y99" s="102"/>
      <c r="Z99" s="103"/>
      <c r="AA99" s="99"/>
      <c r="AB99" s="104" t="str">
        <f t="shared" si="11"/>
        <v>－</v>
      </c>
      <c r="AC99" s="104" t="str">
        <f t="shared" si="11"/>
        <v>－</v>
      </c>
      <c r="AD99" s="105" t="str">
        <f t="shared" si="11"/>
        <v>－</v>
      </c>
    </row>
    <row r="100" spans="1:30">
      <c r="A100" s="95" t="s">
        <v>46</v>
      </c>
      <c r="B100" s="96" t="s">
        <v>675</v>
      </c>
      <c r="C100" s="96" t="s">
        <v>676</v>
      </c>
      <c r="D100" s="96" t="s">
        <v>354</v>
      </c>
      <c r="E100" s="97" t="s">
        <v>640</v>
      </c>
      <c r="F100" s="97" t="s">
        <v>641</v>
      </c>
      <c r="G100" s="98">
        <v>24000</v>
      </c>
      <c r="H100" s="99"/>
      <c r="I100" s="100" t="s">
        <v>138</v>
      </c>
      <c r="J100" s="99"/>
      <c r="K100" s="100" t="s">
        <v>138</v>
      </c>
      <c r="L100" s="99"/>
      <c r="M100" s="100"/>
      <c r="N100" s="99"/>
      <c r="O100" s="100" t="s">
        <v>138</v>
      </c>
      <c r="P100" s="99"/>
      <c r="Q100" s="100"/>
      <c r="R100" s="99"/>
      <c r="S100" s="100" t="s">
        <v>138</v>
      </c>
      <c r="T100" s="101">
        <f>11.85</f>
        <v>11.85</v>
      </c>
      <c r="U100" s="102" t="str">
        <f t="shared" si="8"/>
        <v>－</v>
      </c>
      <c r="V100" s="102"/>
      <c r="W100" s="102"/>
      <c r="X100" s="102" t="str">
        <f t="shared" si="9"/>
        <v>－</v>
      </c>
      <c r="Y100" s="102"/>
      <c r="Z100" s="103"/>
      <c r="AA100" s="99"/>
      <c r="AB100" s="104" t="str">
        <f t="shared" si="11"/>
        <v>－</v>
      </c>
      <c r="AC100" s="104" t="str">
        <f t="shared" si="11"/>
        <v>－</v>
      </c>
      <c r="AD100" s="105" t="str">
        <f t="shared" si="11"/>
        <v>－</v>
      </c>
    </row>
    <row r="101" spans="1:30">
      <c r="A101" s="95" t="s">
        <v>46</v>
      </c>
      <c r="B101" s="96" t="s">
        <v>675</v>
      </c>
      <c r="C101" s="96" t="s">
        <v>676</v>
      </c>
      <c r="D101" s="96" t="s">
        <v>100</v>
      </c>
      <c r="E101" s="97" t="s">
        <v>671</v>
      </c>
      <c r="F101" s="97" t="s">
        <v>642</v>
      </c>
      <c r="G101" s="98">
        <v>24000</v>
      </c>
      <c r="H101" s="99"/>
      <c r="I101" s="100" t="s">
        <v>138</v>
      </c>
      <c r="J101" s="99"/>
      <c r="K101" s="100" t="s">
        <v>138</v>
      </c>
      <c r="L101" s="99"/>
      <c r="M101" s="100"/>
      <c r="N101" s="99"/>
      <c r="O101" s="100" t="s">
        <v>138</v>
      </c>
      <c r="P101" s="99"/>
      <c r="Q101" s="100"/>
      <c r="R101" s="99"/>
      <c r="S101" s="100" t="s">
        <v>138</v>
      </c>
      <c r="T101" s="101">
        <f>10.98</f>
        <v>10.98</v>
      </c>
      <c r="U101" s="102" t="str">
        <f t="shared" si="8"/>
        <v>－</v>
      </c>
      <c r="V101" s="102"/>
      <c r="W101" s="102"/>
      <c r="X101" s="102" t="str">
        <f t="shared" si="9"/>
        <v>－</v>
      </c>
      <c r="Y101" s="102"/>
      <c r="Z101" s="103"/>
      <c r="AA101" s="99"/>
      <c r="AB101" s="104" t="str">
        <f t="shared" si="11"/>
        <v>－</v>
      </c>
      <c r="AC101" s="104" t="str">
        <f t="shared" si="11"/>
        <v>－</v>
      </c>
      <c r="AD101" s="105" t="str">
        <f t="shared" si="11"/>
        <v>－</v>
      </c>
    </row>
    <row r="102" spans="1:30">
      <c r="A102" s="95" t="s">
        <v>46</v>
      </c>
      <c r="B102" s="96" t="s">
        <v>675</v>
      </c>
      <c r="C102" s="96" t="s">
        <v>676</v>
      </c>
      <c r="D102" s="96" t="s">
        <v>432</v>
      </c>
      <c r="E102" s="97" t="s">
        <v>643</v>
      </c>
      <c r="F102" s="97" t="s">
        <v>644</v>
      </c>
      <c r="G102" s="98">
        <v>24000</v>
      </c>
      <c r="H102" s="99"/>
      <c r="I102" s="100" t="s">
        <v>138</v>
      </c>
      <c r="J102" s="99"/>
      <c r="K102" s="100" t="s">
        <v>138</v>
      </c>
      <c r="L102" s="99"/>
      <c r="M102" s="100"/>
      <c r="N102" s="99"/>
      <c r="O102" s="100" t="s">
        <v>138</v>
      </c>
      <c r="P102" s="99"/>
      <c r="Q102" s="100"/>
      <c r="R102" s="99"/>
      <c r="S102" s="100" t="s">
        <v>138</v>
      </c>
      <c r="T102" s="101">
        <f>10.61</f>
        <v>10.61</v>
      </c>
      <c r="U102" s="102" t="str">
        <f t="shared" si="8"/>
        <v>－</v>
      </c>
      <c r="V102" s="102"/>
      <c r="W102" s="102"/>
      <c r="X102" s="102" t="str">
        <f t="shared" si="9"/>
        <v>－</v>
      </c>
      <c r="Y102" s="102"/>
      <c r="Z102" s="103"/>
      <c r="AA102" s="99"/>
      <c r="AB102" s="104" t="str">
        <f t="shared" si="11"/>
        <v>－</v>
      </c>
      <c r="AC102" s="104" t="str">
        <f t="shared" si="11"/>
        <v>－</v>
      </c>
      <c r="AD102" s="105" t="str">
        <f t="shared" si="11"/>
        <v>－</v>
      </c>
    </row>
    <row r="103" spans="1:30">
      <c r="A103" s="95" t="s">
        <v>46</v>
      </c>
      <c r="B103" s="96" t="s">
        <v>675</v>
      </c>
      <c r="C103" s="96" t="s">
        <v>676</v>
      </c>
      <c r="D103" s="96" t="s">
        <v>594</v>
      </c>
      <c r="E103" s="97" t="s">
        <v>645</v>
      </c>
      <c r="F103" s="97" t="s">
        <v>672</v>
      </c>
      <c r="G103" s="98">
        <v>25200</v>
      </c>
      <c r="H103" s="99"/>
      <c r="I103" s="100" t="s">
        <v>138</v>
      </c>
      <c r="J103" s="99"/>
      <c r="K103" s="100" t="s">
        <v>138</v>
      </c>
      <c r="L103" s="99"/>
      <c r="M103" s="100"/>
      <c r="N103" s="99"/>
      <c r="O103" s="100" t="s">
        <v>138</v>
      </c>
      <c r="P103" s="99"/>
      <c r="Q103" s="100"/>
      <c r="R103" s="99"/>
      <c r="S103" s="100" t="s">
        <v>138</v>
      </c>
      <c r="T103" s="101">
        <f>12.18</f>
        <v>12.18</v>
      </c>
      <c r="U103" s="102" t="str">
        <f t="shared" si="8"/>
        <v>－</v>
      </c>
      <c r="V103" s="102"/>
      <c r="W103" s="102"/>
      <c r="X103" s="102" t="str">
        <f t="shared" si="9"/>
        <v>－</v>
      </c>
      <c r="Y103" s="102"/>
      <c r="Z103" s="103"/>
      <c r="AA103" s="99"/>
      <c r="AB103" s="104" t="str">
        <f t="shared" si="11"/>
        <v>－</v>
      </c>
      <c r="AC103" s="104" t="str">
        <f t="shared" si="11"/>
        <v>－</v>
      </c>
      <c r="AD103" s="105" t="str">
        <f t="shared" si="11"/>
        <v>－</v>
      </c>
    </row>
    <row r="104" spans="1:30">
      <c r="A104" s="95" t="s">
        <v>46</v>
      </c>
      <c r="B104" s="96" t="s">
        <v>675</v>
      </c>
      <c r="C104" s="96" t="s">
        <v>676</v>
      </c>
      <c r="D104" s="96" t="s">
        <v>673</v>
      </c>
      <c r="E104" s="97" t="s">
        <v>368</v>
      </c>
      <c r="F104" s="97" t="s">
        <v>674</v>
      </c>
      <c r="G104" s="98">
        <v>22800</v>
      </c>
      <c r="H104" s="99"/>
      <c r="I104" s="100" t="s">
        <v>138</v>
      </c>
      <c r="J104" s="99"/>
      <c r="K104" s="100" t="s">
        <v>138</v>
      </c>
      <c r="L104" s="99"/>
      <c r="M104" s="100"/>
      <c r="N104" s="99"/>
      <c r="O104" s="100" t="s">
        <v>138</v>
      </c>
      <c r="P104" s="99"/>
      <c r="Q104" s="100"/>
      <c r="R104" s="99"/>
      <c r="S104" s="100" t="s">
        <v>138</v>
      </c>
      <c r="T104" s="101">
        <f>13.46</f>
        <v>13.46</v>
      </c>
      <c r="U104" s="102" t="str">
        <f t="shared" si="8"/>
        <v>－</v>
      </c>
      <c r="V104" s="102"/>
      <c r="W104" s="102"/>
      <c r="X104" s="102" t="str">
        <f t="shared" si="9"/>
        <v>－</v>
      </c>
      <c r="Y104" s="102"/>
      <c r="Z104" s="103"/>
      <c r="AA104" s="99"/>
      <c r="AB104" s="104" t="str">
        <f t="shared" si="11"/>
        <v>－</v>
      </c>
      <c r="AC104" s="104" t="str">
        <f t="shared" si="11"/>
        <v>－</v>
      </c>
      <c r="AD104" s="105" t="str">
        <f t="shared" si="11"/>
        <v>－</v>
      </c>
    </row>
    <row r="105" spans="1:30">
      <c r="A105" s="95" t="s">
        <v>46</v>
      </c>
      <c r="B105" s="96" t="s">
        <v>677</v>
      </c>
      <c r="C105" s="96" t="s">
        <v>678</v>
      </c>
      <c r="D105" s="96" t="s">
        <v>264</v>
      </c>
      <c r="E105" s="97" t="s">
        <v>304</v>
      </c>
      <c r="F105" s="97" t="s">
        <v>109</v>
      </c>
      <c r="G105" s="98">
        <v>10</v>
      </c>
      <c r="H105" s="99" t="s">
        <v>116</v>
      </c>
      <c r="I105" s="100" t="s">
        <v>679</v>
      </c>
      <c r="J105" s="99" t="s">
        <v>211</v>
      </c>
      <c r="K105" s="100" t="s">
        <v>680</v>
      </c>
      <c r="L105" s="99" t="s">
        <v>53</v>
      </c>
      <c r="M105" s="100" t="s">
        <v>681</v>
      </c>
      <c r="N105" s="99" t="s">
        <v>116</v>
      </c>
      <c r="O105" s="100" t="s">
        <v>679</v>
      </c>
      <c r="P105" s="99" t="s">
        <v>283</v>
      </c>
      <c r="Q105" s="100" t="s">
        <v>682</v>
      </c>
      <c r="R105" s="99" t="s">
        <v>53</v>
      </c>
      <c r="S105" s="100" t="s">
        <v>680</v>
      </c>
      <c r="T105" s="101">
        <f>74168.24</f>
        <v>74168.240000000005</v>
      </c>
      <c r="U105" s="102">
        <f>492</f>
        <v>492</v>
      </c>
      <c r="V105" s="102">
        <v>284</v>
      </c>
      <c r="W105" s="102"/>
      <c r="X105" s="102">
        <f>375316000</f>
        <v>375316000</v>
      </c>
      <c r="Y105" s="102">
        <v>218722000</v>
      </c>
      <c r="Z105" s="103"/>
      <c r="AA105" s="99" t="s">
        <v>58</v>
      </c>
      <c r="AB105" s="104">
        <f>331</f>
        <v>331</v>
      </c>
      <c r="AC105" s="104" t="str">
        <f t="shared" si="11"/>
        <v>－</v>
      </c>
      <c r="AD105" s="105">
        <f>12</f>
        <v>12</v>
      </c>
    </row>
    <row r="106" spans="1:30">
      <c r="A106" s="95" t="s">
        <v>46</v>
      </c>
      <c r="B106" s="96" t="s">
        <v>677</v>
      </c>
      <c r="C106" s="96" t="s">
        <v>678</v>
      </c>
      <c r="D106" s="96" t="s">
        <v>59</v>
      </c>
      <c r="E106" s="97" t="s">
        <v>311</v>
      </c>
      <c r="F106" s="97" t="s">
        <v>444</v>
      </c>
      <c r="G106" s="98">
        <v>10</v>
      </c>
      <c r="H106" s="99"/>
      <c r="I106" s="100" t="s">
        <v>138</v>
      </c>
      <c r="J106" s="99"/>
      <c r="K106" s="100" t="s">
        <v>138</v>
      </c>
      <c r="L106" s="99"/>
      <c r="M106" s="100"/>
      <c r="N106" s="99"/>
      <c r="O106" s="100" t="s">
        <v>138</v>
      </c>
      <c r="P106" s="99"/>
      <c r="Q106" s="100"/>
      <c r="R106" s="99"/>
      <c r="S106" s="100" t="s">
        <v>138</v>
      </c>
      <c r="T106" s="101">
        <f>71133.33</f>
        <v>71133.33</v>
      </c>
      <c r="U106" s="102" t="str">
        <f>"－"</f>
        <v>－</v>
      </c>
      <c r="V106" s="102"/>
      <c r="W106" s="102"/>
      <c r="X106" s="102" t="str">
        <f>"－"</f>
        <v>－</v>
      </c>
      <c r="Y106" s="102"/>
      <c r="Z106" s="103"/>
      <c r="AA106" s="99"/>
      <c r="AB106" s="104">
        <f>5</f>
        <v>5</v>
      </c>
      <c r="AC106" s="104" t="str">
        <f t="shared" si="11"/>
        <v>－</v>
      </c>
      <c r="AD106" s="105" t="str">
        <f>"－"</f>
        <v>－</v>
      </c>
    </row>
    <row r="107" spans="1:30">
      <c r="A107" s="95" t="s">
        <v>46</v>
      </c>
      <c r="B107" s="96" t="s">
        <v>677</v>
      </c>
      <c r="C107" s="96" t="s">
        <v>678</v>
      </c>
      <c r="D107" s="96" t="s">
        <v>279</v>
      </c>
      <c r="E107" s="97" t="s">
        <v>82</v>
      </c>
      <c r="F107" s="97" t="s">
        <v>482</v>
      </c>
      <c r="G107" s="98">
        <v>10</v>
      </c>
      <c r="H107" s="99"/>
      <c r="I107" s="100" t="s">
        <v>138</v>
      </c>
      <c r="J107" s="99"/>
      <c r="K107" s="100" t="s">
        <v>138</v>
      </c>
      <c r="L107" s="99"/>
      <c r="M107" s="100"/>
      <c r="N107" s="99"/>
      <c r="O107" s="100" t="s">
        <v>138</v>
      </c>
      <c r="P107" s="99"/>
      <c r="Q107" s="100"/>
      <c r="R107" s="99"/>
      <c r="S107" s="100" t="s">
        <v>138</v>
      </c>
      <c r="T107" s="101">
        <f>71085.71</f>
        <v>71085.710000000006</v>
      </c>
      <c r="U107" s="102" t="str">
        <f>"－"</f>
        <v>－</v>
      </c>
      <c r="V107" s="102"/>
      <c r="W107" s="102"/>
      <c r="X107" s="102" t="str">
        <f>"－"</f>
        <v>－</v>
      </c>
      <c r="Y107" s="102"/>
      <c r="Z107" s="103"/>
      <c r="AA107" s="99"/>
      <c r="AB107" s="104">
        <f>2</f>
        <v>2</v>
      </c>
      <c r="AC107" s="104" t="str">
        <f t="shared" si="11"/>
        <v>－</v>
      </c>
      <c r="AD107" s="105" t="str">
        <f>"－"</f>
        <v>－</v>
      </c>
    </row>
    <row r="108" spans="1:30">
      <c r="A108" s="95" t="s">
        <v>46</v>
      </c>
      <c r="B108" s="96" t="s">
        <v>677</v>
      </c>
      <c r="C108" s="96" t="s">
        <v>678</v>
      </c>
      <c r="D108" s="96" t="s">
        <v>66</v>
      </c>
      <c r="E108" s="97" t="s">
        <v>487</v>
      </c>
      <c r="F108" s="97" t="s">
        <v>324</v>
      </c>
      <c r="G108" s="98">
        <v>10</v>
      </c>
      <c r="H108" s="99" t="s">
        <v>116</v>
      </c>
      <c r="I108" s="100" t="s">
        <v>517</v>
      </c>
      <c r="J108" s="99" t="s">
        <v>116</v>
      </c>
      <c r="K108" s="100" t="s">
        <v>517</v>
      </c>
      <c r="L108" s="99"/>
      <c r="M108" s="100"/>
      <c r="N108" s="99" t="s">
        <v>116</v>
      </c>
      <c r="O108" s="100" t="s">
        <v>517</v>
      </c>
      <c r="P108" s="99"/>
      <c r="Q108" s="100"/>
      <c r="R108" s="99" t="s">
        <v>116</v>
      </c>
      <c r="S108" s="100" t="s">
        <v>517</v>
      </c>
      <c r="T108" s="101">
        <f>71023.81</f>
        <v>71023.81</v>
      </c>
      <c r="U108" s="102">
        <f>1</f>
        <v>1</v>
      </c>
      <c r="V108" s="102"/>
      <c r="W108" s="102"/>
      <c r="X108" s="102">
        <f>679000</f>
        <v>679000</v>
      </c>
      <c r="Y108" s="102"/>
      <c r="Z108" s="103"/>
      <c r="AA108" s="99"/>
      <c r="AB108" s="104">
        <f>3</f>
        <v>3</v>
      </c>
      <c r="AC108" s="104" t="str">
        <f t="shared" si="11"/>
        <v>－</v>
      </c>
      <c r="AD108" s="105">
        <f>1</f>
        <v>1</v>
      </c>
    </row>
    <row r="109" spans="1:30">
      <c r="A109" s="95" t="s">
        <v>46</v>
      </c>
      <c r="B109" s="96" t="s">
        <v>677</v>
      </c>
      <c r="C109" s="96" t="s">
        <v>678</v>
      </c>
      <c r="D109" s="96" t="s">
        <v>286</v>
      </c>
      <c r="E109" s="97" t="s">
        <v>329</v>
      </c>
      <c r="F109" s="97" t="s">
        <v>492</v>
      </c>
      <c r="G109" s="98">
        <v>10</v>
      </c>
      <c r="H109" s="99"/>
      <c r="I109" s="100" t="s">
        <v>138</v>
      </c>
      <c r="J109" s="99"/>
      <c r="K109" s="100" t="s">
        <v>138</v>
      </c>
      <c r="L109" s="99"/>
      <c r="M109" s="100"/>
      <c r="N109" s="99"/>
      <c r="O109" s="100" t="s">
        <v>138</v>
      </c>
      <c r="P109" s="99"/>
      <c r="Q109" s="100"/>
      <c r="R109" s="99"/>
      <c r="S109" s="100" t="s">
        <v>138</v>
      </c>
      <c r="T109" s="101">
        <f>70942.86</f>
        <v>70942.86</v>
      </c>
      <c r="U109" s="102" t="str">
        <f>"－"</f>
        <v>－</v>
      </c>
      <c r="V109" s="102"/>
      <c r="W109" s="102"/>
      <c r="X109" s="102" t="str">
        <f>"－"</f>
        <v>－</v>
      </c>
      <c r="Y109" s="102"/>
      <c r="Z109" s="103"/>
      <c r="AA109" s="99"/>
      <c r="AB109" s="104">
        <f>1</f>
        <v>1</v>
      </c>
      <c r="AC109" s="104" t="str">
        <f t="shared" si="11"/>
        <v>－</v>
      </c>
      <c r="AD109" s="105" t="str">
        <f>"－"</f>
        <v>－</v>
      </c>
    </row>
    <row r="110" spans="1:30">
      <c r="A110" s="95" t="s">
        <v>46</v>
      </c>
      <c r="B110" s="96" t="s">
        <v>677</v>
      </c>
      <c r="C110" s="96" t="s">
        <v>678</v>
      </c>
      <c r="D110" s="96" t="s">
        <v>72</v>
      </c>
      <c r="E110" s="97" t="s">
        <v>355</v>
      </c>
      <c r="F110" s="97" t="s">
        <v>335</v>
      </c>
      <c r="G110" s="98">
        <v>10</v>
      </c>
      <c r="H110" s="99"/>
      <c r="I110" s="100" t="s">
        <v>138</v>
      </c>
      <c r="J110" s="99"/>
      <c r="K110" s="100" t="s">
        <v>138</v>
      </c>
      <c r="L110" s="99"/>
      <c r="M110" s="100"/>
      <c r="N110" s="99"/>
      <c r="O110" s="100" t="s">
        <v>138</v>
      </c>
      <c r="P110" s="99"/>
      <c r="Q110" s="100"/>
      <c r="R110" s="99"/>
      <c r="S110" s="100" t="s">
        <v>138</v>
      </c>
      <c r="T110" s="101">
        <f>70723.81</f>
        <v>70723.81</v>
      </c>
      <c r="U110" s="102" t="str">
        <f>"－"</f>
        <v>－</v>
      </c>
      <c r="V110" s="102"/>
      <c r="W110" s="102"/>
      <c r="X110" s="102" t="str">
        <f>"－"</f>
        <v>－</v>
      </c>
      <c r="Y110" s="102"/>
      <c r="Z110" s="103"/>
      <c r="AA110" s="99"/>
      <c r="AB110" s="104" t="str">
        <f>"－"</f>
        <v>－</v>
      </c>
      <c r="AC110" s="104" t="str">
        <f t="shared" ref="AC110:AC125" si="12">"－"</f>
        <v>－</v>
      </c>
      <c r="AD110" s="105" t="str">
        <f>"－"</f>
        <v>－</v>
      </c>
    </row>
    <row r="111" spans="1:30">
      <c r="A111" s="95" t="s">
        <v>46</v>
      </c>
      <c r="B111" s="96" t="s">
        <v>677</v>
      </c>
      <c r="C111" s="96" t="s">
        <v>678</v>
      </c>
      <c r="D111" s="96" t="s">
        <v>344</v>
      </c>
      <c r="E111" s="97" t="s">
        <v>50</v>
      </c>
      <c r="F111" s="97" t="s">
        <v>74</v>
      </c>
      <c r="G111" s="98">
        <v>10</v>
      </c>
      <c r="H111" s="99"/>
      <c r="I111" s="100" t="s">
        <v>138</v>
      </c>
      <c r="J111" s="99"/>
      <c r="K111" s="100" t="s">
        <v>138</v>
      </c>
      <c r="L111" s="99"/>
      <c r="M111" s="100"/>
      <c r="N111" s="99"/>
      <c r="O111" s="100" t="s">
        <v>138</v>
      </c>
      <c r="P111" s="99"/>
      <c r="Q111" s="100"/>
      <c r="R111" s="99"/>
      <c r="S111" s="100" t="s">
        <v>138</v>
      </c>
      <c r="T111" s="101">
        <f>73225</f>
        <v>73225</v>
      </c>
      <c r="U111" s="102" t="str">
        <f>"－"</f>
        <v>－</v>
      </c>
      <c r="V111" s="102"/>
      <c r="W111" s="102"/>
      <c r="X111" s="102" t="str">
        <f>"－"</f>
        <v>－</v>
      </c>
      <c r="Y111" s="102"/>
      <c r="Z111" s="103"/>
      <c r="AA111" s="99"/>
      <c r="AB111" s="104" t="str">
        <f>"－"</f>
        <v>－</v>
      </c>
      <c r="AC111" s="104" t="str">
        <f t="shared" si="12"/>
        <v>－</v>
      </c>
      <c r="AD111" s="105" t="str">
        <f>"－"</f>
        <v>－</v>
      </c>
    </row>
    <row r="112" spans="1:30">
      <c r="A112" s="95" t="s">
        <v>46</v>
      </c>
      <c r="B112" s="96" t="s">
        <v>683</v>
      </c>
      <c r="C112" s="96" t="s">
        <v>684</v>
      </c>
      <c r="D112" s="96" t="s">
        <v>264</v>
      </c>
      <c r="E112" s="97" t="s">
        <v>304</v>
      </c>
      <c r="F112" s="97" t="s">
        <v>109</v>
      </c>
      <c r="G112" s="98">
        <v>10</v>
      </c>
      <c r="H112" s="99" t="s">
        <v>51</v>
      </c>
      <c r="I112" s="100" t="s">
        <v>512</v>
      </c>
      <c r="J112" s="99" t="s">
        <v>53</v>
      </c>
      <c r="K112" s="100" t="s">
        <v>685</v>
      </c>
      <c r="L112" s="99" t="s">
        <v>53</v>
      </c>
      <c r="M112" s="100" t="s">
        <v>686</v>
      </c>
      <c r="N112" s="99" t="s">
        <v>51</v>
      </c>
      <c r="O112" s="100" t="s">
        <v>512</v>
      </c>
      <c r="P112" s="99" t="s">
        <v>248</v>
      </c>
      <c r="Q112" s="100" t="s">
        <v>474</v>
      </c>
      <c r="R112" s="99" t="s">
        <v>53</v>
      </c>
      <c r="S112" s="100" t="s">
        <v>680</v>
      </c>
      <c r="T112" s="101">
        <f>74262.35</f>
        <v>74262.350000000006</v>
      </c>
      <c r="U112" s="102">
        <f>818</f>
        <v>818</v>
      </c>
      <c r="V112" s="102">
        <v>333</v>
      </c>
      <c r="W112" s="102"/>
      <c r="X112" s="102">
        <f>636540000</f>
        <v>636540000</v>
      </c>
      <c r="Y112" s="102">
        <v>259917000</v>
      </c>
      <c r="Z112" s="103"/>
      <c r="AA112" s="99" t="s">
        <v>58</v>
      </c>
      <c r="AB112" s="104">
        <f>684</f>
        <v>684</v>
      </c>
      <c r="AC112" s="104" t="str">
        <f t="shared" si="12"/>
        <v>－</v>
      </c>
      <c r="AD112" s="105">
        <f>10</f>
        <v>10</v>
      </c>
    </row>
    <row r="113" spans="1:30">
      <c r="A113" s="95" t="s">
        <v>46</v>
      </c>
      <c r="B113" s="96" t="s">
        <v>683</v>
      </c>
      <c r="C113" s="96" t="s">
        <v>684</v>
      </c>
      <c r="D113" s="96" t="s">
        <v>59</v>
      </c>
      <c r="E113" s="97" t="s">
        <v>311</v>
      </c>
      <c r="F113" s="97" t="s">
        <v>444</v>
      </c>
      <c r="G113" s="98">
        <v>10</v>
      </c>
      <c r="H113" s="99" t="s">
        <v>51</v>
      </c>
      <c r="I113" s="100" t="s">
        <v>512</v>
      </c>
      <c r="J113" s="99" t="s">
        <v>105</v>
      </c>
      <c r="K113" s="100" t="s">
        <v>680</v>
      </c>
      <c r="L113" s="99" t="s">
        <v>56</v>
      </c>
      <c r="M113" s="100" t="s">
        <v>686</v>
      </c>
      <c r="N113" s="99" t="s">
        <v>51</v>
      </c>
      <c r="O113" s="100" t="s">
        <v>512</v>
      </c>
      <c r="P113" s="99" t="s">
        <v>56</v>
      </c>
      <c r="Q113" s="100" t="s">
        <v>686</v>
      </c>
      <c r="R113" s="99" t="s">
        <v>105</v>
      </c>
      <c r="S113" s="100" t="s">
        <v>687</v>
      </c>
      <c r="T113" s="101">
        <f>73795.24</f>
        <v>73795.240000000005</v>
      </c>
      <c r="U113" s="102">
        <f>203</f>
        <v>203</v>
      </c>
      <c r="V113" s="102">
        <v>5</v>
      </c>
      <c r="W113" s="102"/>
      <c r="X113" s="102">
        <f>156667500</f>
        <v>156667500</v>
      </c>
      <c r="Y113" s="102">
        <v>3925000</v>
      </c>
      <c r="Z113" s="103"/>
      <c r="AA113" s="99"/>
      <c r="AB113" s="104">
        <f>248</f>
        <v>248</v>
      </c>
      <c r="AC113" s="104" t="str">
        <f t="shared" si="12"/>
        <v>－</v>
      </c>
      <c r="AD113" s="105">
        <f>4</f>
        <v>4</v>
      </c>
    </row>
    <row r="114" spans="1:30">
      <c r="A114" s="95" t="s">
        <v>46</v>
      </c>
      <c r="B114" s="96" t="s">
        <v>683</v>
      </c>
      <c r="C114" s="96" t="s">
        <v>684</v>
      </c>
      <c r="D114" s="96" t="s">
        <v>279</v>
      </c>
      <c r="E114" s="97" t="s">
        <v>82</v>
      </c>
      <c r="F114" s="97" t="s">
        <v>482</v>
      </c>
      <c r="G114" s="98">
        <v>10</v>
      </c>
      <c r="H114" s="99" t="s">
        <v>51</v>
      </c>
      <c r="I114" s="100" t="s">
        <v>512</v>
      </c>
      <c r="J114" s="99" t="s">
        <v>105</v>
      </c>
      <c r="K114" s="100" t="s">
        <v>688</v>
      </c>
      <c r="L114" s="99"/>
      <c r="M114" s="100"/>
      <c r="N114" s="99" t="s">
        <v>51</v>
      </c>
      <c r="O114" s="100" t="s">
        <v>512</v>
      </c>
      <c r="P114" s="99"/>
      <c r="Q114" s="100"/>
      <c r="R114" s="99" t="s">
        <v>105</v>
      </c>
      <c r="S114" s="100" t="s">
        <v>507</v>
      </c>
      <c r="T114" s="101">
        <f>73223.81</f>
        <v>73223.81</v>
      </c>
      <c r="U114" s="102">
        <f>12</f>
        <v>12</v>
      </c>
      <c r="V114" s="102"/>
      <c r="W114" s="102"/>
      <c r="X114" s="102">
        <f>9101000</f>
        <v>9101000</v>
      </c>
      <c r="Y114" s="102"/>
      <c r="Z114" s="103"/>
      <c r="AA114" s="99"/>
      <c r="AB114" s="104">
        <f>67</f>
        <v>67</v>
      </c>
      <c r="AC114" s="104" t="str">
        <f t="shared" si="12"/>
        <v>－</v>
      </c>
      <c r="AD114" s="105">
        <f>3</f>
        <v>3</v>
      </c>
    </row>
    <row r="115" spans="1:30">
      <c r="A115" s="95" t="s">
        <v>46</v>
      </c>
      <c r="B115" s="96" t="s">
        <v>683</v>
      </c>
      <c r="C115" s="96" t="s">
        <v>684</v>
      </c>
      <c r="D115" s="96" t="s">
        <v>66</v>
      </c>
      <c r="E115" s="97" t="s">
        <v>487</v>
      </c>
      <c r="F115" s="97" t="s">
        <v>324</v>
      </c>
      <c r="G115" s="98">
        <v>10</v>
      </c>
      <c r="H115" s="99"/>
      <c r="I115" s="100" t="s">
        <v>138</v>
      </c>
      <c r="J115" s="99"/>
      <c r="K115" s="100" t="s">
        <v>138</v>
      </c>
      <c r="L115" s="99"/>
      <c r="M115" s="100"/>
      <c r="N115" s="99"/>
      <c r="O115" s="100" t="s">
        <v>138</v>
      </c>
      <c r="P115" s="99"/>
      <c r="Q115" s="100"/>
      <c r="R115" s="99"/>
      <c r="S115" s="100" t="s">
        <v>138</v>
      </c>
      <c r="T115" s="101">
        <f>72133.33</f>
        <v>72133.33</v>
      </c>
      <c r="U115" s="102" t="str">
        <f>"－"</f>
        <v>－</v>
      </c>
      <c r="V115" s="102"/>
      <c r="W115" s="102"/>
      <c r="X115" s="102" t="str">
        <f>"－"</f>
        <v>－</v>
      </c>
      <c r="Y115" s="102"/>
      <c r="Z115" s="103"/>
      <c r="AA115" s="99"/>
      <c r="AB115" s="104">
        <f>30</f>
        <v>30</v>
      </c>
      <c r="AC115" s="104" t="str">
        <f t="shared" si="12"/>
        <v>－</v>
      </c>
      <c r="AD115" s="105" t="str">
        <f>"－"</f>
        <v>－</v>
      </c>
    </row>
    <row r="116" spans="1:30">
      <c r="A116" s="95" t="s">
        <v>46</v>
      </c>
      <c r="B116" s="96" t="s">
        <v>683</v>
      </c>
      <c r="C116" s="96" t="s">
        <v>684</v>
      </c>
      <c r="D116" s="96" t="s">
        <v>286</v>
      </c>
      <c r="E116" s="97" t="s">
        <v>329</v>
      </c>
      <c r="F116" s="97" t="s">
        <v>492</v>
      </c>
      <c r="G116" s="98">
        <v>10</v>
      </c>
      <c r="H116" s="99"/>
      <c r="I116" s="100" t="s">
        <v>138</v>
      </c>
      <c r="J116" s="99"/>
      <c r="K116" s="100" t="s">
        <v>138</v>
      </c>
      <c r="L116" s="99"/>
      <c r="M116" s="100"/>
      <c r="N116" s="99"/>
      <c r="O116" s="100" t="s">
        <v>138</v>
      </c>
      <c r="P116" s="99"/>
      <c r="Q116" s="100"/>
      <c r="R116" s="99"/>
      <c r="S116" s="100" t="s">
        <v>138</v>
      </c>
      <c r="T116" s="101">
        <f>72123.81</f>
        <v>72123.81</v>
      </c>
      <c r="U116" s="102" t="str">
        <f>"－"</f>
        <v>－</v>
      </c>
      <c r="V116" s="102"/>
      <c r="W116" s="102"/>
      <c r="X116" s="102" t="str">
        <f>"－"</f>
        <v>－</v>
      </c>
      <c r="Y116" s="102"/>
      <c r="Z116" s="103"/>
      <c r="AA116" s="99"/>
      <c r="AB116" s="104">
        <f>4</f>
        <v>4</v>
      </c>
      <c r="AC116" s="104" t="str">
        <f t="shared" si="12"/>
        <v>－</v>
      </c>
      <c r="AD116" s="105" t="str">
        <f>"－"</f>
        <v>－</v>
      </c>
    </row>
    <row r="117" spans="1:30">
      <c r="A117" s="95" t="s">
        <v>46</v>
      </c>
      <c r="B117" s="96" t="s">
        <v>683</v>
      </c>
      <c r="C117" s="96" t="s">
        <v>684</v>
      </c>
      <c r="D117" s="96" t="s">
        <v>72</v>
      </c>
      <c r="E117" s="97" t="s">
        <v>355</v>
      </c>
      <c r="F117" s="97" t="s">
        <v>335</v>
      </c>
      <c r="G117" s="98">
        <v>10</v>
      </c>
      <c r="H117" s="99"/>
      <c r="I117" s="100" t="s">
        <v>138</v>
      </c>
      <c r="J117" s="99"/>
      <c r="K117" s="100" t="s">
        <v>138</v>
      </c>
      <c r="L117" s="99"/>
      <c r="M117" s="100"/>
      <c r="N117" s="99"/>
      <c r="O117" s="100" t="s">
        <v>138</v>
      </c>
      <c r="P117" s="99"/>
      <c r="Q117" s="100"/>
      <c r="R117" s="99"/>
      <c r="S117" s="100" t="s">
        <v>138</v>
      </c>
      <c r="T117" s="101">
        <f>72114.29</f>
        <v>72114.289999999994</v>
      </c>
      <c r="U117" s="102" t="str">
        <f>"－"</f>
        <v>－</v>
      </c>
      <c r="V117" s="102"/>
      <c r="W117" s="102"/>
      <c r="X117" s="102" t="str">
        <f>"－"</f>
        <v>－</v>
      </c>
      <c r="Y117" s="102"/>
      <c r="Z117" s="103"/>
      <c r="AA117" s="99"/>
      <c r="AB117" s="104" t="str">
        <f>"－"</f>
        <v>－</v>
      </c>
      <c r="AC117" s="104" t="str">
        <f t="shared" si="12"/>
        <v>－</v>
      </c>
      <c r="AD117" s="105" t="str">
        <f>"－"</f>
        <v>－</v>
      </c>
    </row>
    <row r="118" spans="1:30">
      <c r="A118" s="95" t="s">
        <v>46</v>
      </c>
      <c r="B118" s="96" t="s">
        <v>683</v>
      </c>
      <c r="C118" s="96" t="s">
        <v>684</v>
      </c>
      <c r="D118" s="96" t="s">
        <v>344</v>
      </c>
      <c r="E118" s="97" t="s">
        <v>50</v>
      </c>
      <c r="F118" s="97" t="s">
        <v>74</v>
      </c>
      <c r="G118" s="98">
        <v>10</v>
      </c>
      <c r="H118" s="99"/>
      <c r="I118" s="100" t="s">
        <v>138</v>
      </c>
      <c r="J118" s="99"/>
      <c r="K118" s="100" t="s">
        <v>138</v>
      </c>
      <c r="L118" s="99"/>
      <c r="M118" s="100"/>
      <c r="N118" s="99"/>
      <c r="O118" s="100" t="s">
        <v>138</v>
      </c>
      <c r="P118" s="99"/>
      <c r="Q118" s="100"/>
      <c r="R118" s="99"/>
      <c r="S118" s="100" t="s">
        <v>138</v>
      </c>
      <c r="T118" s="101">
        <f>75275</f>
        <v>75275</v>
      </c>
      <c r="U118" s="102" t="str">
        <f>"－"</f>
        <v>－</v>
      </c>
      <c r="V118" s="102"/>
      <c r="W118" s="102"/>
      <c r="X118" s="102" t="str">
        <f>"－"</f>
        <v>－</v>
      </c>
      <c r="Y118" s="102"/>
      <c r="Z118" s="103"/>
      <c r="AA118" s="99"/>
      <c r="AB118" s="104" t="str">
        <f>"－"</f>
        <v>－</v>
      </c>
      <c r="AC118" s="104" t="str">
        <f t="shared" si="12"/>
        <v>－</v>
      </c>
      <c r="AD118" s="105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2021-11-05T08:06:14Z</dcterms:modified>
</cp:coreProperties>
</file>