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B2E9FDBD-0D61-4D42-B4EB-A3CF1A844F8C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0" i="10" l="1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<sst xmlns="http://schemas.openxmlformats.org/spreadsheetml/2006/main" count="3423" uniqueCount="700">
  <si>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</si>
  <si>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</si>
  <si>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</si>
  <si>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</si>
  <si>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</si>
  <si>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</si>
  <si>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</si>
  <si>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</si>
  <si>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</si>
  <si>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</si>
  <si>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</si>
  <si>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</si>
  <si>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</si>
  <si>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</si>
  <si>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</si>
  <si>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</si>
  <si>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</si>
  <si>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</si>
  <si>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</si>
  <si>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</si>
  <si>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</si>
  <si>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</si>
  <si>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</si>
  <si>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</si>
  <si>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</si>
  <si>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</si>
  <si>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</si>
  <si>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</si>
  <si>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</si>
  <si>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</si>
  <si>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</si>
  <si>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</si>
  <si>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</si>
  <si>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</si>
  <si>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</si>
  <si>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</si>
  <si>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</si>
  <si>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</si>
  <si>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</si>
  <si>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</si>
  <si>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</si>
  <si>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</si>
  <si>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</si>
  <si>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</si>
  <si>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</si>
  <si>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</si>
  <si>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2022/04</t>
  </si>
  <si>
    <t>金標準先物</t>
  </si>
  <si>
    <t>Gold Standard Futures</t>
  </si>
  <si>
    <t>2021/04/27</t>
  </si>
  <si>
    <t>2022/04/25</t>
  </si>
  <si>
    <t>01</t>
  </si>
  <si>
    <t>7,535</t>
  </si>
  <si>
    <t>20</t>
  </si>
  <si>
    <t>8,136</t>
  </si>
  <si>
    <t>04</t>
  </si>
  <si>
    <t>7,613.0000</t>
  </si>
  <si>
    <t>7,532</t>
  </si>
  <si>
    <t>25</t>
  </si>
  <si>
    <t>7,936</t>
  </si>
  <si>
    <t>*</t>
  </si>
  <si>
    <t>2022/06</t>
  </si>
  <si>
    <t>2021/06/28</t>
  </si>
  <si>
    <t>2022/06/27</t>
  </si>
  <si>
    <t>7,557</t>
  </si>
  <si>
    <t>8,154</t>
  </si>
  <si>
    <t>7,547</t>
  </si>
  <si>
    <t>28</t>
  </si>
  <si>
    <t>7,831</t>
  </si>
  <si>
    <t>2022/08</t>
  </si>
  <si>
    <t>2021/08/27</t>
  </si>
  <si>
    <t>2022/08/26</t>
  </si>
  <si>
    <t>7,537</t>
  </si>
  <si>
    <t>8,159</t>
  </si>
  <si>
    <t>7,533</t>
  </si>
  <si>
    <t>7,822</t>
  </si>
  <si>
    <t>2022/10</t>
  </si>
  <si>
    <t>2021/10/27</t>
  </si>
  <si>
    <t>2022/10/26</t>
  </si>
  <si>
    <t>8,158</t>
  </si>
  <si>
    <t>08</t>
  </si>
  <si>
    <t>7,670.0000</t>
  </si>
  <si>
    <t>7,821</t>
  </si>
  <si>
    <t>2022/12</t>
  </si>
  <si>
    <t>2021/12/24</t>
  </si>
  <si>
    <t>2022/12/23</t>
  </si>
  <si>
    <t>7,520</t>
  </si>
  <si>
    <t>8,151</t>
  </si>
  <si>
    <t>7,519</t>
  </si>
  <si>
    <t>7,813</t>
  </si>
  <si>
    <t>2023/02</t>
  </si>
  <si>
    <t>2022/02/24</t>
  </si>
  <si>
    <t>2023/02/22</t>
  </si>
  <si>
    <t>7,516</t>
  </si>
  <si>
    <t>8,160</t>
  </si>
  <si>
    <t>26</t>
  </si>
  <si>
    <t>10,339.0000</t>
  </si>
  <si>
    <t>5,293.0000</t>
  </si>
  <si>
    <t>7,816</t>
  </si>
  <si>
    <t>2023/04</t>
  </si>
  <si>
    <t>2022/04/26</t>
  </si>
  <si>
    <t>2023/04/25</t>
  </si>
  <si>
    <t>7,794</t>
  </si>
  <si>
    <t>7,834</t>
  </si>
  <si>
    <t>7,733</t>
  </si>
  <si>
    <t>7,820</t>
  </si>
  <si>
    <t>金ミニ先物</t>
  </si>
  <si>
    <t>Gold Mini Futures</t>
  </si>
  <si>
    <t>2022/04/22</t>
  </si>
  <si>
    <t>7,569.0</t>
  </si>
  <si>
    <t>8,153.0</t>
  </si>
  <si>
    <t>22</t>
  </si>
  <si>
    <t>8,035.0</t>
  </si>
  <si>
    <t>2022/06/24</t>
  </si>
  <si>
    <t>7,625.0</t>
  </si>
  <si>
    <t>8,139.0</t>
  </si>
  <si>
    <t>7,566.0</t>
  </si>
  <si>
    <t>7,833.0</t>
  </si>
  <si>
    <t>2022/08/25</t>
  </si>
  <si>
    <t>7,573.0</t>
  </si>
  <si>
    <t>8,150.0</t>
  </si>
  <si>
    <t>7,818.0</t>
  </si>
  <si>
    <t>2022/10/25</t>
  </si>
  <si>
    <t>7,561.0</t>
  </si>
  <si>
    <t>7,552.0</t>
  </si>
  <si>
    <t>7,813.0</t>
  </si>
  <si>
    <t>2022/12/22</t>
  </si>
  <si>
    <t>7,517.0</t>
  </si>
  <si>
    <t>8,158.0</t>
  </si>
  <si>
    <t>7,804.0</t>
  </si>
  <si>
    <t>2023/02/21</t>
  </si>
  <si>
    <t>7,515.0</t>
  </si>
  <si>
    <t>8,160.0</t>
  </si>
  <si>
    <t>7,809.0</t>
  </si>
  <si>
    <t>2023/04/24</t>
  </si>
  <si>
    <t>7,797.0</t>
  </si>
  <si>
    <t>7,833.5</t>
  </si>
  <si>
    <t>7,732.0</t>
  </si>
  <si>
    <t>7,818.5</t>
  </si>
  <si>
    <t>金限日先物</t>
  </si>
  <si>
    <t>Gold Rolling-Spot Futures</t>
  </si>
  <si>
    <t>－</t>
  </si>
  <si>
    <t>7,566</t>
  </si>
  <si>
    <t>8,208</t>
  </si>
  <si>
    <t>14</t>
  </si>
  <si>
    <t>7,978.0000</t>
  </si>
  <si>
    <t>7,550</t>
  </si>
  <si>
    <t>06</t>
  </si>
  <si>
    <t>7,674.0000</t>
  </si>
  <si>
    <t>7,850</t>
  </si>
  <si>
    <t>銀先物</t>
  </si>
  <si>
    <t>Silver Futures</t>
  </si>
  <si>
    <t>97.4</t>
  </si>
  <si>
    <t>15</t>
  </si>
  <si>
    <t>103.1</t>
  </si>
  <si>
    <t>21</t>
  </si>
  <si>
    <t>104.0000</t>
  </si>
  <si>
    <t>18</t>
  </si>
  <si>
    <t>102.5</t>
  </si>
  <si>
    <t>98.2</t>
  </si>
  <si>
    <t>19</t>
  </si>
  <si>
    <t>106.0</t>
  </si>
  <si>
    <t>94.4</t>
  </si>
  <si>
    <t>11</t>
  </si>
  <si>
    <t>99.0</t>
  </si>
  <si>
    <t>106.3</t>
  </si>
  <si>
    <t>97.2</t>
  </si>
  <si>
    <t>05</t>
  </si>
  <si>
    <t>97.0</t>
  </si>
  <si>
    <t>97.3</t>
  </si>
  <si>
    <t>107.8</t>
  </si>
  <si>
    <t>95.5</t>
  </si>
  <si>
    <t>98.0</t>
  </si>
  <si>
    <t>97.6</t>
  </si>
  <si>
    <t>108.0</t>
  </si>
  <si>
    <t>96.4</t>
  </si>
  <si>
    <t>97.8</t>
  </si>
  <si>
    <t>100.5</t>
  </si>
  <si>
    <t>97.5</t>
  </si>
  <si>
    <t>97.7</t>
  </si>
  <si>
    <t>白金標準先物</t>
  </si>
  <si>
    <t>Platinum Standard Futures</t>
  </si>
  <si>
    <t>3,861</t>
  </si>
  <si>
    <t>4,159</t>
  </si>
  <si>
    <t>3,758</t>
  </si>
  <si>
    <t>3,805</t>
  </si>
  <si>
    <t>3,838</t>
  </si>
  <si>
    <t>4,179</t>
  </si>
  <si>
    <t>3,719</t>
  </si>
  <si>
    <t>3,793</t>
  </si>
  <si>
    <t>3,833</t>
  </si>
  <si>
    <t>4,168</t>
  </si>
  <si>
    <t>3,928.0000</t>
  </si>
  <si>
    <t>3,703</t>
  </si>
  <si>
    <t>3,770</t>
  </si>
  <si>
    <t>3,823</t>
  </si>
  <si>
    <t>4,172</t>
  </si>
  <si>
    <t>3,677</t>
  </si>
  <si>
    <t>3,766</t>
  </si>
  <si>
    <t>3,816</t>
  </si>
  <si>
    <t>4,183</t>
  </si>
  <si>
    <t>3,917.0000</t>
  </si>
  <si>
    <t>3,680</t>
  </si>
  <si>
    <t>3,773</t>
  </si>
  <si>
    <t>3,808</t>
  </si>
  <si>
    <t>4,180</t>
  </si>
  <si>
    <t>4,030.0000</t>
  </si>
  <si>
    <t>3,675</t>
  </si>
  <si>
    <t>3,681.0000</t>
  </si>
  <si>
    <t>3,764</t>
  </si>
  <si>
    <t>3,726</t>
  </si>
  <si>
    <t>3,683.0000</t>
  </si>
  <si>
    <t>27</t>
  </si>
  <si>
    <t>3,681</t>
  </si>
  <si>
    <t>3,756</t>
  </si>
  <si>
    <t>白金ミニ先物</t>
  </si>
  <si>
    <t>Platinum Mini Futures</t>
  </si>
  <si>
    <t>3,831.0</t>
  </si>
  <si>
    <t>4,171.0</t>
  </si>
  <si>
    <t>07</t>
  </si>
  <si>
    <t>3,751.0</t>
  </si>
  <si>
    <t>3,918.0</t>
  </si>
  <si>
    <t>3,878.0</t>
  </si>
  <si>
    <t>4,164.0</t>
  </si>
  <si>
    <t>3,723.5</t>
  </si>
  <si>
    <t>3,784.0</t>
  </si>
  <si>
    <t>3,906.0</t>
  </si>
  <si>
    <t>4,070.0</t>
  </si>
  <si>
    <t>3,703.0</t>
  </si>
  <si>
    <t>3,730.0</t>
  </si>
  <si>
    <t>3,791.0</t>
  </si>
  <si>
    <t>4,147.0</t>
  </si>
  <si>
    <t>3,689.0</t>
  </si>
  <si>
    <t>3,755.5</t>
  </si>
  <si>
    <t>3,813.0</t>
  </si>
  <si>
    <t>4,183.0</t>
  </si>
  <si>
    <t>3,682.0</t>
  </si>
  <si>
    <t>3,748.0</t>
  </si>
  <si>
    <t>3,810.0</t>
  </si>
  <si>
    <t>4,177.0</t>
  </si>
  <si>
    <t>3,674.0</t>
  </si>
  <si>
    <t>3,768.5</t>
  </si>
  <si>
    <t>3,741.0</t>
  </si>
  <si>
    <t>3,786.5</t>
  </si>
  <si>
    <t>3,680.0</t>
  </si>
  <si>
    <t>3,759.0</t>
  </si>
  <si>
    <t>白金限日先物</t>
  </si>
  <si>
    <t>Platinum Rolling-Spot Futures</t>
  </si>
  <si>
    <t>3,874</t>
  </si>
  <si>
    <t>4,250</t>
  </si>
  <si>
    <t>3,857</t>
  </si>
  <si>
    <t>パラジウム先物</t>
  </si>
  <si>
    <t>Palladium Futures</t>
  </si>
  <si>
    <t>12</t>
  </si>
  <si>
    <t>10,499</t>
  </si>
  <si>
    <t>9,210</t>
  </si>
  <si>
    <t>9,810</t>
  </si>
  <si>
    <t>9,180</t>
  </si>
  <si>
    <t>8,700</t>
  </si>
  <si>
    <t>10,480</t>
  </si>
  <si>
    <t>9,600</t>
  </si>
  <si>
    <t>CME原油等指数先物</t>
  </si>
  <si>
    <t>CME Petroleum Index Futures</t>
  </si>
  <si>
    <t>2021/10/04</t>
  </si>
  <si>
    <t>2022/04/01</t>
  </si>
  <si>
    <t>250.00</t>
  </si>
  <si>
    <t>247.50</t>
  </si>
  <si>
    <t>2022/05</t>
  </si>
  <si>
    <t>2021/11/02</t>
  </si>
  <si>
    <t>2022/05/02</t>
  </si>
  <si>
    <t>243.45</t>
  </si>
  <si>
    <t>268.55</t>
  </si>
  <si>
    <t>258.6000</t>
  </si>
  <si>
    <t>241.95</t>
  </si>
  <si>
    <t>259.45</t>
  </si>
  <si>
    <t>2021/12/02</t>
  </si>
  <si>
    <t>2022/06/01</t>
  </si>
  <si>
    <t>245.70</t>
  </si>
  <si>
    <t>2022/07</t>
  </si>
  <si>
    <t>2022/01/05</t>
  </si>
  <si>
    <t>2022/07/01</t>
  </si>
  <si>
    <t>2022/02/02</t>
  </si>
  <si>
    <t>2022/08/01</t>
  </si>
  <si>
    <t>230.00</t>
  </si>
  <si>
    <t>231.50</t>
  </si>
  <si>
    <t>2022/09</t>
  </si>
  <si>
    <t>2022/03/02</t>
  </si>
  <si>
    <t>2022/09/01</t>
  </si>
  <si>
    <t>13</t>
  </si>
  <si>
    <t>232.00</t>
  </si>
  <si>
    <t>2022/04/04</t>
  </si>
  <si>
    <t>2022/10/03</t>
  </si>
  <si>
    <t>ゴム（RSS3）先物</t>
  </si>
  <si>
    <t>RSS3 Rubber Futures</t>
  </si>
  <si>
    <t>2021/09/21</t>
  </si>
  <si>
    <t>258.0</t>
  </si>
  <si>
    <t>288.9</t>
  </si>
  <si>
    <t>267.6000</t>
  </si>
  <si>
    <t>257.3</t>
  </si>
  <si>
    <t>257.2000</t>
  </si>
  <si>
    <t>268.0</t>
  </si>
  <si>
    <t>2022/05/25</t>
  </si>
  <si>
    <t>259.5</t>
  </si>
  <si>
    <t>276.0</t>
  </si>
  <si>
    <t>241.3</t>
  </si>
  <si>
    <t>247.0</t>
  </si>
  <si>
    <t>258.5</t>
  </si>
  <si>
    <t>272.4</t>
  </si>
  <si>
    <t>247.0000</t>
  </si>
  <si>
    <t>242.0</t>
  </si>
  <si>
    <t>245.0</t>
  </si>
  <si>
    <t>2022/07/25</t>
  </si>
  <si>
    <t>256.1</t>
  </si>
  <si>
    <t>262.4000</t>
  </si>
  <si>
    <t>243.1</t>
  </si>
  <si>
    <t>244.4</t>
  </si>
  <si>
    <t>257.7</t>
  </si>
  <si>
    <t>272.5</t>
  </si>
  <si>
    <t>263.3000</t>
  </si>
  <si>
    <t>244.3</t>
  </si>
  <si>
    <t>246.6</t>
  </si>
  <si>
    <t>2021/09/27</t>
  </si>
  <si>
    <t>2022/09/26</t>
  </si>
  <si>
    <t>259.4</t>
  </si>
  <si>
    <t>275.1</t>
  </si>
  <si>
    <t>266.7000</t>
  </si>
  <si>
    <t>244.7</t>
  </si>
  <si>
    <t>246.1000</t>
  </si>
  <si>
    <t>247.9</t>
  </si>
  <si>
    <t>2021/10/26</t>
  </si>
  <si>
    <t>262.6</t>
  </si>
  <si>
    <t>271.8</t>
  </si>
  <si>
    <t>246.5</t>
  </si>
  <si>
    <t>249.6</t>
  </si>
  <si>
    <t>2022/11</t>
  </si>
  <si>
    <t>2021/11/25</t>
  </si>
  <si>
    <t>2022/11/24</t>
  </si>
  <si>
    <t>263.0</t>
  </si>
  <si>
    <t>274.8</t>
  </si>
  <si>
    <t>247.8</t>
  </si>
  <si>
    <t>248.2</t>
  </si>
  <si>
    <t>2021/12/23</t>
  </si>
  <si>
    <t>248.0</t>
  </si>
  <si>
    <t>249.0</t>
  </si>
  <si>
    <t>2023/01</t>
  </si>
  <si>
    <t>2022/01/26</t>
  </si>
  <si>
    <t>2023/01/25</t>
  </si>
  <si>
    <t>265.0</t>
  </si>
  <si>
    <t>270.0</t>
  </si>
  <si>
    <t>251.5</t>
  </si>
  <si>
    <t>2022/02/22</t>
  </si>
  <si>
    <t>273.8</t>
  </si>
  <si>
    <t>255.5</t>
  </si>
  <si>
    <t>256.7</t>
  </si>
  <si>
    <t>2023/03</t>
  </si>
  <si>
    <t>2022/03/28</t>
  </si>
  <si>
    <t>2023/03/27</t>
  </si>
  <si>
    <t>273.0</t>
  </si>
  <si>
    <t>255.7</t>
  </si>
  <si>
    <t>261.8</t>
  </si>
  <si>
    <t>255.1</t>
  </si>
  <si>
    <t>ゴム（TSR20）先物</t>
  </si>
  <si>
    <t>TSR20 Rubber Futures</t>
  </si>
  <si>
    <t>2022/04/28</t>
  </si>
  <si>
    <t>2022/05/31</t>
  </si>
  <si>
    <t>2022/06/30</t>
  </si>
  <si>
    <t>212.2</t>
  </si>
  <si>
    <t>217.2</t>
  </si>
  <si>
    <t>216.3</t>
  </si>
  <si>
    <t>2022/07/29</t>
  </si>
  <si>
    <t>218.0</t>
  </si>
  <si>
    <t>220.1</t>
  </si>
  <si>
    <t>217.4</t>
  </si>
  <si>
    <t>220.0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</si>
  <si>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</si>
  <si>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</si>
  <si>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</si>
  <si>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</si>
  <si>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</si>
  <si>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</si>
  <si>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</si>
  <si>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2022/01/04</t>
  </si>
  <si>
    <t>2022/12/30</t>
  </si>
  <si>
    <t>2022/02/01</t>
  </si>
  <si>
    <t>2023/01/31</t>
  </si>
  <si>
    <t>2022/03/01</t>
  </si>
  <si>
    <t>2023/02/28</t>
  </si>
  <si>
    <t>2023/03/31</t>
  </si>
  <si>
    <t>とうもろこし先物</t>
  </si>
  <si>
    <t>Corn Futures</t>
  </si>
  <si>
    <t>2021/04/16</t>
  </si>
  <si>
    <t>2022/04/15</t>
  </si>
  <si>
    <t>57,010</t>
  </si>
  <si>
    <t>60,000</t>
  </si>
  <si>
    <t>60,000.0000</t>
  </si>
  <si>
    <t>57,000</t>
  </si>
  <si>
    <t>2021/06/16</t>
  </si>
  <si>
    <t>2022/06/15</t>
  </si>
  <si>
    <t>54,750</t>
  </si>
  <si>
    <t>56,330.0000</t>
  </si>
  <si>
    <t>54,100</t>
  </si>
  <si>
    <t>56,750</t>
  </si>
  <si>
    <t>2021/08/16</t>
  </si>
  <si>
    <t>2022/08/15</t>
  </si>
  <si>
    <t>52,010</t>
  </si>
  <si>
    <t>58,500</t>
  </si>
  <si>
    <t>2021/10/18</t>
  </si>
  <si>
    <t>2022/10/14</t>
  </si>
  <si>
    <t>50,380</t>
  </si>
  <si>
    <t>56,000</t>
  </si>
  <si>
    <t>57,070.0000</t>
  </si>
  <si>
    <t>55,740</t>
  </si>
  <si>
    <t>2021/12/16</t>
  </si>
  <si>
    <t>2022/12/15</t>
  </si>
  <si>
    <t>50,020</t>
  </si>
  <si>
    <t>57,500</t>
  </si>
  <si>
    <t>55,740.0000</t>
  </si>
  <si>
    <t>2022/02/16</t>
  </si>
  <si>
    <t>2023/02/15</t>
  </si>
  <si>
    <t>49,990</t>
  </si>
  <si>
    <t>58,360</t>
  </si>
  <si>
    <t>56,310.0000</t>
  </si>
  <si>
    <t>49,820</t>
  </si>
  <si>
    <t>2023/05</t>
  </si>
  <si>
    <t>2022/04/18</t>
  </si>
  <si>
    <t>2023/04/14</t>
  </si>
  <si>
    <t>56,790</t>
  </si>
  <si>
    <t>58,830</t>
  </si>
  <si>
    <t>55,050</t>
  </si>
  <si>
    <t>58,400</t>
  </si>
  <si>
    <t>一般大豆先物</t>
  </si>
  <si>
    <t>Soybean Futures</t>
  </si>
  <si>
    <t>小豆先物</t>
  </si>
  <si>
    <t>Azuki (Red Bean) Futures</t>
  </si>
  <si>
    <t>2021/11/26</t>
  </si>
  <si>
    <t>2022/05/26</t>
  </si>
  <si>
    <t>2022/01/27</t>
  </si>
  <si>
    <t>2022/07/26</t>
  </si>
  <si>
    <t>2022/03/29</t>
  </si>
  <si>
    <t>2022/09/27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</si>
  <si>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</si>
  <si>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</si>
  <si>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</si>
  <si>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</si>
  <si>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</si>
  <si>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</si>
  <si>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</si>
  <si>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</si>
  <si>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</si>
  <si>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</si>
  <si>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</si>
  <si>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</si>
  <si>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</si>
  <si>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</si>
  <si>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</si>
  <si>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</si>
  <si>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</si>
  <si>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</si>
  <si>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</si>
  <si>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</si>
  <si>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</si>
  <si>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</si>
  <si>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</si>
  <si>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79,800</t>
  </si>
  <si>
    <t>80,000</t>
  </si>
  <si>
    <t>78,000.0000</t>
  </si>
  <si>
    <t>74,000</t>
  </si>
  <si>
    <t>74,000.0000</t>
  </si>
  <si>
    <t>76,330</t>
  </si>
  <si>
    <t>78,980</t>
  </si>
  <si>
    <t>72,370</t>
  </si>
  <si>
    <t>2021/12/27</t>
  </si>
  <si>
    <t>76,300</t>
  </si>
  <si>
    <t>76,990</t>
  </si>
  <si>
    <t>73,840</t>
  </si>
  <si>
    <t>74,760</t>
  </si>
  <si>
    <t>82,000</t>
  </si>
  <si>
    <t>83,000</t>
  </si>
  <si>
    <t>73,990</t>
  </si>
  <si>
    <t>74,320</t>
  </si>
  <si>
    <t>2022/02/28</t>
  </si>
  <si>
    <t>79,250</t>
  </si>
  <si>
    <t>80,780</t>
  </si>
  <si>
    <t>78,370.0000</t>
  </si>
  <si>
    <t>74,900</t>
  </si>
  <si>
    <t>75,000</t>
  </si>
  <si>
    <t>2022/09/22</t>
  </si>
  <si>
    <t>78,000</t>
  </si>
  <si>
    <t>83,290</t>
  </si>
  <si>
    <t>74,440</t>
  </si>
  <si>
    <t>バージ灯油先物</t>
  </si>
  <si>
    <t>Kerosene Futures</t>
  </si>
  <si>
    <t>77,950</t>
  </si>
  <si>
    <t>80,500</t>
  </si>
  <si>
    <t>76,000</t>
  </si>
  <si>
    <t>77,000</t>
  </si>
  <si>
    <t>79,000</t>
  </si>
  <si>
    <t>76,500</t>
  </si>
  <si>
    <t>76,520</t>
  </si>
  <si>
    <t>76,860</t>
  </si>
  <si>
    <t>77,520</t>
  </si>
  <si>
    <t>77,480</t>
  </si>
  <si>
    <t>75,130</t>
  </si>
  <si>
    <t>80,030</t>
  </si>
  <si>
    <t>76,720</t>
  </si>
  <si>
    <t>83,200</t>
  </si>
  <si>
    <t>79,680</t>
  </si>
  <si>
    <t>バージ軽油先物</t>
  </si>
  <si>
    <t>Gas Oil Futures</t>
  </si>
  <si>
    <t>プラッツドバイ原油先物</t>
  </si>
  <si>
    <t>Platts Dubai Crude Oil Futures</t>
  </si>
  <si>
    <t>83,280</t>
  </si>
  <si>
    <t>81,190.0000</t>
  </si>
  <si>
    <t>76,570</t>
  </si>
  <si>
    <t>81,250</t>
  </si>
  <si>
    <t>77,050</t>
  </si>
  <si>
    <t>87,190</t>
  </si>
  <si>
    <t>87,060.0000</t>
  </si>
  <si>
    <t>73,050</t>
  </si>
  <si>
    <t>73,950.0000</t>
  </si>
  <si>
    <t>81,600</t>
  </si>
  <si>
    <t>73,910</t>
  </si>
  <si>
    <t>85,490</t>
  </si>
  <si>
    <t>85,490.0000</t>
  </si>
  <si>
    <t>72,500</t>
  </si>
  <si>
    <t>78,710.0000</t>
  </si>
  <si>
    <t>80,480</t>
  </si>
  <si>
    <t>73,540</t>
  </si>
  <si>
    <t>83,950</t>
  </si>
  <si>
    <t>84,010.0000</t>
  </si>
  <si>
    <t>71,950</t>
  </si>
  <si>
    <t>76,650.0000</t>
  </si>
  <si>
    <t>79,090</t>
  </si>
  <si>
    <t>72,170</t>
  </si>
  <si>
    <t>82,970</t>
  </si>
  <si>
    <t>82,430.0000</t>
  </si>
  <si>
    <t>71,000</t>
  </si>
  <si>
    <t>73,560.0000</t>
  </si>
  <si>
    <t>77,770</t>
  </si>
  <si>
    <t>70,920</t>
  </si>
  <si>
    <t>81,720</t>
  </si>
  <si>
    <t>81,450.0000</t>
  </si>
  <si>
    <t>70,500</t>
  </si>
  <si>
    <t>72,200.0000</t>
  </si>
  <si>
    <t>76,340</t>
  </si>
  <si>
    <t>74,980</t>
  </si>
  <si>
    <t>79,980</t>
  </si>
  <si>
    <t>72,330</t>
  </si>
  <si>
    <t>75,500</t>
  </si>
  <si>
    <t>72,740</t>
  </si>
  <si>
    <t>70,000</t>
  </si>
  <si>
    <t>69,170</t>
  </si>
  <si>
    <t>72,430</t>
  </si>
  <si>
    <t>70,740</t>
  </si>
  <si>
    <t>70,090</t>
  </si>
  <si>
    <t>75,620</t>
  </si>
  <si>
    <t>68,780</t>
  </si>
  <si>
    <t>70,130</t>
  </si>
  <si>
    <t>67,990</t>
  </si>
  <si>
    <t>73,450</t>
  </si>
  <si>
    <t>67,960</t>
  </si>
  <si>
    <t>69,780</t>
  </si>
  <si>
    <t>2023/04/28</t>
  </si>
  <si>
    <t>71,210</t>
  </si>
  <si>
    <t>71,370</t>
  </si>
  <si>
    <t>2023/05/31</t>
  </si>
  <si>
    <t>64,160</t>
  </si>
  <si>
    <t>73,470</t>
  </si>
  <si>
    <t>68,320</t>
  </si>
  <si>
    <t>2023/06</t>
  </si>
  <si>
    <t>2023/06/30</t>
  </si>
  <si>
    <t>64,830</t>
  </si>
  <si>
    <t>73,290</t>
  </si>
  <si>
    <t>63,990</t>
  </si>
  <si>
    <t>68,500</t>
  </si>
  <si>
    <t>東エリア・ベースロード電力先物</t>
  </si>
  <si>
    <t>East Area Baseload Electricity Futures</t>
  </si>
  <si>
    <t>2021/02/01</t>
  </si>
  <si>
    <t>2021/03/01</t>
  </si>
  <si>
    <t>2022/05/30</t>
  </si>
  <si>
    <t>25.15</t>
  </si>
  <si>
    <t>21.00</t>
  </si>
  <si>
    <t>22.10</t>
  </si>
  <si>
    <t>2021/03/31</t>
  </si>
  <si>
    <t>2022/06/29</t>
  </si>
  <si>
    <t>28.5000</t>
  </si>
  <si>
    <t>23.0000</t>
  </si>
  <si>
    <t>2021/04/30</t>
  </si>
  <si>
    <t>29.40</t>
  </si>
  <si>
    <t>31.00</t>
  </si>
  <si>
    <t>30.1400</t>
  </si>
  <si>
    <t>2021/05/31</t>
  </si>
  <si>
    <t>2022/08/30</t>
  </si>
  <si>
    <t>34.24</t>
  </si>
  <si>
    <t>35.00</t>
  </si>
  <si>
    <t>2021/06/30</t>
  </si>
  <si>
    <t>2022/09/29</t>
  </si>
  <si>
    <t>27.00</t>
  </si>
  <si>
    <t>2021/08/02</t>
  </si>
  <si>
    <t>2022/10/28</t>
  </si>
  <si>
    <t>23.6500</t>
  </si>
  <si>
    <t>2021/08/31</t>
  </si>
  <si>
    <t>2022/11/29</t>
  </si>
  <si>
    <t>23.00</t>
  </si>
  <si>
    <t>2021/09/30</t>
  </si>
  <si>
    <t>2023/01/30</t>
  </si>
  <si>
    <t>30.00</t>
  </si>
  <si>
    <t>2021/11/30</t>
  </si>
  <si>
    <t>2023/02/27</t>
  </si>
  <si>
    <t>2023/03/30</t>
  </si>
  <si>
    <t>2022/01/31</t>
  </si>
  <si>
    <t>2023/05/30</t>
  </si>
  <si>
    <t>2022/03/31</t>
  </si>
  <si>
    <t>2023/06/29</t>
  </si>
  <si>
    <t>2023/07</t>
  </si>
  <si>
    <t>2023/07/28</t>
  </si>
  <si>
    <t>2023/08</t>
  </si>
  <si>
    <t>2023/08/30</t>
  </si>
  <si>
    <t>2023/09</t>
  </si>
  <si>
    <t>2023/09/29</t>
  </si>
  <si>
    <t>2023/10</t>
  </si>
  <si>
    <t>2023/10/30</t>
  </si>
  <si>
    <t>2023/11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</si>
  <si>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</si>
  <si>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</si>
  <si>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</si>
  <si>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</si>
  <si>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</si>
  <si>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</si>
  <si>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</si>
  <si>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</si>
  <si>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</si>
  <si>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西エリア・ベースロード電力先物</t>
  </si>
  <si>
    <t>West Area Baseload Electricity Futures</t>
  </si>
  <si>
    <t>17.01</t>
  </si>
  <si>
    <t>17.00</t>
  </si>
  <si>
    <t>19.50</t>
  </si>
  <si>
    <t>19.60</t>
  </si>
  <si>
    <t>18.50</t>
  </si>
  <si>
    <t>24.00</t>
  </si>
  <si>
    <t>25.5000</t>
  </si>
  <si>
    <t>20.00</t>
  </si>
  <si>
    <t>21.8000</t>
  </si>
  <si>
    <t>29.0000</t>
  </si>
  <si>
    <t>東エリア・日中ロード電力先物</t>
  </si>
  <si>
    <t>East Area Peakload Electricity Futures</t>
  </si>
  <si>
    <t>2021/01/29</t>
  </si>
  <si>
    <t>2022/04/27</t>
  </si>
  <si>
    <t>27.90</t>
  </si>
  <si>
    <t>2021/02/26</t>
  </si>
  <si>
    <t>25.20</t>
  </si>
  <si>
    <t>2022/07/28</t>
  </si>
  <si>
    <t>39.2700</t>
  </si>
  <si>
    <t>2021/07/30</t>
  </si>
  <si>
    <t>2022/12/28</t>
  </si>
  <si>
    <t>2021/10/29</t>
  </si>
  <si>
    <t>2021/12/29</t>
  </si>
  <si>
    <t>2023/04/27</t>
  </si>
  <si>
    <t>2023/09/28</t>
  </si>
  <si>
    <t>2023/12/28</t>
  </si>
  <si>
    <t>2024/03/28</t>
  </si>
  <si>
    <t>2024/04</t>
  </si>
  <si>
    <t>2024/04/26</t>
  </si>
  <si>
    <t>西エリア・日中ロード電力先物</t>
  </si>
  <si>
    <t>West Area Peakload Electricity Futures</t>
  </si>
  <si>
    <t>26.5000</t>
  </si>
  <si>
    <t>31.0000</t>
  </si>
  <si>
    <t>34.0000</t>
  </si>
  <si>
    <t>LNG（プラッツJKM）先物</t>
  </si>
  <si>
    <t>LNG（Platts JKM）Futures</t>
  </si>
  <si>
    <t>2022/05/13</t>
  </si>
  <si>
    <t>4,200.0</t>
  </si>
  <si>
    <t>3,550.0000</t>
  </si>
  <si>
    <t>4,150.0</t>
  </si>
  <si>
    <t>2022/07/15</t>
  </si>
  <si>
    <t>2022/09/15</t>
  </si>
  <si>
    <t>2022/11/15</t>
  </si>
  <si>
    <t>2023/01/13</t>
  </si>
  <si>
    <t>2023/03/15</t>
  </si>
  <si>
    <t>2023/05/15</t>
  </si>
  <si>
    <t>2023/06/15</t>
  </si>
  <si>
    <t>2023/07/14</t>
  </si>
  <si>
    <t>中京ローリーガソリン先物</t>
  </si>
  <si>
    <t>Chukyo Gasoline Futures</t>
  </si>
  <si>
    <t>81,000</t>
  </si>
  <si>
    <t>81,200</t>
  </si>
  <si>
    <t>76,050.0000</t>
  </si>
  <si>
    <t>75,800</t>
  </si>
  <si>
    <t>75,800.0000</t>
  </si>
  <si>
    <t>76,100</t>
  </si>
  <si>
    <t>76,400</t>
  </si>
  <si>
    <t>75,400</t>
  </si>
  <si>
    <t>76,200</t>
  </si>
  <si>
    <t>中京ローリー灯油先物</t>
  </si>
  <si>
    <t>Chukyo Kerosene Futures</t>
  </si>
  <si>
    <t>81,000.0000</t>
  </si>
  <si>
    <t>76,700.0000</t>
  </si>
  <si>
    <t>77,300</t>
  </si>
  <si>
    <t>79,500</t>
  </si>
  <si>
    <t>78,500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</si>
</sst>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BE323-C8E1-4F06-8677-C675CD59958F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 t="s">
        <v>55</v>
      </c>
      <c r="L7" s="6" t="s">
        <v>56</v>
      </c>
      <c r="M7" s="3" t="s">
        <v>51</v>
      </c>
      <c r="N7" s="6" t="s">
        <v>57</v>
      </c>
      <c r="O7" s="3" t="s">
        <v>55</v>
      </c>
      <c r="P7" s="6" t="s">
        <v>56</v>
      </c>
      <c r="Q7" s="3" t="s">
        <v>58</v>
      </c>
      <c r="R7" s="6" t="s">
        <v>59</v>
      </c>
      <c r="S7" s="5">
        <f>7857.06</f>
        <v>7857.06</v>
      </c>
      <c r="T7" s="4">
        <f>1472</f>
        <v>1472</v>
      </c>
      <c r="U7" s="4">
        <v>2</v>
      </c>
      <c r="V7" s="4">
        <v>7</v>
      </c>
      <c r="W7" s="4">
        <f>11520920000</f>
        <v>11520920000</v>
      </c>
      <c r="X7" s="4">
        <v>15226000</v>
      </c>
      <c r="Y7" s="4">
        <v>56374000</v>
      </c>
      <c r="Z7" s="3" t="s">
        <v>60</v>
      </c>
      <c r="AA7" s="2">
        <f>807</f>
        <v>807</v>
      </c>
      <c r="AB7" s="2" t="str">
        <f t="shared" ref="AB7:AB38" si="0">"－"</f>
        <v>－</v>
      </c>
      <c r="AC7" s="1">
        <f>17</f>
        <v>17</v>
      </c>
    </row>
    <row r="8" spans="1:29">
      <c r="A8" s="9" t="s">
        <v>46</v>
      </c>
      <c r="B8" s="8" t="s">
        <v>47</v>
      </c>
      <c r="C8" s="8" t="s">
        <v>48</v>
      </c>
      <c r="D8" s="8" t="s">
        <v>61</v>
      </c>
      <c r="E8" s="7" t="s">
        <v>62</v>
      </c>
      <c r="F8" s="7" t="s">
        <v>63</v>
      </c>
      <c r="G8" s="3" t="s">
        <v>51</v>
      </c>
      <c r="H8" s="6" t="s">
        <v>64</v>
      </c>
      <c r="I8" s="3" t="s">
        <v>53</v>
      </c>
      <c r="J8" s="6" t="s">
        <v>65</v>
      </c>
      <c r="K8" s="3"/>
      <c r="L8" s="6"/>
      <c r="M8" s="3" t="s">
        <v>51</v>
      </c>
      <c r="N8" s="6" t="s">
        <v>66</v>
      </c>
      <c r="O8" s="3"/>
      <c r="P8" s="6"/>
      <c r="Q8" s="3" t="s">
        <v>67</v>
      </c>
      <c r="R8" s="6" t="s">
        <v>68</v>
      </c>
      <c r="S8" s="5">
        <f>7855.1</f>
        <v>7855.1</v>
      </c>
      <c r="T8" s="4">
        <f>2379</f>
        <v>2379</v>
      </c>
      <c r="U8" s="4"/>
      <c r="V8" s="4">
        <v>109</v>
      </c>
      <c r="W8" s="4">
        <f>18727166000</f>
        <v>18727166000</v>
      </c>
      <c r="X8" s="4"/>
      <c r="Y8" s="4">
        <v>836575000</v>
      </c>
      <c r="Z8" s="3"/>
      <c r="AA8" s="2">
        <f>1053</f>
        <v>1053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69</v>
      </c>
      <c r="E9" s="7" t="s">
        <v>70</v>
      </c>
      <c r="F9" s="7" t="s">
        <v>71</v>
      </c>
      <c r="G9" s="3" t="s">
        <v>51</v>
      </c>
      <c r="H9" s="6" t="s">
        <v>72</v>
      </c>
      <c r="I9" s="3" t="s">
        <v>53</v>
      </c>
      <c r="J9" s="6" t="s">
        <v>73</v>
      </c>
      <c r="K9" s="3"/>
      <c r="L9" s="6"/>
      <c r="M9" s="3" t="s">
        <v>51</v>
      </c>
      <c r="N9" s="6" t="s">
        <v>74</v>
      </c>
      <c r="O9" s="3"/>
      <c r="P9" s="6"/>
      <c r="Q9" s="3" t="s">
        <v>67</v>
      </c>
      <c r="R9" s="6" t="s">
        <v>75</v>
      </c>
      <c r="S9" s="5">
        <f>7847.2</f>
        <v>7847.2</v>
      </c>
      <c r="T9" s="4">
        <f>3161</f>
        <v>3161</v>
      </c>
      <c r="U9" s="4"/>
      <c r="V9" s="4">
        <v>282</v>
      </c>
      <c r="W9" s="4">
        <f>24820834000</f>
        <v>24820834000</v>
      </c>
      <c r="X9" s="4"/>
      <c r="Y9" s="4">
        <v>2205424000</v>
      </c>
      <c r="Z9" s="3"/>
      <c r="AA9" s="2">
        <f>2667</f>
        <v>2667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76</v>
      </c>
      <c r="E10" s="7" t="s">
        <v>77</v>
      </c>
      <c r="F10" s="7" t="s">
        <v>78</v>
      </c>
      <c r="G10" s="3" t="s">
        <v>51</v>
      </c>
      <c r="H10" s="6" t="s">
        <v>52</v>
      </c>
      <c r="I10" s="3" t="s">
        <v>53</v>
      </c>
      <c r="J10" s="6" t="s">
        <v>79</v>
      </c>
      <c r="K10" s="3" t="s">
        <v>80</v>
      </c>
      <c r="L10" s="6" t="s">
        <v>81</v>
      </c>
      <c r="M10" s="3" t="s">
        <v>51</v>
      </c>
      <c r="N10" s="6" t="s">
        <v>52</v>
      </c>
      <c r="O10" s="3" t="s">
        <v>80</v>
      </c>
      <c r="P10" s="6" t="s">
        <v>81</v>
      </c>
      <c r="Q10" s="3" t="s">
        <v>67</v>
      </c>
      <c r="R10" s="6" t="s">
        <v>82</v>
      </c>
      <c r="S10" s="5">
        <f>7845</f>
        <v>7845</v>
      </c>
      <c r="T10" s="4">
        <f>4969</f>
        <v>4969</v>
      </c>
      <c r="U10" s="4">
        <v>30</v>
      </c>
      <c r="V10" s="4">
        <v>592</v>
      </c>
      <c r="W10" s="4">
        <f>39099544000</f>
        <v>39099544000</v>
      </c>
      <c r="X10" s="4">
        <v>230100000</v>
      </c>
      <c r="Y10" s="4">
        <v>4671241000</v>
      </c>
      <c r="Z10" s="3"/>
      <c r="AA10" s="2">
        <f>2315</f>
        <v>2315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83</v>
      </c>
      <c r="E11" s="7" t="s">
        <v>84</v>
      </c>
      <c r="F11" s="7" t="s">
        <v>85</v>
      </c>
      <c r="G11" s="3" t="s">
        <v>51</v>
      </c>
      <c r="H11" s="6" t="s">
        <v>86</v>
      </c>
      <c r="I11" s="3" t="s">
        <v>53</v>
      </c>
      <c r="J11" s="6" t="s">
        <v>87</v>
      </c>
      <c r="K11" s="3"/>
      <c r="L11" s="6"/>
      <c r="M11" s="3" t="s">
        <v>51</v>
      </c>
      <c r="N11" s="6" t="s">
        <v>88</v>
      </c>
      <c r="O11" s="3"/>
      <c r="P11" s="6"/>
      <c r="Q11" s="3" t="s">
        <v>67</v>
      </c>
      <c r="R11" s="6" t="s">
        <v>89</v>
      </c>
      <c r="S11" s="5">
        <f>7843.4</f>
        <v>7843.4</v>
      </c>
      <c r="T11" s="4">
        <f>31497</f>
        <v>31497</v>
      </c>
      <c r="U11" s="4"/>
      <c r="V11" s="4">
        <v>2325</v>
      </c>
      <c r="W11" s="4">
        <f>247428317000</f>
        <v>247428317000</v>
      </c>
      <c r="X11" s="4"/>
      <c r="Y11" s="4">
        <v>18350150000</v>
      </c>
      <c r="Z11" s="3"/>
      <c r="AA11" s="2">
        <f>6492</f>
        <v>6492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90</v>
      </c>
      <c r="E12" s="7" t="s">
        <v>91</v>
      </c>
      <c r="F12" s="7" t="s">
        <v>92</v>
      </c>
      <c r="G12" s="3" t="s">
        <v>51</v>
      </c>
      <c r="H12" s="6" t="s">
        <v>93</v>
      </c>
      <c r="I12" s="3" t="s">
        <v>53</v>
      </c>
      <c r="J12" s="6" t="s">
        <v>94</v>
      </c>
      <c r="K12" s="3" t="s">
        <v>95</v>
      </c>
      <c r="L12" s="6" t="s">
        <v>96</v>
      </c>
      <c r="M12" s="3" t="s">
        <v>51</v>
      </c>
      <c r="N12" s="6" t="s">
        <v>93</v>
      </c>
      <c r="O12" s="3" t="s">
        <v>95</v>
      </c>
      <c r="P12" s="6" t="s">
        <v>97</v>
      </c>
      <c r="Q12" s="3" t="s">
        <v>67</v>
      </c>
      <c r="R12" s="6" t="s">
        <v>98</v>
      </c>
      <c r="S12" s="5">
        <f>7844.7</f>
        <v>7844.7</v>
      </c>
      <c r="T12" s="4">
        <f>524625</f>
        <v>524625</v>
      </c>
      <c r="U12" s="4">
        <v>8</v>
      </c>
      <c r="V12" s="4">
        <v>3801</v>
      </c>
      <c r="W12" s="4">
        <f>4119814711000</f>
        <v>4119814711000</v>
      </c>
      <c r="X12" s="4">
        <v>62306000</v>
      </c>
      <c r="Y12" s="4">
        <v>29849661000</v>
      </c>
      <c r="Z12" s="3"/>
      <c r="AA12" s="2">
        <f>21924</f>
        <v>21924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47</v>
      </c>
      <c r="C13" s="8" t="s">
        <v>48</v>
      </c>
      <c r="D13" s="8" t="s">
        <v>99</v>
      </c>
      <c r="E13" s="7" t="s">
        <v>100</v>
      </c>
      <c r="F13" s="7" t="s">
        <v>101</v>
      </c>
      <c r="G13" s="3" t="s">
        <v>95</v>
      </c>
      <c r="H13" s="6" t="s">
        <v>102</v>
      </c>
      <c r="I13" s="3" t="s">
        <v>95</v>
      </c>
      <c r="J13" s="6" t="s">
        <v>103</v>
      </c>
      <c r="K13" s="3"/>
      <c r="L13" s="6"/>
      <c r="M13" s="3" t="s">
        <v>67</v>
      </c>
      <c r="N13" s="6" t="s">
        <v>104</v>
      </c>
      <c r="O13" s="3"/>
      <c r="P13" s="6"/>
      <c r="Q13" s="3" t="s">
        <v>67</v>
      </c>
      <c r="R13" s="6" t="s">
        <v>105</v>
      </c>
      <c r="S13" s="5">
        <f>7805.33</f>
        <v>7805.33</v>
      </c>
      <c r="T13" s="4">
        <f>46180</f>
        <v>46180</v>
      </c>
      <c r="U13" s="4"/>
      <c r="V13" s="4">
        <v>1522</v>
      </c>
      <c r="W13" s="4">
        <f>359398191000</f>
        <v>359398191000</v>
      </c>
      <c r="X13" s="4"/>
      <c r="Y13" s="4">
        <v>11849485000</v>
      </c>
      <c r="Z13" s="3"/>
      <c r="AA13" s="2">
        <f>4942</f>
        <v>4942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106</v>
      </c>
      <c r="C14" s="8" t="s">
        <v>107</v>
      </c>
      <c r="D14" s="8" t="s">
        <v>46</v>
      </c>
      <c r="E14" s="7" t="s">
        <v>49</v>
      </c>
      <c r="F14" s="7" t="s">
        <v>108</v>
      </c>
      <c r="G14" s="3" t="s">
        <v>51</v>
      </c>
      <c r="H14" s="6" t="s">
        <v>109</v>
      </c>
      <c r="I14" s="3" t="s">
        <v>53</v>
      </c>
      <c r="J14" s="6" t="s">
        <v>110</v>
      </c>
      <c r="K14" s="3"/>
      <c r="L14" s="6"/>
      <c r="M14" s="3" t="s">
        <v>51</v>
      </c>
      <c r="N14" s="6" t="s">
        <v>109</v>
      </c>
      <c r="O14" s="3"/>
      <c r="P14" s="6"/>
      <c r="Q14" s="3" t="s">
        <v>111</v>
      </c>
      <c r="R14" s="6" t="s">
        <v>112</v>
      </c>
      <c r="S14" s="5">
        <f>7850.88</f>
        <v>7850.88</v>
      </c>
      <c r="T14" s="4">
        <f>350</f>
        <v>350</v>
      </c>
      <c r="U14" s="4"/>
      <c r="V14" s="4">
        <v>129</v>
      </c>
      <c r="W14" s="4">
        <f>275535400</f>
        <v>275535400</v>
      </c>
      <c r="X14" s="4"/>
      <c r="Y14" s="4">
        <v>99803700</v>
      </c>
      <c r="Z14" s="3" t="s">
        <v>60</v>
      </c>
      <c r="AA14" s="2">
        <f>848</f>
        <v>848</v>
      </c>
      <c r="AB14" s="2" t="str">
        <f t="shared" si="0"/>
        <v>－</v>
      </c>
      <c r="AC14" s="1">
        <f>15</f>
        <v>15</v>
      </c>
    </row>
    <row r="15" spans="1:29">
      <c r="A15" s="9" t="s">
        <v>46</v>
      </c>
      <c r="B15" s="8" t="s">
        <v>106</v>
      </c>
      <c r="C15" s="8" t="s">
        <v>107</v>
      </c>
      <c r="D15" s="8" t="s">
        <v>61</v>
      </c>
      <c r="E15" s="7" t="s">
        <v>62</v>
      </c>
      <c r="F15" s="7" t="s">
        <v>113</v>
      </c>
      <c r="G15" s="3" t="s">
        <v>55</v>
      </c>
      <c r="H15" s="6" t="s">
        <v>114</v>
      </c>
      <c r="I15" s="3" t="s">
        <v>53</v>
      </c>
      <c r="J15" s="6" t="s">
        <v>115</v>
      </c>
      <c r="K15" s="3"/>
      <c r="L15" s="6"/>
      <c r="M15" s="3" t="s">
        <v>55</v>
      </c>
      <c r="N15" s="6" t="s">
        <v>116</v>
      </c>
      <c r="O15" s="3"/>
      <c r="P15" s="6"/>
      <c r="Q15" s="3" t="s">
        <v>67</v>
      </c>
      <c r="R15" s="6" t="s">
        <v>117</v>
      </c>
      <c r="S15" s="5">
        <f>7855.1</f>
        <v>7855.1</v>
      </c>
      <c r="T15" s="4">
        <f>410</f>
        <v>410</v>
      </c>
      <c r="U15" s="4"/>
      <c r="V15" s="4">
        <v>129</v>
      </c>
      <c r="W15" s="4">
        <f>319801400</f>
        <v>319801400</v>
      </c>
      <c r="X15" s="4"/>
      <c r="Y15" s="4">
        <v>99793700</v>
      </c>
      <c r="Z15" s="3"/>
      <c r="AA15" s="2">
        <f>995</f>
        <v>995</v>
      </c>
      <c r="AB15" s="2" t="str">
        <f t="shared" si="0"/>
        <v>－</v>
      </c>
      <c r="AC15" s="1">
        <f>18</f>
        <v>18</v>
      </c>
    </row>
    <row r="16" spans="1:29">
      <c r="A16" s="9" t="s">
        <v>46</v>
      </c>
      <c r="B16" s="8" t="s">
        <v>106</v>
      </c>
      <c r="C16" s="8" t="s">
        <v>107</v>
      </c>
      <c r="D16" s="8" t="s">
        <v>69</v>
      </c>
      <c r="E16" s="7" t="s">
        <v>70</v>
      </c>
      <c r="F16" s="7" t="s">
        <v>118</v>
      </c>
      <c r="G16" s="3" t="s">
        <v>55</v>
      </c>
      <c r="H16" s="6" t="s">
        <v>119</v>
      </c>
      <c r="I16" s="3" t="s">
        <v>53</v>
      </c>
      <c r="J16" s="6" t="s">
        <v>120</v>
      </c>
      <c r="K16" s="3"/>
      <c r="L16" s="6"/>
      <c r="M16" s="3" t="s">
        <v>55</v>
      </c>
      <c r="N16" s="6" t="s">
        <v>119</v>
      </c>
      <c r="O16" s="3"/>
      <c r="P16" s="6"/>
      <c r="Q16" s="3" t="s">
        <v>67</v>
      </c>
      <c r="R16" s="6" t="s">
        <v>121</v>
      </c>
      <c r="S16" s="5">
        <f>7847.2</f>
        <v>7847.2</v>
      </c>
      <c r="T16" s="4">
        <f>200</f>
        <v>200</v>
      </c>
      <c r="U16" s="4"/>
      <c r="V16" s="4"/>
      <c r="W16" s="4">
        <f>158385750</f>
        <v>158385750</v>
      </c>
      <c r="X16" s="4"/>
      <c r="Y16" s="4"/>
      <c r="Z16" s="3"/>
      <c r="AA16" s="2">
        <f>2407</f>
        <v>2407</v>
      </c>
      <c r="AB16" s="2" t="str">
        <f t="shared" si="0"/>
        <v>－</v>
      </c>
      <c r="AC16" s="1">
        <f>14</f>
        <v>14</v>
      </c>
    </row>
    <row r="17" spans="1:29">
      <c r="A17" s="9" t="s">
        <v>46</v>
      </c>
      <c r="B17" s="8" t="s">
        <v>106</v>
      </c>
      <c r="C17" s="8" t="s">
        <v>107</v>
      </c>
      <c r="D17" s="8" t="s">
        <v>76</v>
      </c>
      <c r="E17" s="7" t="s">
        <v>77</v>
      </c>
      <c r="F17" s="7" t="s">
        <v>122</v>
      </c>
      <c r="G17" s="3" t="s">
        <v>51</v>
      </c>
      <c r="H17" s="6" t="s">
        <v>123</v>
      </c>
      <c r="I17" s="3" t="s">
        <v>53</v>
      </c>
      <c r="J17" s="6" t="s">
        <v>120</v>
      </c>
      <c r="K17" s="3"/>
      <c r="L17" s="6"/>
      <c r="M17" s="3" t="s">
        <v>51</v>
      </c>
      <c r="N17" s="6" t="s">
        <v>124</v>
      </c>
      <c r="O17" s="3"/>
      <c r="P17" s="6"/>
      <c r="Q17" s="3" t="s">
        <v>67</v>
      </c>
      <c r="R17" s="6" t="s">
        <v>125</v>
      </c>
      <c r="S17" s="5">
        <f>7845</f>
        <v>7845</v>
      </c>
      <c r="T17" s="4">
        <f>332</f>
        <v>332</v>
      </c>
      <c r="U17" s="4"/>
      <c r="V17" s="4"/>
      <c r="W17" s="4">
        <f>261400250</f>
        <v>261400250</v>
      </c>
      <c r="X17" s="4"/>
      <c r="Y17" s="4"/>
      <c r="Z17" s="3"/>
      <c r="AA17" s="2">
        <f>734</f>
        <v>734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106</v>
      </c>
      <c r="C18" s="8" t="s">
        <v>107</v>
      </c>
      <c r="D18" s="8" t="s">
        <v>83</v>
      </c>
      <c r="E18" s="7" t="s">
        <v>84</v>
      </c>
      <c r="F18" s="7" t="s">
        <v>126</v>
      </c>
      <c r="G18" s="3" t="s">
        <v>51</v>
      </c>
      <c r="H18" s="6" t="s">
        <v>127</v>
      </c>
      <c r="I18" s="3" t="s">
        <v>53</v>
      </c>
      <c r="J18" s="6" t="s">
        <v>128</v>
      </c>
      <c r="K18" s="3"/>
      <c r="L18" s="6"/>
      <c r="M18" s="3" t="s">
        <v>51</v>
      </c>
      <c r="N18" s="6" t="s">
        <v>127</v>
      </c>
      <c r="O18" s="3"/>
      <c r="P18" s="6"/>
      <c r="Q18" s="3" t="s">
        <v>67</v>
      </c>
      <c r="R18" s="6" t="s">
        <v>129</v>
      </c>
      <c r="S18" s="5">
        <f>7843.4</f>
        <v>7843.4</v>
      </c>
      <c r="T18" s="4">
        <f>11836</f>
        <v>11836</v>
      </c>
      <c r="U18" s="4"/>
      <c r="V18" s="4"/>
      <c r="W18" s="4">
        <f>9297626650</f>
        <v>9297626650</v>
      </c>
      <c r="X18" s="4"/>
      <c r="Y18" s="4"/>
      <c r="Z18" s="3"/>
      <c r="AA18" s="2">
        <f>1337</f>
        <v>1337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106</v>
      </c>
      <c r="C19" s="8" t="s">
        <v>107</v>
      </c>
      <c r="D19" s="8" t="s">
        <v>90</v>
      </c>
      <c r="E19" s="7" t="s">
        <v>91</v>
      </c>
      <c r="F19" s="7" t="s">
        <v>130</v>
      </c>
      <c r="G19" s="3" t="s">
        <v>51</v>
      </c>
      <c r="H19" s="6" t="s">
        <v>131</v>
      </c>
      <c r="I19" s="3" t="s">
        <v>53</v>
      </c>
      <c r="J19" s="6" t="s">
        <v>132</v>
      </c>
      <c r="K19" s="3"/>
      <c r="L19" s="6"/>
      <c r="M19" s="3" t="s">
        <v>51</v>
      </c>
      <c r="N19" s="6" t="s">
        <v>131</v>
      </c>
      <c r="O19" s="3"/>
      <c r="P19" s="6"/>
      <c r="Q19" s="3" t="s">
        <v>67</v>
      </c>
      <c r="R19" s="6" t="s">
        <v>133</v>
      </c>
      <c r="S19" s="5">
        <f>7844.7</f>
        <v>7844.7</v>
      </c>
      <c r="T19" s="4">
        <f>163720</f>
        <v>163720</v>
      </c>
      <c r="U19" s="4"/>
      <c r="V19" s="4"/>
      <c r="W19" s="4">
        <f>128539457400</f>
        <v>128539457400</v>
      </c>
      <c r="X19" s="4"/>
      <c r="Y19" s="4"/>
      <c r="Z19" s="3"/>
      <c r="AA19" s="2">
        <f>3855</f>
        <v>3855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106</v>
      </c>
      <c r="C20" s="8" t="s">
        <v>107</v>
      </c>
      <c r="D20" s="8" t="s">
        <v>99</v>
      </c>
      <c r="E20" s="7" t="s">
        <v>100</v>
      </c>
      <c r="F20" s="7" t="s">
        <v>134</v>
      </c>
      <c r="G20" s="3" t="s">
        <v>95</v>
      </c>
      <c r="H20" s="6" t="s">
        <v>135</v>
      </c>
      <c r="I20" s="3" t="s">
        <v>95</v>
      </c>
      <c r="J20" s="6" t="s">
        <v>136</v>
      </c>
      <c r="K20" s="3"/>
      <c r="L20" s="6"/>
      <c r="M20" s="3" t="s">
        <v>67</v>
      </c>
      <c r="N20" s="6" t="s">
        <v>137</v>
      </c>
      <c r="O20" s="3"/>
      <c r="P20" s="6"/>
      <c r="Q20" s="3" t="s">
        <v>67</v>
      </c>
      <c r="R20" s="6" t="s">
        <v>138</v>
      </c>
      <c r="S20" s="5">
        <f>7805.33</f>
        <v>7805.33</v>
      </c>
      <c r="T20" s="4">
        <f>11406</f>
        <v>11406</v>
      </c>
      <c r="U20" s="4"/>
      <c r="V20" s="4"/>
      <c r="W20" s="4">
        <f>8873360250</f>
        <v>8873360250</v>
      </c>
      <c r="X20" s="4"/>
      <c r="Y20" s="4"/>
      <c r="Z20" s="3"/>
      <c r="AA20" s="2">
        <f>932</f>
        <v>932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139</v>
      </c>
      <c r="C21" s="8" t="s">
        <v>140</v>
      </c>
      <c r="D21" s="8" t="s">
        <v>141</v>
      </c>
      <c r="E21" s="7" t="s">
        <v>141</v>
      </c>
      <c r="F21" s="7" t="s">
        <v>141</v>
      </c>
      <c r="G21" s="3" t="s">
        <v>51</v>
      </c>
      <c r="H21" s="6" t="s">
        <v>142</v>
      </c>
      <c r="I21" s="3" t="s">
        <v>53</v>
      </c>
      <c r="J21" s="6" t="s">
        <v>143</v>
      </c>
      <c r="K21" s="3" t="s">
        <v>144</v>
      </c>
      <c r="L21" s="6" t="s">
        <v>145</v>
      </c>
      <c r="M21" s="3" t="s">
        <v>51</v>
      </c>
      <c r="N21" s="6" t="s">
        <v>146</v>
      </c>
      <c r="O21" s="3" t="s">
        <v>147</v>
      </c>
      <c r="P21" s="6" t="s">
        <v>148</v>
      </c>
      <c r="Q21" s="3" t="s">
        <v>67</v>
      </c>
      <c r="R21" s="6" t="s">
        <v>149</v>
      </c>
      <c r="S21" s="5">
        <f>7854.95</f>
        <v>7854.95</v>
      </c>
      <c r="T21" s="4">
        <f>105234</f>
        <v>105234</v>
      </c>
      <c r="U21" s="4">
        <v>26</v>
      </c>
      <c r="V21" s="4"/>
      <c r="W21" s="4">
        <f>83187877100</f>
        <v>83187877100</v>
      </c>
      <c r="X21" s="4">
        <v>20533400</v>
      </c>
      <c r="Y21" s="4"/>
      <c r="Z21" s="3"/>
      <c r="AA21" s="2">
        <f>55309</f>
        <v>55309</v>
      </c>
      <c r="AB21" s="2" t="str">
        <f t="shared" si="0"/>
        <v>－</v>
      </c>
      <c r="AC21" s="1">
        <f>20</f>
        <v>20</v>
      </c>
    </row>
    <row r="22" spans="1:29">
      <c r="A22" s="9" t="s">
        <v>46</v>
      </c>
      <c r="B22" s="8" t="s">
        <v>150</v>
      </c>
      <c r="C22" s="8" t="s">
        <v>151</v>
      </c>
      <c r="D22" s="8" t="s">
        <v>46</v>
      </c>
      <c r="E22" s="7" t="s">
        <v>49</v>
      </c>
      <c r="F22" s="7" t="s">
        <v>50</v>
      </c>
      <c r="G22" s="3" t="s">
        <v>147</v>
      </c>
      <c r="H22" s="6" t="s">
        <v>152</v>
      </c>
      <c r="I22" s="3" t="s">
        <v>153</v>
      </c>
      <c r="J22" s="6" t="s">
        <v>154</v>
      </c>
      <c r="K22" s="3" t="s">
        <v>155</v>
      </c>
      <c r="L22" s="6" t="s">
        <v>156</v>
      </c>
      <c r="M22" s="3" t="s">
        <v>147</v>
      </c>
      <c r="N22" s="6" t="s">
        <v>152</v>
      </c>
      <c r="O22" s="3" t="s">
        <v>155</v>
      </c>
      <c r="P22" s="6" t="s">
        <v>156</v>
      </c>
      <c r="Q22" s="3" t="s">
        <v>157</v>
      </c>
      <c r="R22" s="6" t="s">
        <v>158</v>
      </c>
      <c r="S22" s="5">
        <f>101.24</f>
        <v>101.24</v>
      </c>
      <c r="T22" s="4">
        <f>44</f>
        <v>44</v>
      </c>
      <c r="U22" s="4">
        <v>1</v>
      </c>
      <c r="V22" s="4">
        <v>7</v>
      </c>
      <c r="W22" s="4">
        <f>44347000</f>
        <v>44347000</v>
      </c>
      <c r="X22" s="4">
        <v>1040000</v>
      </c>
      <c r="Y22" s="4">
        <v>6853000</v>
      </c>
      <c r="Z22" s="3" t="s">
        <v>60</v>
      </c>
      <c r="AA22" s="2">
        <f>45</f>
        <v>45</v>
      </c>
      <c r="AB22" s="2" t="str">
        <f t="shared" si="0"/>
        <v>－</v>
      </c>
      <c r="AC22" s="1">
        <f>7</f>
        <v>7</v>
      </c>
    </row>
    <row r="23" spans="1:29">
      <c r="A23" s="9" t="s">
        <v>46</v>
      </c>
      <c r="B23" s="8" t="s">
        <v>150</v>
      </c>
      <c r="C23" s="8" t="s">
        <v>151</v>
      </c>
      <c r="D23" s="8" t="s">
        <v>61</v>
      </c>
      <c r="E23" s="7" t="s">
        <v>62</v>
      </c>
      <c r="F23" s="7" t="s">
        <v>63</v>
      </c>
      <c r="G23" s="3" t="s">
        <v>80</v>
      </c>
      <c r="H23" s="6" t="s">
        <v>159</v>
      </c>
      <c r="I23" s="3" t="s">
        <v>160</v>
      </c>
      <c r="J23" s="6" t="s">
        <v>161</v>
      </c>
      <c r="K23" s="3"/>
      <c r="L23" s="6"/>
      <c r="M23" s="3" t="s">
        <v>67</v>
      </c>
      <c r="N23" s="6" t="s">
        <v>162</v>
      </c>
      <c r="O23" s="3"/>
      <c r="P23" s="6"/>
      <c r="Q23" s="3" t="s">
        <v>67</v>
      </c>
      <c r="R23" s="6" t="s">
        <v>162</v>
      </c>
      <c r="S23" s="5">
        <f>100.64</f>
        <v>100.64</v>
      </c>
      <c r="T23" s="4">
        <f>41</f>
        <v>41</v>
      </c>
      <c r="U23" s="4"/>
      <c r="V23" s="4">
        <v>1</v>
      </c>
      <c r="W23" s="4">
        <f>42069000</f>
        <v>42069000</v>
      </c>
      <c r="X23" s="4"/>
      <c r="Y23" s="4">
        <v>1038000</v>
      </c>
      <c r="Z23" s="3"/>
      <c r="AA23" s="2">
        <f>61</f>
        <v>61</v>
      </c>
      <c r="AB23" s="2" t="str">
        <f t="shared" si="0"/>
        <v>－</v>
      </c>
      <c r="AC23" s="1">
        <f>10</f>
        <v>10</v>
      </c>
    </row>
    <row r="24" spans="1:29">
      <c r="A24" s="9" t="s">
        <v>46</v>
      </c>
      <c r="B24" s="8" t="s">
        <v>150</v>
      </c>
      <c r="C24" s="8" t="s">
        <v>151</v>
      </c>
      <c r="D24" s="8" t="s">
        <v>69</v>
      </c>
      <c r="E24" s="7" t="s">
        <v>70</v>
      </c>
      <c r="F24" s="7" t="s">
        <v>71</v>
      </c>
      <c r="G24" s="3" t="s">
        <v>163</v>
      </c>
      <c r="H24" s="6" t="s">
        <v>164</v>
      </c>
      <c r="I24" s="3" t="s">
        <v>160</v>
      </c>
      <c r="J24" s="6" t="s">
        <v>165</v>
      </c>
      <c r="K24" s="3"/>
      <c r="L24" s="6"/>
      <c r="M24" s="3" t="s">
        <v>67</v>
      </c>
      <c r="N24" s="6" t="s">
        <v>159</v>
      </c>
      <c r="O24" s="3"/>
      <c r="P24" s="6"/>
      <c r="Q24" s="3" t="s">
        <v>67</v>
      </c>
      <c r="R24" s="6" t="s">
        <v>159</v>
      </c>
      <c r="S24" s="5">
        <f>100.52</f>
        <v>100.52</v>
      </c>
      <c r="T24" s="4">
        <f>51</f>
        <v>51</v>
      </c>
      <c r="U24" s="4"/>
      <c r="V24" s="4">
        <v>21</v>
      </c>
      <c r="W24" s="4">
        <f>51158000</f>
        <v>51158000</v>
      </c>
      <c r="X24" s="4"/>
      <c r="Y24" s="4">
        <v>20495000</v>
      </c>
      <c r="Z24" s="3"/>
      <c r="AA24" s="2">
        <f>92</f>
        <v>92</v>
      </c>
      <c r="AB24" s="2" t="str">
        <f t="shared" si="0"/>
        <v>－</v>
      </c>
      <c r="AC24" s="1">
        <f>12</f>
        <v>12</v>
      </c>
    </row>
    <row r="25" spans="1:29">
      <c r="A25" s="9" t="s">
        <v>46</v>
      </c>
      <c r="B25" s="8" t="s">
        <v>150</v>
      </c>
      <c r="C25" s="8" t="s">
        <v>151</v>
      </c>
      <c r="D25" s="8" t="s">
        <v>76</v>
      </c>
      <c r="E25" s="7" t="s">
        <v>77</v>
      </c>
      <c r="F25" s="7" t="s">
        <v>78</v>
      </c>
      <c r="G25" s="3" t="s">
        <v>51</v>
      </c>
      <c r="H25" s="6" t="s">
        <v>166</v>
      </c>
      <c r="I25" s="3" t="s">
        <v>160</v>
      </c>
      <c r="J25" s="6" t="s">
        <v>161</v>
      </c>
      <c r="K25" s="3"/>
      <c r="L25" s="6"/>
      <c r="M25" s="3" t="s">
        <v>167</v>
      </c>
      <c r="N25" s="6" t="s">
        <v>168</v>
      </c>
      <c r="O25" s="3"/>
      <c r="P25" s="6"/>
      <c r="Q25" s="3" t="s">
        <v>67</v>
      </c>
      <c r="R25" s="6" t="s">
        <v>169</v>
      </c>
      <c r="S25" s="5">
        <f>100.26</f>
        <v>100.26</v>
      </c>
      <c r="T25" s="4">
        <f>64</f>
        <v>64</v>
      </c>
      <c r="U25" s="4"/>
      <c r="V25" s="4">
        <v>1</v>
      </c>
      <c r="W25" s="4">
        <f>64716000</f>
        <v>64716000</v>
      </c>
      <c r="X25" s="4"/>
      <c r="Y25" s="4">
        <v>1040000</v>
      </c>
      <c r="Z25" s="3"/>
      <c r="AA25" s="2">
        <f>226</f>
        <v>226</v>
      </c>
      <c r="AB25" s="2" t="str">
        <f t="shared" si="0"/>
        <v>－</v>
      </c>
      <c r="AC25" s="1">
        <f>15</f>
        <v>15</v>
      </c>
    </row>
    <row r="26" spans="1:29">
      <c r="A26" s="9" t="s">
        <v>46</v>
      </c>
      <c r="B26" s="8" t="s">
        <v>150</v>
      </c>
      <c r="C26" s="8" t="s">
        <v>151</v>
      </c>
      <c r="D26" s="8" t="s">
        <v>83</v>
      </c>
      <c r="E26" s="7" t="s">
        <v>84</v>
      </c>
      <c r="F26" s="7" t="s">
        <v>85</v>
      </c>
      <c r="G26" s="3" t="s">
        <v>51</v>
      </c>
      <c r="H26" s="6" t="s">
        <v>166</v>
      </c>
      <c r="I26" s="3" t="s">
        <v>53</v>
      </c>
      <c r="J26" s="6" t="s">
        <v>170</v>
      </c>
      <c r="K26" s="3"/>
      <c r="L26" s="6"/>
      <c r="M26" s="3" t="s">
        <v>167</v>
      </c>
      <c r="N26" s="6" t="s">
        <v>171</v>
      </c>
      <c r="O26" s="3"/>
      <c r="P26" s="6"/>
      <c r="Q26" s="3" t="s">
        <v>67</v>
      </c>
      <c r="R26" s="6" t="s">
        <v>172</v>
      </c>
      <c r="S26" s="5">
        <f>100.71</f>
        <v>100.71</v>
      </c>
      <c r="T26" s="4">
        <f>589</f>
        <v>589</v>
      </c>
      <c r="U26" s="4"/>
      <c r="V26" s="4">
        <v>3</v>
      </c>
      <c r="W26" s="4">
        <f>595851000</f>
        <v>595851000</v>
      </c>
      <c r="X26" s="4"/>
      <c r="Y26" s="4">
        <v>3135000</v>
      </c>
      <c r="Z26" s="3"/>
      <c r="AA26" s="2">
        <f>514</f>
        <v>514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150</v>
      </c>
      <c r="C27" s="8" t="s">
        <v>151</v>
      </c>
      <c r="D27" s="8" t="s">
        <v>90</v>
      </c>
      <c r="E27" s="7" t="s">
        <v>91</v>
      </c>
      <c r="F27" s="7" t="s">
        <v>92</v>
      </c>
      <c r="G27" s="3" t="s">
        <v>51</v>
      </c>
      <c r="H27" s="6" t="s">
        <v>173</v>
      </c>
      <c r="I27" s="3" t="s">
        <v>160</v>
      </c>
      <c r="J27" s="6" t="s">
        <v>174</v>
      </c>
      <c r="K27" s="3"/>
      <c r="L27" s="6"/>
      <c r="M27" s="3" t="s">
        <v>167</v>
      </c>
      <c r="N27" s="6" t="s">
        <v>175</v>
      </c>
      <c r="O27" s="3"/>
      <c r="P27" s="6"/>
      <c r="Q27" s="3" t="s">
        <v>67</v>
      </c>
      <c r="R27" s="6" t="s">
        <v>176</v>
      </c>
      <c r="S27" s="5">
        <f>100.81</f>
        <v>100.81</v>
      </c>
      <c r="T27" s="4">
        <f>2697</f>
        <v>2697</v>
      </c>
      <c r="U27" s="4"/>
      <c r="V27" s="4">
        <v>29</v>
      </c>
      <c r="W27" s="4">
        <f>2755564000</f>
        <v>2755564000</v>
      </c>
      <c r="X27" s="4"/>
      <c r="Y27" s="4">
        <v>28448000</v>
      </c>
      <c r="Z27" s="3"/>
      <c r="AA27" s="2">
        <f>940</f>
        <v>940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150</v>
      </c>
      <c r="C28" s="8" t="s">
        <v>151</v>
      </c>
      <c r="D28" s="8" t="s">
        <v>99</v>
      </c>
      <c r="E28" s="7" t="s">
        <v>100</v>
      </c>
      <c r="F28" s="7" t="s">
        <v>101</v>
      </c>
      <c r="G28" s="3" t="s">
        <v>95</v>
      </c>
      <c r="H28" s="6" t="s">
        <v>177</v>
      </c>
      <c r="I28" s="3" t="s">
        <v>95</v>
      </c>
      <c r="J28" s="6" t="s">
        <v>177</v>
      </c>
      <c r="K28" s="3"/>
      <c r="L28" s="6"/>
      <c r="M28" s="3" t="s">
        <v>67</v>
      </c>
      <c r="N28" s="6" t="s">
        <v>178</v>
      </c>
      <c r="O28" s="3"/>
      <c r="P28" s="6"/>
      <c r="Q28" s="3" t="s">
        <v>67</v>
      </c>
      <c r="R28" s="6" t="s">
        <v>179</v>
      </c>
      <c r="S28" s="5">
        <f>98.4</f>
        <v>98.4</v>
      </c>
      <c r="T28" s="4">
        <f>192</f>
        <v>192</v>
      </c>
      <c r="U28" s="4"/>
      <c r="V28" s="4"/>
      <c r="W28" s="4">
        <f>189387000</f>
        <v>189387000</v>
      </c>
      <c r="X28" s="4"/>
      <c r="Y28" s="4"/>
      <c r="Z28" s="3"/>
      <c r="AA28" s="2">
        <f>121</f>
        <v>121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180</v>
      </c>
      <c r="C29" s="8" t="s">
        <v>181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182</v>
      </c>
      <c r="I29" s="3" t="s">
        <v>160</v>
      </c>
      <c r="J29" s="6" t="s">
        <v>183</v>
      </c>
      <c r="K29" s="3"/>
      <c r="L29" s="6"/>
      <c r="M29" s="3" t="s">
        <v>80</v>
      </c>
      <c r="N29" s="6" t="s">
        <v>184</v>
      </c>
      <c r="O29" s="3"/>
      <c r="P29" s="6"/>
      <c r="Q29" s="3" t="s">
        <v>58</v>
      </c>
      <c r="R29" s="6" t="s">
        <v>185</v>
      </c>
      <c r="S29" s="5">
        <f>3927.29</f>
        <v>3927.29</v>
      </c>
      <c r="T29" s="4">
        <f>2067</f>
        <v>2067</v>
      </c>
      <c r="U29" s="4"/>
      <c r="V29" s="4">
        <v>66</v>
      </c>
      <c r="W29" s="4">
        <f>4052054000</f>
        <v>4052054000</v>
      </c>
      <c r="X29" s="4"/>
      <c r="Y29" s="4">
        <v>127048000</v>
      </c>
      <c r="Z29" s="3" t="s">
        <v>60</v>
      </c>
      <c r="AA29" s="2">
        <f>763</f>
        <v>763</v>
      </c>
      <c r="AB29" s="2" t="str">
        <f t="shared" si="0"/>
        <v>－</v>
      </c>
      <c r="AC29" s="1">
        <f>17</f>
        <v>17</v>
      </c>
    </row>
    <row r="30" spans="1:29">
      <c r="A30" s="9" t="s">
        <v>46</v>
      </c>
      <c r="B30" s="8" t="s">
        <v>180</v>
      </c>
      <c r="C30" s="8" t="s">
        <v>181</v>
      </c>
      <c r="D30" s="8" t="s">
        <v>61</v>
      </c>
      <c r="E30" s="7" t="s">
        <v>62</v>
      </c>
      <c r="F30" s="7" t="s">
        <v>63</v>
      </c>
      <c r="G30" s="3" t="s">
        <v>51</v>
      </c>
      <c r="H30" s="6" t="s">
        <v>186</v>
      </c>
      <c r="I30" s="3" t="s">
        <v>53</v>
      </c>
      <c r="J30" s="6" t="s">
        <v>187</v>
      </c>
      <c r="K30" s="3"/>
      <c r="L30" s="6"/>
      <c r="M30" s="3" t="s">
        <v>67</v>
      </c>
      <c r="N30" s="6" t="s">
        <v>188</v>
      </c>
      <c r="O30" s="3"/>
      <c r="P30" s="6"/>
      <c r="Q30" s="3" t="s">
        <v>67</v>
      </c>
      <c r="R30" s="6" t="s">
        <v>189</v>
      </c>
      <c r="S30" s="5">
        <f>3904.25</f>
        <v>3904.25</v>
      </c>
      <c r="T30" s="4">
        <f>1288</f>
        <v>1288</v>
      </c>
      <c r="U30" s="4"/>
      <c r="V30" s="4">
        <v>37</v>
      </c>
      <c r="W30" s="4">
        <f>2529709500</f>
        <v>2529709500</v>
      </c>
      <c r="X30" s="4"/>
      <c r="Y30" s="4">
        <v>71717000</v>
      </c>
      <c r="Z30" s="3"/>
      <c r="AA30" s="2">
        <f>862</f>
        <v>862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180</v>
      </c>
      <c r="C31" s="8" t="s">
        <v>181</v>
      </c>
      <c r="D31" s="8" t="s">
        <v>69</v>
      </c>
      <c r="E31" s="7" t="s">
        <v>70</v>
      </c>
      <c r="F31" s="7" t="s">
        <v>71</v>
      </c>
      <c r="G31" s="3" t="s">
        <v>51</v>
      </c>
      <c r="H31" s="6" t="s">
        <v>190</v>
      </c>
      <c r="I31" s="3" t="s">
        <v>160</v>
      </c>
      <c r="J31" s="6" t="s">
        <v>191</v>
      </c>
      <c r="K31" s="3" t="s">
        <v>163</v>
      </c>
      <c r="L31" s="6" t="s">
        <v>192</v>
      </c>
      <c r="M31" s="3" t="s">
        <v>95</v>
      </c>
      <c r="N31" s="6" t="s">
        <v>193</v>
      </c>
      <c r="O31" s="3" t="s">
        <v>163</v>
      </c>
      <c r="P31" s="6" t="s">
        <v>192</v>
      </c>
      <c r="Q31" s="3" t="s">
        <v>67</v>
      </c>
      <c r="R31" s="6" t="s">
        <v>194</v>
      </c>
      <c r="S31" s="5">
        <f>3898.45</f>
        <v>3898.45</v>
      </c>
      <c r="T31" s="4">
        <f>1583</f>
        <v>1583</v>
      </c>
      <c r="U31" s="4">
        <v>9</v>
      </c>
      <c r="V31" s="4">
        <v>194</v>
      </c>
      <c r="W31" s="4">
        <f>3072437000</f>
        <v>3072437000</v>
      </c>
      <c r="X31" s="4">
        <v>17676000</v>
      </c>
      <c r="Y31" s="4">
        <v>374000500</v>
      </c>
      <c r="Z31" s="3"/>
      <c r="AA31" s="2">
        <f>1968</f>
        <v>1968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180</v>
      </c>
      <c r="C32" s="8" t="s">
        <v>181</v>
      </c>
      <c r="D32" s="8" t="s">
        <v>76</v>
      </c>
      <c r="E32" s="7" t="s">
        <v>77</v>
      </c>
      <c r="F32" s="7" t="s">
        <v>78</v>
      </c>
      <c r="G32" s="3" t="s">
        <v>51</v>
      </c>
      <c r="H32" s="6" t="s">
        <v>195</v>
      </c>
      <c r="I32" s="3" t="s">
        <v>53</v>
      </c>
      <c r="J32" s="6" t="s">
        <v>196</v>
      </c>
      <c r="K32" s="3"/>
      <c r="L32" s="6"/>
      <c r="M32" s="3" t="s">
        <v>95</v>
      </c>
      <c r="N32" s="6" t="s">
        <v>197</v>
      </c>
      <c r="O32" s="3"/>
      <c r="P32" s="6"/>
      <c r="Q32" s="3" t="s">
        <v>67</v>
      </c>
      <c r="R32" s="6" t="s">
        <v>198</v>
      </c>
      <c r="S32" s="5">
        <f>3878.6</f>
        <v>3878.6</v>
      </c>
      <c r="T32" s="4">
        <f>2990</f>
        <v>2990</v>
      </c>
      <c r="U32" s="4"/>
      <c r="V32" s="4">
        <v>286</v>
      </c>
      <c r="W32" s="4">
        <f>5787831000</f>
        <v>5787831000</v>
      </c>
      <c r="X32" s="4"/>
      <c r="Y32" s="4">
        <v>555982500</v>
      </c>
      <c r="Z32" s="3"/>
      <c r="AA32" s="2">
        <f>2481</f>
        <v>2481</v>
      </c>
      <c r="AB32" s="2" t="str">
        <f t="shared" si="0"/>
        <v>－</v>
      </c>
      <c r="AC32" s="1">
        <f>20</f>
        <v>20</v>
      </c>
    </row>
    <row r="33" spans="1:29">
      <c r="A33" s="9" t="s">
        <v>46</v>
      </c>
      <c r="B33" s="8" t="s">
        <v>180</v>
      </c>
      <c r="C33" s="8" t="s">
        <v>181</v>
      </c>
      <c r="D33" s="8" t="s">
        <v>83</v>
      </c>
      <c r="E33" s="7" t="s">
        <v>84</v>
      </c>
      <c r="F33" s="7" t="s">
        <v>85</v>
      </c>
      <c r="G33" s="3" t="s">
        <v>51</v>
      </c>
      <c r="H33" s="6" t="s">
        <v>199</v>
      </c>
      <c r="I33" s="3" t="s">
        <v>53</v>
      </c>
      <c r="J33" s="6" t="s">
        <v>200</v>
      </c>
      <c r="K33" s="3" t="s">
        <v>163</v>
      </c>
      <c r="L33" s="6" t="s">
        <v>201</v>
      </c>
      <c r="M33" s="3" t="s">
        <v>95</v>
      </c>
      <c r="N33" s="6" t="s">
        <v>202</v>
      </c>
      <c r="O33" s="3" t="s">
        <v>163</v>
      </c>
      <c r="P33" s="6" t="s">
        <v>201</v>
      </c>
      <c r="Q33" s="3" t="s">
        <v>67</v>
      </c>
      <c r="R33" s="6" t="s">
        <v>203</v>
      </c>
      <c r="S33" s="5">
        <f>3880.75</f>
        <v>3880.75</v>
      </c>
      <c r="T33" s="4">
        <f>9173</f>
        <v>9173</v>
      </c>
      <c r="U33" s="4">
        <v>3</v>
      </c>
      <c r="V33" s="4">
        <v>1166</v>
      </c>
      <c r="W33" s="4">
        <f>17885073000</f>
        <v>17885073000</v>
      </c>
      <c r="X33" s="4">
        <v>5875500</v>
      </c>
      <c r="Y33" s="4">
        <v>2272616500</v>
      </c>
      <c r="Z33" s="3"/>
      <c r="AA33" s="2">
        <f>3755</f>
        <v>3755</v>
      </c>
      <c r="AB33" s="2" t="str">
        <f t="shared" si="0"/>
        <v>－</v>
      </c>
      <c r="AC33" s="1">
        <f>20</f>
        <v>20</v>
      </c>
    </row>
    <row r="34" spans="1:29">
      <c r="A34" s="9" t="s">
        <v>46</v>
      </c>
      <c r="B34" s="8" t="s">
        <v>180</v>
      </c>
      <c r="C34" s="8" t="s">
        <v>181</v>
      </c>
      <c r="D34" s="8" t="s">
        <v>90</v>
      </c>
      <c r="E34" s="7" t="s">
        <v>91</v>
      </c>
      <c r="F34" s="7" t="s">
        <v>92</v>
      </c>
      <c r="G34" s="3" t="s">
        <v>51</v>
      </c>
      <c r="H34" s="6" t="s">
        <v>204</v>
      </c>
      <c r="I34" s="3" t="s">
        <v>53</v>
      </c>
      <c r="J34" s="6" t="s">
        <v>205</v>
      </c>
      <c r="K34" s="3" t="s">
        <v>155</v>
      </c>
      <c r="L34" s="6" t="s">
        <v>206</v>
      </c>
      <c r="M34" s="3" t="s">
        <v>95</v>
      </c>
      <c r="N34" s="6" t="s">
        <v>207</v>
      </c>
      <c r="O34" s="3" t="s">
        <v>95</v>
      </c>
      <c r="P34" s="6" t="s">
        <v>208</v>
      </c>
      <c r="Q34" s="3" t="s">
        <v>67</v>
      </c>
      <c r="R34" s="6" t="s">
        <v>209</v>
      </c>
      <c r="S34" s="5">
        <f>3877.15</f>
        <v>3877.15</v>
      </c>
      <c r="T34" s="4">
        <f>145694</f>
        <v>145694</v>
      </c>
      <c r="U34" s="4">
        <v>30</v>
      </c>
      <c r="V34" s="4">
        <v>1716</v>
      </c>
      <c r="W34" s="4">
        <f>283585610500</f>
        <v>283585610500</v>
      </c>
      <c r="X34" s="4">
        <v>59842500</v>
      </c>
      <c r="Y34" s="4">
        <v>3279818500</v>
      </c>
      <c r="Z34" s="3"/>
      <c r="AA34" s="2">
        <f>17102</f>
        <v>17102</v>
      </c>
      <c r="AB34" s="2" t="str">
        <f t="shared" si="0"/>
        <v>－</v>
      </c>
      <c r="AC34" s="1">
        <f>20</f>
        <v>20</v>
      </c>
    </row>
    <row r="35" spans="1:29">
      <c r="A35" s="9" t="s">
        <v>46</v>
      </c>
      <c r="B35" s="8" t="s">
        <v>180</v>
      </c>
      <c r="C35" s="8" t="s">
        <v>181</v>
      </c>
      <c r="D35" s="8" t="s">
        <v>99</v>
      </c>
      <c r="E35" s="7" t="s">
        <v>100</v>
      </c>
      <c r="F35" s="7" t="s">
        <v>101</v>
      </c>
      <c r="G35" s="3" t="s">
        <v>95</v>
      </c>
      <c r="H35" s="6" t="s">
        <v>210</v>
      </c>
      <c r="I35" s="3" t="s">
        <v>67</v>
      </c>
      <c r="J35" s="6" t="s">
        <v>189</v>
      </c>
      <c r="K35" s="3" t="s">
        <v>67</v>
      </c>
      <c r="L35" s="6" t="s">
        <v>211</v>
      </c>
      <c r="M35" s="3" t="s">
        <v>212</v>
      </c>
      <c r="N35" s="6" t="s">
        <v>213</v>
      </c>
      <c r="O35" s="3" t="s">
        <v>67</v>
      </c>
      <c r="P35" s="6" t="s">
        <v>211</v>
      </c>
      <c r="Q35" s="3" t="s">
        <v>67</v>
      </c>
      <c r="R35" s="6" t="s">
        <v>214</v>
      </c>
      <c r="S35" s="5">
        <f>3743.33</f>
        <v>3743.33</v>
      </c>
      <c r="T35" s="4">
        <f>14408</f>
        <v>14408</v>
      </c>
      <c r="U35" s="4">
        <v>2</v>
      </c>
      <c r="V35" s="4">
        <v>877</v>
      </c>
      <c r="W35" s="4">
        <f>26895357000</f>
        <v>26895357000</v>
      </c>
      <c r="X35" s="4">
        <v>3683000</v>
      </c>
      <c r="Y35" s="4">
        <v>1637510000</v>
      </c>
      <c r="Z35" s="3"/>
      <c r="AA35" s="2">
        <f>3451</f>
        <v>3451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215</v>
      </c>
      <c r="C36" s="8" t="s">
        <v>216</v>
      </c>
      <c r="D36" s="8" t="s">
        <v>46</v>
      </c>
      <c r="E36" s="7" t="s">
        <v>49</v>
      </c>
      <c r="F36" s="7" t="s">
        <v>108</v>
      </c>
      <c r="G36" s="3" t="s">
        <v>51</v>
      </c>
      <c r="H36" s="6" t="s">
        <v>217</v>
      </c>
      <c r="I36" s="3" t="s">
        <v>53</v>
      </c>
      <c r="J36" s="6" t="s">
        <v>218</v>
      </c>
      <c r="K36" s="3"/>
      <c r="L36" s="6"/>
      <c r="M36" s="3" t="s">
        <v>219</v>
      </c>
      <c r="N36" s="6" t="s">
        <v>220</v>
      </c>
      <c r="O36" s="3"/>
      <c r="P36" s="6"/>
      <c r="Q36" s="3" t="s">
        <v>111</v>
      </c>
      <c r="R36" s="6" t="s">
        <v>221</v>
      </c>
      <c r="S36" s="5">
        <f>3934.94</f>
        <v>3934.94</v>
      </c>
      <c r="T36" s="4">
        <f>440</f>
        <v>440</v>
      </c>
      <c r="U36" s="4"/>
      <c r="V36" s="4">
        <v>57</v>
      </c>
      <c r="W36" s="4">
        <f>173771400</f>
        <v>173771400</v>
      </c>
      <c r="X36" s="4"/>
      <c r="Y36" s="4">
        <v>22520700</v>
      </c>
      <c r="Z36" s="3" t="s">
        <v>60</v>
      </c>
      <c r="AA36" s="2">
        <f>76</f>
        <v>76</v>
      </c>
      <c r="AB36" s="2" t="str">
        <f t="shared" si="0"/>
        <v>－</v>
      </c>
      <c r="AC36" s="1">
        <f>16</f>
        <v>16</v>
      </c>
    </row>
    <row r="37" spans="1:29">
      <c r="A37" s="9" t="s">
        <v>46</v>
      </c>
      <c r="B37" s="8" t="s">
        <v>215</v>
      </c>
      <c r="C37" s="8" t="s">
        <v>216</v>
      </c>
      <c r="D37" s="8" t="s">
        <v>61</v>
      </c>
      <c r="E37" s="7" t="s">
        <v>62</v>
      </c>
      <c r="F37" s="7" t="s">
        <v>113</v>
      </c>
      <c r="G37" s="3" t="s">
        <v>51</v>
      </c>
      <c r="H37" s="6" t="s">
        <v>222</v>
      </c>
      <c r="I37" s="3" t="s">
        <v>53</v>
      </c>
      <c r="J37" s="6" t="s">
        <v>223</v>
      </c>
      <c r="K37" s="3"/>
      <c r="L37" s="6"/>
      <c r="M37" s="3" t="s">
        <v>212</v>
      </c>
      <c r="N37" s="6" t="s">
        <v>224</v>
      </c>
      <c r="O37" s="3"/>
      <c r="P37" s="6"/>
      <c r="Q37" s="3" t="s">
        <v>67</v>
      </c>
      <c r="R37" s="6" t="s">
        <v>225</v>
      </c>
      <c r="S37" s="5">
        <f>3904.25</f>
        <v>3904.25</v>
      </c>
      <c r="T37" s="4">
        <f>92</f>
        <v>92</v>
      </c>
      <c r="U37" s="4"/>
      <c r="V37" s="4"/>
      <c r="W37" s="4">
        <f>35855750</f>
        <v>35855750</v>
      </c>
      <c r="X37" s="4"/>
      <c r="Y37" s="4"/>
      <c r="Z37" s="3"/>
      <c r="AA37" s="2">
        <f>224</f>
        <v>224</v>
      </c>
      <c r="AB37" s="2" t="str">
        <f t="shared" si="0"/>
        <v>－</v>
      </c>
      <c r="AC37" s="1">
        <f>13</f>
        <v>13</v>
      </c>
    </row>
    <row r="38" spans="1:29">
      <c r="A38" s="9" t="s">
        <v>46</v>
      </c>
      <c r="B38" s="8" t="s">
        <v>215</v>
      </c>
      <c r="C38" s="8" t="s">
        <v>216</v>
      </c>
      <c r="D38" s="8" t="s">
        <v>69</v>
      </c>
      <c r="E38" s="7" t="s">
        <v>70</v>
      </c>
      <c r="F38" s="7" t="s">
        <v>118</v>
      </c>
      <c r="G38" s="3" t="s">
        <v>55</v>
      </c>
      <c r="H38" s="6" t="s">
        <v>226</v>
      </c>
      <c r="I38" s="3" t="s">
        <v>160</v>
      </c>
      <c r="J38" s="6" t="s">
        <v>227</v>
      </c>
      <c r="K38" s="3" t="s">
        <v>163</v>
      </c>
      <c r="L38" s="6" t="s">
        <v>192</v>
      </c>
      <c r="M38" s="3" t="s">
        <v>95</v>
      </c>
      <c r="N38" s="6" t="s">
        <v>228</v>
      </c>
      <c r="O38" s="3" t="s">
        <v>163</v>
      </c>
      <c r="P38" s="6" t="s">
        <v>192</v>
      </c>
      <c r="Q38" s="3" t="s">
        <v>67</v>
      </c>
      <c r="R38" s="6" t="s">
        <v>229</v>
      </c>
      <c r="S38" s="5">
        <f>3898.45</f>
        <v>3898.45</v>
      </c>
      <c r="T38" s="4">
        <f>144</f>
        <v>144</v>
      </c>
      <c r="U38" s="4">
        <v>45</v>
      </c>
      <c r="V38" s="4"/>
      <c r="W38" s="4">
        <f>56200650</f>
        <v>56200650</v>
      </c>
      <c r="X38" s="4">
        <v>17676000</v>
      </c>
      <c r="Y38" s="4"/>
      <c r="Z38" s="3"/>
      <c r="AA38" s="2">
        <f>83</f>
        <v>83</v>
      </c>
      <c r="AB38" s="2" t="str">
        <f t="shared" si="0"/>
        <v>－</v>
      </c>
      <c r="AC38" s="1">
        <f>11</f>
        <v>11</v>
      </c>
    </row>
    <row r="39" spans="1:29">
      <c r="A39" s="9" t="s">
        <v>46</v>
      </c>
      <c r="B39" s="8" t="s">
        <v>215</v>
      </c>
      <c r="C39" s="8" t="s">
        <v>216</v>
      </c>
      <c r="D39" s="8" t="s">
        <v>76</v>
      </c>
      <c r="E39" s="7" t="s">
        <v>77</v>
      </c>
      <c r="F39" s="7" t="s">
        <v>122</v>
      </c>
      <c r="G39" s="3" t="s">
        <v>51</v>
      </c>
      <c r="H39" s="6" t="s">
        <v>230</v>
      </c>
      <c r="I39" s="3" t="s">
        <v>160</v>
      </c>
      <c r="J39" s="6" t="s">
        <v>231</v>
      </c>
      <c r="K39" s="3"/>
      <c r="L39" s="6"/>
      <c r="M39" s="3" t="s">
        <v>95</v>
      </c>
      <c r="N39" s="6" t="s">
        <v>232</v>
      </c>
      <c r="O39" s="3"/>
      <c r="P39" s="6"/>
      <c r="Q39" s="3" t="s">
        <v>67</v>
      </c>
      <c r="R39" s="6" t="s">
        <v>233</v>
      </c>
      <c r="S39" s="5">
        <f>3878.6</f>
        <v>3878.6</v>
      </c>
      <c r="T39" s="4">
        <f>208</f>
        <v>208</v>
      </c>
      <c r="U39" s="4"/>
      <c r="V39" s="4"/>
      <c r="W39" s="4">
        <f>80494800</f>
        <v>80494800</v>
      </c>
      <c r="X39" s="4"/>
      <c r="Y39" s="4"/>
      <c r="Z39" s="3"/>
      <c r="AA39" s="2">
        <f>249</f>
        <v>249</v>
      </c>
      <c r="AB39" s="2" t="str">
        <f t="shared" ref="AB39:AB70" si="1">"－"</f>
        <v>－</v>
      </c>
      <c r="AC39" s="1">
        <f>18</f>
        <v>18</v>
      </c>
    </row>
    <row r="40" spans="1:29">
      <c r="A40" s="9" t="s">
        <v>46</v>
      </c>
      <c r="B40" s="8" t="s">
        <v>215</v>
      </c>
      <c r="C40" s="8" t="s">
        <v>216</v>
      </c>
      <c r="D40" s="8" t="s">
        <v>83</v>
      </c>
      <c r="E40" s="7" t="s">
        <v>84</v>
      </c>
      <c r="F40" s="7" t="s">
        <v>126</v>
      </c>
      <c r="G40" s="3" t="s">
        <v>51</v>
      </c>
      <c r="H40" s="6" t="s">
        <v>234</v>
      </c>
      <c r="I40" s="3" t="s">
        <v>53</v>
      </c>
      <c r="J40" s="6" t="s">
        <v>235</v>
      </c>
      <c r="K40" s="3" t="s">
        <v>163</v>
      </c>
      <c r="L40" s="6" t="s">
        <v>201</v>
      </c>
      <c r="M40" s="3" t="s">
        <v>95</v>
      </c>
      <c r="N40" s="6" t="s">
        <v>236</v>
      </c>
      <c r="O40" s="3" t="s">
        <v>163</v>
      </c>
      <c r="P40" s="6" t="s">
        <v>201</v>
      </c>
      <c r="Q40" s="3" t="s">
        <v>67</v>
      </c>
      <c r="R40" s="6" t="s">
        <v>237</v>
      </c>
      <c r="S40" s="5">
        <f>3880.75</f>
        <v>3880.75</v>
      </c>
      <c r="T40" s="4">
        <f>1696</f>
        <v>1696</v>
      </c>
      <c r="U40" s="4">
        <v>15</v>
      </c>
      <c r="V40" s="4"/>
      <c r="W40" s="4">
        <f>660196950</f>
        <v>660196950</v>
      </c>
      <c r="X40" s="4">
        <v>5875500</v>
      </c>
      <c r="Y40" s="4"/>
      <c r="Z40" s="3"/>
      <c r="AA40" s="2">
        <f>247</f>
        <v>247</v>
      </c>
      <c r="AB40" s="2" t="str">
        <f t="shared" si="1"/>
        <v>－</v>
      </c>
      <c r="AC40" s="1">
        <f>20</f>
        <v>20</v>
      </c>
    </row>
    <row r="41" spans="1:29">
      <c r="A41" s="9" t="s">
        <v>46</v>
      </c>
      <c r="B41" s="8" t="s">
        <v>215</v>
      </c>
      <c r="C41" s="8" t="s">
        <v>216</v>
      </c>
      <c r="D41" s="8" t="s">
        <v>90</v>
      </c>
      <c r="E41" s="7" t="s">
        <v>91</v>
      </c>
      <c r="F41" s="7" t="s">
        <v>130</v>
      </c>
      <c r="G41" s="3" t="s">
        <v>51</v>
      </c>
      <c r="H41" s="6" t="s">
        <v>238</v>
      </c>
      <c r="I41" s="3" t="s">
        <v>53</v>
      </c>
      <c r="J41" s="6" t="s">
        <v>239</v>
      </c>
      <c r="K41" s="3"/>
      <c r="L41" s="6"/>
      <c r="M41" s="3" t="s">
        <v>95</v>
      </c>
      <c r="N41" s="6" t="s">
        <v>240</v>
      </c>
      <c r="O41" s="3"/>
      <c r="P41" s="6"/>
      <c r="Q41" s="3" t="s">
        <v>67</v>
      </c>
      <c r="R41" s="6" t="s">
        <v>241</v>
      </c>
      <c r="S41" s="5">
        <f>3877.15</f>
        <v>3877.15</v>
      </c>
      <c r="T41" s="4">
        <f>30993</f>
        <v>30993</v>
      </c>
      <c r="U41" s="4"/>
      <c r="V41" s="4">
        <v>57</v>
      </c>
      <c r="W41" s="4">
        <f>12016262750</f>
        <v>12016262750</v>
      </c>
      <c r="X41" s="4"/>
      <c r="Y41" s="4">
        <v>22463700</v>
      </c>
      <c r="Z41" s="3"/>
      <c r="AA41" s="2">
        <f>1527</f>
        <v>1527</v>
      </c>
      <c r="AB41" s="2" t="str">
        <f t="shared" si="1"/>
        <v>－</v>
      </c>
      <c r="AC41" s="1">
        <f>20</f>
        <v>20</v>
      </c>
    </row>
    <row r="42" spans="1:29">
      <c r="A42" s="9" t="s">
        <v>46</v>
      </c>
      <c r="B42" s="8" t="s">
        <v>215</v>
      </c>
      <c r="C42" s="8" t="s">
        <v>216</v>
      </c>
      <c r="D42" s="8" t="s">
        <v>99</v>
      </c>
      <c r="E42" s="7" t="s">
        <v>100</v>
      </c>
      <c r="F42" s="7" t="s">
        <v>134</v>
      </c>
      <c r="G42" s="3" t="s">
        <v>95</v>
      </c>
      <c r="H42" s="6" t="s">
        <v>242</v>
      </c>
      <c r="I42" s="3" t="s">
        <v>67</v>
      </c>
      <c r="J42" s="6" t="s">
        <v>243</v>
      </c>
      <c r="K42" s="3"/>
      <c r="L42" s="6"/>
      <c r="M42" s="3" t="s">
        <v>212</v>
      </c>
      <c r="N42" s="6" t="s">
        <v>244</v>
      </c>
      <c r="O42" s="3"/>
      <c r="P42" s="6"/>
      <c r="Q42" s="3" t="s">
        <v>67</v>
      </c>
      <c r="R42" s="6" t="s">
        <v>245</v>
      </c>
      <c r="S42" s="5">
        <f>3743.33</f>
        <v>3743.33</v>
      </c>
      <c r="T42" s="4">
        <f>1660</f>
        <v>1660</v>
      </c>
      <c r="U42" s="4"/>
      <c r="V42" s="4"/>
      <c r="W42" s="4">
        <f>619272950</f>
        <v>619272950</v>
      </c>
      <c r="X42" s="4"/>
      <c r="Y42" s="4"/>
      <c r="Z42" s="3"/>
      <c r="AA42" s="2">
        <f>364</f>
        <v>364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246</v>
      </c>
      <c r="C43" s="8" t="s">
        <v>247</v>
      </c>
      <c r="D43" s="8" t="s">
        <v>141</v>
      </c>
      <c r="E43" s="7" t="s">
        <v>141</v>
      </c>
      <c r="F43" s="7" t="s">
        <v>141</v>
      </c>
      <c r="G43" s="3" t="s">
        <v>51</v>
      </c>
      <c r="H43" s="6" t="s">
        <v>248</v>
      </c>
      <c r="I43" s="3" t="s">
        <v>53</v>
      </c>
      <c r="J43" s="6" t="s">
        <v>249</v>
      </c>
      <c r="K43" s="3"/>
      <c r="L43" s="6"/>
      <c r="M43" s="3" t="s">
        <v>95</v>
      </c>
      <c r="N43" s="6" t="s">
        <v>194</v>
      </c>
      <c r="O43" s="3"/>
      <c r="P43" s="6"/>
      <c r="Q43" s="3" t="s">
        <v>67</v>
      </c>
      <c r="R43" s="6" t="s">
        <v>250</v>
      </c>
      <c r="S43" s="5">
        <f>3909.95</f>
        <v>3909.95</v>
      </c>
      <c r="T43" s="4">
        <f>15101</f>
        <v>15101</v>
      </c>
      <c r="U43" s="4"/>
      <c r="V43" s="4"/>
      <c r="W43" s="4">
        <f>5977253000</f>
        <v>5977253000</v>
      </c>
      <c r="X43" s="4"/>
      <c r="Y43" s="4"/>
      <c r="Z43" s="3"/>
      <c r="AA43" s="2">
        <f>15471</f>
        <v>15471</v>
      </c>
      <c r="AB43" s="2" t="str">
        <f t="shared" si="1"/>
        <v>－</v>
      </c>
      <c r="AC43" s="1">
        <f>20</f>
        <v>20</v>
      </c>
    </row>
    <row r="44" spans="1:29">
      <c r="A44" s="9" t="s">
        <v>46</v>
      </c>
      <c r="B44" s="8" t="s">
        <v>251</v>
      </c>
      <c r="C44" s="8" t="s">
        <v>252</v>
      </c>
      <c r="D44" s="8" t="s">
        <v>46</v>
      </c>
      <c r="E44" s="7" t="s">
        <v>49</v>
      </c>
      <c r="F44" s="7" t="s">
        <v>50</v>
      </c>
      <c r="G44" s="3"/>
      <c r="H44" s="6" t="s">
        <v>141</v>
      </c>
      <c r="I44" s="3"/>
      <c r="J44" s="6" t="s">
        <v>141</v>
      </c>
      <c r="K44" s="3"/>
      <c r="L44" s="6"/>
      <c r="M44" s="3"/>
      <c r="N44" s="6" t="s">
        <v>141</v>
      </c>
      <c r="O44" s="3"/>
      <c r="P44" s="6"/>
      <c r="Q44" s="3"/>
      <c r="R44" s="6" t="s">
        <v>141</v>
      </c>
      <c r="S44" s="5">
        <f>9552.94</f>
        <v>9552.94</v>
      </c>
      <c r="T44" s="4" t="str">
        <f>"－"</f>
        <v>－</v>
      </c>
      <c r="U44" s="4"/>
      <c r="V44" s="4"/>
      <c r="W44" s="4" t="str">
        <f>"－"</f>
        <v>－</v>
      </c>
      <c r="X44" s="4"/>
      <c r="Y44" s="4"/>
      <c r="Z44" s="3" t="s">
        <v>60</v>
      </c>
      <c r="AA44" s="2">
        <f>6</f>
        <v>6</v>
      </c>
      <c r="AB44" s="2" t="str">
        <f t="shared" si="1"/>
        <v>－</v>
      </c>
      <c r="AC44" s="1" t="str">
        <f>"－"</f>
        <v>－</v>
      </c>
    </row>
    <row r="45" spans="1:29">
      <c r="A45" s="9" t="s">
        <v>46</v>
      </c>
      <c r="B45" s="8" t="s">
        <v>251</v>
      </c>
      <c r="C45" s="8" t="s">
        <v>252</v>
      </c>
      <c r="D45" s="8" t="s">
        <v>61</v>
      </c>
      <c r="E45" s="7" t="s">
        <v>62</v>
      </c>
      <c r="F45" s="7" t="s">
        <v>63</v>
      </c>
      <c r="G45" s="3"/>
      <c r="H45" s="6" t="s">
        <v>141</v>
      </c>
      <c r="I45" s="3"/>
      <c r="J45" s="6" t="s">
        <v>141</v>
      </c>
      <c r="K45" s="3"/>
      <c r="L45" s="6"/>
      <c r="M45" s="3"/>
      <c r="N45" s="6" t="s">
        <v>141</v>
      </c>
      <c r="O45" s="3"/>
      <c r="P45" s="6"/>
      <c r="Q45" s="3"/>
      <c r="R45" s="6" t="s">
        <v>141</v>
      </c>
      <c r="S45" s="5">
        <f>9465</f>
        <v>9465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/>
      <c r="AA45" s="2">
        <f>5</f>
        <v>5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251</v>
      </c>
      <c r="C46" s="8" t="s">
        <v>252</v>
      </c>
      <c r="D46" s="8" t="s">
        <v>69</v>
      </c>
      <c r="E46" s="7" t="s">
        <v>70</v>
      </c>
      <c r="F46" s="7" t="s">
        <v>71</v>
      </c>
      <c r="G46" s="3"/>
      <c r="H46" s="6" t="s">
        <v>141</v>
      </c>
      <c r="I46" s="3"/>
      <c r="J46" s="6" t="s">
        <v>141</v>
      </c>
      <c r="K46" s="3"/>
      <c r="L46" s="6"/>
      <c r="M46" s="3"/>
      <c r="N46" s="6" t="s">
        <v>141</v>
      </c>
      <c r="O46" s="3"/>
      <c r="P46" s="6"/>
      <c r="Q46" s="3"/>
      <c r="R46" s="6" t="s">
        <v>141</v>
      </c>
      <c r="S46" s="5">
        <f>9455</f>
        <v>9455</v>
      </c>
      <c r="T46" s="4" t="str">
        <f>"－"</f>
        <v>－</v>
      </c>
      <c r="U46" s="4"/>
      <c r="V46" s="4"/>
      <c r="W46" s="4" t="str">
        <f>"－"</f>
        <v>－</v>
      </c>
      <c r="X46" s="4"/>
      <c r="Y46" s="4"/>
      <c r="Z46" s="3"/>
      <c r="AA46" s="2">
        <f>5</f>
        <v>5</v>
      </c>
      <c r="AB46" s="2" t="str">
        <f t="shared" si="1"/>
        <v>－</v>
      </c>
      <c r="AC46" s="1" t="str">
        <f>"－"</f>
        <v>－</v>
      </c>
    </row>
    <row r="47" spans="1:29">
      <c r="A47" s="9" t="s">
        <v>46</v>
      </c>
      <c r="B47" s="8" t="s">
        <v>251</v>
      </c>
      <c r="C47" s="8" t="s">
        <v>252</v>
      </c>
      <c r="D47" s="8" t="s">
        <v>76</v>
      </c>
      <c r="E47" s="7" t="s">
        <v>77</v>
      </c>
      <c r="F47" s="7" t="s">
        <v>78</v>
      </c>
      <c r="G47" s="3" t="s">
        <v>253</v>
      </c>
      <c r="H47" s="6" t="s">
        <v>254</v>
      </c>
      <c r="I47" s="3" t="s">
        <v>253</v>
      </c>
      <c r="J47" s="6" t="s">
        <v>254</v>
      </c>
      <c r="K47" s="3"/>
      <c r="L47" s="6"/>
      <c r="M47" s="3" t="s">
        <v>253</v>
      </c>
      <c r="N47" s="6" t="s">
        <v>254</v>
      </c>
      <c r="O47" s="3"/>
      <c r="P47" s="6"/>
      <c r="Q47" s="3" t="s">
        <v>253</v>
      </c>
      <c r="R47" s="6" t="s">
        <v>254</v>
      </c>
      <c r="S47" s="5">
        <f>9489.9</f>
        <v>9489.9</v>
      </c>
      <c r="T47" s="4">
        <f>1</f>
        <v>1</v>
      </c>
      <c r="U47" s="4"/>
      <c r="V47" s="4"/>
      <c r="W47" s="4">
        <f>5249500</f>
        <v>5249500</v>
      </c>
      <c r="X47" s="4"/>
      <c r="Y47" s="4"/>
      <c r="Z47" s="3"/>
      <c r="AA47" s="2">
        <f>6</f>
        <v>6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251</v>
      </c>
      <c r="C48" s="8" t="s">
        <v>252</v>
      </c>
      <c r="D48" s="8" t="s">
        <v>83</v>
      </c>
      <c r="E48" s="7" t="s">
        <v>84</v>
      </c>
      <c r="F48" s="7" t="s">
        <v>85</v>
      </c>
      <c r="G48" s="3" t="s">
        <v>253</v>
      </c>
      <c r="H48" s="6" t="s">
        <v>255</v>
      </c>
      <c r="I48" s="3" t="s">
        <v>153</v>
      </c>
      <c r="J48" s="6" t="s">
        <v>256</v>
      </c>
      <c r="K48" s="3"/>
      <c r="L48" s="6"/>
      <c r="M48" s="3" t="s">
        <v>253</v>
      </c>
      <c r="N48" s="6" t="s">
        <v>257</v>
      </c>
      <c r="O48" s="3"/>
      <c r="P48" s="6"/>
      <c r="Q48" s="3" t="s">
        <v>153</v>
      </c>
      <c r="R48" s="6" t="s">
        <v>256</v>
      </c>
      <c r="S48" s="5">
        <f>9420.1</f>
        <v>9420.1</v>
      </c>
      <c r="T48" s="4">
        <f>6</f>
        <v>6</v>
      </c>
      <c r="U48" s="4"/>
      <c r="V48" s="4"/>
      <c r="W48" s="4">
        <f>28146000</f>
        <v>28146000</v>
      </c>
      <c r="X48" s="4"/>
      <c r="Y48" s="4"/>
      <c r="Z48" s="3"/>
      <c r="AA48" s="2">
        <f>10</f>
        <v>10</v>
      </c>
      <c r="AB48" s="2" t="str">
        <f t="shared" si="1"/>
        <v>－</v>
      </c>
      <c r="AC48" s="1">
        <f>2</f>
        <v>2</v>
      </c>
    </row>
    <row r="49" spans="1:29">
      <c r="A49" s="9" t="s">
        <v>46</v>
      </c>
      <c r="B49" s="8" t="s">
        <v>251</v>
      </c>
      <c r="C49" s="8" t="s">
        <v>252</v>
      </c>
      <c r="D49" s="8" t="s">
        <v>90</v>
      </c>
      <c r="E49" s="7" t="s">
        <v>91</v>
      </c>
      <c r="F49" s="7" t="s">
        <v>92</v>
      </c>
      <c r="G49" s="3" t="s">
        <v>51</v>
      </c>
      <c r="H49" s="6" t="s">
        <v>258</v>
      </c>
      <c r="I49" s="3" t="s">
        <v>253</v>
      </c>
      <c r="J49" s="6" t="s">
        <v>259</v>
      </c>
      <c r="K49" s="3"/>
      <c r="L49" s="6"/>
      <c r="M49" s="3" t="s">
        <v>51</v>
      </c>
      <c r="N49" s="6" t="s">
        <v>258</v>
      </c>
      <c r="O49" s="3"/>
      <c r="P49" s="6"/>
      <c r="Q49" s="3" t="s">
        <v>95</v>
      </c>
      <c r="R49" s="6" t="s">
        <v>260</v>
      </c>
      <c r="S49" s="5">
        <f>9526.9</f>
        <v>9526.9</v>
      </c>
      <c r="T49" s="4">
        <f>11</f>
        <v>11</v>
      </c>
      <c r="U49" s="4"/>
      <c r="V49" s="4"/>
      <c r="W49" s="4">
        <f>54543500</f>
        <v>54543500</v>
      </c>
      <c r="X49" s="4"/>
      <c r="Y49" s="4"/>
      <c r="Z49" s="3"/>
      <c r="AA49" s="2">
        <f>10</f>
        <v>10</v>
      </c>
      <c r="AB49" s="2" t="str">
        <f t="shared" si="1"/>
        <v>－</v>
      </c>
      <c r="AC49" s="1">
        <f>4</f>
        <v>4</v>
      </c>
    </row>
    <row r="50" spans="1:29">
      <c r="A50" s="9" t="s">
        <v>46</v>
      </c>
      <c r="B50" s="8" t="s">
        <v>251</v>
      </c>
      <c r="C50" s="8" t="s">
        <v>252</v>
      </c>
      <c r="D50" s="8" t="s">
        <v>99</v>
      </c>
      <c r="E50" s="7" t="s">
        <v>100</v>
      </c>
      <c r="F50" s="7" t="s">
        <v>101</v>
      </c>
      <c r="G50" s="3"/>
      <c r="H50" s="6" t="s">
        <v>141</v>
      </c>
      <c r="I50" s="3"/>
      <c r="J50" s="6" t="s">
        <v>141</v>
      </c>
      <c r="K50" s="3"/>
      <c r="L50" s="6"/>
      <c r="M50" s="3"/>
      <c r="N50" s="6" t="s">
        <v>141</v>
      </c>
      <c r="O50" s="3"/>
      <c r="P50" s="6"/>
      <c r="Q50" s="3"/>
      <c r="R50" s="6" t="s">
        <v>141</v>
      </c>
      <c r="S50" s="5">
        <f>9100</f>
        <v>9100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261</v>
      </c>
      <c r="C51" s="8" t="s">
        <v>262</v>
      </c>
      <c r="D51" s="8" t="s">
        <v>46</v>
      </c>
      <c r="E51" s="7" t="s">
        <v>263</v>
      </c>
      <c r="F51" s="7" t="s">
        <v>264</v>
      </c>
      <c r="G51" s="3" t="s">
        <v>51</v>
      </c>
      <c r="H51" s="6" t="s">
        <v>265</v>
      </c>
      <c r="I51" s="3" t="s">
        <v>51</v>
      </c>
      <c r="J51" s="6" t="s">
        <v>265</v>
      </c>
      <c r="K51" s="3"/>
      <c r="L51" s="6"/>
      <c r="M51" s="3" t="s">
        <v>51</v>
      </c>
      <c r="N51" s="6" t="s">
        <v>266</v>
      </c>
      <c r="O51" s="3"/>
      <c r="P51" s="6"/>
      <c r="Q51" s="3" t="s">
        <v>51</v>
      </c>
      <c r="R51" s="6" t="s">
        <v>266</v>
      </c>
      <c r="S51" s="5">
        <f>247.5</f>
        <v>247.5</v>
      </c>
      <c r="T51" s="4">
        <f>2</f>
        <v>2</v>
      </c>
      <c r="U51" s="4"/>
      <c r="V51" s="4"/>
      <c r="W51" s="4">
        <f>4975000</f>
        <v>4975000</v>
      </c>
      <c r="X51" s="4"/>
      <c r="Y51" s="4"/>
      <c r="Z51" s="3" t="s">
        <v>60</v>
      </c>
      <c r="AA51" s="2">
        <f>25</f>
        <v>25</v>
      </c>
      <c r="AB51" s="2" t="str">
        <f t="shared" si="1"/>
        <v>－</v>
      </c>
      <c r="AC51" s="1">
        <f>1</f>
        <v>1</v>
      </c>
    </row>
    <row r="52" spans="1:29">
      <c r="A52" s="9" t="s">
        <v>46</v>
      </c>
      <c r="B52" s="8" t="s">
        <v>261</v>
      </c>
      <c r="C52" s="8" t="s">
        <v>262</v>
      </c>
      <c r="D52" s="8" t="s">
        <v>267</v>
      </c>
      <c r="E52" s="7" t="s">
        <v>268</v>
      </c>
      <c r="F52" s="7" t="s">
        <v>269</v>
      </c>
      <c r="G52" s="3" t="s">
        <v>55</v>
      </c>
      <c r="H52" s="6" t="s">
        <v>270</v>
      </c>
      <c r="I52" s="3" t="s">
        <v>157</v>
      </c>
      <c r="J52" s="6" t="s">
        <v>271</v>
      </c>
      <c r="K52" s="3" t="s">
        <v>51</v>
      </c>
      <c r="L52" s="6" t="s">
        <v>272</v>
      </c>
      <c r="M52" s="3" t="s">
        <v>167</v>
      </c>
      <c r="N52" s="6" t="s">
        <v>273</v>
      </c>
      <c r="O52" s="3" t="s">
        <v>51</v>
      </c>
      <c r="P52" s="6" t="s">
        <v>272</v>
      </c>
      <c r="Q52" s="3" t="s">
        <v>67</v>
      </c>
      <c r="R52" s="6" t="s">
        <v>274</v>
      </c>
      <c r="S52" s="5">
        <f>252.52</f>
        <v>252.52</v>
      </c>
      <c r="T52" s="4">
        <f>114</f>
        <v>114</v>
      </c>
      <c r="U52" s="4">
        <v>16</v>
      </c>
      <c r="V52" s="4"/>
      <c r="W52" s="4">
        <f>286651500</f>
        <v>286651500</v>
      </c>
      <c r="X52" s="4">
        <v>41376000</v>
      </c>
      <c r="Y52" s="4"/>
      <c r="Z52" s="3"/>
      <c r="AA52" s="2">
        <f>12</f>
        <v>12</v>
      </c>
      <c r="AB52" s="2" t="str">
        <f t="shared" si="1"/>
        <v>－</v>
      </c>
      <c r="AC52" s="1">
        <f>7</f>
        <v>7</v>
      </c>
    </row>
    <row r="53" spans="1:29">
      <c r="A53" s="9" t="s">
        <v>46</v>
      </c>
      <c r="B53" s="8" t="s">
        <v>261</v>
      </c>
      <c r="C53" s="8" t="s">
        <v>262</v>
      </c>
      <c r="D53" s="8" t="s">
        <v>61</v>
      </c>
      <c r="E53" s="7" t="s">
        <v>275</v>
      </c>
      <c r="F53" s="7" t="s">
        <v>276</v>
      </c>
      <c r="G53" s="3" t="s">
        <v>58</v>
      </c>
      <c r="H53" s="6" t="s">
        <v>277</v>
      </c>
      <c r="I53" s="3" t="s">
        <v>58</v>
      </c>
      <c r="J53" s="6" t="s">
        <v>277</v>
      </c>
      <c r="K53" s="3"/>
      <c r="L53" s="6"/>
      <c r="M53" s="3" t="s">
        <v>58</v>
      </c>
      <c r="N53" s="6" t="s">
        <v>277</v>
      </c>
      <c r="O53" s="3"/>
      <c r="P53" s="6"/>
      <c r="Q53" s="3" t="s">
        <v>58</v>
      </c>
      <c r="R53" s="6" t="s">
        <v>277</v>
      </c>
      <c r="S53" s="5">
        <f>248.48</f>
        <v>248.48</v>
      </c>
      <c r="T53" s="4">
        <f>1</f>
        <v>1</v>
      </c>
      <c r="U53" s="4"/>
      <c r="V53" s="4"/>
      <c r="W53" s="4">
        <f>2457000</f>
        <v>2457000</v>
      </c>
      <c r="X53" s="4"/>
      <c r="Y53" s="4"/>
      <c r="Z53" s="3"/>
      <c r="AA53" s="2">
        <f>11</f>
        <v>11</v>
      </c>
      <c r="AB53" s="2" t="str">
        <f t="shared" si="1"/>
        <v>－</v>
      </c>
      <c r="AC53" s="1">
        <f>1</f>
        <v>1</v>
      </c>
    </row>
    <row r="54" spans="1:29">
      <c r="A54" s="9" t="s">
        <v>46</v>
      </c>
      <c r="B54" s="8" t="s">
        <v>261</v>
      </c>
      <c r="C54" s="8" t="s">
        <v>262</v>
      </c>
      <c r="D54" s="8" t="s">
        <v>278</v>
      </c>
      <c r="E54" s="7" t="s">
        <v>279</v>
      </c>
      <c r="F54" s="7" t="s">
        <v>280</v>
      </c>
      <c r="G54" s="3"/>
      <c r="H54" s="6" t="s">
        <v>141</v>
      </c>
      <c r="I54" s="3"/>
      <c r="J54" s="6" t="s">
        <v>141</v>
      </c>
      <c r="K54" s="3"/>
      <c r="L54" s="6"/>
      <c r="M54" s="3"/>
      <c r="N54" s="6" t="s">
        <v>141</v>
      </c>
      <c r="O54" s="3"/>
      <c r="P54" s="6"/>
      <c r="Q54" s="3"/>
      <c r="R54" s="6" t="s">
        <v>141</v>
      </c>
      <c r="S54" s="5">
        <f>244.54</f>
        <v>244.54</v>
      </c>
      <c r="T54" s="4" t="str">
        <f>"－"</f>
        <v>－</v>
      </c>
      <c r="U54" s="4"/>
      <c r="V54" s="4"/>
      <c r="W54" s="4" t="str">
        <f>"－"</f>
        <v>－</v>
      </c>
      <c r="X54" s="4"/>
      <c r="Y54" s="4"/>
      <c r="Z54" s="3"/>
      <c r="AA54" s="2">
        <f>11</f>
        <v>11</v>
      </c>
      <c r="AB54" s="2" t="str">
        <f t="shared" si="1"/>
        <v>－</v>
      </c>
      <c r="AC54" s="1" t="str">
        <f>"－"</f>
        <v>－</v>
      </c>
    </row>
    <row r="55" spans="1:29">
      <c r="A55" s="9" t="s">
        <v>46</v>
      </c>
      <c r="B55" s="8" t="s">
        <v>261</v>
      </c>
      <c r="C55" s="8" t="s">
        <v>262</v>
      </c>
      <c r="D55" s="8" t="s">
        <v>69</v>
      </c>
      <c r="E55" s="7" t="s">
        <v>281</v>
      </c>
      <c r="F55" s="7" t="s">
        <v>282</v>
      </c>
      <c r="G55" s="3" t="s">
        <v>55</v>
      </c>
      <c r="H55" s="6" t="s">
        <v>283</v>
      </c>
      <c r="I55" s="3" t="s">
        <v>58</v>
      </c>
      <c r="J55" s="6" t="s">
        <v>284</v>
      </c>
      <c r="K55" s="3"/>
      <c r="L55" s="6"/>
      <c r="M55" s="3" t="s">
        <v>55</v>
      </c>
      <c r="N55" s="6" t="s">
        <v>283</v>
      </c>
      <c r="O55" s="3"/>
      <c r="P55" s="6"/>
      <c r="Q55" s="3" t="s">
        <v>58</v>
      </c>
      <c r="R55" s="6" t="s">
        <v>284</v>
      </c>
      <c r="S55" s="5">
        <f>240.32</f>
        <v>240.32</v>
      </c>
      <c r="T55" s="4">
        <f>2</f>
        <v>2</v>
      </c>
      <c r="U55" s="4"/>
      <c r="V55" s="4"/>
      <c r="W55" s="4">
        <f>4615000</f>
        <v>4615000</v>
      </c>
      <c r="X55" s="4"/>
      <c r="Y55" s="4"/>
      <c r="Z55" s="3"/>
      <c r="AA55" s="2">
        <f>11</f>
        <v>11</v>
      </c>
      <c r="AB55" s="2" t="str">
        <f t="shared" si="1"/>
        <v>－</v>
      </c>
      <c r="AC55" s="1">
        <f>2</f>
        <v>2</v>
      </c>
    </row>
    <row r="56" spans="1:29">
      <c r="A56" s="9" t="s">
        <v>46</v>
      </c>
      <c r="B56" s="8" t="s">
        <v>261</v>
      </c>
      <c r="C56" s="8" t="s">
        <v>262</v>
      </c>
      <c r="D56" s="8" t="s">
        <v>285</v>
      </c>
      <c r="E56" s="7" t="s">
        <v>286</v>
      </c>
      <c r="F56" s="7" t="s">
        <v>287</v>
      </c>
      <c r="G56" s="3" t="s">
        <v>288</v>
      </c>
      <c r="H56" s="6" t="s">
        <v>289</v>
      </c>
      <c r="I56" s="3" t="s">
        <v>288</v>
      </c>
      <c r="J56" s="6" t="s">
        <v>289</v>
      </c>
      <c r="K56" s="3"/>
      <c r="L56" s="6"/>
      <c r="M56" s="3" t="s">
        <v>288</v>
      </c>
      <c r="N56" s="6" t="s">
        <v>289</v>
      </c>
      <c r="O56" s="3"/>
      <c r="P56" s="6"/>
      <c r="Q56" s="3" t="s">
        <v>288</v>
      </c>
      <c r="R56" s="6" t="s">
        <v>289</v>
      </c>
      <c r="S56" s="5">
        <f>235.9</f>
        <v>235.9</v>
      </c>
      <c r="T56" s="4">
        <f>1</f>
        <v>1</v>
      </c>
      <c r="U56" s="4"/>
      <c r="V56" s="4"/>
      <c r="W56" s="4">
        <f>2320000</f>
        <v>2320000</v>
      </c>
      <c r="X56" s="4"/>
      <c r="Y56" s="4"/>
      <c r="Z56" s="3"/>
      <c r="AA56" s="2">
        <f>4</f>
        <v>4</v>
      </c>
      <c r="AB56" s="2" t="str">
        <f t="shared" si="1"/>
        <v>－</v>
      </c>
      <c r="AC56" s="1">
        <f>1</f>
        <v>1</v>
      </c>
    </row>
    <row r="57" spans="1:29">
      <c r="A57" s="9" t="s">
        <v>46</v>
      </c>
      <c r="B57" s="8" t="s">
        <v>261</v>
      </c>
      <c r="C57" s="8" t="s">
        <v>262</v>
      </c>
      <c r="D57" s="8" t="s">
        <v>76</v>
      </c>
      <c r="E57" s="7" t="s">
        <v>290</v>
      </c>
      <c r="F57" s="7" t="s">
        <v>291</v>
      </c>
      <c r="G57" s="3"/>
      <c r="H57" s="6" t="s">
        <v>141</v>
      </c>
      <c r="I57" s="3"/>
      <c r="J57" s="6" t="s">
        <v>141</v>
      </c>
      <c r="K57" s="3"/>
      <c r="L57" s="6"/>
      <c r="M57" s="3"/>
      <c r="N57" s="6" t="s">
        <v>141</v>
      </c>
      <c r="O57" s="3"/>
      <c r="P57" s="6"/>
      <c r="Q57" s="3"/>
      <c r="R57" s="6" t="s">
        <v>141</v>
      </c>
      <c r="S57" s="5">
        <f>233.38</f>
        <v>233.38</v>
      </c>
      <c r="T57" s="4" t="str">
        <f>"－"</f>
        <v>－</v>
      </c>
      <c r="U57" s="4"/>
      <c r="V57" s="4"/>
      <c r="W57" s="4" t="str">
        <f>"－"</f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>"－"</f>
        <v>－</v>
      </c>
    </row>
    <row r="58" spans="1:29">
      <c r="A58" s="9" t="s">
        <v>46</v>
      </c>
      <c r="B58" s="8" t="s">
        <v>292</v>
      </c>
      <c r="C58" s="8" t="s">
        <v>293</v>
      </c>
      <c r="D58" s="8" t="s">
        <v>46</v>
      </c>
      <c r="E58" s="7" t="s">
        <v>294</v>
      </c>
      <c r="F58" s="7" t="s">
        <v>108</v>
      </c>
      <c r="G58" s="3" t="s">
        <v>51</v>
      </c>
      <c r="H58" s="6" t="s">
        <v>295</v>
      </c>
      <c r="I58" s="3" t="s">
        <v>153</v>
      </c>
      <c r="J58" s="6" t="s">
        <v>296</v>
      </c>
      <c r="K58" s="3" t="s">
        <v>111</v>
      </c>
      <c r="L58" s="6" t="s">
        <v>297</v>
      </c>
      <c r="M58" s="3" t="s">
        <v>51</v>
      </c>
      <c r="N58" s="6" t="s">
        <v>298</v>
      </c>
      <c r="O58" s="3" t="s">
        <v>51</v>
      </c>
      <c r="P58" s="6" t="s">
        <v>299</v>
      </c>
      <c r="Q58" s="3" t="s">
        <v>53</v>
      </c>
      <c r="R58" s="6" t="s">
        <v>300</v>
      </c>
      <c r="S58" s="5">
        <f>267.64</f>
        <v>267.64</v>
      </c>
      <c r="T58" s="4">
        <f>856</f>
        <v>856</v>
      </c>
      <c r="U58" s="4">
        <v>22</v>
      </c>
      <c r="V58" s="4">
        <v>132</v>
      </c>
      <c r="W58" s="4">
        <f>1154997000</f>
        <v>1154997000</v>
      </c>
      <c r="X58" s="4">
        <v>28812000</v>
      </c>
      <c r="Y58" s="4">
        <v>175792500</v>
      </c>
      <c r="Z58" s="3" t="s">
        <v>60</v>
      </c>
      <c r="AA58" s="2">
        <f>94</f>
        <v>94</v>
      </c>
      <c r="AB58" s="2" t="str">
        <f t="shared" si="1"/>
        <v>－</v>
      </c>
      <c r="AC58" s="1">
        <f>14</f>
        <v>14</v>
      </c>
    </row>
    <row r="59" spans="1:29">
      <c r="A59" s="9" t="s">
        <v>46</v>
      </c>
      <c r="B59" s="8" t="s">
        <v>292</v>
      </c>
      <c r="C59" s="8" t="s">
        <v>293</v>
      </c>
      <c r="D59" s="8" t="s">
        <v>267</v>
      </c>
      <c r="E59" s="7" t="s">
        <v>294</v>
      </c>
      <c r="F59" s="7" t="s">
        <v>301</v>
      </c>
      <c r="G59" s="3" t="s">
        <v>51</v>
      </c>
      <c r="H59" s="6" t="s">
        <v>302</v>
      </c>
      <c r="I59" s="3" t="s">
        <v>153</v>
      </c>
      <c r="J59" s="6" t="s">
        <v>303</v>
      </c>
      <c r="K59" s="3"/>
      <c r="L59" s="6"/>
      <c r="M59" s="3" t="s">
        <v>212</v>
      </c>
      <c r="N59" s="6" t="s">
        <v>304</v>
      </c>
      <c r="O59" s="3"/>
      <c r="P59" s="6"/>
      <c r="Q59" s="3" t="s">
        <v>67</v>
      </c>
      <c r="R59" s="6" t="s">
        <v>305</v>
      </c>
      <c r="S59" s="5">
        <f>261.05</f>
        <v>261.05</v>
      </c>
      <c r="T59" s="4">
        <f>716</f>
        <v>716</v>
      </c>
      <c r="U59" s="4"/>
      <c r="V59" s="4">
        <v>175</v>
      </c>
      <c r="W59" s="4">
        <f>938398000</f>
        <v>938398000</v>
      </c>
      <c r="X59" s="4"/>
      <c r="Y59" s="4">
        <v>230848000</v>
      </c>
      <c r="Z59" s="3"/>
      <c r="AA59" s="2">
        <f>571</f>
        <v>571</v>
      </c>
      <c r="AB59" s="2" t="str">
        <f t="shared" si="1"/>
        <v>－</v>
      </c>
      <c r="AC59" s="1">
        <f>20</f>
        <v>20</v>
      </c>
    </row>
    <row r="60" spans="1:29">
      <c r="A60" s="9" t="s">
        <v>46</v>
      </c>
      <c r="B60" s="8" t="s">
        <v>292</v>
      </c>
      <c r="C60" s="8" t="s">
        <v>293</v>
      </c>
      <c r="D60" s="8" t="s">
        <v>61</v>
      </c>
      <c r="E60" s="7" t="s">
        <v>294</v>
      </c>
      <c r="F60" s="7" t="s">
        <v>113</v>
      </c>
      <c r="G60" s="3" t="s">
        <v>51</v>
      </c>
      <c r="H60" s="6" t="s">
        <v>306</v>
      </c>
      <c r="I60" s="3" t="s">
        <v>157</v>
      </c>
      <c r="J60" s="6" t="s">
        <v>307</v>
      </c>
      <c r="K60" s="3" t="s">
        <v>67</v>
      </c>
      <c r="L60" s="6" t="s">
        <v>308</v>
      </c>
      <c r="M60" s="3" t="s">
        <v>67</v>
      </c>
      <c r="N60" s="6" t="s">
        <v>309</v>
      </c>
      <c r="O60" s="3" t="s">
        <v>67</v>
      </c>
      <c r="P60" s="6" t="s">
        <v>308</v>
      </c>
      <c r="Q60" s="3" t="s">
        <v>67</v>
      </c>
      <c r="R60" s="6" t="s">
        <v>310</v>
      </c>
      <c r="S60" s="5">
        <f>259.5</f>
        <v>259.5</v>
      </c>
      <c r="T60" s="4">
        <f>916</f>
        <v>916</v>
      </c>
      <c r="U60" s="4">
        <v>5</v>
      </c>
      <c r="V60" s="4">
        <v>236</v>
      </c>
      <c r="W60" s="4">
        <f>1189219000</f>
        <v>1189219000</v>
      </c>
      <c r="X60" s="4">
        <v>6175000</v>
      </c>
      <c r="Y60" s="4">
        <v>306993000</v>
      </c>
      <c r="Z60" s="3"/>
      <c r="AA60" s="2">
        <f>714</f>
        <v>714</v>
      </c>
      <c r="AB60" s="2" t="str">
        <f t="shared" si="1"/>
        <v>－</v>
      </c>
      <c r="AC60" s="1">
        <f>20</f>
        <v>20</v>
      </c>
    </row>
    <row r="61" spans="1:29">
      <c r="A61" s="9" t="s">
        <v>46</v>
      </c>
      <c r="B61" s="8" t="s">
        <v>292</v>
      </c>
      <c r="C61" s="8" t="s">
        <v>293</v>
      </c>
      <c r="D61" s="8" t="s">
        <v>278</v>
      </c>
      <c r="E61" s="7" t="s">
        <v>294</v>
      </c>
      <c r="F61" s="7" t="s">
        <v>311</v>
      </c>
      <c r="G61" s="3" t="s">
        <v>51</v>
      </c>
      <c r="H61" s="6" t="s">
        <v>312</v>
      </c>
      <c r="I61" s="3" t="s">
        <v>55</v>
      </c>
      <c r="J61" s="6" t="s">
        <v>300</v>
      </c>
      <c r="K61" s="3" t="s">
        <v>253</v>
      </c>
      <c r="L61" s="6" t="s">
        <v>313</v>
      </c>
      <c r="M61" s="3" t="s">
        <v>212</v>
      </c>
      <c r="N61" s="6" t="s">
        <v>314</v>
      </c>
      <c r="O61" s="3" t="s">
        <v>253</v>
      </c>
      <c r="P61" s="6" t="s">
        <v>313</v>
      </c>
      <c r="Q61" s="3" t="s">
        <v>67</v>
      </c>
      <c r="R61" s="6" t="s">
        <v>315</v>
      </c>
      <c r="S61" s="5">
        <f>257.54</f>
        <v>257.54000000000002</v>
      </c>
      <c r="T61" s="4">
        <f>2599</f>
        <v>2599</v>
      </c>
      <c r="U61" s="4">
        <v>7</v>
      </c>
      <c r="V61" s="4">
        <v>764</v>
      </c>
      <c r="W61" s="4">
        <f>3360006000</f>
        <v>3360006000</v>
      </c>
      <c r="X61" s="4">
        <v>9184000</v>
      </c>
      <c r="Y61" s="4">
        <v>988853000</v>
      </c>
      <c r="Z61" s="3"/>
      <c r="AA61" s="2">
        <f>986</f>
        <v>986</v>
      </c>
      <c r="AB61" s="2" t="str">
        <f t="shared" si="1"/>
        <v>－</v>
      </c>
      <c r="AC61" s="1">
        <f>20</f>
        <v>20</v>
      </c>
    </row>
    <row r="62" spans="1:29">
      <c r="A62" s="9" t="s">
        <v>46</v>
      </c>
      <c r="B62" s="8" t="s">
        <v>292</v>
      </c>
      <c r="C62" s="8" t="s">
        <v>293</v>
      </c>
      <c r="D62" s="8" t="s">
        <v>69</v>
      </c>
      <c r="E62" s="7" t="s">
        <v>294</v>
      </c>
      <c r="F62" s="7" t="s">
        <v>118</v>
      </c>
      <c r="G62" s="3" t="s">
        <v>51</v>
      </c>
      <c r="H62" s="6" t="s">
        <v>316</v>
      </c>
      <c r="I62" s="3" t="s">
        <v>55</v>
      </c>
      <c r="J62" s="6" t="s">
        <v>317</v>
      </c>
      <c r="K62" s="3" t="s">
        <v>253</v>
      </c>
      <c r="L62" s="6" t="s">
        <v>318</v>
      </c>
      <c r="M62" s="3" t="s">
        <v>212</v>
      </c>
      <c r="N62" s="6" t="s">
        <v>319</v>
      </c>
      <c r="O62" s="3" t="s">
        <v>253</v>
      </c>
      <c r="P62" s="6" t="s">
        <v>318</v>
      </c>
      <c r="Q62" s="3" t="s">
        <v>67</v>
      </c>
      <c r="R62" s="6" t="s">
        <v>320</v>
      </c>
      <c r="S62" s="5">
        <f>258.99</f>
        <v>258.99</v>
      </c>
      <c r="T62" s="4">
        <f>15052</f>
        <v>15052</v>
      </c>
      <c r="U62" s="4">
        <v>3</v>
      </c>
      <c r="V62" s="4">
        <v>5252</v>
      </c>
      <c r="W62" s="4">
        <f>19662466000</f>
        <v>19662466000</v>
      </c>
      <c r="X62" s="4">
        <v>3949500</v>
      </c>
      <c r="Y62" s="4">
        <v>6875410500</v>
      </c>
      <c r="Z62" s="3"/>
      <c r="AA62" s="2">
        <f>1299</f>
        <v>1299</v>
      </c>
      <c r="AB62" s="2" t="str">
        <f t="shared" si="1"/>
        <v>－</v>
      </c>
      <c r="AC62" s="1">
        <f>20</f>
        <v>20</v>
      </c>
    </row>
    <row r="63" spans="1:29">
      <c r="A63" s="9" t="s">
        <v>46</v>
      </c>
      <c r="B63" s="8" t="s">
        <v>292</v>
      </c>
      <c r="C63" s="8" t="s">
        <v>293</v>
      </c>
      <c r="D63" s="8" t="s">
        <v>285</v>
      </c>
      <c r="E63" s="7" t="s">
        <v>321</v>
      </c>
      <c r="F63" s="7" t="s">
        <v>322</v>
      </c>
      <c r="G63" s="3" t="s">
        <v>51</v>
      </c>
      <c r="H63" s="6" t="s">
        <v>323</v>
      </c>
      <c r="I63" s="3" t="s">
        <v>55</v>
      </c>
      <c r="J63" s="6" t="s">
        <v>324</v>
      </c>
      <c r="K63" s="3" t="s">
        <v>153</v>
      </c>
      <c r="L63" s="6" t="s">
        <v>325</v>
      </c>
      <c r="M63" s="3" t="s">
        <v>212</v>
      </c>
      <c r="N63" s="6" t="s">
        <v>326</v>
      </c>
      <c r="O63" s="3" t="s">
        <v>67</v>
      </c>
      <c r="P63" s="6" t="s">
        <v>327</v>
      </c>
      <c r="Q63" s="3" t="s">
        <v>67</v>
      </c>
      <c r="R63" s="6" t="s">
        <v>328</v>
      </c>
      <c r="S63" s="5">
        <f>260.28</f>
        <v>260.27999999999997</v>
      </c>
      <c r="T63" s="4">
        <f>32909</f>
        <v>32909</v>
      </c>
      <c r="U63" s="4">
        <v>73</v>
      </c>
      <c r="V63" s="4">
        <v>6750</v>
      </c>
      <c r="W63" s="4">
        <f>42865873000</f>
        <v>42865873000</v>
      </c>
      <c r="X63" s="4">
        <v>89929500</v>
      </c>
      <c r="Y63" s="4">
        <v>8752537500</v>
      </c>
      <c r="Z63" s="3"/>
      <c r="AA63" s="2">
        <f>3666</f>
        <v>3666</v>
      </c>
      <c r="AB63" s="2" t="str">
        <f t="shared" si="1"/>
        <v>－</v>
      </c>
      <c r="AC63" s="1">
        <f>20</f>
        <v>20</v>
      </c>
    </row>
    <row r="64" spans="1:29">
      <c r="A64" s="9" t="s">
        <v>46</v>
      </c>
      <c r="B64" s="8" t="s">
        <v>292</v>
      </c>
      <c r="C64" s="8" t="s">
        <v>293</v>
      </c>
      <c r="D64" s="8" t="s">
        <v>76</v>
      </c>
      <c r="E64" s="7" t="s">
        <v>329</v>
      </c>
      <c r="F64" s="7" t="s">
        <v>122</v>
      </c>
      <c r="G64" s="3" t="s">
        <v>51</v>
      </c>
      <c r="H64" s="6" t="s">
        <v>330</v>
      </c>
      <c r="I64" s="3" t="s">
        <v>167</v>
      </c>
      <c r="J64" s="6" t="s">
        <v>331</v>
      </c>
      <c r="K64" s="3"/>
      <c r="L64" s="6"/>
      <c r="M64" s="3" t="s">
        <v>212</v>
      </c>
      <c r="N64" s="6" t="s">
        <v>332</v>
      </c>
      <c r="O64" s="3"/>
      <c r="P64" s="6"/>
      <c r="Q64" s="3" t="s">
        <v>67</v>
      </c>
      <c r="R64" s="6" t="s">
        <v>333</v>
      </c>
      <c r="S64" s="5">
        <f>261.15</f>
        <v>261.14999999999998</v>
      </c>
      <c r="T64" s="4">
        <f>5884</f>
        <v>5884</v>
      </c>
      <c r="U64" s="4"/>
      <c r="V64" s="4">
        <v>1973</v>
      </c>
      <c r="W64" s="4">
        <f>7386128000</f>
        <v>7386128000</v>
      </c>
      <c r="X64" s="4"/>
      <c r="Y64" s="4">
        <v>2470298500</v>
      </c>
      <c r="Z64" s="3"/>
      <c r="AA64" s="2">
        <f>1843</f>
        <v>1843</v>
      </c>
      <c r="AB64" s="2" t="str">
        <f t="shared" si="1"/>
        <v>－</v>
      </c>
      <c r="AC64" s="1">
        <f>19</f>
        <v>19</v>
      </c>
    </row>
    <row r="65" spans="1:29">
      <c r="A65" s="9" t="s">
        <v>46</v>
      </c>
      <c r="B65" s="8" t="s">
        <v>292</v>
      </c>
      <c r="C65" s="8" t="s">
        <v>293</v>
      </c>
      <c r="D65" s="8" t="s">
        <v>334</v>
      </c>
      <c r="E65" s="7" t="s">
        <v>335</v>
      </c>
      <c r="F65" s="7" t="s">
        <v>336</v>
      </c>
      <c r="G65" s="3" t="s">
        <v>51</v>
      </c>
      <c r="H65" s="6" t="s">
        <v>337</v>
      </c>
      <c r="I65" s="3" t="s">
        <v>253</v>
      </c>
      <c r="J65" s="6" t="s">
        <v>338</v>
      </c>
      <c r="K65" s="3"/>
      <c r="L65" s="6"/>
      <c r="M65" s="3" t="s">
        <v>212</v>
      </c>
      <c r="N65" s="6" t="s">
        <v>339</v>
      </c>
      <c r="O65" s="3"/>
      <c r="P65" s="6"/>
      <c r="Q65" s="3" t="s">
        <v>67</v>
      </c>
      <c r="R65" s="6" t="s">
        <v>340</v>
      </c>
      <c r="S65" s="5">
        <f>260.95</f>
        <v>260.95</v>
      </c>
      <c r="T65" s="4">
        <f>55</f>
        <v>55</v>
      </c>
      <c r="U65" s="4"/>
      <c r="V65" s="4">
        <v>5</v>
      </c>
      <c r="W65" s="4">
        <f>70269500</f>
        <v>70269500</v>
      </c>
      <c r="X65" s="4"/>
      <c r="Y65" s="4">
        <v>6425500</v>
      </c>
      <c r="Z65" s="3"/>
      <c r="AA65" s="2">
        <f>37</f>
        <v>37</v>
      </c>
      <c r="AB65" s="2" t="str">
        <f t="shared" si="1"/>
        <v>－</v>
      </c>
      <c r="AC65" s="1">
        <f>11</f>
        <v>11</v>
      </c>
    </row>
    <row r="66" spans="1:29">
      <c r="A66" s="9" t="s">
        <v>46</v>
      </c>
      <c r="B66" s="8" t="s">
        <v>292</v>
      </c>
      <c r="C66" s="8" t="s">
        <v>293</v>
      </c>
      <c r="D66" s="8" t="s">
        <v>83</v>
      </c>
      <c r="E66" s="7" t="s">
        <v>341</v>
      </c>
      <c r="F66" s="7" t="s">
        <v>126</v>
      </c>
      <c r="G66" s="3" t="s">
        <v>51</v>
      </c>
      <c r="H66" s="6" t="s">
        <v>337</v>
      </c>
      <c r="I66" s="3" t="s">
        <v>55</v>
      </c>
      <c r="J66" s="6" t="s">
        <v>300</v>
      </c>
      <c r="K66" s="3"/>
      <c r="L66" s="6"/>
      <c r="M66" s="3" t="s">
        <v>212</v>
      </c>
      <c r="N66" s="6" t="s">
        <v>342</v>
      </c>
      <c r="O66" s="3"/>
      <c r="P66" s="6"/>
      <c r="Q66" s="3" t="s">
        <v>67</v>
      </c>
      <c r="R66" s="6" t="s">
        <v>343</v>
      </c>
      <c r="S66" s="5">
        <f>261.75</f>
        <v>261.75</v>
      </c>
      <c r="T66" s="4">
        <f>21</f>
        <v>21</v>
      </c>
      <c r="U66" s="4"/>
      <c r="V66" s="4">
        <v>2</v>
      </c>
      <c r="W66" s="4">
        <f>27138500</f>
        <v>27138500</v>
      </c>
      <c r="X66" s="4"/>
      <c r="Y66" s="4">
        <v>2638500</v>
      </c>
      <c r="Z66" s="3"/>
      <c r="AA66" s="2">
        <f>47</f>
        <v>47</v>
      </c>
      <c r="AB66" s="2" t="str">
        <f t="shared" si="1"/>
        <v>－</v>
      </c>
      <c r="AC66" s="1">
        <f>10</f>
        <v>10</v>
      </c>
    </row>
    <row r="67" spans="1:29">
      <c r="A67" s="9" t="s">
        <v>46</v>
      </c>
      <c r="B67" s="8" t="s">
        <v>292</v>
      </c>
      <c r="C67" s="8" t="s">
        <v>293</v>
      </c>
      <c r="D67" s="8" t="s">
        <v>344</v>
      </c>
      <c r="E67" s="7" t="s">
        <v>345</v>
      </c>
      <c r="F67" s="7" t="s">
        <v>346</v>
      </c>
      <c r="G67" s="3" t="s">
        <v>55</v>
      </c>
      <c r="H67" s="6" t="s">
        <v>347</v>
      </c>
      <c r="I67" s="3" t="s">
        <v>55</v>
      </c>
      <c r="J67" s="6" t="s">
        <v>348</v>
      </c>
      <c r="K67" s="3"/>
      <c r="L67" s="6"/>
      <c r="M67" s="3" t="s">
        <v>212</v>
      </c>
      <c r="N67" s="6" t="s">
        <v>349</v>
      </c>
      <c r="O67" s="3"/>
      <c r="P67" s="6"/>
      <c r="Q67" s="3" t="s">
        <v>212</v>
      </c>
      <c r="R67" s="6" t="s">
        <v>349</v>
      </c>
      <c r="S67" s="5">
        <f>265.1</f>
        <v>265.10000000000002</v>
      </c>
      <c r="T67" s="4">
        <f>31</f>
        <v>31</v>
      </c>
      <c r="U67" s="4"/>
      <c r="V67" s="4">
        <v>21</v>
      </c>
      <c r="W67" s="4">
        <f>39807000</f>
        <v>39807000</v>
      </c>
      <c r="X67" s="4"/>
      <c r="Y67" s="4">
        <v>26774000</v>
      </c>
      <c r="Z67" s="3"/>
      <c r="AA67" s="2">
        <f>35</f>
        <v>35</v>
      </c>
      <c r="AB67" s="2" t="str">
        <f t="shared" si="1"/>
        <v>－</v>
      </c>
      <c r="AC67" s="1">
        <f>6</f>
        <v>6</v>
      </c>
    </row>
    <row r="68" spans="1:29">
      <c r="A68" s="9" t="s">
        <v>46</v>
      </c>
      <c r="B68" s="8" t="s">
        <v>292</v>
      </c>
      <c r="C68" s="8" t="s">
        <v>293</v>
      </c>
      <c r="D68" s="8" t="s">
        <v>90</v>
      </c>
      <c r="E68" s="7" t="s">
        <v>350</v>
      </c>
      <c r="F68" s="7" t="s">
        <v>130</v>
      </c>
      <c r="G68" s="3" t="s">
        <v>55</v>
      </c>
      <c r="H68" s="6" t="s">
        <v>347</v>
      </c>
      <c r="I68" s="3" t="s">
        <v>160</v>
      </c>
      <c r="J68" s="6" t="s">
        <v>351</v>
      </c>
      <c r="K68" s="3"/>
      <c r="L68" s="6"/>
      <c r="M68" s="3" t="s">
        <v>58</v>
      </c>
      <c r="N68" s="6" t="s">
        <v>352</v>
      </c>
      <c r="O68" s="3"/>
      <c r="P68" s="6"/>
      <c r="Q68" s="3" t="s">
        <v>67</v>
      </c>
      <c r="R68" s="6" t="s">
        <v>353</v>
      </c>
      <c r="S68" s="5">
        <f>265.87</f>
        <v>265.87</v>
      </c>
      <c r="T68" s="4">
        <f>24</f>
        <v>24</v>
      </c>
      <c r="U68" s="4"/>
      <c r="V68" s="4"/>
      <c r="W68" s="4">
        <f>31511500</f>
        <v>31511500</v>
      </c>
      <c r="X68" s="4"/>
      <c r="Y68" s="4"/>
      <c r="Z68" s="3"/>
      <c r="AA68" s="2">
        <f>37</f>
        <v>37</v>
      </c>
      <c r="AB68" s="2" t="str">
        <f t="shared" si="1"/>
        <v>－</v>
      </c>
      <c r="AC68" s="1">
        <f>10</f>
        <v>10</v>
      </c>
    </row>
    <row r="69" spans="1:29">
      <c r="A69" s="9" t="s">
        <v>46</v>
      </c>
      <c r="B69" s="8" t="s">
        <v>292</v>
      </c>
      <c r="C69" s="8" t="s">
        <v>293</v>
      </c>
      <c r="D69" s="8" t="s">
        <v>354</v>
      </c>
      <c r="E69" s="7" t="s">
        <v>355</v>
      </c>
      <c r="F69" s="7" t="s">
        <v>356</v>
      </c>
      <c r="G69" s="3" t="s">
        <v>51</v>
      </c>
      <c r="H69" s="6" t="s">
        <v>312</v>
      </c>
      <c r="I69" s="3" t="s">
        <v>253</v>
      </c>
      <c r="J69" s="6" t="s">
        <v>357</v>
      </c>
      <c r="K69" s="3"/>
      <c r="L69" s="6"/>
      <c r="M69" s="3" t="s">
        <v>95</v>
      </c>
      <c r="N69" s="6" t="s">
        <v>358</v>
      </c>
      <c r="O69" s="3"/>
      <c r="P69" s="6"/>
      <c r="Q69" s="3" t="s">
        <v>95</v>
      </c>
      <c r="R69" s="6" t="s">
        <v>358</v>
      </c>
      <c r="S69" s="5">
        <f>265.7</f>
        <v>265.7</v>
      </c>
      <c r="T69" s="4">
        <f>66</f>
        <v>66</v>
      </c>
      <c r="U69" s="4"/>
      <c r="V69" s="4"/>
      <c r="W69" s="4">
        <f>87858000</f>
        <v>87858000</v>
      </c>
      <c r="X69" s="4"/>
      <c r="Y69" s="4"/>
      <c r="Z69" s="3"/>
      <c r="AA69" s="2">
        <f>7</f>
        <v>7</v>
      </c>
      <c r="AB69" s="2" t="str">
        <f t="shared" si="1"/>
        <v>－</v>
      </c>
      <c r="AC69" s="1">
        <f>14</f>
        <v>14</v>
      </c>
    </row>
    <row r="70" spans="1:29">
      <c r="A70" s="9" t="s">
        <v>46</v>
      </c>
      <c r="B70" s="8" t="s">
        <v>292</v>
      </c>
      <c r="C70" s="8" t="s">
        <v>293</v>
      </c>
      <c r="D70" s="8" t="s">
        <v>99</v>
      </c>
      <c r="E70" s="7" t="s">
        <v>50</v>
      </c>
      <c r="F70" s="7" t="s">
        <v>134</v>
      </c>
      <c r="G70" s="3" t="s">
        <v>58</v>
      </c>
      <c r="H70" s="6" t="s">
        <v>359</v>
      </c>
      <c r="I70" s="3" t="s">
        <v>58</v>
      </c>
      <c r="J70" s="6" t="s">
        <v>359</v>
      </c>
      <c r="K70" s="3"/>
      <c r="L70" s="6"/>
      <c r="M70" s="3" t="s">
        <v>67</v>
      </c>
      <c r="N70" s="6" t="s">
        <v>360</v>
      </c>
      <c r="O70" s="3"/>
      <c r="P70" s="6"/>
      <c r="Q70" s="3" t="s">
        <v>67</v>
      </c>
      <c r="R70" s="6" t="s">
        <v>360</v>
      </c>
      <c r="S70" s="5">
        <f>258.88</f>
        <v>258.88</v>
      </c>
      <c r="T70" s="4">
        <f>3</f>
        <v>3</v>
      </c>
      <c r="U70" s="4"/>
      <c r="V70" s="4"/>
      <c r="W70" s="4">
        <f>3868500</f>
        <v>3868500</v>
      </c>
      <c r="X70" s="4"/>
      <c r="Y70" s="4"/>
      <c r="Z70" s="3"/>
      <c r="AA70" s="2">
        <f>2</f>
        <v>2</v>
      </c>
      <c r="AB70" s="2" t="str">
        <f t="shared" si="1"/>
        <v>－</v>
      </c>
      <c r="AC70" s="1">
        <f>3</f>
        <v>3</v>
      </c>
    </row>
    <row r="71" spans="1:29">
      <c r="A71" s="9" t="s">
        <v>46</v>
      </c>
      <c r="B71" s="8" t="s">
        <v>361</v>
      </c>
      <c r="C71" s="8" t="s">
        <v>362</v>
      </c>
      <c r="D71" s="8" t="s">
        <v>267</v>
      </c>
      <c r="E71" s="7" t="s">
        <v>294</v>
      </c>
      <c r="F71" s="7" t="s">
        <v>363</v>
      </c>
      <c r="G71" s="3"/>
      <c r="H71" s="6" t="s">
        <v>141</v>
      </c>
      <c r="I71" s="3"/>
      <c r="J71" s="6" t="s">
        <v>141</v>
      </c>
      <c r="K71" s="3"/>
      <c r="L71" s="6"/>
      <c r="M71" s="3"/>
      <c r="N71" s="6" t="s">
        <v>141</v>
      </c>
      <c r="O71" s="3"/>
      <c r="P71" s="6"/>
      <c r="Q71" s="3"/>
      <c r="R71" s="6" t="s">
        <v>141</v>
      </c>
      <c r="S71" s="5">
        <f>214.3</f>
        <v>214.3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60</v>
      </c>
      <c r="AA71" s="2" t="str">
        <f t="shared" ref="AA71:AA82" si="2">"－"</f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361</v>
      </c>
      <c r="C72" s="8" t="s">
        <v>362</v>
      </c>
      <c r="D72" s="8" t="s">
        <v>61</v>
      </c>
      <c r="E72" s="7" t="s">
        <v>294</v>
      </c>
      <c r="F72" s="7" t="s">
        <v>364</v>
      </c>
      <c r="G72" s="3"/>
      <c r="H72" s="6" t="s">
        <v>141</v>
      </c>
      <c r="I72" s="3"/>
      <c r="J72" s="6" t="s">
        <v>141</v>
      </c>
      <c r="K72" s="3"/>
      <c r="L72" s="6"/>
      <c r="M72" s="3"/>
      <c r="N72" s="6" t="s">
        <v>141</v>
      </c>
      <c r="O72" s="3"/>
      <c r="P72" s="6"/>
      <c r="Q72" s="3"/>
      <c r="R72" s="6" t="s">
        <v>141</v>
      </c>
      <c r="S72" s="5">
        <f>214.3</f>
        <v>214.3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361</v>
      </c>
      <c r="C73" s="8" t="s">
        <v>362</v>
      </c>
      <c r="D73" s="8" t="s">
        <v>278</v>
      </c>
      <c r="E73" s="7" t="s">
        <v>294</v>
      </c>
      <c r="F73" s="7" t="s">
        <v>365</v>
      </c>
      <c r="G73" s="3" t="s">
        <v>51</v>
      </c>
      <c r="H73" s="6" t="s">
        <v>366</v>
      </c>
      <c r="I73" s="3" t="s">
        <v>157</v>
      </c>
      <c r="J73" s="6" t="s">
        <v>367</v>
      </c>
      <c r="K73" s="3"/>
      <c r="L73" s="6"/>
      <c r="M73" s="3" t="s">
        <v>51</v>
      </c>
      <c r="N73" s="6" t="s">
        <v>366</v>
      </c>
      <c r="O73" s="3"/>
      <c r="P73" s="6"/>
      <c r="Q73" s="3" t="s">
        <v>157</v>
      </c>
      <c r="R73" s="6" t="s">
        <v>368</v>
      </c>
      <c r="S73" s="5">
        <f>213.25</f>
        <v>213.25</v>
      </c>
      <c r="T73" s="4">
        <f>9</f>
        <v>9</v>
      </c>
      <c r="U73" s="4"/>
      <c r="V73" s="4"/>
      <c r="W73" s="4">
        <f>9685500</f>
        <v>9685500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2</f>
        <v>2</v>
      </c>
    </row>
    <row r="74" spans="1:29">
      <c r="A74" s="9" t="s">
        <v>46</v>
      </c>
      <c r="B74" s="8" t="s">
        <v>361</v>
      </c>
      <c r="C74" s="8" t="s">
        <v>362</v>
      </c>
      <c r="D74" s="8" t="s">
        <v>69</v>
      </c>
      <c r="E74" s="7" t="s">
        <v>294</v>
      </c>
      <c r="F74" s="7" t="s">
        <v>369</v>
      </c>
      <c r="G74" s="3" t="s">
        <v>157</v>
      </c>
      <c r="H74" s="6" t="s">
        <v>370</v>
      </c>
      <c r="I74" s="3" t="s">
        <v>160</v>
      </c>
      <c r="J74" s="6" t="s">
        <v>371</v>
      </c>
      <c r="K74" s="3"/>
      <c r="L74" s="6"/>
      <c r="M74" s="3" t="s">
        <v>157</v>
      </c>
      <c r="N74" s="6" t="s">
        <v>372</v>
      </c>
      <c r="O74" s="3"/>
      <c r="P74" s="6"/>
      <c r="Q74" s="3" t="s">
        <v>160</v>
      </c>
      <c r="R74" s="6" t="s">
        <v>373</v>
      </c>
      <c r="S74" s="5">
        <f>213.97</f>
        <v>213.97</v>
      </c>
      <c r="T74" s="4">
        <f>15</f>
        <v>15</v>
      </c>
      <c r="U74" s="4"/>
      <c r="V74" s="4"/>
      <c r="W74" s="4">
        <f>16432500</f>
        <v>16432500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2</f>
        <v>2</v>
      </c>
    </row>
    <row r="75" spans="1:29">
      <c r="A75" s="9" t="s">
        <v>46</v>
      </c>
      <c r="B75" s="8" t="s">
        <v>361</v>
      </c>
      <c r="C75" s="8" t="s">
        <v>362</v>
      </c>
      <c r="D75" s="8" t="s">
        <v>285</v>
      </c>
      <c r="E75" s="7" t="s">
        <v>294</v>
      </c>
      <c r="F75" s="7" t="s">
        <v>374</v>
      </c>
      <c r="G75" s="3"/>
      <c r="H75" s="6" t="s">
        <v>141</v>
      </c>
      <c r="I75" s="3"/>
      <c r="J75" s="6" t="s">
        <v>141</v>
      </c>
      <c r="K75" s="3"/>
      <c r="L75" s="6"/>
      <c r="M75" s="3"/>
      <c r="N75" s="6" t="s">
        <v>141</v>
      </c>
      <c r="O75" s="3"/>
      <c r="P75" s="6"/>
      <c r="Q75" s="3"/>
      <c r="R75" s="6" t="s">
        <v>141</v>
      </c>
      <c r="S75" s="5">
        <f>215.4</f>
        <v>215.4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361</v>
      </c>
      <c r="C76" s="8" t="s">
        <v>362</v>
      </c>
      <c r="D76" s="8" t="s">
        <v>76</v>
      </c>
      <c r="E76" s="7" t="s">
        <v>375</v>
      </c>
      <c r="F76" s="7" t="s">
        <v>376</v>
      </c>
      <c r="G76" s="3"/>
      <c r="H76" s="6" t="s">
        <v>141</v>
      </c>
      <c r="I76" s="3"/>
      <c r="J76" s="6" t="s">
        <v>141</v>
      </c>
      <c r="K76" s="3"/>
      <c r="L76" s="6"/>
      <c r="M76" s="3"/>
      <c r="N76" s="6" t="s">
        <v>141</v>
      </c>
      <c r="O76" s="3"/>
      <c r="P76" s="6"/>
      <c r="Q76" s="3"/>
      <c r="R76" s="6" t="s">
        <v>141</v>
      </c>
      <c r="S76" s="5">
        <f>215.4</f>
        <v>215.4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361</v>
      </c>
      <c r="C77" s="8" t="s">
        <v>362</v>
      </c>
      <c r="D77" s="8" t="s">
        <v>334</v>
      </c>
      <c r="E77" s="7" t="s">
        <v>377</v>
      </c>
      <c r="F77" s="7" t="s">
        <v>378</v>
      </c>
      <c r="G77" s="3"/>
      <c r="H77" s="6" t="s">
        <v>141</v>
      </c>
      <c r="I77" s="3"/>
      <c r="J77" s="6" t="s">
        <v>141</v>
      </c>
      <c r="K77" s="3"/>
      <c r="L77" s="6"/>
      <c r="M77" s="3"/>
      <c r="N77" s="6" t="s">
        <v>141</v>
      </c>
      <c r="O77" s="3"/>
      <c r="P77" s="6"/>
      <c r="Q77" s="3"/>
      <c r="R77" s="6" t="s">
        <v>141</v>
      </c>
      <c r="S77" s="5">
        <f>216.4</f>
        <v>216.4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361</v>
      </c>
      <c r="C78" s="8" t="s">
        <v>362</v>
      </c>
      <c r="D78" s="8" t="s">
        <v>83</v>
      </c>
      <c r="E78" s="7" t="s">
        <v>379</v>
      </c>
      <c r="F78" s="7" t="s">
        <v>380</v>
      </c>
      <c r="G78" s="3"/>
      <c r="H78" s="6" t="s">
        <v>141</v>
      </c>
      <c r="I78" s="3"/>
      <c r="J78" s="6" t="s">
        <v>141</v>
      </c>
      <c r="K78" s="3"/>
      <c r="L78" s="6"/>
      <c r="M78" s="3"/>
      <c r="N78" s="6" t="s">
        <v>141</v>
      </c>
      <c r="O78" s="3"/>
      <c r="P78" s="6"/>
      <c r="Q78" s="3"/>
      <c r="R78" s="6" t="s">
        <v>141</v>
      </c>
      <c r="S78" s="5">
        <f>216.4</f>
        <v>216.4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361</v>
      </c>
      <c r="C79" s="8" t="s">
        <v>362</v>
      </c>
      <c r="D79" s="8" t="s">
        <v>344</v>
      </c>
      <c r="E79" s="7" t="s">
        <v>381</v>
      </c>
      <c r="F79" s="7" t="s">
        <v>382</v>
      </c>
      <c r="G79" s="3"/>
      <c r="H79" s="6" t="s">
        <v>141</v>
      </c>
      <c r="I79" s="3"/>
      <c r="J79" s="6" t="s">
        <v>141</v>
      </c>
      <c r="K79" s="3"/>
      <c r="L79" s="6"/>
      <c r="M79" s="3"/>
      <c r="N79" s="6" t="s">
        <v>141</v>
      </c>
      <c r="O79" s="3"/>
      <c r="P79" s="6"/>
      <c r="Q79" s="3"/>
      <c r="R79" s="6" t="s">
        <v>141</v>
      </c>
      <c r="S79" s="5">
        <f>217.4</f>
        <v>217.4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361</v>
      </c>
      <c r="C80" s="8" t="s">
        <v>362</v>
      </c>
      <c r="D80" s="8" t="s">
        <v>90</v>
      </c>
      <c r="E80" s="7" t="s">
        <v>383</v>
      </c>
      <c r="F80" s="7" t="s">
        <v>384</v>
      </c>
      <c r="G80" s="3"/>
      <c r="H80" s="6" t="s">
        <v>141</v>
      </c>
      <c r="I80" s="3"/>
      <c r="J80" s="6" t="s">
        <v>141</v>
      </c>
      <c r="K80" s="3"/>
      <c r="L80" s="6"/>
      <c r="M80" s="3"/>
      <c r="N80" s="6" t="s">
        <v>141</v>
      </c>
      <c r="O80" s="3"/>
      <c r="P80" s="6"/>
      <c r="Q80" s="3"/>
      <c r="R80" s="6" t="s">
        <v>141</v>
      </c>
      <c r="S80" s="5">
        <f>217.4</f>
        <v>217.4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361</v>
      </c>
      <c r="C81" s="8" t="s">
        <v>362</v>
      </c>
      <c r="D81" s="8" t="s">
        <v>354</v>
      </c>
      <c r="E81" s="7" t="s">
        <v>385</v>
      </c>
      <c r="F81" s="7" t="s">
        <v>386</v>
      </c>
      <c r="G81" s="3"/>
      <c r="H81" s="6" t="s">
        <v>141</v>
      </c>
      <c r="I81" s="3"/>
      <c r="J81" s="6" t="s">
        <v>141</v>
      </c>
      <c r="K81" s="3"/>
      <c r="L81" s="6"/>
      <c r="M81" s="3"/>
      <c r="N81" s="6" t="s">
        <v>141</v>
      </c>
      <c r="O81" s="3"/>
      <c r="P81" s="6"/>
      <c r="Q81" s="3"/>
      <c r="R81" s="6" t="s">
        <v>141</v>
      </c>
      <c r="S81" s="5">
        <f>218.4</f>
        <v>218.4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361</v>
      </c>
      <c r="C82" s="8" t="s">
        <v>362</v>
      </c>
      <c r="D82" s="8" t="s">
        <v>99</v>
      </c>
      <c r="E82" s="7" t="s">
        <v>264</v>
      </c>
      <c r="F82" s="7" t="s">
        <v>387</v>
      </c>
      <c r="G82" s="3"/>
      <c r="H82" s="6" t="s">
        <v>141</v>
      </c>
      <c r="I82" s="3"/>
      <c r="J82" s="6" t="s">
        <v>141</v>
      </c>
      <c r="K82" s="3"/>
      <c r="L82" s="6"/>
      <c r="M82" s="3"/>
      <c r="N82" s="6" t="s">
        <v>141</v>
      </c>
      <c r="O82" s="3"/>
      <c r="P82" s="6"/>
      <c r="Q82" s="3"/>
      <c r="R82" s="6" t="s">
        <v>141</v>
      </c>
      <c r="S82" s="5">
        <f>218.4</f>
        <v>218.4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388</v>
      </c>
      <c r="C83" s="8" t="s">
        <v>389</v>
      </c>
      <c r="D83" s="8" t="s">
        <v>267</v>
      </c>
      <c r="E83" s="7" t="s">
        <v>390</v>
      </c>
      <c r="F83" s="7" t="s">
        <v>391</v>
      </c>
      <c r="G83" s="3" t="s">
        <v>51</v>
      </c>
      <c r="H83" s="6" t="s">
        <v>392</v>
      </c>
      <c r="I83" s="3" t="s">
        <v>55</v>
      </c>
      <c r="J83" s="6" t="s">
        <v>393</v>
      </c>
      <c r="K83" s="3" t="s">
        <v>153</v>
      </c>
      <c r="L83" s="6" t="s">
        <v>394</v>
      </c>
      <c r="M83" s="3" t="s">
        <v>55</v>
      </c>
      <c r="N83" s="6" t="s">
        <v>395</v>
      </c>
      <c r="O83" s="3" t="s">
        <v>153</v>
      </c>
      <c r="P83" s="6" t="s">
        <v>394</v>
      </c>
      <c r="Q83" s="3" t="s">
        <v>55</v>
      </c>
      <c r="R83" s="6" t="s">
        <v>393</v>
      </c>
      <c r="S83" s="5">
        <f>59772.73</f>
        <v>59772.73</v>
      </c>
      <c r="T83" s="4">
        <f>273</f>
        <v>273</v>
      </c>
      <c r="U83" s="4">
        <v>253</v>
      </c>
      <c r="V83" s="4"/>
      <c r="W83" s="4">
        <f>816625500</f>
        <v>816625500</v>
      </c>
      <c r="X83" s="4">
        <v>759000000</v>
      </c>
      <c r="Y83" s="4"/>
      <c r="Z83" s="3" t="s">
        <v>60</v>
      </c>
      <c r="AA83" s="2">
        <f>43</f>
        <v>43</v>
      </c>
      <c r="AB83" s="2" t="str">
        <f t="shared" si="3"/>
        <v>－</v>
      </c>
      <c r="AC83" s="1">
        <f>2</f>
        <v>2</v>
      </c>
    </row>
    <row r="84" spans="1:29">
      <c r="A84" s="9" t="s">
        <v>46</v>
      </c>
      <c r="B84" s="8" t="s">
        <v>388</v>
      </c>
      <c r="C84" s="8" t="s">
        <v>389</v>
      </c>
      <c r="D84" s="8" t="s">
        <v>278</v>
      </c>
      <c r="E84" s="7" t="s">
        <v>396</v>
      </c>
      <c r="F84" s="7" t="s">
        <v>397</v>
      </c>
      <c r="G84" s="3" t="s">
        <v>55</v>
      </c>
      <c r="H84" s="6" t="s">
        <v>398</v>
      </c>
      <c r="I84" s="3" t="s">
        <v>160</v>
      </c>
      <c r="J84" s="6" t="s">
        <v>395</v>
      </c>
      <c r="K84" s="3" t="s">
        <v>153</v>
      </c>
      <c r="L84" s="6" t="s">
        <v>399</v>
      </c>
      <c r="M84" s="3" t="s">
        <v>167</v>
      </c>
      <c r="N84" s="6" t="s">
        <v>400</v>
      </c>
      <c r="O84" s="3" t="s">
        <v>153</v>
      </c>
      <c r="P84" s="6" t="s">
        <v>399</v>
      </c>
      <c r="Q84" s="3" t="s">
        <v>95</v>
      </c>
      <c r="R84" s="6" t="s">
        <v>401</v>
      </c>
      <c r="S84" s="5">
        <f>56018.5</f>
        <v>56018.5</v>
      </c>
      <c r="T84" s="4">
        <f>31</f>
        <v>31</v>
      </c>
      <c r="U84" s="4">
        <v>1</v>
      </c>
      <c r="V84" s="4"/>
      <c r="W84" s="4">
        <f>86076500</f>
        <v>86076500</v>
      </c>
      <c r="X84" s="4">
        <v>2816500</v>
      </c>
      <c r="Y84" s="4"/>
      <c r="Z84" s="3"/>
      <c r="AA84" s="2">
        <f>64</f>
        <v>64</v>
      </c>
      <c r="AB84" s="2" t="str">
        <f t="shared" si="3"/>
        <v>－</v>
      </c>
      <c r="AC84" s="1">
        <f>10</f>
        <v>10</v>
      </c>
    </row>
    <row r="85" spans="1:29">
      <c r="A85" s="9" t="s">
        <v>46</v>
      </c>
      <c r="B85" s="8" t="s">
        <v>388</v>
      </c>
      <c r="C85" s="8" t="s">
        <v>389</v>
      </c>
      <c r="D85" s="8" t="s">
        <v>285</v>
      </c>
      <c r="E85" s="7" t="s">
        <v>402</v>
      </c>
      <c r="F85" s="7" t="s">
        <v>403</v>
      </c>
      <c r="G85" s="3" t="s">
        <v>51</v>
      </c>
      <c r="H85" s="6" t="s">
        <v>404</v>
      </c>
      <c r="I85" s="3" t="s">
        <v>67</v>
      </c>
      <c r="J85" s="6" t="s">
        <v>405</v>
      </c>
      <c r="K85" s="3"/>
      <c r="L85" s="6"/>
      <c r="M85" s="3" t="s">
        <v>51</v>
      </c>
      <c r="N85" s="6" t="s">
        <v>404</v>
      </c>
      <c r="O85" s="3"/>
      <c r="P85" s="6"/>
      <c r="Q85" s="3" t="s">
        <v>67</v>
      </c>
      <c r="R85" s="6" t="s">
        <v>405</v>
      </c>
      <c r="S85" s="5">
        <f>55402</f>
        <v>55402</v>
      </c>
      <c r="T85" s="4">
        <f>56</f>
        <v>56</v>
      </c>
      <c r="U85" s="4"/>
      <c r="V85" s="4">
        <v>1</v>
      </c>
      <c r="W85" s="4">
        <f>155856000</f>
        <v>155856000</v>
      </c>
      <c r="X85" s="4"/>
      <c r="Y85" s="4">
        <v>2652000</v>
      </c>
      <c r="Z85" s="3"/>
      <c r="AA85" s="2">
        <f>206</f>
        <v>206</v>
      </c>
      <c r="AB85" s="2" t="str">
        <f t="shared" si="3"/>
        <v>－</v>
      </c>
      <c r="AC85" s="1">
        <f>14</f>
        <v>14</v>
      </c>
    </row>
    <row r="86" spans="1:29">
      <c r="A86" s="9" t="s">
        <v>46</v>
      </c>
      <c r="B86" s="8" t="s">
        <v>388</v>
      </c>
      <c r="C86" s="8" t="s">
        <v>389</v>
      </c>
      <c r="D86" s="8" t="s">
        <v>334</v>
      </c>
      <c r="E86" s="7" t="s">
        <v>406</v>
      </c>
      <c r="F86" s="7" t="s">
        <v>407</v>
      </c>
      <c r="G86" s="3" t="s">
        <v>51</v>
      </c>
      <c r="H86" s="6" t="s">
        <v>408</v>
      </c>
      <c r="I86" s="3" t="s">
        <v>160</v>
      </c>
      <c r="J86" s="6" t="s">
        <v>409</v>
      </c>
      <c r="K86" s="3" t="s">
        <v>160</v>
      </c>
      <c r="L86" s="6" t="s">
        <v>410</v>
      </c>
      <c r="M86" s="3" t="s">
        <v>51</v>
      </c>
      <c r="N86" s="6" t="s">
        <v>408</v>
      </c>
      <c r="O86" s="3" t="s">
        <v>160</v>
      </c>
      <c r="P86" s="6" t="s">
        <v>410</v>
      </c>
      <c r="Q86" s="3" t="s">
        <v>67</v>
      </c>
      <c r="R86" s="6" t="s">
        <v>411</v>
      </c>
      <c r="S86" s="5">
        <f>53712.5</f>
        <v>53712.5</v>
      </c>
      <c r="T86" s="4">
        <f>467</f>
        <v>467</v>
      </c>
      <c r="U86" s="4">
        <v>288</v>
      </c>
      <c r="V86" s="4">
        <v>1</v>
      </c>
      <c r="W86" s="4">
        <f>1303900500</f>
        <v>1303900500</v>
      </c>
      <c r="X86" s="4">
        <v>821808000</v>
      </c>
      <c r="Y86" s="4">
        <v>2612000</v>
      </c>
      <c r="Z86" s="3"/>
      <c r="AA86" s="2">
        <f>451</f>
        <v>451</v>
      </c>
      <c r="AB86" s="2" t="str">
        <f t="shared" si="3"/>
        <v>－</v>
      </c>
      <c r="AC86" s="1">
        <f>19</f>
        <v>19</v>
      </c>
    </row>
    <row r="87" spans="1:29">
      <c r="A87" s="9" t="s">
        <v>46</v>
      </c>
      <c r="B87" s="8" t="s">
        <v>388</v>
      </c>
      <c r="C87" s="8" t="s">
        <v>389</v>
      </c>
      <c r="D87" s="8" t="s">
        <v>344</v>
      </c>
      <c r="E87" s="7" t="s">
        <v>412</v>
      </c>
      <c r="F87" s="7" t="s">
        <v>413</v>
      </c>
      <c r="G87" s="3" t="s">
        <v>51</v>
      </c>
      <c r="H87" s="6" t="s">
        <v>414</v>
      </c>
      <c r="I87" s="3" t="s">
        <v>67</v>
      </c>
      <c r="J87" s="6" t="s">
        <v>415</v>
      </c>
      <c r="K87" s="3" t="s">
        <v>160</v>
      </c>
      <c r="L87" s="6" t="s">
        <v>416</v>
      </c>
      <c r="M87" s="3" t="s">
        <v>51</v>
      </c>
      <c r="N87" s="6" t="s">
        <v>414</v>
      </c>
      <c r="O87" s="3" t="s">
        <v>160</v>
      </c>
      <c r="P87" s="6" t="s">
        <v>416</v>
      </c>
      <c r="Q87" s="3" t="s">
        <v>67</v>
      </c>
      <c r="R87" s="6" t="s">
        <v>415</v>
      </c>
      <c r="S87" s="5">
        <f>54510</f>
        <v>54510</v>
      </c>
      <c r="T87" s="4">
        <f>286</f>
        <v>286</v>
      </c>
      <c r="U87" s="4">
        <v>31</v>
      </c>
      <c r="V87" s="4">
        <v>70</v>
      </c>
      <c r="W87" s="4">
        <f>784052000</f>
        <v>784052000</v>
      </c>
      <c r="X87" s="4">
        <v>86397000</v>
      </c>
      <c r="Y87" s="4">
        <v>197715000</v>
      </c>
      <c r="Z87" s="3"/>
      <c r="AA87" s="2">
        <f>250</f>
        <v>250</v>
      </c>
      <c r="AB87" s="2" t="str">
        <f t="shared" si="3"/>
        <v>－</v>
      </c>
      <c r="AC87" s="1">
        <f>19</f>
        <v>19</v>
      </c>
    </row>
    <row r="88" spans="1:29">
      <c r="A88" s="9" t="s">
        <v>46</v>
      </c>
      <c r="B88" s="8" t="s">
        <v>388</v>
      </c>
      <c r="C88" s="8" t="s">
        <v>389</v>
      </c>
      <c r="D88" s="8" t="s">
        <v>354</v>
      </c>
      <c r="E88" s="7" t="s">
        <v>417</v>
      </c>
      <c r="F88" s="7" t="s">
        <v>418</v>
      </c>
      <c r="G88" s="3" t="s">
        <v>51</v>
      </c>
      <c r="H88" s="6" t="s">
        <v>419</v>
      </c>
      <c r="I88" s="3" t="s">
        <v>53</v>
      </c>
      <c r="J88" s="6" t="s">
        <v>420</v>
      </c>
      <c r="K88" s="3" t="s">
        <v>212</v>
      </c>
      <c r="L88" s="6" t="s">
        <v>421</v>
      </c>
      <c r="M88" s="3" t="s">
        <v>51</v>
      </c>
      <c r="N88" s="6" t="s">
        <v>422</v>
      </c>
      <c r="O88" s="3" t="s">
        <v>212</v>
      </c>
      <c r="P88" s="6" t="s">
        <v>421</v>
      </c>
      <c r="Q88" s="3" t="s">
        <v>67</v>
      </c>
      <c r="R88" s="6" t="s">
        <v>415</v>
      </c>
      <c r="S88" s="5">
        <f>54895.5</f>
        <v>54895.5</v>
      </c>
      <c r="T88" s="4">
        <f>3157</f>
        <v>3157</v>
      </c>
      <c r="U88" s="4">
        <v>1</v>
      </c>
      <c r="V88" s="4">
        <v>148</v>
      </c>
      <c r="W88" s="4">
        <f>8612690000</f>
        <v>8612690000</v>
      </c>
      <c r="X88" s="4">
        <v>2815500</v>
      </c>
      <c r="Y88" s="4">
        <v>424040000</v>
      </c>
      <c r="Z88" s="3"/>
      <c r="AA88" s="2">
        <f>519</f>
        <v>519</v>
      </c>
      <c r="AB88" s="2" t="str">
        <f t="shared" si="3"/>
        <v>－</v>
      </c>
      <c r="AC88" s="1">
        <f>20</f>
        <v>20</v>
      </c>
    </row>
    <row r="89" spans="1:29">
      <c r="A89" s="9" t="s">
        <v>46</v>
      </c>
      <c r="B89" s="8" t="s">
        <v>388</v>
      </c>
      <c r="C89" s="8" t="s">
        <v>389</v>
      </c>
      <c r="D89" s="8" t="s">
        <v>423</v>
      </c>
      <c r="E89" s="7" t="s">
        <v>424</v>
      </c>
      <c r="F89" s="7" t="s">
        <v>425</v>
      </c>
      <c r="G89" s="3" t="s">
        <v>157</v>
      </c>
      <c r="H89" s="6" t="s">
        <v>426</v>
      </c>
      <c r="I89" s="3" t="s">
        <v>53</v>
      </c>
      <c r="J89" s="6" t="s">
        <v>427</v>
      </c>
      <c r="K89" s="3"/>
      <c r="L89" s="6"/>
      <c r="M89" s="3" t="s">
        <v>95</v>
      </c>
      <c r="N89" s="6" t="s">
        <v>428</v>
      </c>
      <c r="O89" s="3"/>
      <c r="P89" s="6"/>
      <c r="Q89" s="3" t="s">
        <v>67</v>
      </c>
      <c r="R89" s="6" t="s">
        <v>429</v>
      </c>
      <c r="S89" s="5">
        <f>57515.56</f>
        <v>57515.56</v>
      </c>
      <c r="T89" s="4">
        <f>2416</f>
        <v>2416</v>
      </c>
      <c r="U89" s="4"/>
      <c r="V89" s="4">
        <v>218</v>
      </c>
      <c r="W89" s="4">
        <f>6928438000</f>
        <v>6928438000</v>
      </c>
      <c r="X89" s="4"/>
      <c r="Y89" s="4">
        <v>626679500</v>
      </c>
      <c r="Z89" s="3"/>
      <c r="AA89" s="2">
        <f>663</f>
        <v>663</v>
      </c>
      <c r="AB89" s="2" t="str">
        <f t="shared" si="3"/>
        <v>－</v>
      </c>
      <c r="AC89" s="1">
        <f>9</f>
        <v>9</v>
      </c>
    </row>
    <row r="90" spans="1:29">
      <c r="A90" s="9" t="s">
        <v>46</v>
      </c>
      <c r="B90" s="8" t="s">
        <v>430</v>
      </c>
      <c r="C90" s="8" t="s">
        <v>431</v>
      </c>
      <c r="D90" s="8" t="s">
        <v>46</v>
      </c>
      <c r="E90" s="7" t="s">
        <v>390</v>
      </c>
      <c r="F90" s="7" t="s">
        <v>391</v>
      </c>
      <c r="G90" s="3"/>
      <c r="H90" s="6" t="s">
        <v>141</v>
      </c>
      <c r="I90" s="3"/>
      <c r="J90" s="6" t="s">
        <v>141</v>
      </c>
      <c r="K90" s="3"/>
      <c r="L90" s="6"/>
      <c r="M90" s="3"/>
      <c r="N90" s="6" t="s">
        <v>141</v>
      </c>
      <c r="O90" s="3"/>
      <c r="P90" s="6"/>
      <c r="Q90" s="3"/>
      <c r="R90" s="6" t="s">
        <v>141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60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430</v>
      </c>
      <c r="C91" s="8" t="s">
        <v>431</v>
      </c>
      <c r="D91" s="8" t="s">
        <v>61</v>
      </c>
      <c r="E91" s="7" t="s">
        <v>396</v>
      </c>
      <c r="F91" s="7" t="s">
        <v>397</v>
      </c>
      <c r="G91" s="3"/>
      <c r="H91" s="6" t="s">
        <v>141</v>
      </c>
      <c r="I91" s="3"/>
      <c r="J91" s="6" t="s">
        <v>141</v>
      </c>
      <c r="K91" s="3"/>
      <c r="L91" s="6"/>
      <c r="M91" s="3"/>
      <c r="N91" s="6" t="s">
        <v>141</v>
      </c>
      <c r="O91" s="3"/>
      <c r="P91" s="6"/>
      <c r="Q91" s="3"/>
      <c r="R91" s="6" t="s">
        <v>141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430</v>
      </c>
      <c r="C92" s="8" t="s">
        <v>431</v>
      </c>
      <c r="D92" s="8" t="s">
        <v>69</v>
      </c>
      <c r="E92" s="7" t="s">
        <v>402</v>
      </c>
      <c r="F92" s="7" t="s">
        <v>403</v>
      </c>
      <c r="G92" s="3"/>
      <c r="H92" s="6" t="s">
        <v>141</v>
      </c>
      <c r="I92" s="3"/>
      <c r="J92" s="6" t="s">
        <v>141</v>
      </c>
      <c r="K92" s="3"/>
      <c r="L92" s="6"/>
      <c r="M92" s="3"/>
      <c r="N92" s="6" t="s">
        <v>141</v>
      </c>
      <c r="O92" s="3"/>
      <c r="P92" s="6"/>
      <c r="Q92" s="3"/>
      <c r="R92" s="6" t="s">
        <v>141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430</v>
      </c>
      <c r="C93" s="8" t="s">
        <v>431</v>
      </c>
      <c r="D93" s="8" t="s">
        <v>76</v>
      </c>
      <c r="E93" s="7" t="s">
        <v>406</v>
      </c>
      <c r="F93" s="7" t="s">
        <v>407</v>
      </c>
      <c r="G93" s="3"/>
      <c r="H93" s="6" t="s">
        <v>141</v>
      </c>
      <c r="I93" s="3"/>
      <c r="J93" s="6" t="s">
        <v>141</v>
      </c>
      <c r="K93" s="3"/>
      <c r="L93" s="6"/>
      <c r="M93" s="3"/>
      <c r="N93" s="6" t="s">
        <v>141</v>
      </c>
      <c r="O93" s="3"/>
      <c r="P93" s="6"/>
      <c r="Q93" s="3"/>
      <c r="R93" s="6" t="s">
        <v>141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430</v>
      </c>
      <c r="C94" s="8" t="s">
        <v>431</v>
      </c>
      <c r="D94" s="8" t="s">
        <v>83</v>
      </c>
      <c r="E94" s="7" t="s">
        <v>412</v>
      </c>
      <c r="F94" s="7" t="s">
        <v>413</v>
      </c>
      <c r="G94" s="3"/>
      <c r="H94" s="6" t="s">
        <v>141</v>
      </c>
      <c r="I94" s="3"/>
      <c r="J94" s="6" t="s">
        <v>141</v>
      </c>
      <c r="K94" s="3"/>
      <c r="L94" s="6"/>
      <c r="M94" s="3"/>
      <c r="N94" s="6" t="s">
        <v>141</v>
      </c>
      <c r="O94" s="3"/>
      <c r="P94" s="6"/>
      <c r="Q94" s="3"/>
      <c r="R94" s="6" t="s">
        <v>141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430</v>
      </c>
      <c r="C95" s="8" t="s">
        <v>431</v>
      </c>
      <c r="D95" s="8" t="s">
        <v>90</v>
      </c>
      <c r="E95" s="7" t="s">
        <v>417</v>
      </c>
      <c r="F95" s="7" t="s">
        <v>418</v>
      </c>
      <c r="G95" s="3"/>
      <c r="H95" s="6" t="s">
        <v>141</v>
      </c>
      <c r="I95" s="3"/>
      <c r="J95" s="6" t="s">
        <v>141</v>
      </c>
      <c r="K95" s="3"/>
      <c r="L95" s="6"/>
      <c r="M95" s="3"/>
      <c r="N95" s="6" t="s">
        <v>141</v>
      </c>
      <c r="O95" s="3"/>
      <c r="P95" s="6"/>
      <c r="Q95" s="3"/>
      <c r="R95" s="6" t="s">
        <v>141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430</v>
      </c>
      <c r="C96" s="8" t="s">
        <v>431</v>
      </c>
      <c r="D96" s="8" t="s">
        <v>99</v>
      </c>
      <c r="E96" s="7" t="s">
        <v>424</v>
      </c>
      <c r="F96" s="7" t="s">
        <v>425</v>
      </c>
      <c r="G96" s="3"/>
      <c r="H96" s="6" t="s">
        <v>141</v>
      </c>
      <c r="I96" s="3"/>
      <c r="J96" s="6" t="s">
        <v>141</v>
      </c>
      <c r="K96" s="3"/>
      <c r="L96" s="6"/>
      <c r="M96" s="3"/>
      <c r="N96" s="6" t="s">
        <v>141</v>
      </c>
      <c r="O96" s="3"/>
      <c r="P96" s="6"/>
      <c r="Q96" s="3"/>
      <c r="R96" s="6" t="s">
        <v>141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432</v>
      </c>
      <c r="C97" s="8" t="s">
        <v>433</v>
      </c>
      <c r="D97" s="8" t="s">
        <v>46</v>
      </c>
      <c r="E97" s="7" t="s">
        <v>77</v>
      </c>
      <c r="F97" s="7" t="s">
        <v>50</v>
      </c>
      <c r="G97" s="3"/>
      <c r="H97" s="6" t="s">
        <v>141</v>
      </c>
      <c r="I97" s="3"/>
      <c r="J97" s="6" t="s">
        <v>141</v>
      </c>
      <c r="K97" s="3"/>
      <c r="L97" s="6"/>
      <c r="M97" s="3"/>
      <c r="N97" s="6" t="s">
        <v>141</v>
      </c>
      <c r="O97" s="3"/>
      <c r="P97" s="6"/>
      <c r="Q97" s="3"/>
      <c r="R97" s="6" t="s">
        <v>141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60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432</v>
      </c>
      <c r="C98" s="8" t="s">
        <v>433</v>
      </c>
      <c r="D98" s="8" t="s">
        <v>267</v>
      </c>
      <c r="E98" s="7" t="s">
        <v>434</v>
      </c>
      <c r="F98" s="7" t="s">
        <v>435</v>
      </c>
      <c r="G98" s="3"/>
      <c r="H98" s="6" t="s">
        <v>141</v>
      </c>
      <c r="I98" s="3"/>
      <c r="J98" s="6" t="s">
        <v>141</v>
      </c>
      <c r="K98" s="3"/>
      <c r="L98" s="6"/>
      <c r="M98" s="3"/>
      <c r="N98" s="6" t="s">
        <v>141</v>
      </c>
      <c r="O98" s="3"/>
      <c r="P98" s="6"/>
      <c r="Q98" s="3"/>
      <c r="R98" s="6" t="s">
        <v>141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432</v>
      </c>
      <c r="C99" s="8" t="s">
        <v>433</v>
      </c>
      <c r="D99" s="8" t="s">
        <v>61</v>
      </c>
      <c r="E99" s="7" t="s">
        <v>341</v>
      </c>
      <c r="F99" s="7" t="s">
        <v>63</v>
      </c>
      <c r="G99" s="3"/>
      <c r="H99" s="6" t="s">
        <v>141</v>
      </c>
      <c r="I99" s="3"/>
      <c r="J99" s="6" t="s">
        <v>141</v>
      </c>
      <c r="K99" s="3"/>
      <c r="L99" s="6"/>
      <c r="M99" s="3"/>
      <c r="N99" s="6" t="s">
        <v>141</v>
      </c>
      <c r="O99" s="3"/>
      <c r="P99" s="6"/>
      <c r="Q99" s="3"/>
      <c r="R99" s="6" t="s">
        <v>141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432</v>
      </c>
      <c r="C100" s="8" t="s">
        <v>433</v>
      </c>
      <c r="D100" s="8" t="s">
        <v>278</v>
      </c>
      <c r="E100" s="7" t="s">
        <v>436</v>
      </c>
      <c r="F100" s="7" t="s">
        <v>437</v>
      </c>
      <c r="G100" s="3"/>
      <c r="H100" s="6" t="s">
        <v>141</v>
      </c>
      <c r="I100" s="3"/>
      <c r="J100" s="6" t="s">
        <v>141</v>
      </c>
      <c r="K100" s="3"/>
      <c r="L100" s="6"/>
      <c r="M100" s="3"/>
      <c r="N100" s="6" t="s">
        <v>141</v>
      </c>
      <c r="O100" s="3"/>
      <c r="P100" s="6"/>
      <c r="Q100" s="3"/>
      <c r="R100" s="6" t="s">
        <v>141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432</v>
      </c>
      <c r="C101" s="8" t="s">
        <v>433</v>
      </c>
      <c r="D101" s="8" t="s">
        <v>69</v>
      </c>
      <c r="E101" s="7" t="s">
        <v>91</v>
      </c>
      <c r="F101" s="7" t="s">
        <v>71</v>
      </c>
      <c r="G101" s="3"/>
      <c r="H101" s="6" t="s">
        <v>141</v>
      </c>
      <c r="I101" s="3"/>
      <c r="J101" s="6" t="s">
        <v>141</v>
      </c>
      <c r="K101" s="3"/>
      <c r="L101" s="6"/>
      <c r="M101" s="3"/>
      <c r="N101" s="6" t="s">
        <v>141</v>
      </c>
      <c r="O101" s="3"/>
      <c r="P101" s="6"/>
      <c r="Q101" s="3"/>
      <c r="R101" s="6" t="s">
        <v>141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432</v>
      </c>
      <c r="C102" s="8" t="s">
        <v>433</v>
      </c>
      <c r="D102" s="8" t="s">
        <v>285</v>
      </c>
      <c r="E102" s="7" t="s">
        <v>438</v>
      </c>
      <c r="F102" s="7" t="s">
        <v>439</v>
      </c>
      <c r="G102" s="3"/>
      <c r="H102" s="6" t="s">
        <v>141</v>
      </c>
      <c r="I102" s="3"/>
      <c r="J102" s="6" t="s">
        <v>141</v>
      </c>
      <c r="K102" s="3"/>
      <c r="L102" s="6"/>
      <c r="M102" s="3"/>
      <c r="N102" s="6" t="s">
        <v>141</v>
      </c>
      <c r="O102" s="3"/>
      <c r="P102" s="6"/>
      <c r="Q102" s="3"/>
      <c r="R102" s="6" t="s">
        <v>141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432</v>
      </c>
      <c r="C103" s="8" t="s">
        <v>433</v>
      </c>
      <c r="D103" s="8" t="s">
        <v>76</v>
      </c>
      <c r="E103" s="7" t="s">
        <v>100</v>
      </c>
      <c r="F103" s="7" t="s">
        <v>78</v>
      </c>
      <c r="G103" s="3"/>
      <c r="H103" s="6" t="s">
        <v>141</v>
      </c>
      <c r="I103" s="3"/>
      <c r="J103" s="6" t="s">
        <v>141</v>
      </c>
      <c r="K103" s="3"/>
      <c r="L103" s="6"/>
      <c r="M103" s="3"/>
      <c r="N103" s="6" t="s">
        <v>141</v>
      </c>
      <c r="O103" s="3"/>
      <c r="P103" s="6"/>
      <c r="Q103" s="3"/>
      <c r="R103" s="6" t="s">
        <v>141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9655-4854-43A6-AAF7-65843B53509F}">
  <sheetPr>
    <pageSetUpPr fitToPage="1"/>
  </sheetPr>
  <dimension ref="A1:AD17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440</v>
      </c>
      <c r="AA2" s="68">
        <f>DATE(LEFT(A7,4),RIGHT(A7,2)+1,1)-1</f>
        <v>44681</v>
      </c>
      <c r="AB2" s="68"/>
      <c r="AC2" s="69"/>
      <c r="AD2" s="70" t="s">
        <v>441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442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443</v>
      </c>
      <c r="U3" s="77" t="s">
        <v>23</v>
      </c>
      <c r="V3" s="78"/>
      <c r="W3" s="79"/>
      <c r="X3" s="77" t="s">
        <v>22</v>
      </c>
      <c r="Y3" s="78"/>
      <c r="Z3" s="79"/>
      <c r="AA3" s="80" t="s">
        <v>444</v>
      </c>
      <c r="AB3" s="81"/>
      <c r="AC3" s="72" t="s">
        <v>28</v>
      </c>
      <c r="AD3" s="82" t="s">
        <v>445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446</v>
      </c>
      <c r="J4" s="85" t="s">
        <v>6</v>
      </c>
      <c r="K4" s="41" t="s">
        <v>447</v>
      </c>
      <c r="L4" s="86" t="s">
        <v>2</v>
      </c>
      <c r="M4" s="86"/>
      <c r="N4" s="85" t="s">
        <v>6</v>
      </c>
      <c r="O4" s="41" t="s">
        <v>448</v>
      </c>
      <c r="P4" s="86" t="s">
        <v>2</v>
      </c>
      <c r="Q4" s="86"/>
      <c r="R4" s="85" t="s">
        <v>6</v>
      </c>
      <c r="S4" s="37" t="s">
        <v>449</v>
      </c>
      <c r="T4" s="45"/>
      <c r="U4" s="44" t="s">
        <v>3</v>
      </c>
      <c r="V4" s="45" t="s">
        <v>450</v>
      </c>
      <c r="W4" s="45" t="s">
        <v>30</v>
      </c>
      <c r="X4" s="44" t="s">
        <v>3</v>
      </c>
      <c r="Y4" s="45" t="s">
        <v>451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452</v>
      </c>
      <c r="N5" s="89"/>
      <c r="O5" s="42"/>
      <c r="P5" s="90" t="s">
        <v>17</v>
      </c>
      <c r="Q5" s="20" t="s">
        <v>452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453</v>
      </c>
      <c r="H6" s="90" t="s">
        <v>14</v>
      </c>
      <c r="I6" s="21" t="s">
        <v>454</v>
      </c>
      <c r="J6" s="90" t="s">
        <v>14</v>
      </c>
      <c r="K6" s="20" t="s">
        <v>455</v>
      </c>
      <c r="L6" s="90" t="s">
        <v>14</v>
      </c>
      <c r="M6" s="20" t="s">
        <v>456</v>
      </c>
      <c r="N6" s="90" t="s">
        <v>14</v>
      </c>
      <c r="O6" s="20" t="s">
        <v>457</v>
      </c>
      <c r="P6" s="90" t="s">
        <v>14</v>
      </c>
      <c r="Q6" s="20" t="s">
        <v>456</v>
      </c>
      <c r="R6" s="90" t="s">
        <v>14</v>
      </c>
      <c r="S6" s="20" t="s">
        <v>458</v>
      </c>
      <c r="T6" s="28" t="s">
        <v>459</v>
      </c>
      <c r="U6" s="28" t="s">
        <v>13</v>
      </c>
      <c r="V6" s="28" t="s">
        <v>460</v>
      </c>
      <c r="W6" s="28" t="s">
        <v>31</v>
      </c>
      <c r="X6" s="28" t="s">
        <v>11</v>
      </c>
      <c r="Y6" s="28" t="s">
        <v>456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461</v>
      </c>
      <c r="C7" s="96" t="s">
        <v>462</v>
      </c>
      <c r="D7" s="96" t="s">
        <v>267</v>
      </c>
      <c r="E7" s="97" t="s">
        <v>329</v>
      </c>
      <c r="F7" s="97" t="s">
        <v>50</v>
      </c>
      <c r="G7" s="98">
        <v>50</v>
      </c>
      <c r="H7" s="99" t="s">
        <v>144</v>
      </c>
      <c r="I7" s="100" t="s">
        <v>463</v>
      </c>
      <c r="J7" s="99" t="s">
        <v>160</v>
      </c>
      <c r="K7" s="100" t="s">
        <v>464</v>
      </c>
      <c r="L7" s="99" t="s">
        <v>58</v>
      </c>
      <c r="M7" s="100" t="s">
        <v>465</v>
      </c>
      <c r="N7" s="99" t="s">
        <v>58</v>
      </c>
      <c r="O7" s="100" t="s">
        <v>466</v>
      </c>
      <c r="P7" s="99" t="s">
        <v>58</v>
      </c>
      <c r="Q7" s="100" t="s">
        <v>467</v>
      </c>
      <c r="R7" s="99" t="s">
        <v>58</v>
      </c>
      <c r="S7" s="100" t="s">
        <v>466</v>
      </c>
      <c r="T7" s="101">
        <f>77465.88</f>
        <v>77465.88</v>
      </c>
      <c r="U7" s="102">
        <f>34</f>
        <v>34</v>
      </c>
      <c r="V7" s="102">
        <v>24</v>
      </c>
      <c r="W7" s="102"/>
      <c r="X7" s="102">
        <f>131429000</f>
        <v>131429000</v>
      </c>
      <c r="Y7" s="102">
        <v>92600000</v>
      </c>
      <c r="Z7" s="103"/>
      <c r="AA7" s="99" t="s">
        <v>60</v>
      </c>
      <c r="AB7" s="104">
        <f>60</f>
        <v>60</v>
      </c>
      <c r="AC7" s="104" t="str">
        <f t="shared" ref="AC7:AD38" si="0">"－"</f>
        <v>－</v>
      </c>
      <c r="AD7" s="105">
        <f>5</f>
        <v>5</v>
      </c>
    </row>
    <row r="8" spans="1:30">
      <c r="A8" s="95" t="s">
        <v>46</v>
      </c>
      <c r="B8" s="96" t="s">
        <v>461</v>
      </c>
      <c r="C8" s="96" t="s">
        <v>462</v>
      </c>
      <c r="D8" s="96" t="s">
        <v>61</v>
      </c>
      <c r="E8" s="97" t="s">
        <v>434</v>
      </c>
      <c r="F8" s="97" t="s">
        <v>301</v>
      </c>
      <c r="G8" s="98">
        <v>50</v>
      </c>
      <c r="H8" s="99" t="s">
        <v>51</v>
      </c>
      <c r="I8" s="100" t="s">
        <v>468</v>
      </c>
      <c r="J8" s="99" t="s">
        <v>157</v>
      </c>
      <c r="K8" s="100" t="s">
        <v>469</v>
      </c>
      <c r="L8" s="99"/>
      <c r="M8" s="100"/>
      <c r="N8" s="99" t="s">
        <v>67</v>
      </c>
      <c r="O8" s="100" t="s">
        <v>470</v>
      </c>
      <c r="P8" s="99"/>
      <c r="Q8" s="100"/>
      <c r="R8" s="99" t="s">
        <v>67</v>
      </c>
      <c r="S8" s="100" t="s">
        <v>470</v>
      </c>
      <c r="T8" s="101">
        <f>76905</f>
        <v>76905</v>
      </c>
      <c r="U8" s="102">
        <f>11</f>
        <v>11</v>
      </c>
      <c r="V8" s="102"/>
      <c r="W8" s="102"/>
      <c r="X8" s="102">
        <f>42192000</f>
        <v>42192000</v>
      </c>
      <c r="Y8" s="102"/>
      <c r="Z8" s="103"/>
      <c r="AA8" s="99"/>
      <c r="AB8" s="104">
        <f>58</f>
        <v>58</v>
      </c>
      <c r="AC8" s="104" t="str">
        <f t="shared" si="0"/>
        <v>－</v>
      </c>
      <c r="AD8" s="105">
        <f>5</f>
        <v>5</v>
      </c>
    </row>
    <row r="9" spans="1:30">
      <c r="A9" s="95" t="s">
        <v>46</v>
      </c>
      <c r="B9" s="96" t="s">
        <v>461</v>
      </c>
      <c r="C9" s="96" t="s">
        <v>462</v>
      </c>
      <c r="D9" s="96" t="s">
        <v>278</v>
      </c>
      <c r="E9" s="97" t="s">
        <v>471</v>
      </c>
      <c r="F9" s="97" t="s">
        <v>113</v>
      </c>
      <c r="G9" s="98">
        <v>50</v>
      </c>
      <c r="H9" s="99" t="s">
        <v>53</v>
      </c>
      <c r="I9" s="100" t="s">
        <v>472</v>
      </c>
      <c r="J9" s="99" t="s">
        <v>53</v>
      </c>
      <c r="K9" s="100" t="s">
        <v>473</v>
      </c>
      <c r="L9" s="99"/>
      <c r="M9" s="100"/>
      <c r="N9" s="99" t="s">
        <v>58</v>
      </c>
      <c r="O9" s="100" t="s">
        <v>474</v>
      </c>
      <c r="P9" s="99"/>
      <c r="Q9" s="100"/>
      <c r="R9" s="99" t="s">
        <v>95</v>
      </c>
      <c r="S9" s="100" t="s">
        <v>475</v>
      </c>
      <c r="T9" s="101">
        <f>76754.5</f>
        <v>76754.5</v>
      </c>
      <c r="U9" s="102">
        <f>4</f>
        <v>4</v>
      </c>
      <c r="V9" s="102"/>
      <c r="W9" s="102"/>
      <c r="X9" s="102">
        <f>15094500</f>
        <v>15094500</v>
      </c>
      <c r="Y9" s="102"/>
      <c r="Z9" s="103"/>
      <c r="AA9" s="99"/>
      <c r="AB9" s="104">
        <f>43</f>
        <v>43</v>
      </c>
      <c r="AC9" s="104" t="str">
        <f t="shared" si="0"/>
        <v>－</v>
      </c>
      <c r="AD9" s="105">
        <f>3</f>
        <v>3</v>
      </c>
    </row>
    <row r="10" spans="1:30">
      <c r="A10" s="95" t="s">
        <v>46</v>
      </c>
      <c r="B10" s="96" t="s">
        <v>461</v>
      </c>
      <c r="C10" s="96" t="s">
        <v>462</v>
      </c>
      <c r="D10" s="96" t="s">
        <v>69</v>
      </c>
      <c r="E10" s="97" t="s">
        <v>345</v>
      </c>
      <c r="F10" s="97" t="s">
        <v>311</v>
      </c>
      <c r="G10" s="98">
        <v>50</v>
      </c>
      <c r="H10" s="99" t="s">
        <v>147</v>
      </c>
      <c r="I10" s="100" t="s">
        <v>476</v>
      </c>
      <c r="J10" s="99" t="s">
        <v>288</v>
      </c>
      <c r="K10" s="100" t="s">
        <v>477</v>
      </c>
      <c r="L10" s="99"/>
      <c r="M10" s="100"/>
      <c r="N10" s="99" t="s">
        <v>58</v>
      </c>
      <c r="O10" s="100" t="s">
        <v>478</v>
      </c>
      <c r="P10" s="99"/>
      <c r="Q10" s="100"/>
      <c r="R10" s="99" t="s">
        <v>212</v>
      </c>
      <c r="S10" s="100" t="s">
        <v>479</v>
      </c>
      <c r="T10" s="101">
        <f>78855</f>
        <v>78855</v>
      </c>
      <c r="U10" s="102">
        <f>13</f>
        <v>13</v>
      </c>
      <c r="V10" s="102"/>
      <c r="W10" s="102"/>
      <c r="X10" s="102">
        <f>49833500</f>
        <v>49833500</v>
      </c>
      <c r="Y10" s="102"/>
      <c r="Z10" s="103"/>
      <c r="AA10" s="99"/>
      <c r="AB10" s="104">
        <f>22</f>
        <v>22</v>
      </c>
      <c r="AC10" s="104" t="str">
        <f t="shared" si="0"/>
        <v>－</v>
      </c>
      <c r="AD10" s="105">
        <f>7</f>
        <v>7</v>
      </c>
    </row>
    <row r="11" spans="1:30">
      <c r="A11" s="95" t="s">
        <v>46</v>
      </c>
      <c r="B11" s="96" t="s">
        <v>461</v>
      </c>
      <c r="C11" s="96" t="s">
        <v>462</v>
      </c>
      <c r="D11" s="96" t="s">
        <v>285</v>
      </c>
      <c r="E11" s="97" t="s">
        <v>480</v>
      </c>
      <c r="F11" s="97" t="s">
        <v>118</v>
      </c>
      <c r="G11" s="98">
        <v>50</v>
      </c>
      <c r="H11" s="99" t="s">
        <v>51</v>
      </c>
      <c r="I11" s="100" t="s">
        <v>481</v>
      </c>
      <c r="J11" s="99" t="s">
        <v>288</v>
      </c>
      <c r="K11" s="100" t="s">
        <v>482</v>
      </c>
      <c r="L11" s="99" t="s">
        <v>167</v>
      </c>
      <c r="M11" s="100" t="s">
        <v>483</v>
      </c>
      <c r="N11" s="99" t="s">
        <v>95</v>
      </c>
      <c r="O11" s="100" t="s">
        <v>484</v>
      </c>
      <c r="P11" s="99" t="s">
        <v>167</v>
      </c>
      <c r="Q11" s="100" t="s">
        <v>483</v>
      </c>
      <c r="R11" s="99" t="s">
        <v>95</v>
      </c>
      <c r="S11" s="100" t="s">
        <v>485</v>
      </c>
      <c r="T11" s="101">
        <f>77834.5</f>
        <v>77834.5</v>
      </c>
      <c r="U11" s="102">
        <f>46</f>
        <v>46</v>
      </c>
      <c r="V11" s="102">
        <v>1</v>
      </c>
      <c r="W11" s="102"/>
      <c r="X11" s="102">
        <f>181619500</f>
        <v>181619500</v>
      </c>
      <c r="Y11" s="102">
        <v>3918500</v>
      </c>
      <c r="Z11" s="103"/>
      <c r="AA11" s="99"/>
      <c r="AB11" s="104">
        <f>16</f>
        <v>16</v>
      </c>
      <c r="AC11" s="104" t="str">
        <f t="shared" si="0"/>
        <v>－</v>
      </c>
      <c r="AD11" s="105">
        <f>8</f>
        <v>8</v>
      </c>
    </row>
    <row r="12" spans="1:30">
      <c r="A12" s="95" t="s">
        <v>46</v>
      </c>
      <c r="B12" s="96" t="s">
        <v>461</v>
      </c>
      <c r="C12" s="96" t="s">
        <v>462</v>
      </c>
      <c r="D12" s="96" t="s">
        <v>76</v>
      </c>
      <c r="E12" s="97" t="s">
        <v>355</v>
      </c>
      <c r="F12" s="97" t="s">
        <v>486</v>
      </c>
      <c r="G12" s="98">
        <v>50</v>
      </c>
      <c r="H12" s="99" t="s">
        <v>80</v>
      </c>
      <c r="I12" s="100" t="s">
        <v>487</v>
      </c>
      <c r="J12" s="99" t="s">
        <v>253</v>
      </c>
      <c r="K12" s="100" t="s">
        <v>488</v>
      </c>
      <c r="L12" s="99"/>
      <c r="M12" s="100"/>
      <c r="N12" s="99" t="s">
        <v>95</v>
      </c>
      <c r="O12" s="100" t="s">
        <v>489</v>
      </c>
      <c r="P12" s="99"/>
      <c r="Q12" s="100"/>
      <c r="R12" s="99" t="s">
        <v>95</v>
      </c>
      <c r="S12" s="100" t="s">
        <v>485</v>
      </c>
      <c r="T12" s="101">
        <f>78694.5</f>
        <v>78694.5</v>
      </c>
      <c r="U12" s="102">
        <f>48</f>
        <v>48</v>
      </c>
      <c r="V12" s="102"/>
      <c r="W12" s="102"/>
      <c r="X12" s="102">
        <f>193513500</f>
        <v>193513500</v>
      </c>
      <c r="Y12" s="102"/>
      <c r="Z12" s="103"/>
      <c r="AA12" s="99"/>
      <c r="AB12" s="104">
        <f>9</f>
        <v>9</v>
      </c>
      <c r="AC12" s="104" t="str">
        <f t="shared" si="0"/>
        <v>－</v>
      </c>
      <c r="AD12" s="105">
        <f>8</f>
        <v>8</v>
      </c>
    </row>
    <row r="13" spans="1:30">
      <c r="A13" s="95" t="s">
        <v>46</v>
      </c>
      <c r="B13" s="96" t="s">
        <v>461</v>
      </c>
      <c r="C13" s="96" t="s">
        <v>462</v>
      </c>
      <c r="D13" s="96" t="s">
        <v>334</v>
      </c>
      <c r="E13" s="97" t="s">
        <v>100</v>
      </c>
      <c r="F13" s="97" t="s">
        <v>122</v>
      </c>
      <c r="G13" s="98">
        <v>50</v>
      </c>
      <c r="H13" s="99"/>
      <c r="I13" s="100" t="s">
        <v>141</v>
      </c>
      <c r="J13" s="99"/>
      <c r="K13" s="100" t="s">
        <v>141</v>
      </c>
      <c r="L13" s="99"/>
      <c r="M13" s="100"/>
      <c r="N13" s="99"/>
      <c r="O13" s="100" t="s">
        <v>141</v>
      </c>
      <c r="P13" s="99"/>
      <c r="Q13" s="100"/>
      <c r="R13" s="99"/>
      <c r="S13" s="100" t="s">
        <v>141</v>
      </c>
      <c r="T13" s="101">
        <f>75000</f>
        <v>75000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0"/>
        <v>－</v>
      </c>
      <c r="AD13" s="105" t="str">
        <f>"－"</f>
        <v>－</v>
      </c>
    </row>
    <row r="14" spans="1:30">
      <c r="A14" s="95" t="s">
        <v>46</v>
      </c>
      <c r="B14" s="96" t="s">
        <v>490</v>
      </c>
      <c r="C14" s="96" t="s">
        <v>491</v>
      </c>
      <c r="D14" s="96" t="s">
        <v>267</v>
      </c>
      <c r="E14" s="97" t="s">
        <v>329</v>
      </c>
      <c r="F14" s="97" t="s">
        <v>50</v>
      </c>
      <c r="G14" s="98">
        <v>50</v>
      </c>
      <c r="H14" s="99" t="s">
        <v>51</v>
      </c>
      <c r="I14" s="100" t="s">
        <v>492</v>
      </c>
      <c r="J14" s="99" t="s">
        <v>167</v>
      </c>
      <c r="K14" s="100" t="s">
        <v>493</v>
      </c>
      <c r="L14" s="99"/>
      <c r="M14" s="100"/>
      <c r="N14" s="99" t="s">
        <v>160</v>
      </c>
      <c r="O14" s="100" t="s">
        <v>485</v>
      </c>
      <c r="P14" s="99"/>
      <c r="Q14" s="100"/>
      <c r="R14" s="99" t="s">
        <v>111</v>
      </c>
      <c r="S14" s="100" t="s">
        <v>494</v>
      </c>
      <c r="T14" s="101">
        <f>78637.65</f>
        <v>78637.649999999994</v>
      </c>
      <c r="U14" s="102">
        <f>30</f>
        <v>30</v>
      </c>
      <c r="V14" s="102"/>
      <c r="W14" s="102"/>
      <c r="X14" s="102">
        <f>116862500</f>
        <v>116862500</v>
      </c>
      <c r="Y14" s="102"/>
      <c r="Z14" s="103"/>
      <c r="AA14" s="99" t="s">
        <v>60</v>
      </c>
      <c r="AB14" s="104">
        <f>12</f>
        <v>12</v>
      </c>
      <c r="AC14" s="104" t="str">
        <f t="shared" si="0"/>
        <v>－</v>
      </c>
      <c r="AD14" s="105">
        <f>7</f>
        <v>7</v>
      </c>
    </row>
    <row r="15" spans="1:30">
      <c r="A15" s="95" t="s">
        <v>46</v>
      </c>
      <c r="B15" s="96" t="s">
        <v>490</v>
      </c>
      <c r="C15" s="96" t="s">
        <v>491</v>
      </c>
      <c r="D15" s="96" t="s">
        <v>61</v>
      </c>
      <c r="E15" s="97" t="s">
        <v>434</v>
      </c>
      <c r="F15" s="97" t="s">
        <v>301</v>
      </c>
      <c r="G15" s="98">
        <v>50</v>
      </c>
      <c r="H15" s="99" t="s">
        <v>51</v>
      </c>
      <c r="I15" s="100" t="s">
        <v>495</v>
      </c>
      <c r="J15" s="99" t="s">
        <v>288</v>
      </c>
      <c r="K15" s="100" t="s">
        <v>496</v>
      </c>
      <c r="L15" s="99"/>
      <c r="M15" s="100"/>
      <c r="N15" s="99" t="s">
        <v>53</v>
      </c>
      <c r="O15" s="100" t="s">
        <v>497</v>
      </c>
      <c r="P15" s="99"/>
      <c r="Q15" s="100"/>
      <c r="R15" s="99" t="s">
        <v>111</v>
      </c>
      <c r="S15" s="100" t="s">
        <v>498</v>
      </c>
      <c r="T15" s="101">
        <f>77780</f>
        <v>77780</v>
      </c>
      <c r="U15" s="102">
        <f>41</f>
        <v>41</v>
      </c>
      <c r="V15" s="102"/>
      <c r="W15" s="102"/>
      <c r="X15" s="102">
        <f>158006500</f>
        <v>158006500</v>
      </c>
      <c r="Y15" s="102"/>
      <c r="Z15" s="103"/>
      <c r="AA15" s="99"/>
      <c r="AB15" s="104">
        <f>32</f>
        <v>32</v>
      </c>
      <c r="AC15" s="104" t="str">
        <f t="shared" si="0"/>
        <v>－</v>
      </c>
      <c r="AD15" s="105">
        <f>5</f>
        <v>5</v>
      </c>
    </row>
    <row r="16" spans="1:30">
      <c r="A16" s="95" t="s">
        <v>46</v>
      </c>
      <c r="B16" s="96" t="s">
        <v>490</v>
      </c>
      <c r="C16" s="96" t="s">
        <v>491</v>
      </c>
      <c r="D16" s="96" t="s">
        <v>278</v>
      </c>
      <c r="E16" s="97" t="s">
        <v>471</v>
      </c>
      <c r="F16" s="97" t="s">
        <v>113</v>
      </c>
      <c r="G16" s="98">
        <v>50</v>
      </c>
      <c r="H16" s="99" t="s">
        <v>111</v>
      </c>
      <c r="I16" s="100" t="s">
        <v>499</v>
      </c>
      <c r="J16" s="99" t="s">
        <v>111</v>
      </c>
      <c r="K16" s="100" t="s">
        <v>500</v>
      </c>
      <c r="L16" s="99"/>
      <c r="M16" s="100"/>
      <c r="N16" s="99" t="s">
        <v>111</v>
      </c>
      <c r="O16" s="100" t="s">
        <v>499</v>
      </c>
      <c r="P16" s="99"/>
      <c r="Q16" s="100"/>
      <c r="R16" s="99" t="s">
        <v>111</v>
      </c>
      <c r="S16" s="100" t="s">
        <v>501</v>
      </c>
      <c r="T16" s="101">
        <f>78285</f>
        <v>78285</v>
      </c>
      <c r="U16" s="102">
        <f>20</f>
        <v>20</v>
      </c>
      <c r="V16" s="102"/>
      <c r="W16" s="102"/>
      <c r="X16" s="102">
        <f>77339500</f>
        <v>77339500</v>
      </c>
      <c r="Y16" s="102"/>
      <c r="Z16" s="103"/>
      <c r="AA16" s="99"/>
      <c r="AB16" s="104">
        <f>25</f>
        <v>25</v>
      </c>
      <c r="AC16" s="104" t="str">
        <f t="shared" si="0"/>
        <v>－</v>
      </c>
      <c r="AD16" s="105">
        <f>1</f>
        <v>1</v>
      </c>
    </row>
    <row r="17" spans="1:30">
      <c r="A17" s="95" t="s">
        <v>46</v>
      </c>
      <c r="B17" s="96" t="s">
        <v>490</v>
      </c>
      <c r="C17" s="96" t="s">
        <v>491</v>
      </c>
      <c r="D17" s="96" t="s">
        <v>69</v>
      </c>
      <c r="E17" s="97" t="s">
        <v>345</v>
      </c>
      <c r="F17" s="97" t="s">
        <v>311</v>
      </c>
      <c r="G17" s="98">
        <v>50</v>
      </c>
      <c r="H17" s="99" t="s">
        <v>288</v>
      </c>
      <c r="I17" s="100" t="s">
        <v>496</v>
      </c>
      <c r="J17" s="99" t="s">
        <v>288</v>
      </c>
      <c r="K17" s="100" t="s">
        <v>496</v>
      </c>
      <c r="L17" s="99"/>
      <c r="M17" s="100"/>
      <c r="N17" s="99" t="s">
        <v>58</v>
      </c>
      <c r="O17" s="100" t="s">
        <v>502</v>
      </c>
      <c r="P17" s="99"/>
      <c r="Q17" s="100"/>
      <c r="R17" s="99" t="s">
        <v>58</v>
      </c>
      <c r="S17" s="100" t="s">
        <v>502</v>
      </c>
      <c r="T17" s="101">
        <f>78942</f>
        <v>78942</v>
      </c>
      <c r="U17" s="102">
        <f>2</f>
        <v>2</v>
      </c>
      <c r="V17" s="102"/>
      <c r="W17" s="102"/>
      <c r="X17" s="102">
        <f>7706500</f>
        <v>7706500</v>
      </c>
      <c r="Y17" s="102"/>
      <c r="Z17" s="103"/>
      <c r="AA17" s="99"/>
      <c r="AB17" s="104">
        <f>2</f>
        <v>2</v>
      </c>
      <c r="AC17" s="104" t="str">
        <f t="shared" si="0"/>
        <v>－</v>
      </c>
      <c r="AD17" s="105">
        <f>2</f>
        <v>2</v>
      </c>
    </row>
    <row r="18" spans="1:30">
      <c r="A18" s="95" t="s">
        <v>46</v>
      </c>
      <c r="B18" s="96" t="s">
        <v>490</v>
      </c>
      <c r="C18" s="96" t="s">
        <v>491</v>
      </c>
      <c r="D18" s="96" t="s">
        <v>285</v>
      </c>
      <c r="E18" s="97" t="s">
        <v>480</v>
      </c>
      <c r="F18" s="97" t="s">
        <v>118</v>
      </c>
      <c r="G18" s="98">
        <v>50</v>
      </c>
      <c r="H18" s="99" t="s">
        <v>51</v>
      </c>
      <c r="I18" s="100" t="s">
        <v>503</v>
      </c>
      <c r="J18" s="99" t="s">
        <v>51</v>
      </c>
      <c r="K18" s="100" t="s">
        <v>503</v>
      </c>
      <c r="L18" s="99"/>
      <c r="M18" s="100"/>
      <c r="N18" s="99" t="s">
        <v>111</v>
      </c>
      <c r="O18" s="100" t="s">
        <v>504</v>
      </c>
      <c r="P18" s="99"/>
      <c r="Q18" s="100"/>
      <c r="R18" s="99" t="s">
        <v>111</v>
      </c>
      <c r="S18" s="100" t="s">
        <v>504</v>
      </c>
      <c r="T18" s="101">
        <f>78840.5</f>
        <v>78840.5</v>
      </c>
      <c r="U18" s="102">
        <f>19</f>
        <v>19</v>
      </c>
      <c r="V18" s="102"/>
      <c r="W18" s="102"/>
      <c r="X18" s="102">
        <f>75492500</f>
        <v>75492500</v>
      </c>
      <c r="Y18" s="102"/>
      <c r="Z18" s="103"/>
      <c r="AA18" s="99"/>
      <c r="AB18" s="104">
        <f>5</f>
        <v>5</v>
      </c>
      <c r="AC18" s="104" t="str">
        <f t="shared" si="0"/>
        <v>－</v>
      </c>
      <c r="AD18" s="105">
        <f>4</f>
        <v>4</v>
      </c>
    </row>
    <row r="19" spans="1:30">
      <c r="A19" s="95" t="s">
        <v>46</v>
      </c>
      <c r="B19" s="96" t="s">
        <v>490</v>
      </c>
      <c r="C19" s="96" t="s">
        <v>491</v>
      </c>
      <c r="D19" s="96" t="s">
        <v>76</v>
      </c>
      <c r="E19" s="97" t="s">
        <v>355</v>
      </c>
      <c r="F19" s="97" t="s">
        <v>486</v>
      </c>
      <c r="G19" s="98">
        <v>50</v>
      </c>
      <c r="H19" s="99" t="s">
        <v>288</v>
      </c>
      <c r="I19" s="100" t="s">
        <v>505</v>
      </c>
      <c r="J19" s="99" t="s">
        <v>288</v>
      </c>
      <c r="K19" s="100" t="s">
        <v>505</v>
      </c>
      <c r="L19" s="99"/>
      <c r="M19" s="100"/>
      <c r="N19" s="99" t="s">
        <v>160</v>
      </c>
      <c r="O19" s="100" t="s">
        <v>506</v>
      </c>
      <c r="P19" s="99"/>
      <c r="Q19" s="100"/>
      <c r="R19" s="99" t="s">
        <v>111</v>
      </c>
      <c r="S19" s="100" t="s">
        <v>506</v>
      </c>
      <c r="T19" s="101">
        <f>80939</f>
        <v>80939</v>
      </c>
      <c r="U19" s="102">
        <f>25</f>
        <v>25</v>
      </c>
      <c r="V19" s="102"/>
      <c r="W19" s="102"/>
      <c r="X19" s="102">
        <f>101868500</f>
        <v>101868500</v>
      </c>
      <c r="Y19" s="102"/>
      <c r="Z19" s="103"/>
      <c r="AA19" s="99"/>
      <c r="AB19" s="104">
        <f>5</f>
        <v>5</v>
      </c>
      <c r="AC19" s="104" t="str">
        <f t="shared" si="0"/>
        <v>－</v>
      </c>
      <c r="AD19" s="105">
        <f>4</f>
        <v>4</v>
      </c>
    </row>
    <row r="20" spans="1:30">
      <c r="A20" s="95" t="s">
        <v>46</v>
      </c>
      <c r="B20" s="96" t="s">
        <v>490</v>
      </c>
      <c r="C20" s="96" t="s">
        <v>491</v>
      </c>
      <c r="D20" s="96" t="s">
        <v>334</v>
      </c>
      <c r="E20" s="97" t="s">
        <v>100</v>
      </c>
      <c r="F20" s="97" t="s">
        <v>122</v>
      </c>
      <c r="G20" s="98">
        <v>50</v>
      </c>
      <c r="H20" s="99"/>
      <c r="I20" s="100" t="s">
        <v>141</v>
      </c>
      <c r="J20" s="99"/>
      <c r="K20" s="100" t="s">
        <v>141</v>
      </c>
      <c r="L20" s="99"/>
      <c r="M20" s="100"/>
      <c r="N20" s="99"/>
      <c r="O20" s="100" t="s">
        <v>141</v>
      </c>
      <c r="P20" s="99"/>
      <c r="Q20" s="100"/>
      <c r="R20" s="99"/>
      <c r="S20" s="100" t="s">
        <v>141</v>
      </c>
      <c r="T20" s="101">
        <f>79680</f>
        <v>79680</v>
      </c>
      <c r="U20" s="102" t="str">
        <f t="shared" ref="U20:U27" si="1">"－"</f>
        <v>－</v>
      </c>
      <c r="V20" s="102"/>
      <c r="W20" s="102"/>
      <c r="X20" s="102" t="str">
        <f t="shared" ref="X20:X27" si="2">"－"</f>
        <v>－</v>
      </c>
      <c r="Y20" s="102"/>
      <c r="Z20" s="103"/>
      <c r="AA20" s="99"/>
      <c r="AB20" s="104" t="str">
        <f t="shared" ref="AB20:AB27" si="3">"－"</f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507</v>
      </c>
      <c r="C21" s="96" t="s">
        <v>508</v>
      </c>
      <c r="D21" s="96" t="s">
        <v>267</v>
      </c>
      <c r="E21" s="97" t="s">
        <v>329</v>
      </c>
      <c r="F21" s="97" t="s">
        <v>50</v>
      </c>
      <c r="G21" s="98">
        <v>50</v>
      </c>
      <c r="H21" s="99"/>
      <c r="I21" s="100" t="s">
        <v>141</v>
      </c>
      <c r="J21" s="99"/>
      <c r="K21" s="100" t="s">
        <v>141</v>
      </c>
      <c r="L21" s="99"/>
      <c r="M21" s="100"/>
      <c r="N21" s="99"/>
      <c r="O21" s="100" t="s">
        <v>141</v>
      </c>
      <c r="P21" s="99"/>
      <c r="Q21" s="100"/>
      <c r="R21" s="99"/>
      <c r="S21" s="100" t="s">
        <v>141</v>
      </c>
      <c r="T21" s="101">
        <f>91458.82</f>
        <v>91458.82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60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507</v>
      </c>
      <c r="C22" s="96" t="s">
        <v>508</v>
      </c>
      <c r="D22" s="96" t="s">
        <v>61</v>
      </c>
      <c r="E22" s="97" t="s">
        <v>434</v>
      </c>
      <c r="F22" s="97" t="s">
        <v>301</v>
      </c>
      <c r="G22" s="98">
        <v>50</v>
      </c>
      <c r="H22" s="99"/>
      <c r="I22" s="100" t="s">
        <v>141</v>
      </c>
      <c r="J22" s="99"/>
      <c r="K22" s="100" t="s">
        <v>141</v>
      </c>
      <c r="L22" s="99"/>
      <c r="M22" s="100"/>
      <c r="N22" s="99"/>
      <c r="O22" s="100" t="s">
        <v>141</v>
      </c>
      <c r="P22" s="99"/>
      <c r="Q22" s="100"/>
      <c r="R22" s="99"/>
      <c r="S22" s="100" t="s">
        <v>141</v>
      </c>
      <c r="T22" s="101">
        <f>90425</f>
        <v>90425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507</v>
      </c>
      <c r="C23" s="96" t="s">
        <v>508</v>
      </c>
      <c r="D23" s="96" t="s">
        <v>278</v>
      </c>
      <c r="E23" s="97" t="s">
        <v>471</v>
      </c>
      <c r="F23" s="97" t="s">
        <v>113</v>
      </c>
      <c r="G23" s="98">
        <v>50</v>
      </c>
      <c r="H23" s="99"/>
      <c r="I23" s="100" t="s">
        <v>141</v>
      </c>
      <c r="J23" s="99"/>
      <c r="K23" s="100" t="s">
        <v>141</v>
      </c>
      <c r="L23" s="99"/>
      <c r="M23" s="100"/>
      <c r="N23" s="99"/>
      <c r="O23" s="100" t="s">
        <v>141</v>
      </c>
      <c r="P23" s="99"/>
      <c r="Q23" s="100"/>
      <c r="R23" s="99"/>
      <c r="S23" s="100" t="s">
        <v>141</v>
      </c>
      <c r="T23" s="101">
        <f>89335</f>
        <v>89335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507</v>
      </c>
      <c r="C24" s="96" t="s">
        <v>508</v>
      </c>
      <c r="D24" s="96" t="s">
        <v>69</v>
      </c>
      <c r="E24" s="97" t="s">
        <v>345</v>
      </c>
      <c r="F24" s="97" t="s">
        <v>311</v>
      </c>
      <c r="G24" s="98">
        <v>50</v>
      </c>
      <c r="H24" s="99"/>
      <c r="I24" s="100" t="s">
        <v>141</v>
      </c>
      <c r="J24" s="99"/>
      <c r="K24" s="100" t="s">
        <v>141</v>
      </c>
      <c r="L24" s="99"/>
      <c r="M24" s="100"/>
      <c r="N24" s="99"/>
      <c r="O24" s="100" t="s">
        <v>141</v>
      </c>
      <c r="P24" s="99"/>
      <c r="Q24" s="100"/>
      <c r="R24" s="99"/>
      <c r="S24" s="100" t="s">
        <v>141</v>
      </c>
      <c r="T24" s="101">
        <f>88315</f>
        <v>88315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507</v>
      </c>
      <c r="C25" s="96" t="s">
        <v>508</v>
      </c>
      <c r="D25" s="96" t="s">
        <v>285</v>
      </c>
      <c r="E25" s="97" t="s">
        <v>480</v>
      </c>
      <c r="F25" s="97" t="s">
        <v>118</v>
      </c>
      <c r="G25" s="98">
        <v>50</v>
      </c>
      <c r="H25" s="99"/>
      <c r="I25" s="100" t="s">
        <v>141</v>
      </c>
      <c r="J25" s="99"/>
      <c r="K25" s="100" t="s">
        <v>141</v>
      </c>
      <c r="L25" s="99"/>
      <c r="M25" s="100"/>
      <c r="N25" s="99"/>
      <c r="O25" s="100" t="s">
        <v>141</v>
      </c>
      <c r="P25" s="99"/>
      <c r="Q25" s="100"/>
      <c r="R25" s="99"/>
      <c r="S25" s="100" t="s">
        <v>141</v>
      </c>
      <c r="T25" s="101">
        <f>87320</f>
        <v>87320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507</v>
      </c>
      <c r="C26" s="96" t="s">
        <v>508</v>
      </c>
      <c r="D26" s="96" t="s">
        <v>76</v>
      </c>
      <c r="E26" s="97" t="s">
        <v>355</v>
      </c>
      <c r="F26" s="97" t="s">
        <v>486</v>
      </c>
      <c r="G26" s="98">
        <v>50</v>
      </c>
      <c r="H26" s="99"/>
      <c r="I26" s="100" t="s">
        <v>141</v>
      </c>
      <c r="J26" s="99"/>
      <c r="K26" s="100" t="s">
        <v>141</v>
      </c>
      <c r="L26" s="99"/>
      <c r="M26" s="100"/>
      <c r="N26" s="99"/>
      <c r="O26" s="100" t="s">
        <v>141</v>
      </c>
      <c r="P26" s="99"/>
      <c r="Q26" s="100"/>
      <c r="R26" s="99"/>
      <c r="S26" s="100" t="s">
        <v>141</v>
      </c>
      <c r="T26" s="101">
        <f>86340</f>
        <v>86340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507</v>
      </c>
      <c r="C27" s="96" t="s">
        <v>508</v>
      </c>
      <c r="D27" s="96" t="s">
        <v>334</v>
      </c>
      <c r="E27" s="97" t="s">
        <v>100</v>
      </c>
      <c r="F27" s="97" t="s">
        <v>122</v>
      </c>
      <c r="G27" s="98">
        <v>50</v>
      </c>
      <c r="H27" s="99"/>
      <c r="I27" s="100" t="s">
        <v>141</v>
      </c>
      <c r="J27" s="99"/>
      <c r="K27" s="100" t="s">
        <v>141</v>
      </c>
      <c r="L27" s="99"/>
      <c r="M27" s="100"/>
      <c r="N27" s="99"/>
      <c r="O27" s="100" t="s">
        <v>141</v>
      </c>
      <c r="P27" s="99"/>
      <c r="Q27" s="100"/>
      <c r="R27" s="99"/>
      <c r="S27" s="100" t="s">
        <v>141</v>
      </c>
      <c r="T27" s="101">
        <f>84366.67</f>
        <v>84366.67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509</v>
      </c>
      <c r="C28" s="96" t="s">
        <v>510</v>
      </c>
      <c r="D28" s="96" t="s">
        <v>46</v>
      </c>
      <c r="E28" s="97" t="s">
        <v>294</v>
      </c>
      <c r="F28" s="97" t="s">
        <v>363</v>
      </c>
      <c r="G28" s="98">
        <v>50</v>
      </c>
      <c r="H28" s="99" t="s">
        <v>51</v>
      </c>
      <c r="I28" s="100" t="s">
        <v>463</v>
      </c>
      <c r="J28" s="99" t="s">
        <v>160</v>
      </c>
      <c r="K28" s="100" t="s">
        <v>511</v>
      </c>
      <c r="L28" s="99" t="s">
        <v>67</v>
      </c>
      <c r="M28" s="100" t="s">
        <v>512</v>
      </c>
      <c r="N28" s="99" t="s">
        <v>163</v>
      </c>
      <c r="O28" s="100" t="s">
        <v>513</v>
      </c>
      <c r="P28" s="99" t="s">
        <v>67</v>
      </c>
      <c r="Q28" s="100" t="s">
        <v>512</v>
      </c>
      <c r="R28" s="99" t="s">
        <v>67</v>
      </c>
      <c r="S28" s="100" t="s">
        <v>514</v>
      </c>
      <c r="T28" s="101">
        <f>80382.5</f>
        <v>80382.5</v>
      </c>
      <c r="U28" s="102">
        <f>307</f>
        <v>307</v>
      </c>
      <c r="V28" s="102">
        <v>50</v>
      </c>
      <c r="W28" s="102">
        <v>6</v>
      </c>
      <c r="X28" s="102">
        <f>1226618500</f>
        <v>1226618500</v>
      </c>
      <c r="Y28" s="102">
        <v>202975000</v>
      </c>
      <c r="Z28" s="103">
        <v>23901000</v>
      </c>
      <c r="AA28" s="99" t="s">
        <v>60</v>
      </c>
      <c r="AB28" s="104">
        <f>4592</f>
        <v>4592</v>
      </c>
      <c r="AC28" s="104" t="str">
        <f t="shared" si="0"/>
        <v>－</v>
      </c>
      <c r="AD28" s="105">
        <f>18</f>
        <v>18</v>
      </c>
    </row>
    <row r="29" spans="1:30">
      <c r="A29" s="95" t="s">
        <v>46</v>
      </c>
      <c r="B29" s="96" t="s">
        <v>509</v>
      </c>
      <c r="C29" s="96" t="s">
        <v>510</v>
      </c>
      <c r="D29" s="96" t="s">
        <v>267</v>
      </c>
      <c r="E29" s="97" t="s">
        <v>294</v>
      </c>
      <c r="F29" s="97" t="s">
        <v>364</v>
      </c>
      <c r="G29" s="98">
        <v>50</v>
      </c>
      <c r="H29" s="99" t="s">
        <v>51</v>
      </c>
      <c r="I29" s="100" t="s">
        <v>515</v>
      </c>
      <c r="J29" s="99" t="s">
        <v>160</v>
      </c>
      <c r="K29" s="100" t="s">
        <v>516</v>
      </c>
      <c r="L29" s="99" t="s">
        <v>160</v>
      </c>
      <c r="M29" s="100" t="s">
        <v>517</v>
      </c>
      <c r="N29" s="99" t="s">
        <v>80</v>
      </c>
      <c r="O29" s="100" t="s">
        <v>518</v>
      </c>
      <c r="P29" s="99" t="s">
        <v>80</v>
      </c>
      <c r="Q29" s="100" t="s">
        <v>519</v>
      </c>
      <c r="R29" s="99" t="s">
        <v>67</v>
      </c>
      <c r="S29" s="100" t="s">
        <v>520</v>
      </c>
      <c r="T29" s="101">
        <f>80132</f>
        <v>80132</v>
      </c>
      <c r="U29" s="102">
        <f>1276</f>
        <v>1276</v>
      </c>
      <c r="V29" s="102">
        <v>191</v>
      </c>
      <c r="W29" s="102">
        <v>9</v>
      </c>
      <c r="X29" s="102">
        <f>5138376500</f>
        <v>5138376500</v>
      </c>
      <c r="Y29" s="102">
        <v>798033500</v>
      </c>
      <c r="Z29" s="103">
        <v>35775000</v>
      </c>
      <c r="AA29" s="99"/>
      <c r="AB29" s="104">
        <f>2095</f>
        <v>2095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509</v>
      </c>
      <c r="C30" s="96" t="s">
        <v>510</v>
      </c>
      <c r="D30" s="96" t="s">
        <v>61</v>
      </c>
      <c r="E30" s="97" t="s">
        <v>294</v>
      </c>
      <c r="F30" s="97" t="s">
        <v>365</v>
      </c>
      <c r="G30" s="98">
        <v>50</v>
      </c>
      <c r="H30" s="99" t="s">
        <v>51</v>
      </c>
      <c r="I30" s="100" t="s">
        <v>521</v>
      </c>
      <c r="J30" s="99" t="s">
        <v>160</v>
      </c>
      <c r="K30" s="100" t="s">
        <v>522</v>
      </c>
      <c r="L30" s="99" t="s">
        <v>160</v>
      </c>
      <c r="M30" s="100" t="s">
        <v>523</v>
      </c>
      <c r="N30" s="99" t="s">
        <v>80</v>
      </c>
      <c r="O30" s="100" t="s">
        <v>524</v>
      </c>
      <c r="P30" s="99" t="s">
        <v>58</v>
      </c>
      <c r="Q30" s="100" t="s">
        <v>525</v>
      </c>
      <c r="R30" s="99" t="s">
        <v>67</v>
      </c>
      <c r="S30" s="100" t="s">
        <v>526</v>
      </c>
      <c r="T30" s="101">
        <f>78947.5</f>
        <v>78947.5</v>
      </c>
      <c r="U30" s="102">
        <f>1979</f>
        <v>1979</v>
      </c>
      <c r="V30" s="102">
        <v>639</v>
      </c>
      <c r="W30" s="102">
        <v>97</v>
      </c>
      <c r="X30" s="102">
        <f>7921439500</f>
        <v>7921439500</v>
      </c>
      <c r="Y30" s="102">
        <v>2687316500</v>
      </c>
      <c r="Z30" s="103">
        <v>381060000</v>
      </c>
      <c r="AA30" s="99"/>
      <c r="AB30" s="104">
        <f>4508</f>
        <v>4508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509</v>
      </c>
      <c r="C31" s="96" t="s">
        <v>510</v>
      </c>
      <c r="D31" s="96" t="s">
        <v>278</v>
      </c>
      <c r="E31" s="97" t="s">
        <v>294</v>
      </c>
      <c r="F31" s="97" t="s">
        <v>369</v>
      </c>
      <c r="G31" s="98">
        <v>50</v>
      </c>
      <c r="H31" s="99" t="s">
        <v>51</v>
      </c>
      <c r="I31" s="100" t="s">
        <v>527</v>
      </c>
      <c r="J31" s="99" t="s">
        <v>160</v>
      </c>
      <c r="K31" s="100" t="s">
        <v>528</v>
      </c>
      <c r="L31" s="99" t="s">
        <v>160</v>
      </c>
      <c r="M31" s="100" t="s">
        <v>529</v>
      </c>
      <c r="N31" s="99" t="s">
        <v>80</v>
      </c>
      <c r="O31" s="100" t="s">
        <v>530</v>
      </c>
      <c r="P31" s="99" t="s">
        <v>147</v>
      </c>
      <c r="Q31" s="100" t="s">
        <v>531</v>
      </c>
      <c r="R31" s="99" t="s">
        <v>67</v>
      </c>
      <c r="S31" s="100" t="s">
        <v>532</v>
      </c>
      <c r="T31" s="101">
        <f>77953.5</f>
        <v>77953.5</v>
      </c>
      <c r="U31" s="102">
        <f>6698</f>
        <v>6698</v>
      </c>
      <c r="V31" s="102">
        <v>622</v>
      </c>
      <c r="W31" s="102">
        <v>2289</v>
      </c>
      <c r="X31" s="102">
        <f>25922998000</f>
        <v>25922998000</v>
      </c>
      <c r="Y31" s="102">
        <v>2566496000</v>
      </c>
      <c r="Z31" s="103">
        <v>8738170000</v>
      </c>
      <c r="AA31" s="99"/>
      <c r="AB31" s="104">
        <f>4640</f>
        <v>4640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509</v>
      </c>
      <c r="C32" s="96" t="s">
        <v>510</v>
      </c>
      <c r="D32" s="96" t="s">
        <v>69</v>
      </c>
      <c r="E32" s="97" t="s">
        <v>294</v>
      </c>
      <c r="F32" s="97" t="s">
        <v>374</v>
      </c>
      <c r="G32" s="98">
        <v>50</v>
      </c>
      <c r="H32" s="99" t="s">
        <v>51</v>
      </c>
      <c r="I32" s="100" t="s">
        <v>533</v>
      </c>
      <c r="J32" s="99" t="s">
        <v>160</v>
      </c>
      <c r="K32" s="100" t="s">
        <v>534</v>
      </c>
      <c r="L32" s="99" t="s">
        <v>157</v>
      </c>
      <c r="M32" s="100" t="s">
        <v>535</v>
      </c>
      <c r="N32" s="99" t="s">
        <v>51</v>
      </c>
      <c r="O32" s="100" t="s">
        <v>536</v>
      </c>
      <c r="P32" s="99" t="s">
        <v>219</v>
      </c>
      <c r="Q32" s="100" t="s">
        <v>537</v>
      </c>
      <c r="R32" s="99" t="s">
        <v>67</v>
      </c>
      <c r="S32" s="100" t="s">
        <v>538</v>
      </c>
      <c r="T32" s="101">
        <f>77010.5</f>
        <v>77010.5</v>
      </c>
      <c r="U32" s="102">
        <f>88634</f>
        <v>88634</v>
      </c>
      <c r="V32" s="102">
        <v>570</v>
      </c>
      <c r="W32" s="102">
        <v>17745</v>
      </c>
      <c r="X32" s="102">
        <f>332722727500</f>
        <v>332722727500</v>
      </c>
      <c r="Y32" s="102">
        <v>2264452000</v>
      </c>
      <c r="Z32" s="103">
        <v>67023603500</v>
      </c>
      <c r="AA32" s="99"/>
      <c r="AB32" s="104">
        <f>9630</f>
        <v>9630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509</v>
      </c>
      <c r="C33" s="96" t="s">
        <v>510</v>
      </c>
      <c r="D33" s="96" t="s">
        <v>285</v>
      </c>
      <c r="E33" s="97" t="s">
        <v>294</v>
      </c>
      <c r="F33" s="97" t="s">
        <v>376</v>
      </c>
      <c r="G33" s="98">
        <v>50</v>
      </c>
      <c r="H33" s="99" t="s">
        <v>51</v>
      </c>
      <c r="I33" s="100" t="s">
        <v>539</v>
      </c>
      <c r="J33" s="99" t="s">
        <v>160</v>
      </c>
      <c r="K33" s="100" t="s">
        <v>540</v>
      </c>
      <c r="L33" s="99" t="s">
        <v>157</v>
      </c>
      <c r="M33" s="100" t="s">
        <v>541</v>
      </c>
      <c r="N33" s="99" t="s">
        <v>51</v>
      </c>
      <c r="O33" s="100" t="s">
        <v>542</v>
      </c>
      <c r="P33" s="99" t="s">
        <v>80</v>
      </c>
      <c r="Q33" s="100" t="s">
        <v>543</v>
      </c>
      <c r="R33" s="99" t="s">
        <v>67</v>
      </c>
      <c r="S33" s="100" t="s">
        <v>544</v>
      </c>
      <c r="T33" s="101">
        <f>76074</f>
        <v>76074</v>
      </c>
      <c r="U33" s="102">
        <f>107289</f>
        <v>107289</v>
      </c>
      <c r="V33" s="102">
        <v>591</v>
      </c>
      <c r="W33" s="102">
        <v>16139</v>
      </c>
      <c r="X33" s="102">
        <f>404304669000</f>
        <v>404304669000</v>
      </c>
      <c r="Y33" s="102">
        <v>2291480500</v>
      </c>
      <c r="Z33" s="103">
        <v>60446294500</v>
      </c>
      <c r="AA33" s="99"/>
      <c r="AB33" s="104">
        <f>45440</f>
        <v>45440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509</v>
      </c>
      <c r="C34" s="96" t="s">
        <v>510</v>
      </c>
      <c r="D34" s="96" t="s">
        <v>76</v>
      </c>
      <c r="E34" s="97" t="s">
        <v>294</v>
      </c>
      <c r="F34" s="97" t="s">
        <v>378</v>
      </c>
      <c r="G34" s="98">
        <v>50</v>
      </c>
      <c r="H34" s="99" t="s">
        <v>219</v>
      </c>
      <c r="I34" s="100" t="s">
        <v>545</v>
      </c>
      <c r="J34" s="99" t="s">
        <v>160</v>
      </c>
      <c r="K34" s="100" t="s">
        <v>546</v>
      </c>
      <c r="L34" s="99"/>
      <c r="M34" s="100"/>
      <c r="N34" s="99" t="s">
        <v>95</v>
      </c>
      <c r="O34" s="100" t="s">
        <v>547</v>
      </c>
      <c r="P34" s="99"/>
      <c r="Q34" s="100"/>
      <c r="R34" s="99" t="s">
        <v>67</v>
      </c>
      <c r="S34" s="100" t="s">
        <v>548</v>
      </c>
      <c r="T34" s="101">
        <f>75121.5</f>
        <v>75121.5</v>
      </c>
      <c r="U34" s="102">
        <f>69</f>
        <v>69</v>
      </c>
      <c r="V34" s="102"/>
      <c r="W34" s="102">
        <v>9</v>
      </c>
      <c r="X34" s="102">
        <f>260555000</f>
        <v>260555000</v>
      </c>
      <c r="Y34" s="102"/>
      <c r="Z34" s="103">
        <v>34495500</v>
      </c>
      <c r="AA34" s="99"/>
      <c r="AB34" s="104">
        <f>30</f>
        <v>30</v>
      </c>
      <c r="AC34" s="104" t="str">
        <f t="shared" si="0"/>
        <v>－</v>
      </c>
      <c r="AD34" s="105">
        <f>11</f>
        <v>11</v>
      </c>
    </row>
    <row r="35" spans="1:30">
      <c r="A35" s="95" t="s">
        <v>46</v>
      </c>
      <c r="B35" s="96" t="s">
        <v>509</v>
      </c>
      <c r="C35" s="96" t="s">
        <v>510</v>
      </c>
      <c r="D35" s="96" t="s">
        <v>334</v>
      </c>
      <c r="E35" s="97" t="s">
        <v>294</v>
      </c>
      <c r="F35" s="97" t="s">
        <v>380</v>
      </c>
      <c r="G35" s="98">
        <v>50</v>
      </c>
      <c r="H35" s="99" t="s">
        <v>95</v>
      </c>
      <c r="I35" s="100" t="s">
        <v>549</v>
      </c>
      <c r="J35" s="99" t="s">
        <v>95</v>
      </c>
      <c r="K35" s="100" t="s">
        <v>549</v>
      </c>
      <c r="L35" s="99"/>
      <c r="M35" s="100"/>
      <c r="N35" s="99" t="s">
        <v>95</v>
      </c>
      <c r="O35" s="100" t="s">
        <v>549</v>
      </c>
      <c r="P35" s="99"/>
      <c r="Q35" s="100"/>
      <c r="R35" s="99" t="s">
        <v>95</v>
      </c>
      <c r="S35" s="100" t="s">
        <v>549</v>
      </c>
      <c r="T35" s="101">
        <f>73959</f>
        <v>73959</v>
      </c>
      <c r="U35" s="102">
        <f>4</f>
        <v>4</v>
      </c>
      <c r="V35" s="102"/>
      <c r="W35" s="102"/>
      <c r="X35" s="102">
        <f>14548000</f>
        <v>14548000</v>
      </c>
      <c r="Y35" s="102"/>
      <c r="Z35" s="103"/>
      <c r="AA35" s="99"/>
      <c r="AB35" s="104">
        <f>77</f>
        <v>77</v>
      </c>
      <c r="AC35" s="104" t="str">
        <f t="shared" si="0"/>
        <v>－</v>
      </c>
      <c r="AD35" s="105">
        <f>1</f>
        <v>1</v>
      </c>
    </row>
    <row r="36" spans="1:30">
      <c r="A36" s="95" t="s">
        <v>46</v>
      </c>
      <c r="B36" s="96" t="s">
        <v>509</v>
      </c>
      <c r="C36" s="96" t="s">
        <v>510</v>
      </c>
      <c r="D36" s="96" t="s">
        <v>83</v>
      </c>
      <c r="E36" s="97" t="s">
        <v>375</v>
      </c>
      <c r="F36" s="97" t="s">
        <v>382</v>
      </c>
      <c r="G36" s="98">
        <v>50</v>
      </c>
      <c r="H36" s="99" t="s">
        <v>51</v>
      </c>
      <c r="I36" s="100" t="s">
        <v>550</v>
      </c>
      <c r="J36" s="99" t="s">
        <v>111</v>
      </c>
      <c r="K36" s="100" t="s">
        <v>548</v>
      </c>
      <c r="L36" s="99"/>
      <c r="M36" s="100"/>
      <c r="N36" s="99" t="s">
        <v>80</v>
      </c>
      <c r="O36" s="100" t="s">
        <v>551</v>
      </c>
      <c r="P36" s="99"/>
      <c r="Q36" s="100"/>
      <c r="R36" s="99" t="s">
        <v>212</v>
      </c>
      <c r="S36" s="100" t="s">
        <v>552</v>
      </c>
      <c r="T36" s="101">
        <f>72903.5</f>
        <v>72903.5</v>
      </c>
      <c r="U36" s="102">
        <f>17</f>
        <v>17</v>
      </c>
      <c r="V36" s="102"/>
      <c r="W36" s="102">
        <v>1</v>
      </c>
      <c r="X36" s="102">
        <f>61516500</f>
        <v>61516500</v>
      </c>
      <c r="Y36" s="102"/>
      <c r="Z36" s="103">
        <v>3556000</v>
      </c>
      <c r="AA36" s="99"/>
      <c r="AB36" s="104">
        <f>89</f>
        <v>89</v>
      </c>
      <c r="AC36" s="104" t="str">
        <f t="shared" si="0"/>
        <v>－</v>
      </c>
      <c r="AD36" s="105">
        <f>9</f>
        <v>9</v>
      </c>
    </row>
    <row r="37" spans="1:30">
      <c r="A37" s="95" t="s">
        <v>46</v>
      </c>
      <c r="B37" s="96" t="s">
        <v>509</v>
      </c>
      <c r="C37" s="96" t="s">
        <v>510</v>
      </c>
      <c r="D37" s="96" t="s">
        <v>344</v>
      </c>
      <c r="E37" s="97" t="s">
        <v>377</v>
      </c>
      <c r="F37" s="97" t="s">
        <v>384</v>
      </c>
      <c r="G37" s="98">
        <v>50</v>
      </c>
      <c r="H37" s="99" t="s">
        <v>167</v>
      </c>
      <c r="I37" s="100" t="s">
        <v>553</v>
      </c>
      <c r="J37" s="99" t="s">
        <v>111</v>
      </c>
      <c r="K37" s="100" t="s">
        <v>466</v>
      </c>
      <c r="L37" s="99"/>
      <c r="M37" s="100"/>
      <c r="N37" s="99" t="s">
        <v>167</v>
      </c>
      <c r="O37" s="100" t="s">
        <v>553</v>
      </c>
      <c r="P37" s="99"/>
      <c r="Q37" s="100"/>
      <c r="R37" s="99" t="s">
        <v>111</v>
      </c>
      <c r="S37" s="100" t="s">
        <v>466</v>
      </c>
      <c r="T37" s="101">
        <f>72106.5</f>
        <v>72106.5</v>
      </c>
      <c r="U37" s="102">
        <f>4</f>
        <v>4</v>
      </c>
      <c r="V37" s="102"/>
      <c r="W37" s="102">
        <v>1</v>
      </c>
      <c r="X37" s="102">
        <f>14309000</f>
        <v>14309000</v>
      </c>
      <c r="Y37" s="102"/>
      <c r="Z37" s="103">
        <v>3531000</v>
      </c>
      <c r="AA37" s="99"/>
      <c r="AB37" s="104">
        <f>55</f>
        <v>55</v>
      </c>
      <c r="AC37" s="104" t="str">
        <f t="shared" si="0"/>
        <v>－</v>
      </c>
      <c r="AD37" s="105">
        <f>3</f>
        <v>3</v>
      </c>
    </row>
    <row r="38" spans="1:30">
      <c r="A38" s="95" t="s">
        <v>46</v>
      </c>
      <c r="B38" s="96" t="s">
        <v>509</v>
      </c>
      <c r="C38" s="96" t="s">
        <v>510</v>
      </c>
      <c r="D38" s="96" t="s">
        <v>90</v>
      </c>
      <c r="E38" s="97" t="s">
        <v>379</v>
      </c>
      <c r="F38" s="97" t="s">
        <v>386</v>
      </c>
      <c r="G38" s="98">
        <v>50</v>
      </c>
      <c r="H38" s="99" t="s">
        <v>167</v>
      </c>
      <c r="I38" s="100" t="s">
        <v>554</v>
      </c>
      <c r="J38" s="99" t="s">
        <v>160</v>
      </c>
      <c r="K38" s="100" t="s">
        <v>555</v>
      </c>
      <c r="L38" s="99"/>
      <c r="M38" s="100"/>
      <c r="N38" s="99" t="s">
        <v>95</v>
      </c>
      <c r="O38" s="100" t="s">
        <v>556</v>
      </c>
      <c r="P38" s="99"/>
      <c r="Q38" s="100"/>
      <c r="R38" s="99" t="s">
        <v>67</v>
      </c>
      <c r="S38" s="100" t="s">
        <v>557</v>
      </c>
      <c r="T38" s="101">
        <f>71392</f>
        <v>71392</v>
      </c>
      <c r="U38" s="102">
        <f>13</f>
        <v>13</v>
      </c>
      <c r="V38" s="102"/>
      <c r="W38" s="102"/>
      <c r="X38" s="102">
        <f>46805500</f>
        <v>46805500</v>
      </c>
      <c r="Y38" s="102"/>
      <c r="Z38" s="103"/>
      <c r="AA38" s="99"/>
      <c r="AB38" s="104">
        <f>69</f>
        <v>69</v>
      </c>
      <c r="AC38" s="104" t="str">
        <f t="shared" si="0"/>
        <v>－</v>
      </c>
      <c r="AD38" s="105">
        <f>8</f>
        <v>8</v>
      </c>
    </row>
    <row r="39" spans="1:30">
      <c r="A39" s="95" t="s">
        <v>46</v>
      </c>
      <c r="B39" s="96" t="s">
        <v>509</v>
      </c>
      <c r="C39" s="96" t="s">
        <v>510</v>
      </c>
      <c r="D39" s="96" t="s">
        <v>354</v>
      </c>
      <c r="E39" s="97" t="s">
        <v>381</v>
      </c>
      <c r="F39" s="97" t="s">
        <v>387</v>
      </c>
      <c r="G39" s="98">
        <v>50</v>
      </c>
      <c r="H39" s="99" t="s">
        <v>55</v>
      </c>
      <c r="I39" s="100" t="s">
        <v>558</v>
      </c>
      <c r="J39" s="99" t="s">
        <v>160</v>
      </c>
      <c r="K39" s="100" t="s">
        <v>559</v>
      </c>
      <c r="L39" s="99"/>
      <c r="M39" s="100"/>
      <c r="N39" s="99" t="s">
        <v>95</v>
      </c>
      <c r="O39" s="100" t="s">
        <v>560</v>
      </c>
      <c r="P39" s="99"/>
      <c r="Q39" s="100"/>
      <c r="R39" s="99" t="s">
        <v>67</v>
      </c>
      <c r="S39" s="100" t="s">
        <v>561</v>
      </c>
      <c r="T39" s="101">
        <f>70472.5</f>
        <v>70472.5</v>
      </c>
      <c r="U39" s="102">
        <f>21</f>
        <v>21</v>
      </c>
      <c r="V39" s="102"/>
      <c r="W39" s="102">
        <v>1</v>
      </c>
      <c r="X39" s="102">
        <f>73855500</f>
        <v>73855500</v>
      </c>
      <c r="Y39" s="102"/>
      <c r="Z39" s="103">
        <v>3538500</v>
      </c>
      <c r="AA39" s="99"/>
      <c r="AB39" s="104">
        <f>83</f>
        <v>83</v>
      </c>
      <c r="AC39" s="104" t="str">
        <f t="shared" ref="AC39:AD70" si="4">"－"</f>
        <v>－</v>
      </c>
      <c r="AD39" s="105">
        <f>10</f>
        <v>10</v>
      </c>
    </row>
    <row r="40" spans="1:30">
      <c r="A40" s="95" t="s">
        <v>46</v>
      </c>
      <c r="B40" s="96" t="s">
        <v>509</v>
      </c>
      <c r="C40" s="96" t="s">
        <v>510</v>
      </c>
      <c r="D40" s="96" t="s">
        <v>99</v>
      </c>
      <c r="E40" s="97" t="s">
        <v>383</v>
      </c>
      <c r="F40" s="97" t="s">
        <v>562</v>
      </c>
      <c r="G40" s="98">
        <v>50</v>
      </c>
      <c r="H40" s="99" t="s">
        <v>288</v>
      </c>
      <c r="I40" s="100" t="s">
        <v>563</v>
      </c>
      <c r="J40" s="99" t="s">
        <v>288</v>
      </c>
      <c r="K40" s="100" t="s">
        <v>564</v>
      </c>
      <c r="L40" s="99"/>
      <c r="M40" s="100"/>
      <c r="N40" s="99" t="s">
        <v>58</v>
      </c>
      <c r="O40" s="100" t="s">
        <v>550</v>
      </c>
      <c r="P40" s="99"/>
      <c r="Q40" s="100"/>
      <c r="R40" s="99" t="s">
        <v>58</v>
      </c>
      <c r="S40" s="100" t="s">
        <v>550</v>
      </c>
      <c r="T40" s="101">
        <f>70193</f>
        <v>70193</v>
      </c>
      <c r="U40" s="102">
        <f>4</f>
        <v>4</v>
      </c>
      <c r="V40" s="102"/>
      <c r="W40" s="102">
        <v>1</v>
      </c>
      <c r="X40" s="102">
        <f>14142500</f>
        <v>14142500</v>
      </c>
      <c r="Y40" s="102"/>
      <c r="Z40" s="103">
        <v>3513500</v>
      </c>
      <c r="AA40" s="99"/>
      <c r="AB40" s="104">
        <f>47</f>
        <v>47</v>
      </c>
      <c r="AC40" s="104" t="str">
        <f t="shared" si="4"/>
        <v>－</v>
      </c>
      <c r="AD40" s="105">
        <f>3</f>
        <v>3</v>
      </c>
    </row>
    <row r="41" spans="1:30">
      <c r="A41" s="95" t="s">
        <v>46</v>
      </c>
      <c r="B41" s="96" t="s">
        <v>509</v>
      </c>
      <c r="C41" s="96" t="s">
        <v>510</v>
      </c>
      <c r="D41" s="96" t="s">
        <v>423</v>
      </c>
      <c r="E41" s="97" t="s">
        <v>385</v>
      </c>
      <c r="F41" s="97" t="s">
        <v>565</v>
      </c>
      <c r="G41" s="98">
        <v>50</v>
      </c>
      <c r="H41" s="99" t="s">
        <v>51</v>
      </c>
      <c r="I41" s="100" t="s">
        <v>566</v>
      </c>
      <c r="J41" s="99" t="s">
        <v>157</v>
      </c>
      <c r="K41" s="100" t="s">
        <v>567</v>
      </c>
      <c r="L41" s="99"/>
      <c r="M41" s="100"/>
      <c r="N41" s="99" t="s">
        <v>51</v>
      </c>
      <c r="O41" s="100" t="s">
        <v>566</v>
      </c>
      <c r="P41" s="99"/>
      <c r="Q41" s="100"/>
      <c r="R41" s="99" t="s">
        <v>67</v>
      </c>
      <c r="S41" s="100" t="s">
        <v>568</v>
      </c>
      <c r="T41" s="101">
        <f>69180</f>
        <v>69180</v>
      </c>
      <c r="U41" s="102">
        <f>56</f>
        <v>56</v>
      </c>
      <c r="V41" s="102"/>
      <c r="W41" s="102">
        <v>1</v>
      </c>
      <c r="X41" s="102">
        <f>192468000</f>
        <v>192468000</v>
      </c>
      <c r="Y41" s="102"/>
      <c r="Z41" s="103">
        <v>3443500</v>
      </c>
      <c r="AA41" s="99"/>
      <c r="AB41" s="104">
        <f>109</f>
        <v>109</v>
      </c>
      <c r="AC41" s="104" t="str">
        <f t="shared" si="4"/>
        <v>－</v>
      </c>
      <c r="AD41" s="105">
        <f>14</f>
        <v>14</v>
      </c>
    </row>
    <row r="42" spans="1:30">
      <c r="A42" s="95" t="s">
        <v>46</v>
      </c>
      <c r="B42" s="96" t="s">
        <v>509</v>
      </c>
      <c r="C42" s="96" t="s">
        <v>510</v>
      </c>
      <c r="D42" s="96" t="s">
        <v>569</v>
      </c>
      <c r="E42" s="97" t="s">
        <v>264</v>
      </c>
      <c r="F42" s="97" t="s">
        <v>570</v>
      </c>
      <c r="G42" s="98">
        <v>50</v>
      </c>
      <c r="H42" s="99" t="s">
        <v>51</v>
      </c>
      <c r="I42" s="100" t="s">
        <v>571</v>
      </c>
      <c r="J42" s="99" t="s">
        <v>160</v>
      </c>
      <c r="K42" s="100" t="s">
        <v>572</v>
      </c>
      <c r="L42" s="99"/>
      <c r="M42" s="100"/>
      <c r="N42" s="99" t="s">
        <v>55</v>
      </c>
      <c r="O42" s="100" t="s">
        <v>573</v>
      </c>
      <c r="P42" s="99"/>
      <c r="Q42" s="100"/>
      <c r="R42" s="99" t="s">
        <v>67</v>
      </c>
      <c r="S42" s="100" t="s">
        <v>574</v>
      </c>
      <c r="T42" s="101">
        <f>68391</f>
        <v>68391</v>
      </c>
      <c r="U42" s="102">
        <f>86</f>
        <v>86</v>
      </c>
      <c r="V42" s="102"/>
      <c r="W42" s="102">
        <v>1</v>
      </c>
      <c r="X42" s="102">
        <f>298741500</f>
        <v>298741500</v>
      </c>
      <c r="Y42" s="102"/>
      <c r="Z42" s="103">
        <v>3431000</v>
      </c>
      <c r="AA42" s="99"/>
      <c r="AB42" s="104">
        <f>23</f>
        <v>23</v>
      </c>
      <c r="AC42" s="104" t="str">
        <f t="shared" si="4"/>
        <v>－</v>
      </c>
      <c r="AD42" s="105">
        <f>16</f>
        <v>16</v>
      </c>
    </row>
    <row r="43" spans="1:30">
      <c r="A43" s="95" t="s">
        <v>46</v>
      </c>
      <c r="B43" s="96" t="s">
        <v>575</v>
      </c>
      <c r="C43" s="96" t="s">
        <v>576</v>
      </c>
      <c r="D43" s="96" t="s">
        <v>46</v>
      </c>
      <c r="E43" s="97" t="s">
        <v>577</v>
      </c>
      <c r="F43" s="97" t="s">
        <v>363</v>
      </c>
      <c r="G43" s="98">
        <v>72000</v>
      </c>
      <c r="H43" s="99"/>
      <c r="I43" s="100" t="s">
        <v>141</v>
      </c>
      <c r="J43" s="99"/>
      <c r="K43" s="100" t="s">
        <v>141</v>
      </c>
      <c r="L43" s="99"/>
      <c r="M43" s="100"/>
      <c r="N43" s="99"/>
      <c r="O43" s="100" t="s">
        <v>141</v>
      </c>
      <c r="P43" s="99"/>
      <c r="Q43" s="100"/>
      <c r="R43" s="99"/>
      <c r="S43" s="100" t="s">
        <v>141</v>
      </c>
      <c r="T43" s="101">
        <f>23.02</f>
        <v>23.02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60</v>
      </c>
      <c r="AB43" s="104">
        <f>143</f>
        <v>143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575</v>
      </c>
      <c r="C44" s="96" t="s">
        <v>576</v>
      </c>
      <c r="D44" s="96" t="s">
        <v>267</v>
      </c>
      <c r="E44" s="97" t="s">
        <v>578</v>
      </c>
      <c r="F44" s="97" t="s">
        <v>579</v>
      </c>
      <c r="G44" s="98">
        <v>74400</v>
      </c>
      <c r="H44" s="99" t="s">
        <v>167</v>
      </c>
      <c r="I44" s="100" t="s">
        <v>580</v>
      </c>
      <c r="J44" s="99" t="s">
        <v>167</v>
      </c>
      <c r="K44" s="100" t="s">
        <v>580</v>
      </c>
      <c r="L44" s="99"/>
      <c r="M44" s="100"/>
      <c r="N44" s="99" t="s">
        <v>163</v>
      </c>
      <c r="O44" s="100" t="s">
        <v>581</v>
      </c>
      <c r="P44" s="99"/>
      <c r="Q44" s="100"/>
      <c r="R44" s="99" t="s">
        <v>212</v>
      </c>
      <c r="S44" s="100" t="s">
        <v>582</v>
      </c>
      <c r="T44" s="101">
        <f>22.84</f>
        <v>22.84</v>
      </c>
      <c r="U44" s="102">
        <f>53</f>
        <v>53</v>
      </c>
      <c r="V44" s="102"/>
      <c r="W44" s="102"/>
      <c r="X44" s="102">
        <f>86962440</f>
        <v>86962440</v>
      </c>
      <c r="Y44" s="102"/>
      <c r="Z44" s="103"/>
      <c r="AA44" s="99"/>
      <c r="AB44" s="104">
        <f>130</f>
        <v>130</v>
      </c>
      <c r="AC44" s="104" t="str">
        <f t="shared" si="4"/>
        <v>－</v>
      </c>
      <c r="AD44" s="105">
        <f>4</f>
        <v>4</v>
      </c>
    </row>
    <row r="45" spans="1:30">
      <c r="A45" s="95" t="s">
        <v>46</v>
      </c>
      <c r="B45" s="96" t="s">
        <v>575</v>
      </c>
      <c r="C45" s="96" t="s">
        <v>576</v>
      </c>
      <c r="D45" s="96" t="s">
        <v>61</v>
      </c>
      <c r="E45" s="97" t="s">
        <v>583</v>
      </c>
      <c r="F45" s="97" t="s">
        <v>584</v>
      </c>
      <c r="G45" s="98">
        <v>72000</v>
      </c>
      <c r="H45" s="99"/>
      <c r="I45" s="100" t="s">
        <v>141</v>
      </c>
      <c r="J45" s="99"/>
      <c r="K45" s="100" t="s">
        <v>141</v>
      </c>
      <c r="L45" s="99" t="s">
        <v>157</v>
      </c>
      <c r="M45" s="100" t="s">
        <v>585</v>
      </c>
      <c r="N45" s="99"/>
      <c r="O45" s="100" t="s">
        <v>141</v>
      </c>
      <c r="P45" s="99" t="s">
        <v>95</v>
      </c>
      <c r="Q45" s="100" t="s">
        <v>586</v>
      </c>
      <c r="R45" s="99"/>
      <c r="S45" s="100" t="s">
        <v>141</v>
      </c>
      <c r="T45" s="101">
        <f>24.01</f>
        <v>24.01</v>
      </c>
      <c r="U45" s="102">
        <f>30</f>
        <v>30</v>
      </c>
      <c r="V45" s="102">
        <v>30</v>
      </c>
      <c r="W45" s="102"/>
      <c r="X45" s="102">
        <f>57600000</f>
        <v>57600000</v>
      </c>
      <c r="Y45" s="102">
        <v>57600000</v>
      </c>
      <c r="Z45" s="103"/>
      <c r="AA45" s="99"/>
      <c r="AB45" s="104">
        <f>145</f>
        <v>145</v>
      </c>
      <c r="AC45" s="104" t="str">
        <f t="shared" si="4"/>
        <v>－</v>
      </c>
      <c r="AD45" s="105" t="str">
        <f>"－"</f>
        <v>－</v>
      </c>
    </row>
    <row r="46" spans="1:30">
      <c r="A46" s="95" t="s">
        <v>46</v>
      </c>
      <c r="B46" s="96" t="s">
        <v>575</v>
      </c>
      <c r="C46" s="96" t="s">
        <v>576</v>
      </c>
      <c r="D46" s="96" t="s">
        <v>278</v>
      </c>
      <c r="E46" s="97" t="s">
        <v>587</v>
      </c>
      <c r="F46" s="97" t="s">
        <v>369</v>
      </c>
      <c r="G46" s="98">
        <v>74400</v>
      </c>
      <c r="H46" s="99" t="s">
        <v>58</v>
      </c>
      <c r="I46" s="100" t="s">
        <v>588</v>
      </c>
      <c r="J46" s="99" t="s">
        <v>67</v>
      </c>
      <c r="K46" s="100" t="s">
        <v>589</v>
      </c>
      <c r="L46" s="99" t="s">
        <v>67</v>
      </c>
      <c r="M46" s="100" t="s">
        <v>590</v>
      </c>
      <c r="N46" s="99" t="s">
        <v>58</v>
      </c>
      <c r="O46" s="100" t="s">
        <v>588</v>
      </c>
      <c r="P46" s="99" t="s">
        <v>157</v>
      </c>
      <c r="Q46" s="100" t="s">
        <v>585</v>
      </c>
      <c r="R46" s="99" t="s">
        <v>67</v>
      </c>
      <c r="S46" s="100" t="s">
        <v>589</v>
      </c>
      <c r="T46" s="101">
        <f>30.39</f>
        <v>30.39</v>
      </c>
      <c r="U46" s="102">
        <f>123</f>
        <v>123</v>
      </c>
      <c r="V46" s="102">
        <v>120</v>
      </c>
      <c r="W46" s="102"/>
      <c r="X46" s="102">
        <f>273412560</f>
        <v>273412560</v>
      </c>
      <c r="Y46" s="102">
        <v>266649600</v>
      </c>
      <c r="Z46" s="103"/>
      <c r="AA46" s="99"/>
      <c r="AB46" s="104">
        <f>220</f>
        <v>220</v>
      </c>
      <c r="AC46" s="104" t="str">
        <f t="shared" si="4"/>
        <v>－</v>
      </c>
      <c r="AD46" s="105">
        <f>3</f>
        <v>3</v>
      </c>
    </row>
    <row r="47" spans="1:30">
      <c r="A47" s="95" t="s">
        <v>46</v>
      </c>
      <c r="B47" s="96" t="s">
        <v>575</v>
      </c>
      <c r="C47" s="96" t="s">
        <v>576</v>
      </c>
      <c r="D47" s="96" t="s">
        <v>69</v>
      </c>
      <c r="E47" s="97" t="s">
        <v>591</v>
      </c>
      <c r="F47" s="97" t="s">
        <v>592</v>
      </c>
      <c r="G47" s="98">
        <v>74400</v>
      </c>
      <c r="H47" s="99" t="s">
        <v>212</v>
      </c>
      <c r="I47" s="100" t="s">
        <v>593</v>
      </c>
      <c r="J47" s="99" t="s">
        <v>67</v>
      </c>
      <c r="K47" s="100" t="s">
        <v>594</v>
      </c>
      <c r="L47" s="99" t="s">
        <v>67</v>
      </c>
      <c r="M47" s="100" t="s">
        <v>590</v>
      </c>
      <c r="N47" s="99" t="s">
        <v>212</v>
      </c>
      <c r="O47" s="100" t="s">
        <v>593</v>
      </c>
      <c r="P47" s="99" t="s">
        <v>157</v>
      </c>
      <c r="Q47" s="100" t="s">
        <v>585</v>
      </c>
      <c r="R47" s="99" t="s">
        <v>67</v>
      </c>
      <c r="S47" s="100" t="s">
        <v>594</v>
      </c>
      <c r="T47" s="101">
        <f>35.39</f>
        <v>35.39</v>
      </c>
      <c r="U47" s="102">
        <f>122</f>
        <v>122</v>
      </c>
      <c r="V47" s="102">
        <v>120</v>
      </c>
      <c r="W47" s="102"/>
      <c r="X47" s="102">
        <f>271801056</f>
        <v>271801056</v>
      </c>
      <c r="Y47" s="102">
        <v>266649600</v>
      </c>
      <c r="Z47" s="103"/>
      <c r="AA47" s="99"/>
      <c r="AB47" s="104">
        <f>220</f>
        <v>220</v>
      </c>
      <c r="AC47" s="104" t="str">
        <f t="shared" si="4"/>
        <v>－</v>
      </c>
      <c r="AD47" s="105">
        <f>2</f>
        <v>2</v>
      </c>
    </row>
    <row r="48" spans="1:30">
      <c r="A48" s="95" t="s">
        <v>46</v>
      </c>
      <c r="B48" s="96" t="s">
        <v>575</v>
      </c>
      <c r="C48" s="96" t="s">
        <v>576</v>
      </c>
      <c r="D48" s="96" t="s">
        <v>285</v>
      </c>
      <c r="E48" s="97" t="s">
        <v>595</v>
      </c>
      <c r="F48" s="97" t="s">
        <v>596</v>
      </c>
      <c r="G48" s="98">
        <v>72000</v>
      </c>
      <c r="H48" s="99" t="s">
        <v>67</v>
      </c>
      <c r="I48" s="100" t="s">
        <v>597</v>
      </c>
      <c r="J48" s="99" t="s">
        <v>67</v>
      </c>
      <c r="K48" s="100" t="s">
        <v>597</v>
      </c>
      <c r="L48" s="99" t="s">
        <v>67</v>
      </c>
      <c r="M48" s="100" t="s">
        <v>590</v>
      </c>
      <c r="N48" s="99" t="s">
        <v>67</v>
      </c>
      <c r="O48" s="100" t="s">
        <v>597</v>
      </c>
      <c r="P48" s="99" t="s">
        <v>157</v>
      </c>
      <c r="Q48" s="100" t="s">
        <v>585</v>
      </c>
      <c r="R48" s="99" t="s">
        <v>67</v>
      </c>
      <c r="S48" s="100" t="s">
        <v>597</v>
      </c>
      <c r="T48" s="101">
        <f>28.75</f>
        <v>28.75</v>
      </c>
      <c r="U48" s="102">
        <f>121</f>
        <v>121</v>
      </c>
      <c r="V48" s="102">
        <v>120</v>
      </c>
      <c r="W48" s="102"/>
      <c r="X48" s="102">
        <f>259992000</f>
        <v>259992000</v>
      </c>
      <c r="Y48" s="102">
        <v>258048000</v>
      </c>
      <c r="Z48" s="103"/>
      <c r="AA48" s="99"/>
      <c r="AB48" s="104">
        <f>276</f>
        <v>276</v>
      </c>
      <c r="AC48" s="104" t="str">
        <f t="shared" si="4"/>
        <v>－</v>
      </c>
      <c r="AD48" s="105">
        <f>1</f>
        <v>1</v>
      </c>
    </row>
    <row r="49" spans="1:30">
      <c r="A49" s="95" t="s">
        <v>46</v>
      </c>
      <c r="B49" s="96" t="s">
        <v>575</v>
      </c>
      <c r="C49" s="96" t="s">
        <v>576</v>
      </c>
      <c r="D49" s="96" t="s">
        <v>76</v>
      </c>
      <c r="E49" s="97" t="s">
        <v>598</v>
      </c>
      <c r="F49" s="97" t="s">
        <v>599</v>
      </c>
      <c r="G49" s="98">
        <v>74400</v>
      </c>
      <c r="H49" s="99" t="s">
        <v>153</v>
      </c>
      <c r="I49" s="100" t="s">
        <v>581</v>
      </c>
      <c r="J49" s="99" t="s">
        <v>153</v>
      </c>
      <c r="K49" s="100" t="s">
        <v>581</v>
      </c>
      <c r="L49" s="99" t="s">
        <v>53</v>
      </c>
      <c r="M49" s="100" t="s">
        <v>600</v>
      </c>
      <c r="N49" s="99" t="s">
        <v>153</v>
      </c>
      <c r="O49" s="100" t="s">
        <v>581</v>
      </c>
      <c r="P49" s="99" t="s">
        <v>53</v>
      </c>
      <c r="Q49" s="100" t="s">
        <v>600</v>
      </c>
      <c r="R49" s="99" t="s">
        <v>160</v>
      </c>
      <c r="S49" s="100" t="s">
        <v>581</v>
      </c>
      <c r="T49" s="101">
        <f>20.91</f>
        <v>20.91</v>
      </c>
      <c r="U49" s="102">
        <f>40</f>
        <v>40</v>
      </c>
      <c r="V49" s="102">
        <v>20</v>
      </c>
      <c r="W49" s="102"/>
      <c r="X49" s="102">
        <f>66439200</f>
        <v>66439200</v>
      </c>
      <c r="Y49" s="102">
        <v>35191200</v>
      </c>
      <c r="Z49" s="103"/>
      <c r="AA49" s="99"/>
      <c r="AB49" s="104">
        <f>170</f>
        <v>170</v>
      </c>
      <c r="AC49" s="104" t="str">
        <f t="shared" si="4"/>
        <v>－</v>
      </c>
      <c r="AD49" s="105">
        <f>2</f>
        <v>2</v>
      </c>
    </row>
    <row r="50" spans="1:30">
      <c r="A50" s="95" t="s">
        <v>46</v>
      </c>
      <c r="B50" s="96" t="s">
        <v>575</v>
      </c>
      <c r="C50" s="96" t="s">
        <v>576</v>
      </c>
      <c r="D50" s="96" t="s">
        <v>334</v>
      </c>
      <c r="E50" s="97" t="s">
        <v>601</v>
      </c>
      <c r="F50" s="97" t="s">
        <v>602</v>
      </c>
      <c r="G50" s="98">
        <v>72000</v>
      </c>
      <c r="H50" s="99" t="s">
        <v>153</v>
      </c>
      <c r="I50" s="100" t="s">
        <v>603</v>
      </c>
      <c r="J50" s="99" t="s">
        <v>153</v>
      </c>
      <c r="K50" s="100" t="s">
        <v>603</v>
      </c>
      <c r="L50" s="99" t="s">
        <v>53</v>
      </c>
      <c r="M50" s="100" t="s">
        <v>600</v>
      </c>
      <c r="N50" s="99" t="s">
        <v>153</v>
      </c>
      <c r="O50" s="100" t="s">
        <v>603</v>
      </c>
      <c r="P50" s="99" t="s">
        <v>53</v>
      </c>
      <c r="Q50" s="100" t="s">
        <v>600</v>
      </c>
      <c r="R50" s="99" t="s">
        <v>153</v>
      </c>
      <c r="S50" s="100" t="s">
        <v>603</v>
      </c>
      <c r="T50" s="101">
        <f>22.07</f>
        <v>22.07</v>
      </c>
      <c r="U50" s="102">
        <f>30</f>
        <v>30</v>
      </c>
      <c r="V50" s="102">
        <v>20</v>
      </c>
      <c r="W50" s="102"/>
      <c r="X50" s="102">
        <f>50616000</f>
        <v>50616000</v>
      </c>
      <c r="Y50" s="102">
        <v>34056000</v>
      </c>
      <c r="Z50" s="103"/>
      <c r="AA50" s="99"/>
      <c r="AB50" s="104">
        <f>150</f>
        <v>150</v>
      </c>
      <c r="AC50" s="104" t="str">
        <f t="shared" si="4"/>
        <v>－</v>
      </c>
      <c r="AD50" s="105">
        <f>1</f>
        <v>1</v>
      </c>
    </row>
    <row r="51" spans="1:30">
      <c r="A51" s="95" t="s">
        <v>46</v>
      </c>
      <c r="B51" s="96" t="s">
        <v>575</v>
      </c>
      <c r="C51" s="96" t="s">
        <v>576</v>
      </c>
      <c r="D51" s="96" t="s">
        <v>83</v>
      </c>
      <c r="E51" s="97" t="s">
        <v>604</v>
      </c>
      <c r="F51" s="97" t="s">
        <v>382</v>
      </c>
      <c r="G51" s="98">
        <v>74400</v>
      </c>
      <c r="H51" s="99"/>
      <c r="I51" s="100" t="s">
        <v>141</v>
      </c>
      <c r="J51" s="99"/>
      <c r="K51" s="100" t="s">
        <v>141</v>
      </c>
      <c r="L51" s="99" t="s">
        <v>53</v>
      </c>
      <c r="M51" s="100" t="s">
        <v>600</v>
      </c>
      <c r="N51" s="99"/>
      <c r="O51" s="100" t="s">
        <v>141</v>
      </c>
      <c r="P51" s="99" t="s">
        <v>53</v>
      </c>
      <c r="Q51" s="100" t="s">
        <v>600</v>
      </c>
      <c r="R51" s="99"/>
      <c r="S51" s="100" t="s">
        <v>141</v>
      </c>
      <c r="T51" s="101">
        <f>27.42</f>
        <v>27.42</v>
      </c>
      <c r="U51" s="102">
        <f>20</f>
        <v>20</v>
      </c>
      <c r="V51" s="102">
        <v>20</v>
      </c>
      <c r="W51" s="102"/>
      <c r="X51" s="102">
        <f>35191200</f>
        <v>35191200</v>
      </c>
      <c r="Y51" s="102">
        <v>35191200</v>
      </c>
      <c r="Z51" s="103"/>
      <c r="AA51" s="99"/>
      <c r="AB51" s="104">
        <f>141</f>
        <v>141</v>
      </c>
      <c r="AC51" s="104" t="str">
        <f t="shared" si="4"/>
        <v>－</v>
      </c>
      <c r="AD51" s="105" t="str">
        <f>"－"</f>
        <v>－</v>
      </c>
    </row>
    <row r="52" spans="1:30">
      <c r="A52" s="95" t="s">
        <v>46</v>
      </c>
      <c r="B52" s="96" t="s">
        <v>575</v>
      </c>
      <c r="C52" s="96" t="s">
        <v>576</v>
      </c>
      <c r="D52" s="96" t="s">
        <v>344</v>
      </c>
      <c r="E52" s="97" t="s">
        <v>377</v>
      </c>
      <c r="F52" s="97" t="s">
        <v>605</v>
      </c>
      <c r="G52" s="98">
        <v>74400</v>
      </c>
      <c r="H52" s="99" t="s">
        <v>160</v>
      </c>
      <c r="I52" s="100" t="s">
        <v>606</v>
      </c>
      <c r="J52" s="99" t="s">
        <v>160</v>
      </c>
      <c r="K52" s="100" t="s">
        <v>606</v>
      </c>
      <c r="L52" s="99"/>
      <c r="M52" s="100"/>
      <c r="N52" s="99" t="s">
        <v>160</v>
      </c>
      <c r="O52" s="100" t="s">
        <v>606</v>
      </c>
      <c r="P52" s="99"/>
      <c r="Q52" s="100"/>
      <c r="R52" s="99" t="s">
        <v>160</v>
      </c>
      <c r="S52" s="100" t="s">
        <v>606</v>
      </c>
      <c r="T52" s="101">
        <f>31.02</f>
        <v>31.02</v>
      </c>
      <c r="U52" s="102">
        <f>1</f>
        <v>1</v>
      </c>
      <c r="V52" s="102"/>
      <c r="W52" s="102"/>
      <c r="X52" s="102">
        <f>2232000</f>
        <v>2232000</v>
      </c>
      <c r="Y52" s="102"/>
      <c r="Z52" s="103"/>
      <c r="AA52" s="99"/>
      <c r="AB52" s="104">
        <f>41</f>
        <v>41</v>
      </c>
      <c r="AC52" s="104" t="str">
        <f t="shared" si="4"/>
        <v>－</v>
      </c>
      <c r="AD52" s="105">
        <f>1</f>
        <v>1</v>
      </c>
    </row>
    <row r="53" spans="1:30">
      <c r="A53" s="95" t="s">
        <v>46</v>
      </c>
      <c r="B53" s="96" t="s">
        <v>575</v>
      </c>
      <c r="C53" s="96" t="s">
        <v>576</v>
      </c>
      <c r="D53" s="96" t="s">
        <v>90</v>
      </c>
      <c r="E53" s="97" t="s">
        <v>607</v>
      </c>
      <c r="F53" s="97" t="s">
        <v>608</v>
      </c>
      <c r="G53" s="98">
        <v>67200</v>
      </c>
      <c r="H53" s="99"/>
      <c r="I53" s="100" t="s">
        <v>141</v>
      </c>
      <c r="J53" s="99"/>
      <c r="K53" s="100" t="s">
        <v>141</v>
      </c>
      <c r="L53" s="99"/>
      <c r="M53" s="100"/>
      <c r="N53" s="99"/>
      <c r="O53" s="100" t="s">
        <v>141</v>
      </c>
      <c r="P53" s="99"/>
      <c r="Q53" s="100"/>
      <c r="R53" s="99"/>
      <c r="S53" s="100" t="s">
        <v>141</v>
      </c>
      <c r="T53" s="101">
        <f>31.96</f>
        <v>31.96</v>
      </c>
      <c r="U53" s="102" t="str">
        <f>"－"</f>
        <v>－</v>
      </c>
      <c r="V53" s="102"/>
      <c r="W53" s="102"/>
      <c r="X53" s="102" t="str">
        <f>"－"</f>
        <v>－</v>
      </c>
      <c r="Y53" s="102"/>
      <c r="Z53" s="103"/>
      <c r="AA53" s="99"/>
      <c r="AB53" s="104">
        <f>42</f>
        <v>42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575</v>
      </c>
      <c r="C54" s="96" t="s">
        <v>576</v>
      </c>
      <c r="D54" s="96" t="s">
        <v>354</v>
      </c>
      <c r="E54" s="97" t="s">
        <v>381</v>
      </c>
      <c r="F54" s="97" t="s">
        <v>609</v>
      </c>
      <c r="G54" s="98">
        <v>74400</v>
      </c>
      <c r="H54" s="99"/>
      <c r="I54" s="100" t="s">
        <v>141</v>
      </c>
      <c r="J54" s="99"/>
      <c r="K54" s="100" t="s">
        <v>141</v>
      </c>
      <c r="L54" s="99"/>
      <c r="M54" s="100"/>
      <c r="N54" s="99"/>
      <c r="O54" s="100" t="s">
        <v>141</v>
      </c>
      <c r="P54" s="99"/>
      <c r="Q54" s="100"/>
      <c r="R54" s="99"/>
      <c r="S54" s="100" t="s">
        <v>141</v>
      </c>
      <c r="T54" s="101">
        <f>26.69</f>
        <v>26.69</v>
      </c>
      <c r="U54" s="102" t="str">
        <f>"－"</f>
        <v>－</v>
      </c>
      <c r="V54" s="102"/>
      <c r="W54" s="102"/>
      <c r="X54" s="102" t="str">
        <f>"－"</f>
        <v>－</v>
      </c>
      <c r="Y54" s="102"/>
      <c r="Z54" s="103"/>
      <c r="AA54" s="99"/>
      <c r="AB54" s="104">
        <f>40</f>
        <v>40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575</v>
      </c>
      <c r="C55" s="96" t="s">
        <v>576</v>
      </c>
      <c r="D55" s="96" t="s">
        <v>99</v>
      </c>
      <c r="E55" s="97" t="s">
        <v>610</v>
      </c>
      <c r="F55" s="97" t="s">
        <v>562</v>
      </c>
      <c r="G55" s="98">
        <v>72000</v>
      </c>
      <c r="H55" s="99"/>
      <c r="I55" s="100" t="s">
        <v>141</v>
      </c>
      <c r="J55" s="99"/>
      <c r="K55" s="100" t="s">
        <v>141</v>
      </c>
      <c r="L55" s="99"/>
      <c r="M55" s="100"/>
      <c r="N55" s="99"/>
      <c r="O55" s="100" t="s">
        <v>141</v>
      </c>
      <c r="P55" s="99"/>
      <c r="Q55" s="100"/>
      <c r="R55" s="99"/>
      <c r="S55" s="100" t="s">
        <v>141</v>
      </c>
      <c r="T55" s="101">
        <f>18.23</f>
        <v>18.23</v>
      </c>
      <c r="U55" s="102" t="str">
        <f>"－"</f>
        <v>－</v>
      </c>
      <c r="V55" s="102"/>
      <c r="W55" s="102"/>
      <c r="X55" s="102" t="str">
        <f>"－"</f>
        <v>－</v>
      </c>
      <c r="Y55" s="102"/>
      <c r="Z55" s="103"/>
      <c r="AA55" s="99"/>
      <c r="AB55" s="104" t="str">
        <f t="shared" ref="AB55:AB66" si="5">"－"</f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575</v>
      </c>
      <c r="C56" s="96" t="s">
        <v>576</v>
      </c>
      <c r="D56" s="96" t="s">
        <v>423</v>
      </c>
      <c r="E56" s="97" t="s">
        <v>480</v>
      </c>
      <c r="F56" s="97" t="s">
        <v>611</v>
      </c>
      <c r="G56" s="98">
        <v>74400</v>
      </c>
      <c r="H56" s="99"/>
      <c r="I56" s="100" t="s">
        <v>141</v>
      </c>
      <c r="J56" s="99"/>
      <c r="K56" s="100" t="s">
        <v>141</v>
      </c>
      <c r="L56" s="99"/>
      <c r="M56" s="100"/>
      <c r="N56" s="99"/>
      <c r="O56" s="100" t="s">
        <v>141</v>
      </c>
      <c r="P56" s="99"/>
      <c r="Q56" s="100"/>
      <c r="R56" s="99"/>
      <c r="S56" s="100" t="s">
        <v>141</v>
      </c>
      <c r="T56" s="101">
        <f>17.45</f>
        <v>17.45</v>
      </c>
      <c r="U56" s="102" t="str">
        <f>"－"</f>
        <v>－</v>
      </c>
      <c r="V56" s="102"/>
      <c r="W56" s="102"/>
      <c r="X56" s="102" t="str">
        <f>"－"</f>
        <v>－</v>
      </c>
      <c r="Y56" s="102"/>
      <c r="Z56" s="103"/>
      <c r="AA56" s="99"/>
      <c r="AB56" s="104" t="str">
        <f t="shared" si="5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575</v>
      </c>
      <c r="C57" s="96" t="s">
        <v>576</v>
      </c>
      <c r="D57" s="96" t="s">
        <v>569</v>
      </c>
      <c r="E57" s="97" t="s">
        <v>612</v>
      </c>
      <c r="F57" s="97" t="s">
        <v>613</v>
      </c>
      <c r="G57" s="98">
        <v>72000</v>
      </c>
      <c r="H57" s="99"/>
      <c r="I57" s="100" t="s">
        <v>141</v>
      </c>
      <c r="J57" s="99"/>
      <c r="K57" s="100" t="s">
        <v>141</v>
      </c>
      <c r="L57" s="99" t="s">
        <v>95</v>
      </c>
      <c r="M57" s="100" t="s">
        <v>586</v>
      </c>
      <c r="N57" s="99"/>
      <c r="O57" s="100" t="s">
        <v>141</v>
      </c>
      <c r="P57" s="99" t="s">
        <v>95</v>
      </c>
      <c r="Q57" s="100" t="s">
        <v>586</v>
      </c>
      <c r="R57" s="99"/>
      <c r="S57" s="100" t="s">
        <v>141</v>
      </c>
      <c r="T57" s="101">
        <f>17.21</f>
        <v>17.21</v>
      </c>
      <c r="U57" s="102">
        <f>10</f>
        <v>10</v>
      </c>
      <c r="V57" s="102">
        <v>10</v>
      </c>
      <c r="W57" s="102"/>
      <c r="X57" s="102">
        <f>16560000</f>
        <v>16560000</v>
      </c>
      <c r="Y57" s="102">
        <v>16560000</v>
      </c>
      <c r="Z57" s="103"/>
      <c r="AA57" s="99"/>
      <c r="AB57" s="104" t="str">
        <f t="shared" si="5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575</v>
      </c>
      <c r="C58" s="96" t="s">
        <v>576</v>
      </c>
      <c r="D58" s="96" t="s">
        <v>614</v>
      </c>
      <c r="E58" s="97" t="s">
        <v>290</v>
      </c>
      <c r="F58" s="97" t="s">
        <v>615</v>
      </c>
      <c r="G58" s="98">
        <v>74400</v>
      </c>
      <c r="H58" s="99"/>
      <c r="I58" s="100" t="s">
        <v>141</v>
      </c>
      <c r="J58" s="99"/>
      <c r="K58" s="100" t="s">
        <v>141</v>
      </c>
      <c r="L58" s="99"/>
      <c r="M58" s="100"/>
      <c r="N58" s="99"/>
      <c r="O58" s="100" t="s">
        <v>141</v>
      </c>
      <c r="P58" s="99"/>
      <c r="Q58" s="100"/>
      <c r="R58" s="99"/>
      <c r="S58" s="100" t="s">
        <v>141</v>
      </c>
      <c r="T58" s="101">
        <f>18.69</f>
        <v>18.690000000000001</v>
      </c>
      <c r="U58" s="102" t="str">
        <f t="shared" ref="U58:U66" si="6">"－"</f>
        <v>－</v>
      </c>
      <c r="V58" s="102"/>
      <c r="W58" s="102"/>
      <c r="X58" s="102" t="str">
        <f t="shared" ref="X58:X66" si="7">"－"</f>
        <v>－</v>
      </c>
      <c r="Y58" s="102"/>
      <c r="Z58" s="103"/>
      <c r="AA58" s="99"/>
      <c r="AB58" s="104" t="str">
        <f t="shared" si="5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575</v>
      </c>
      <c r="C59" s="96" t="s">
        <v>576</v>
      </c>
      <c r="D59" s="96" t="s">
        <v>616</v>
      </c>
      <c r="E59" s="97" t="s">
        <v>290</v>
      </c>
      <c r="F59" s="97" t="s">
        <v>617</v>
      </c>
      <c r="G59" s="98">
        <v>74400</v>
      </c>
      <c r="H59" s="99"/>
      <c r="I59" s="100" t="s">
        <v>141</v>
      </c>
      <c r="J59" s="99"/>
      <c r="K59" s="100" t="s">
        <v>141</v>
      </c>
      <c r="L59" s="99"/>
      <c r="M59" s="100"/>
      <c r="N59" s="99"/>
      <c r="O59" s="100" t="s">
        <v>141</v>
      </c>
      <c r="P59" s="99"/>
      <c r="Q59" s="100"/>
      <c r="R59" s="99"/>
      <c r="S59" s="100" t="s">
        <v>141</v>
      </c>
      <c r="T59" s="101">
        <f>19.08</f>
        <v>19.079999999999998</v>
      </c>
      <c r="U59" s="102" t="str">
        <f t="shared" si="6"/>
        <v>－</v>
      </c>
      <c r="V59" s="102"/>
      <c r="W59" s="102"/>
      <c r="X59" s="102" t="str">
        <f t="shared" si="7"/>
        <v>－</v>
      </c>
      <c r="Y59" s="102"/>
      <c r="Z59" s="103"/>
      <c r="AA59" s="99"/>
      <c r="AB59" s="104" t="str">
        <f t="shared" si="5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575</v>
      </c>
      <c r="C60" s="96" t="s">
        <v>576</v>
      </c>
      <c r="D60" s="96" t="s">
        <v>618</v>
      </c>
      <c r="E60" s="97" t="s">
        <v>290</v>
      </c>
      <c r="F60" s="97" t="s">
        <v>619</v>
      </c>
      <c r="G60" s="98">
        <v>72000</v>
      </c>
      <c r="H60" s="99"/>
      <c r="I60" s="100" t="s">
        <v>141</v>
      </c>
      <c r="J60" s="99"/>
      <c r="K60" s="100" t="s">
        <v>141</v>
      </c>
      <c r="L60" s="99"/>
      <c r="M60" s="100"/>
      <c r="N60" s="99"/>
      <c r="O60" s="100" t="s">
        <v>141</v>
      </c>
      <c r="P60" s="99"/>
      <c r="Q60" s="100"/>
      <c r="R60" s="99"/>
      <c r="S60" s="100" t="s">
        <v>141</v>
      </c>
      <c r="T60" s="101">
        <f>17.81</f>
        <v>17.809999999999999</v>
      </c>
      <c r="U60" s="102" t="str">
        <f t="shared" si="6"/>
        <v>－</v>
      </c>
      <c r="V60" s="102"/>
      <c r="W60" s="102"/>
      <c r="X60" s="102" t="str">
        <f t="shared" si="7"/>
        <v>－</v>
      </c>
      <c r="Y60" s="102"/>
      <c r="Z60" s="103"/>
      <c r="AA60" s="99"/>
      <c r="AB60" s="104" t="str">
        <f t="shared" si="5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575</v>
      </c>
      <c r="C61" s="96" t="s">
        <v>576</v>
      </c>
      <c r="D61" s="96" t="s">
        <v>620</v>
      </c>
      <c r="E61" s="97" t="s">
        <v>290</v>
      </c>
      <c r="F61" s="97" t="s">
        <v>621</v>
      </c>
      <c r="G61" s="98">
        <v>74400</v>
      </c>
      <c r="H61" s="99"/>
      <c r="I61" s="100" t="s">
        <v>141</v>
      </c>
      <c r="J61" s="99"/>
      <c r="K61" s="100" t="s">
        <v>141</v>
      </c>
      <c r="L61" s="99"/>
      <c r="M61" s="100"/>
      <c r="N61" s="99"/>
      <c r="O61" s="100" t="s">
        <v>141</v>
      </c>
      <c r="P61" s="99"/>
      <c r="Q61" s="100"/>
      <c r="R61" s="99"/>
      <c r="S61" s="100" t="s">
        <v>141</v>
      </c>
      <c r="T61" s="101">
        <f>17.5</f>
        <v>17.5</v>
      </c>
      <c r="U61" s="102" t="str">
        <f t="shared" si="6"/>
        <v>－</v>
      </c>
      <c r="V61" s="102"/>
      <c r="W61" s="102"/>
      <c r="X61" s="102" t="str">
        <f t="shared" si="7"/>
        <v>－</v>
      </c>
      <c r="Y61" s="102"/>
      <c r="Z61" s="103"/>
      <c r="AA61" s="99"/>
      <c r="AB61" s="104" t="str">
        <f t="shared" si="5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575</v>
      </c>
      <c r="C62" s="96" t="s">
        <v>576</v>
      </c>
      <c r="D62" s="96" t="s">
        <v>622</v>
      </c>
      <c r="E62" s="97" t="s">
        <v>290</v>
      </c>
      <c r="F62" s="97" t="s">
        <v>623</v>
      </c>
      <c r="G62" s="98">
        <v>72000</v>
      </c>
      <c r="H62" s="99"/>
      <c r="I62" s="100" t="s">
        <v>141</v>
      </c>
      <c r="J62" s="99"/>
      <c r="K62" s="100" t="s">
        <v>141</v>
      </c>
      <c r="L62" s="99"/>
      <c r="M62" s="100"/>
      <c r="N62" s="99"/>
      <c r="O62" s="100" t="s">
        <v>141</v>
      </c>
      <c r="P62" s="99"/>
      <c r="Q62" s="100"/>
      <c r="R62" s="99"/>
      <c r="S62" s="100" t="s">
        <v>141</v>
      </c>
      <c r="T62" s="101">
        <f>18.15</f>
        <v>18.149999999999999</v>
      </c>
      <c r="U62" s="102" t="str">
        <f t="shared" si="6"/>
        <v>－</v>
      </c>
      <c r="V62" s="102"/>
      <c r="W62" s="102"/>
      <c r="X62" s="102" t="str">
        <f t="shared" si="7"/>
        <v>－</v>
      </c>
      <c r="Y62" s="102"/>
      <c r="Z62" s="103"/>
      <c r="AA62" s="99"/>
      <c r="AB62" s="104" t="str">
        <f t="shared" si="5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575</v>
      </c>
      <c r="C63" s="96" t="s">
        <v>576</v>
      </c>
      <c r="D63" s="96" t="s">
        <v>624</v>
      </c>
      <c r="E63" s="97" t="s">
        <v>290</v>
      </c>
      <c r="F63" s="97" t="s">
        <v>625</v>
      </c>
      <c r="G63" s="98">
        <v>74400</v>
      </c>
      <c r="H63" s="99"/>
      <c r="I63" s="100" t="s">
        <v>141</v>
      </c>
      <c r="J63" s="99"/>
      <c r="K63" s="100" t="s">
        <v>141</v>
      </c>
      <c r="L63" s="99"/>
      <c r="M63" s="100"/>
      <c r="N63" s="99"/>
      <c r="O63" s="100" t="s">
        <v>141</v>
      </c>
      <c r="P63" s="99"/>
      <c r="Q63" s="100"/>
      <c r="R63" s="99"/>
      <c r="S63" s="100" t="s">
        <v>141</v>
      </c>
      <c r="T63" s="101">
        <f>20.63</f>
        <v>20.63</v>
      </c>
      <c r="U63" s="102" t="str">
        <f t="shared" si="6"/>
        <v>－</v>
      </c>
      <c r="V63" s="102"/>
      <c r="W63" s="102"/>
      <c r="X63" s="102" t="str">
        <f t="shared" si="7"/>
        <v>－</v>
      </c>
      <c r="Y63" s="102"/>
      <c r="Z63" s="103"/>
      <c r="AA63" s="99"/>
      <c r="AB63" s="104" t="str">
        <f t="shared" si="5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575</v>
      </c>
      <c r="C64" s="96" t="s">
        <v>576</v>
      </c>
      <c r="D64" s="96" t="s">
        <v>626</v>
      </c>
      <c r="E64" s="97" t="s">
        <v>290</v>
      </c>
      <c r="F64" s="97" t="s">
        <v>627</v>
      </c>
      <c r="G64" s="98">
        <v>74400</v>
      </c>
      <c r="H64" s="99"/>
      <c r="I64" s="100" t="s">
        <v>141</v>
      </c>
      <c r="J64" s="99"/>
      <c r="K64" s="100" t="s">
        <v>141</v>
      </c>
      <c r="L64" s="99"/>
      <c r="M64" s="100"/>
      <c r="N64" s="99"/>
      <c r="O64" s="100" t="s">
        <v>141</v>
      </c>
      <c r="P64" s="99"/>
      <c r="Q64" s="100"/>
      <c r="R64" s="99"/>
      <c r="S64" s="100" t="s">
        <v>141</v>
      </c>
      <c r="T64" s="101">
        <f>19.5</f>
        <v>19.5</v>
      </c>
      <c r="U64" s="102" t="str">
        <f t="shared" si="6"/>
        <v>－</v>
      </c>
      <c r="V64" s="102"/>
      <c r="W64" s="102"/>
      <c r="X64" s="102" t="str">
        <f t="shared" si="7"/>
        <v>－</v>
      </c>
      <c r="Y64" s="102"/>
      <c r="Z64" s="103"/>
      <c r="AA64" s="99"/>
      <c r="AB64" s="104" t="str">
        <f t="shared" si="5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575</v>
      </c>
      <c r="C65" s="96" t="s">
        <v>576</v>
      </c>
      <c r="D65" s="96" t="s">
        <v>628</v>
      </c>
      <c r="E65" s="97" t="s">
        <v>290</v>
      </c>
      <c r="F65" s="97" t="s">
        <v>629</v>
      </c>
      <c r="G65" s="98">
        <v>69600</v>
      </c>
      <c r="H65" s="99"/>
      <c r="I65" s="100" t="s">
        <v>141</v>
      </c>
      <c r="J65" s="99"/>
      <c r="K65" s="100" t="s">
        <v>141</v>
      </c>
      <c r="L65" s="99"/>
      <c r="M65" s="100"/>
      <c r="N65" s="99"/>
      <c r="O65" s="100" t="s">
        <v>141</v>
      </c>
      <c r="P65" s="99"/>
      <c r="Q65" s="100"/>
      <c r="R65" s="99"/>
      <c r="S65" s="100" t="s">
        <v>141</v>
      </c>
      <c r="T65" s="101">
        <f>19.08</f>
        <v>19.079999999999998</v>
      </c>
      <c r="U65" s="102" t="str">
        <f t="shared" si="6"/>
        <v>－</v>
      </c>
      <c r="V65" s="102"/>
      <c r="W65" s="102"/>
      <c r="X65" s="102" t="str">
        <f t="shared" si="7"/>
        <v>－</v>
      </c>
      <c r="Y65" s="102"/>
      <c r="Z65" s="103"/>
      <c r="AA65" s="99"/>
      <c r="AB65" s="104" t="str">
        <f t="shared" si="5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575</v>
      </c>
      <c r="C66" s="96" t="s">
        <v>576</v>
      </c>
      <c r="D66" s="96" t="s">
        <v>630</v>
      </c>
      <c r="E66" s="97" t="s">
        <v>290</v>
      </c>
      <c r="F66" s="97" t="s">
        <v>631</v>
      </c>
      <c r="G66" s="98">
        <v>74400</v>
      </c>
      <c r="H66" s="99"/>
      <c r="I66" s="100" t="s">
        <v>141</v>
      </c>
      <c r="J66" s="99"/>
      <c r="K66" s="100" t="s">
        <v>141</v>
      </c>
      <c r="L66" s="99"/>
      <c r="M66" s="100"/>
      <c r="N66" s="99"/>
      <c r="O66" s="100" t="s">
        <v>141</v>
      </c>
      <c r="P66" s="99"/>
      <c r="Q66" s="100"/>
      <c r="R66" s="99"/>
      <c r="S66" s="100" t="s">
        <v>141</v>
      </c>
      <c r="T66" s="101">
        <f>16.99</f>
        <v>16.989999999999998</v>
      </c>
      <c r="U66" s="102" t="str">
        <f t="shared" si="6"/>
        <v>－</v>
      </c>
      <c r="V66" s="102"/>
      <c r="W66" s="102"/>
      <c r="X66" s="102" t="str">
        <f t="shared" si="7"/>
        <v>－</v>
      </c>
      <c r="Y66" s="102"/>
      <c r="Z66" s="103"/>
      <c r="AA66" s="99"/>
      <c r="AB66" s="104" t="str">
        <f t="shared" si="5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632</v>
      </c>
      <c r="C67" s="96" t="s">
        <v>633</v>
      </c>
      <c r="D67" s="96" t="s">
        <v>46</v>
      </c>
      <c r="E67" s="97" t="s">
        <v>577</v>
      </c>
      <c r="F67" s="97" t="s">
        <v>363</v>
      </c>
      <c r="G67" s="98">
        <v>72000</v>
      </c>
      <c r="H67" s="99" t="s">
        <v>155</v>
      </c>
      <c r="I67" s="100" t="s">
        <v>634</v>
      </c>
      <c r="J67" s="99" t="s">
        <v>155</v>
      </c>
      <c r="K67" s="100" t="s">
        <v>634</v>
      </c>
      <c r="L67" s="99"/>
      <c r="M67" s="100"/>
      <c r="N67" s="99" t="s">
        <v>155</v>
      </c>
      <c r="O67" s="100" t="s">
        <v>635</v>
      </c>
      <c r="P67" s="99"/>
      <c r="Q67" s="100"/>
      <c r="R67" s="99" t="s">
        <v>155</v>
      </c>
      <c r="S67" s="100" t="s">
        <v>635</v>
      </c>
      <c r="T67" s="101">
        <f>18.75</f>
        <v>18.75</v>
      </c>
      <c r="U67" s="102">
        <f>8</f>
        <v>8</v>
      </c>
      <c r="V67" s="102"/>
      <c r="W67" s="102"/>
      <c r="X67" s="102">
        <f>9792720</f>
        <v>9792720</v>
      </c>
      <c r="Y67" s="102"/>
      <c r="Z67" s="103"/>
      <c r="AA67" s="99" t="s">
        <v>60</v>
      </c>
      <c r="AB67" s="104">
        <f>50</f>
        <v>50</v>
      </c>
      <c r="AC67" s="104" t="str">
        <f t="shared" si="4"/>
        <v>－</v>
      </c>
      <c r="AD67" s="105">
        <f>1</f>
        <v>1</v>
      </c>
    </row>
    <row r="68" spans="1:30">
      <c r="A68" s="95" t="s">
        <v>46</v>
      </c>
      <c r="B68" s="96" t="s">
        <v>632</v>
      </c>
      <c r="C68" s="96" t="s">
        <v>633</v>
      </c>
      <c r="D68" s="96" t="s">
        <v>267</v>
      </c>
      <c r="E68" s="97" t="s">
        <v>578</v>
      </c>
      <c r="F68" s="97" t="s">
        <v>579</v>
      </c>
      <c r="G68" s="98">
        <v>74400</v>
      </c>
      <c r="H68" s="99" t="s">
        <v>144</v>
      </c>
      <c r="I68" s="100" t="s">
        <v>636</v>
      </c>
      <c r="J68" s="99" t="s">
        <v>160</v>
      </c>
      <c r="K68" s="100" t="s">
        <v>637</v>
      </c>
      <c r="L68" s="99"/>
      <c r="M68" s="100"/>
      <c r="N68" s="99" t="s">
        <v>155</v>
      </c>
      <c r="O68" s="100" t="s">
        <v>638</v>
      </c>
      <c r="P68" s="99"/>
      <c r="Q68" s="100"/>
      <c r="R68" s="99" t="s">
        <v>155</v>
      </c>
      <c r="S68" s="100" t="s">
        <v>638</v>
      </c>
      <c r="T68" s="101">
        <f>20.71</f>
        <v>20.71</v>
      </c>
      <c r="U68" s="102">
        <f>18</f>
        <v>18</v>
      </c>
      <c r="V68" s="102"/>
      <c r="W68" s="102"/>
      <c r="X68" s="102">
        <f>25601040</f>
        <v>25601040</v>
      </c>
      <c r="Y68" s="102"/>
      <c r="Z68" s="103"/>
      <c r="AA68" s="99"/>
      <c r="AB68" s="104">
        <f>51</f>
        <v>51</v>
      </c>
      <c r="AC68" s="104" t="str">
        <f t="shared" si="4"/>
        <v>－</v>
      </c>
      <c r="AD68" s="105">
        <f>3</f>
        <v>3</v>
      </c>
    </row>
    <row r="69" spans="1:30">
      <c r="A69" s="95" t="s">
        <v>46</v>
      </c>
      <c r="B69" s="96" t="s">
        <v>632</v>
      </c>
      <c r="C69" s="96" t="s">
        <v>633</v>
      </c>
      <c r="D69" s="96" t="s">
        <v>61</v>
      </c>
      <c r="E69" s="97" t="s">
        <v>583</v>
      </c>
      <c r="F69" s="97" t="s">
        <v>584</v>
      </c>
      <c r="G69" s="98">
        <v>72000</v>
      </c>
      <c r="H69" s="99" t="s">
        <v>160</v>
      </c>
      <c r="I69" s="100" t="s">
        <v>639</v>
      </c>
      <c r="J69" s="99" t="s">
        <v>160</v>
      </c>
      <c r="K69" s="100" t="s">
        <v>639</v>
      </c>
      <c r="L69" s="99" t="s">
        <v>55</v>
      </c>
      <c r="M69" s="100" t="s">
        <v>640</v>
      </c>
      <c r="N69" s="99" t="s">
        <v>155</v>
      </c>
      <c r="O69" s="100" t="s">
        <v>641</v>
      </c>
      <c r="P69" s="99" t="s">
        <v>157</v>
      </c>
      <c r="Q69" s="100" t="s">
        <v>642</v>
      </c>
      <c r="R69" s="99" t="s">
        <v>155</v>
      </c>
      <c r="S69" s="100" t="s">
        <v>641</v>
      </c>
      <c r="T69" s="101">
        <f>22.81</f>
        <v>22.81</v>
      </c>
      <c r="U69" s="102">
        <f>588</f>
        <v>588</v>
      </c>
      <c r="V69" s="102">
        <v>580</v>
      </c>
      <c r="W69" s="102"/>
      <c r="X69" s="102">
        <f>1068696000</f>
        <v>1068696000</v>
      </c>
      <c r="Y69" s="102">
        <v>1056888000</v>
      </c>
      <c r="Z69" s="103"/>
      <c r="AA69" s="99"/>
      <c r="AB69" s="104">
        <f>171</f>
        <v>171</v>
      </c>
      <c r="AC69" s="104" t="str">
        <f t="shared" si="4"/>
        <v>－</v>
      </c>
      <c r="AD69" s="105">
        <f>2</f>
        <v>2</v>
      </c>
    </row>
    <row r="70" spans="1:30">
      <c r="A70" s="95" t="s">
        <v>46</v>
      </c>
      <c r="B70" s="96" t="s">
        <v>632</v>
      </c>
      <c r="C70" s="96" t="s">
        <v>633</v>
      </c>
      <c r="D70" s="96" t="s">
        <v>278</v>
      </c>
      <c r="E70" s="97" t="s">
        <v>587</v>
      </c>
      <c r="F70" s="97" t="s">
        <v>369</v>
      </c>
      <c r="G70" s="98">
        <v>74400</v>
      </c>
      <c r="H70" s="99"/>
      <c r="I70" s="100" t="s">
        <v>141</v>
      </c>
      <c r="J70" s="99"/>
      <c r="K70" s="100" t="s">
        <v>141</v>
      </c>
      <c r="L70" s="99" t="s">
        <v>153</v>
      </c>
      <c r="M70" s="100" t="s">
        <v>643</v>
      </c>
      <c r="N70" s="99"/>
      <c r="O70" s="100" t="s">
        <v>141</v>
      </c>
      <c r="P70" s="99" t="s">
        <v>153</v>
      </c>
      <c r="Q70" s="100" t="s">
        <v>643</v>
      </c>
      <c r="R70" s="99"/>
      <c r="S70" s="100" t="s">
        <v>141</v>
      </c>
      <c r="T70" s="101">
        <f>27.89</f>
        <v>27.89</v>
      </c>
      <c r="U70" s="102">
        <f>80</f>
        <v>80</v>
      </c>
      <c r="V70" s="102">
        <v>80</v>
      </c>
      <c r="W70" s="102"/>
      <c r="X70" s="102">
        <f>172608000</f>
        <v>172608000</v>
      </c>
      <c r="Y70" s="102">
        <v>172608000</v>
      </c>
      <c r="Z70" s="103"/>
      <c r="AA70" s="99"/>
      <c r="AB70" s="104">
        <f>120</f>
        <v>120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632</v>
      </c>
      <c r="C71" s="96" t="s">
        <v>633</v>
      </c>
      <c r="D71" s="96" t="s">
        <v>69</v>
      </c>
      <c r="E71" s="97" t="s">
        <v>591</v>
      </c>
      <c r="F71" s="97" t="s">
        <v>592</v>
      </c>
      <c r="G71" s="98">
        <v>74400</v>
      </c>
      <c r="H71" s="99"/>
      <c r="I71" s="100" t="s">
        <v>141</v>
      </c>
      <c r="J71" s="99"/>
      <c r="K71" s="100" t="s">
        <v>141</v>
      </c>
      <c r="L71" s="99" t="s">
        <v>153</v>
      </c>
      <c r="M71" s="100" t="s">
        <v>643</v>
      </c>
      <c r="N71" s="99"/>
      <c r="O71" s="100" t="s">
        <v>141</v>
      </c>
      <c r="P71" s="99" t="s">
        <v>153</v>
      </c>
      <c r="Q71" s="100" t="s">
        <v>643</v>
      </c>
      <c r="R71" s="99"/>
      <c r="S71" s="100" t="s">
        <v>141</v>
      </c>
      <c r="T71" s="101">
        <f>31.17</f>
        <v>31.17</v>
      </c>
      <c r="U71" s="102">
        <f>80</f>
        <v>80</v>
      </c>
      <c r="V71" s="102">
        <v>80</v>
      </c>
      <c r="W71" s="102"/>
      <c r="X71" s="102">
        <f>172608000</f>
        <v>172608000</v>
      </c>
      <c r="Y71" s="102">
        <v>172608000</v>
      </c>
      <c r="Z71" s="103"/>
      <c r="AA71" s="99"/>
      <c r="AB71" s="104">
        <f>120</f>
        <v>120</v>
      </c>
      <c r="AC71" s="104" t="str">
        <f t="shared" ref="AC71:AD102" si="8">"－"</f>
        <v>－</v>
      </c>
      <c r="AD71" s="105" t="str">
        <f t="shared" si="8"/>
        <v>－</v>
      </c>
    </row>
    <row r="72" spans="1:30">
      <c r="A72" s="95" t="s">
        <v>46</v>
      </c>
      <c r="B72" s="96" t="s">
        <v>632</v>
      </c>
      <c r="C72" s="96" t="s">
        <v>633</v>
      </c>
      <c r="D72" s="96" t="s">
        <v>285</v>
      </c>
      <c r="E72" s="97" t="s">
        <v>595</v>
      </c>
      <c r="F72" s="97" t="s">
        <v>596</v>
      </c>
      <c r="G72" s="98">
        <v>72000</v>
      </c>
      <c r="H72" s="99"/>
      <c r="I72" s="100" t="s">
        <v>141</v>
      </c>
      <c r="J72" s="99"/>
      <c r="K72" s="100" t="s">
        <v>141</v>
      </c>
      <c r="L72" s="99" t="s">
        <v>153</v>
      </c>
      <c r="M72" s="100" t="s">
        <v>643</v>
      </c>
      <c r="N72" s="99"/>
      <c r="O72" s="100" t="s">
        <v>141</v>
      </c>
      <c r="P72" s="99" t="s">
        <v>153</v>
      </c>
      <c r="Q72" s="100" t="s">
        <v>643</v>
      </c>
      <c r="R72" s="99"/>
      <c r="S72" s="100" t="s">
        <v>141</v>
      </c>
      <c r="T72" s="101">
        <f>26.36</f>
        <v>26.36</v>
      </c>
      <c r="U72" s="102">
        <f>80</f>
        <v>80</v>
      </c>
      <c r="V72" s="102">
        <v>80</v>
      </c>
      <c r="W72" s="102"/>
      <c r="X72" s="102">
        <f>167040000</f>
        <v>167040000</v>
      </c>
      <c r="Y72" s="102">
        <v>167040000</v>
      </c>
      <c r="Z72" s="103"/>
      <c r="AA72" s="99"/>
      <c r="AB72" s="104">
        <f>120</f>
        <v>120</v>
      </c>
      <c r="AC72" s="104" t="str">
        <f t="shared" si="8"/>
        <v>－</v>
      </c>
      <c r="AD72" s="105" t="str">
        <f t="shared" si="8"/>
        <v>－</v>
      </c>
    </row>
    <row r="73" spans="1:30">
      <c r="A73" s="95" t="s">
        <v>46</v>
      </c>
      <c r="B73" s="96" t="s">
        <v>632</v>
      </c>
      <c r="C73" s="96" t="s">
        <v>633</v>
      </c>
      <c r="D73" s="96" t="s">
        <v>76</v>
      </c>
      <c r="E73" s="97" t="s">
        <v>598</v>
      </c>
      <c r="F73" s="97" t="s">
        <v>599</v>
      </c>
      <c r="G73" s="98">
        <v>74400</v>
      </c>
      <c r="H73" s="99"/>
      <c r="I73" s="100" t="s">
        <v>141</v>
      </c>
      <c r="J73" s="99"/>
      <c r="K73" s="100" t="s">
        <v>141</v>
      </c>
      <c r="L73" s="99"/>
      <c r="M73" s="100"/>
      <c r="N73" s="99"/>
      <c r="O73" s="100" t="s">
        <v>141</v>
      </c>
      <c r="P73" s="99"/>
      <c r="Q73" s="100"/>
      <c r="R73" s="99"/>
      <c r="S73" s="100" t="s">
        <v>141</v>
      </c>
      <c r="T73" s="101">
        <f>19.42</f>
        <v>19.420000000000002</v>
      </c>
      <c r="U73" s="102" t="str">
        <f t="shared" ref="U73:U90" si="9">"－"</f>
        <v>－</v>
      </c>
      <c r="V73" s="102"/>
      <c r="W73" s="102"/>
      <c r="X73" s="102" t="str">
        <f t="shared" ref="X73:X90" si="10">"－"</f>
        <v>－</v>
      </c>
      <c r="Y73" s="102"/>
      <c r="Z73" s="103"/>
      <c r="AA73" s="99"/>
      <c r="AB73" s="104">
        <f>20</f>
        <v>20</v>
      </c>
      <c r="AC73" s="104" t="str">
        <f t="shared" si="8"/>
        <v>－</v>
      </c>
      <c r="AD73" s="105" t="str">
        <f t="shared" si="8"/>
        <v>－</v>
      </c>
    </row>
    <row r="74" spans="1:30">
      <c r="A74" s="95" t="s">
        <v>46</v>
      </c>
      <c r="B74" s="96" t="s">
        <v>632</v>
      </c>
      <c r="C74" s="96" t="s">
        <v>633</v>
      </c>
      <c r="D74" s="96" t="s">
        <v>334</v>
      </c>
      <c r="E74" s="97" t="s">
        <v>601</v>
      </c>
      <c r="F74" s="97" t="s">
        <v>602</v>
      </c>
      <c r="G74" s="98">
        <v>72000</v>
      </c>
      <c r="H74" s="99"/>
      <c r="I74" s="100" t="s">
        <v>141</v>
      </c>
      <c r="J74" s="99"/>
      <c r="K74" s="100" t="s">
        <v>141</v>
      </c>
      <c r="L74" s="99"/>
      <c r="M74" s="100"/>
      <c r="N74" s="99"/>
      <c r="O74" s="100" t="s">
        <v>141</v>
      </c>
      <c r="P74" s="99"/>
      <c r="Q74" s="100"/>
      <c r="R74" s="99"/>
      <c r="S74" s="100" t="s">
        <v>141</v>
      </c>
      <c r="T74" s="101">
        <f>20.72</f>
        <v>20.72</v>
      </c>
      <c r="U74" s="102" t="str">
        <f t="shared" si="9"/>
        <v>－</v>
      </c>
      <c r="V74" s="102"/>
      <c r="W74" s="102"/>
      <c r="X74" s="102" t="str">
        <f t="shared" si="10"/>
        <v>－</v>
      </c>
      <c r="Y74" s="102"/>
      <c r="Z74" s="103"/>
      <c r="AA74" s="99"/>
      <c r="AB74" s="104">
        <f>20</f>
        <v>20</v>
      </c>
      <c r="AC74" s="104" t="str">
        <f t="shared" si="8"/>
        <v>－</v>
      </c>
      <c r="AD74" s="105" t="str">
        <f t="shared" si="8"/>
        <v>－</v>
      </c>
    </row>
    <row r="75" spans="1:30">
      <c r="A75" s="95" t="s">
        <v>46</v>
      </c>
      <c r="B75" s="96" t="s">
        <v>632</v>
      </c>
      <c r="C75" s="96" t="s">
        <v>633</v>
      </c>
      <c r="D75" s="96" t="s">
        <v>83</v>
      </c>
      <c r="E75" s="97" t="s">
        <v>604</v>
      </c>
      <c r="F75" s="97" t="s">
        <v>382</v>
      </c>
      <c r="G75" s="98">
        <v>74400</v>
      </c>
      <c r="H75" s="99"/>
      <c r="I75" s="100" t="s">
        <v>141</v>
      </c>
      <c r="J75" s="99"/>
      <c r="K75" s="100" t="s">
        <v>141</v>
      </c>
      <c r="L75" s="99"/>
      <c r="M75" s="100"/>
      <c r="N75" s="99"/>
      <c r="O75" s="100" t="s">
        <v>141</v>
      </c>
      <c r="P75" s="99"/>
      <c r="Q75" s="100"/>
      <c r="R75" s="99"/>
      <c r="S75" s="100" t="s">
        <v>141</v>
      </c>
      <c r="T75" s="101">
        <f>26.36</f>
        <v>26.36</v>
      </c>
      <c r="U75" s="102" t="str">
        <f t="shared" si="9"/>
        <v>－</v>
      </c>
      <c r="V75" s="102"/>
      <c r="W75" s="102"/>
      <c r="X75" s="102" t="str">
        <f t="shared" si="10"/>
        <v>－</v>
      </c>
      <c r="Y75" s="102"/>
      <c r="Z75" s="103"/>
      <c r="AA75" s="99"/>
      <c r="AB75" s="104">
        <f>20</f>
        <v>20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632</v>
      </c>
      <c r="C76" s="96" t="s">
        <v>633</v>
      </c>
      <c r="D76" s="96" t="s">
        <v>344</v>
      </c>
      <c r="E76" s="97" t="s">
        <v>377</v>
      </c>
      <c r="F76" s="97" t="s">
        <v>605</v>
      </c>
      <c r="G76" s="98">
        <v>74400</v>
      </c>
      <c r="H76" s="99"/>
      <c r="I76" s="100" t="s">
        <v>141</v>
      </c>
      <c r="J76" s="99"/>
      <c r="K76" s="100" t="s">
        <v>141</v>
      </c>
      <c r="L76" s="99"/>
      <c r="M76" s="100"/>
      <c r="N76" s="99"/>
      <c r="O76" s="100" t="s">
        <v>141</v>
      </c>
      <c r="P76" s="99"/>
      <c r="Q76" s="100"/>
      <c r="R76" s="99"/>
      <c r="S76" s="100" t="s">
        <v>141</v>
      </c>
      <c r="T76" s="101">
        <f>30.03</f>
        <v>30.03</v>
      </c>
      <c r="U76" s="102" t="str">
        <f t="shared" si="9"/>
        <v>－</v>
      </c>
      <c r="V76" s="102"/>
      <c r="W76" s="102"/>
      <c r="X76" s="102" t="str">
        <f t="shared" si="10"/>
        <v>－</v>
      </c>
      <c r="Y76" s="102"/>
      <c r="Z76" s="103"/>
      <c r="AA76" s="99"/>
      <c r="AB76" s="104">
        <f>20</f>
        <v>20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632</v>
      </c>
      <c r="C77" s="96" t="s">
        <v>633</v>
      </c>
      <c r="D77" s="96" t="s">
        <v>90</v>
      </c>
      <c r="E77" s="97" t="s">
        <v>607</v>
      </c>
      <c r="F77" s="97" t="s">
        <v>608</v>
      </c>
      <c r="G77" s="98">
        <v>67200</v>
      </c>
      <c r="H77" s="99"/>
      <c r="I77" s="100" t="s">
        <v>141</v>
      </c>
      <c r="J77" s="99"/>
      <c r="K77" s="100" t="s">
        <v>141</v>
      </c>
      <c r="L77" s="99"/>
      <c r="M77" s="100"/>
      <c r="N77" s="99"/>
      <c r="O77" s="100" t="s">
        <v>141</v>
      </c>
      <c r="P77" s="99"/>
      <c r="Q77" s="100"/>
      <c r="R77" s="99"/>
      <c r="S77" s="100" t="s">
        <v>141</v>
      </c>
      <c r="T77" s="101">
        <f>29.95</f>
        <v>29.95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>
        <f>20</f>
        <v>20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632</v>
      </c>
      <c r="C78" s="96" t="s">
        <v>633</v>
      </c>
      <c r="D78" s="96" t="s">
        <v>354</v>
      </c>
      <c r="E78" s="97" t="s">
        <v>381</v>
      </c>
      <c r="F78" s="97" t="s">
        <v>609</v>
      </c>
      <c r="G78" s="98">
        <v>74400</v>
      </c>
      <c r="H78" s="99"/>
      <c r="I78" s="100" t="s">
        <v>141</v>
      </c>
      <c r="J78" s="99"/>
      <c r="K78" s="100" t="s">
        <v>141</v>
      </c>
      <c r="L78" s="99"/>
      <c r="M78" s="100"/>
      <c r="N78" s="99"/>
      <c r="O78" s="100" t="s">
        <v>141</v>
      </c>
      <c r="P78" s="99"/>
      <c r="Q78" s="100"/>
      <c r="R78" s="99"/>
      <c r="S78" s="100" t="s">
        <v>141</v>
      </c>
      <c r="T78" s="101">
        <f>24.13</f>
        <v>24.13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>
        <f>20</f>
        <v>20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632</v>
      </c>
      <c r="C79" s="96" t="s">
        <v>633</v>
      </c>
      <c r="D79" s="96" t="s">
        <v>99</v>
      </c>
      <c r="E79" s="97" t="s">
        <v>610</v>
      </c>
      <c r="F79" s="97" t="s">
        <v>562</v>
      </c>
      <c r="G79" s="98">
        <v>72000</v>
      </c>
      <c r="H79" s="99"/>
      <c r="I79" s="100" t="s">
        <v>141</v>
      </c>
      <c r="J79" s="99"/>
      <c r="K79" s="100" t="s">
        <v>141</v>
      </c>
      <c r="L79" s="99"/>
      <c r="M79" s="100"/>
      <c r="N79" s="99"/>
      <c r="O79" s="100" t="s">
        <v>141</v>
      </c>
      <c r="P79" s="99"/>
      <c r="Q79" s="100"/>
      <c r="R79" s="99"/>
      <c r="S79" s="100" t="s">
        <v>141</v>
      </c>
      <c r="T79" s="101">
        <f>16.24</f>
        <v>16.239999999999998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ref="AB79:AB90" si="11">"－"</f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632</v>
      </c>
      <c r="C80" s="96" t="s">
        <v>633</v>
      </c>
      <c r="D80" s="96" t="s">
        <v>423</v>
      </c>
      <c r="E80" s="97" t="s">
        <v>480</v>
      </c>
      <c r="F80" s="97" t="s">
        <v>611</v>
      </c>
      <c r="G80" s="98">
        <v>74400</v>
      </c>
      <c r="H80" s="99"/>
      <c r="I80" s="100" t="s">
        <v>141</v>
      </c>
      <c r="J80" s="99"/>
      <c r="K80" s="100" t="s">
        <v>141</v>
      </c>
      <c r="L80" s="99"/>
      <c r="M80" s="100"/>
      <c r="N80" s="99"/>
      <c r="O80" s="100" t="s">
        <v>141</v>
      </c>
      <c r="P80" s="99"/>
      <c r="Q80" s="100"/>
      <c r="R80" s="99"/>
      <c r="S80" s="100" t="s">
        <v>141</v>
      </c>
      <c r="T80" s="101">
        <f>15.71</f>
        <v>15.71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632</v>
      </c>
      <c r="C81" s="96" t="s">
        <v>633</v>
      </c>
      <c r="D81" s="96" t="s">
        <v>569</v>
      </c>
      <c r="E81" s="97" t="s">
        <v>612</v>
      </c>
      <c r="F81" s="97" t="s">
        <v>613</v>
      </c>
      <c r="G81" s="98">
        <v>72000</v>
      </c>
      <c r="H81" s="99"/>
      <c r="I81" s="100" t="s">
        <v>141</v>
      </c>
      <c r="J81" s="99"/>
      <c r="K81" s="100" t="s">
        <v>141</v>
      </c>
      <c r="L81" s="99"/>
      <c r="M81" s="100"/>
      <c r="N81" s="99"/>
      <c r="O81" s="100" t="s">
        <v>141</v>
      </c>
      <c r="P81" s="99"/>
      <c r="Q81" s="100"/>
      <c r="R81" s="99"/>
      <c r="S81" s="100" t="s">
        <v>141</v>
      </c>
      <c r="T81" s="101">
        <f>15.95</f>
        <v>15.95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632</v>
      </c>
      <c r="C82" s="96" t="s">
        <v>633</v>
      </c>
      <c r="D82" s="96" t="s">
        <v>614</v>
      </c>
      <c r="E82" s="97" t="s">
        <v>290</v>
      </c>
      <c r="F82" s="97" t="s">
        <v>615</v>
      </c>
      <c r="G82" s="98">
        <v>74400</v>
      </c>
      <c r="H82" s="99"/>
      <c r="I82" s="100" t="s">
        <v>141</v>
      </c>
      <c r="J82" s="99"/>
      <c r="K82" s="100" t="s">
        <v>141</v>
      </c>
      <c r="L82" s="99"/>
      <c r="M82" s="100"/>
      <c r="N82" s="99"/>
      <c r="O82" s="100" t="s">
        <v>141</v>
      </c>
      <c r="P82" s="99"/>
      <c r="Q82" s="100"/>
      <c r="R82" s="99"/>
      <c r="S82" s="100" t="s">
        <v>141</v>
      </c>
      <c r="T82" s="101">
        <f>17.71</f>
        <v>17.71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632</v>
      </c>
      <c r="C83" s="96" t="s">
        <v>633</v>
      </c>
      <c r="D83" s="96" t="s">
        <v>616</v>
      </c>
      <c r="E83" s="97" t="s">
        <v>290</v>
      </c>
      <c r="F83" s="97" t="s">
        <v>617</v>
      </c>
      <c r="G83" s="98">
        <v>74400</v>
      </c>
      <c r="H83" s="99"/>
      <c r="I83" s="100" t="s">
        <v>141</v>
      </c>
      <c r="J83" s="99"/>
      <c r="K83" s="100" t="s">
        <v>141</v>
      </c>
      <c r="L83" s="99"/>
      <c r="M83" s="100"/>
      <c r="N83" s="99"/>
      <c r="O83" s="100" t="s">
        <v>141</v>
      </c>
      <c r="P83" s="99"/>
      <c r="Q83" s="100"/>
      <c r="R83" s="99"/>
      <c r="S83" s="100" t="s">
        <v>141</v>
      </c>
      <c r="T83" s="101">
        <f>18.07</f>
        <v>18.07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632</v>
      </c>
      <c r="C84" s="96" t="s">
        <v>633</v>
      </c>
      <c r="D84" s="96" t="s">
        <v>618</v>
      </c>
      <c r="E84" s="97" t="s">
        <v>290</v>
      </c>
      <c r="F84" s="97" t="s">
        <v>619</v>
      </c>
      <c r="G84" s="98">
        <v>72000</v>
      </c>
      <c r="H84" s="99"/>
      <c r="I84" s="100" t="s">
        <v>141</v>
      </c>
      <c r="J84" s="99"/>
      <c r="K84" s="100" t="s">
        <v>141</v>
      </c>
      <c r="L84" s="99"/>
      <c r="M84" s="100"/>
      <c r="N84" s="99"/>
      <c r="O84" s="100" t="s">
        <v>141</v>
      </c>
      <c r="P84" s="99"/>
      <c r="Q84" s="100"/>
      <c r="R84" s="99"/>
      <c r="S84" s="100" t="s">
        <v>141</v>
      </c>
      <c r="T84" s="101">
        <f>16.77</f>
        <v>16.77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632</v>
      </c>
      <c r="C85" s="96" t="s">
        <v>633</v>
      </c>
      <c r="D85" s="96" t="s">
        <v>620</v>
      </c>
      <c r="E85" s="97" t="s">
        <v>290</v>
      </c>
      <c r="F85" s="97" t="s">
        <v>621</v>
      </c>
      <c r="G85" s="98">
        <v>74400</v>
      </c>
      <c r="H85" s="99"/>
      <c r="I85" s="100" t="s">
        <v>141</v>
      </c>
      <c r="J85" s="99"/>
      <c r="K85" s="100" t="s">
        <v>141</v>
      </c>
      <c r="L85" s="99"/>
      <c r="M85" s="100"/>
      <c r="N85" s="99"/>
      <c r="O85" s="100" t="s">
        <v>141</v>
      </c>
      <c r="P85" s="99"/>
      <c r="Q85" s="100"/>
      <c r="R85" s="99"/>
      <c r="S85" s="100" t="s">
        <v>141</v>
      </c>
      <c r="T85" s="101">
        <f>15.94</f>
        <v>15.94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632</v>
      </c>
      <c r="C86" s="96" t="s">
        <v>633</v>
      </c>
      <c r="D86" s="96" t="s">
        <v>622</v>
      </c>
      <c r="E86" s="97" t="s">
        <v>290</v>
      </c>
      <c r="F86" s="97" t="s">
        <v>623</v>
      </c>
      <c r="G86" s="98">
        <v>72000</v>
      </c>
      <c r="H86" s="99"/>
      <c r="I86" s="100" t="s">
        <v>141</v>
      </c>
      <c r="J86" s="99"/>
      <c r="K86" s="100" t="s">
        <v>141</v>
      </c>
      <c r="L86" s="99"/>
      <c r="M86" s="100"/>
      <c r="N86" s="99"/>
      <c r="O86" s="100" t="s">
        <v>141</v>
      </c>
      <c r="P86" s="99"/>
      <c r="Q86" s="100"/>
      <c r="R86" s="99"/>
      <c r="S86" s="100" t="s">
        <v>141</v>
      </c>
      <c r="T86" s="101">
        <f>16.42</f>
        <v>16.420000000000002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632</v>
      </c>
      <c r="C87" s="96" t="s">
        <v>633</v>
      </c>
      <c r="D87" s="96" t="s">
        <v>624</v>
      </c>
      <c r="E87" s="97" t="s">
        <v>290</v>
      </c>
      <c r="F87" s="97" t="s">
        <v>625</v>
      </c>
      <c r="G87" s="98">
        <v>74400</v>
      </c>
      <c r="H87" s="99"/>
      <c r="I87" s="100" t="s">
        <v>141</v>
      </c>
      <c r="J87" s="99"/>
      <c r="K87" s="100" t="s">
        <v>141</v>
      </c>
      <c r="L87" s="99"/>
      <c r="M87" s="100"/>
      <c r="N87" s="99"/>
      <c r="O87" s="100" t="s">
        <v>141</v>
      </c>
      <c r="P87" s="99"/>
      <c r="Q87" s="100"/>
      <c r="R87" s="99"/>
      <c r="S87" s="100" t="s">
        <v>141</v>
      </c>
      <c r="T87" s="101">
        <f>18.52</f>
        <v>18.52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632</v>
      </c>
      <c r="C88" s="96" t="s">
        <v>633</v>
      </c>
      <c r="D88" s="96" t="s">
        <v>626</v>
      </c>
      <c r="E88" s="97" t="s">
        <v>290</v>
      </c>
      <c r="F88" s="97" t="s">
        <v>627</v>
      </c>
      <c r="G88" s="98">
        <v>74400</v>
      </c>
      <c r="H88" s="99"/>
      <c r="I88" s="100" t="s">
        <v>141</v>
      </c>
      <c r="J88" s="99"/>
      <c r="K88" s="100" t="s">
        <v>141</v>
      </c>
      <c r="L88" s="99"/>
      <c r="M88" s="100"/>
      <c r="N88" s="99"/>
      <c r="O88" s="100" t="s">
        <v>141</v>
      </c>
      <c r="P88" s="99"/>
      <c r="Q88" s="100"/>
      <c r="R88" s="99"/>
      <c r="S88" s="100" t="s">
        <v>141</v>
      </c>
      <c r="T88" s="101">
        <f>18.03</f>
        <v>18.03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632</v>
      </c>
      <c r="C89" s="96" t="s">
        <v>633</v>
      </c>
      <c r="D89" s="96" t="s">
        <v>628</v>
      </c>
      <c r="E89" s="97" t="s">
        <v>290</v>
      </c>
      <c r="F89" s="97" t="s">
        <v>629</v>
      </c>
      <c r="G89" s="98">
        <v>69600</v>
      </c>
      <c r="H89" s="99"/>
      <c r="I89" s="100" t="s">
        <v>141</v>
      </c>
      <c r="J89" s="99"/>
      <c r="K89" s="100" t="s">
        <v>141</v>
      </c>
      <c r="L89" s="99"/>
      <c r="M89" s="100"/>
      <c r="N89" s="99"/>
      <c r="O89" s="100" t="s">
        <v>141</v>
      </c>
      <c r="P89" s="99"/>
      <c r="Q89" s="100"/>
      <c r="R89" s="99"/>
      <c r="S89" s="100" t="s">
        <v>141</v>
      </c>
      <c r="T89" s="101">
        <f>17.9</f>
        <v>17.899999999999999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632</v>
      </c>
      <c r="C90" s="96" t="s">
        <v>633</v>
      </c>
      <c r="D90" s="96" t="s">
        <v>630</v>
      </c>
      <c r="E90" s="97" t="s">
        <v>290</v>
      </c>
      <c r="F90" s="97" t="s">
        <v>631</v>
      </c>
      <c r="G90" s="98">
        <v>74400</v>
      </c>
      <c r="H90" s="99"/>
      <c r="I90" s="100" t="s">
        <v>141</v>
      </c>
      <c r="J90" s="99"/>
      <c r="K90" s="100" t="s">
        <v>141</v>
      </c>
      <c r="L90" s="99"/>
      <c r="M90" s="100"/>
      <c r="N90" s="99"/>
      <c r="O90" s="100" t="s">
        <v>141</v>
      </c>
      <c r="P90" s="99"/>
      <c r="Q90" s="100"/>
      <c r="R90" s="99"/>
      <c r="S90" s="100" t="s">
        <v>141</v>
      </c>
      <c r="T90" s="101">
        <f>15.93</f>
        <v>15.93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644</v>
      </c>
      <c r="C91" s="96" t="s">
        <v>645</v>
      </c>
      <c r="D91" s="96" t="s">
        <v>46</v>
      </c>
      <c r="E91" s="97" t="s">
        <v>646</v>
      </c>
      <c r="F91" s="97" t="s">
        <v>647</v>
      </c>
      <c r="G91" s="98">
        <v>24000</v>
      </c>
      <c r="H91" s="99" t="s">
        <v>55</v>
      </c>
      <c r="I91" s="100" t="s">
        <v>648</v>
      </c>
      <c r="J91" s="99" t="s">
        <v>55</v>
      </c>
      <c r="K91" s="100" t="s">
        <v>648</v>
      </c>
      <c r="L91" s="99"/>
      <c r="M91" s="100"/>
      <c r="N91" s="99" t="s">
        <v>55</v>
      </c>
      <c r="O91" s="100" t="s">
        <v>648</v>
      </c>
      <c r="P91" s="99"/>
      <c r="Q91" s="100"/>
      <c r="R91" s="99" t="s">
        <v>55</v>
      </c>
      <c r="S91" s="100" t="s">
        <v>648</v>
      </c>
      <c r="T91" s="101">
        <f>24.48</f>
        <v>24.48</v>
      </c>
      <c r="U91" s="102">
        <f>1</f>
        <v>1</v>
      </c>
      <c r="V91" s="102"/>
      <c r="W91" s="102"/>
      <c r="X91" s="102">
        <f>669600</f>
        <v>669600</v>
      </c>
      <c r="Y91" s="102"/>
      <c r="Z91" s="103"/>
      <c r="AA91" s="99" t="s">
        <v>60</v>
      </c>
      <c r="AB91" s="104">
        <f>11</f>
        <v>11</v>
      </c>
      <c r="AC91" s="104" t="str">
        <f t="shared" si="8"/>
        <v>－</v>
      </c>
      <c r="AD91" s="105">
        <f>1</f>
        <v>1</v>
      </c>
    </row>
    <row r="92" spans="1:30">
      <c r="A92" s="95" t="s">
        <v>46</v>
      </c>
      <c r="B92" s="96" t="s">
        <v>644</v>
      </c>
      <c r="C92" s="96" t="s">
        <v>645</v>
      </c>
      <c r="D92" s="96" t="s">
        <v>267</v>
      </c>
      <c r="E92" s="97" t="s">
        <v>649</v>
      </c>
      <c r="F92" s="97" t="s">
        <v>579</v>
      </c>
      <c r="G92" s="98">
        <v>21600</v>
      </c>
      <c r="H92" s="99" t="s">
        <v>167</v>
      </c>
      <c r="I92" s="100" t="s">
        <v>650</v>
      </c>
      <c r="J92" s="99" t="s">
        <v>167</v>
      </c>
      <c r="K92" s="100" t="s">
        <v>650</v>
      </c>
      <c r="L92" s="99"/>
      <c r="M92" s="100"/>
      <c r="N92" s="99" t="s">
        <v>167</v>
      </c>
      <c r="O92" s="100" t="s">
        <v>603</v>
      </c>
      <c r="P92" s="99"/>
      <c r="Q92" s="100"/>
      <c r="R92" s="99" t="s">
        <v>212</v>
      </c>
      <c r="S92" s="100" t="s">
        <v>603</v>
      </c>
      <c r="T92" s="101">
        <f>23.63</f>
        <v>23.63</v>
      </c>
      <c r="U92" s="102">
        <f>6</f>
        <v>6</v>
      </c>
      <c r="V92" s="102"/>
      <c r="W92" s="102"/>
      <c r="X92" s="102">
        <f>3114720</f>
        <v>3114720</v>
      </c>
      <c r="Y92" s="102"/>
      <c r="Z92" s="103"/>
      <c r="AA92" s="99"/>
      <c r="AB92" s="104">
        <f>10</f>
        <v>10</v>
      </c>
      <c r="AC92" s="104" t="str">
        <f t="shared" si="8"/>
        <v>－</v>
      </c>
      <c r="AD92" s="105">
        <f>3</f>
        <v>3</v>
      </c>
    </row>
    <row r="93" spans="1:30">
      <c r="A93" s="95" t="s">
        <v>46</v>
      </c>
      <c r="B93" s="96" t="s">
        <v>644</v>
      </c>
      <c r="C93" s="96" t="s">
        <v>645</v>
      </c>
      <c r="D93" s="96" t="s">
        <v>61</v>
      </c>
      <c r="E93" s="97" t="s">
        <v>583</v>
      </c>
      <c r="F93" s="97" t="s">
        <v>584</v>
      </c>
      <c r="G93" s="98">
        <v>26400</v>
      </c>
      <c r="H93" s="99"/>
      <c r="I93" s="100" t="s">
        <v>141</v>
      </c>
      <c r="J93" s="99"/>
      <c r="K93" s="100" t="s">
        <v>141</v>
      </c>
      <c r="L93" s="99"/>
      <c r="M93" s="100"/>
      <c r="N93" s="99"/>
      <c r="O93" s="100" t="s">
        <v>141</v>
      </c>
      <c r="P93" s="99"/>
      <c r="Q93" s="100"/>
      <c r="R93" s="99"/>
      <c r="S93" s="100" t="s">
        <v>141</v>
      </c>
      <c r="T93" s="101">
        <f>26.09</f>
        <v>26.09</v>
      </c>
      <c r="U93" s="102" t="str">
        <f>"－"</f>
        <v>－</v>
      </c>
      <c r="V93" s="102"/>
      <c r="W93" s="102"/>
      <c r="X93" s="102" t="str">
        <f>"－"</f>
        <v>－</v>
      </c>
      <c r="Y93" s="102"/>
      <c r="Z93" s="103"/>
      <c r="AA93" s="99"/>
      <c r="AB93" s="104" t="str">
        <f>"－"</f>
        <v>－</v>
      </c>
      <c r="AC93" s="104" t="str">
        <f t="shared" si="8"/>
        <v>－</v>
      </c>
      <c r="AD93" s="105" t="str">
        <f t="shared" si="8"/>
        <v>－</v>
      </c>
    </row>
    <row r="94" spans="1:30">
      <c r="A94" s="95" t="s">
        <v>46</v>
      </c>
      <c r="B94" s="96" t="s">
        <v>644</v>
      </c>
      <c r="C94" s="96" t="s">
        <v>645</v>
      </c>
      <c r="D94" s="96" t="s">
        <v>278</v>
      </c>
      <c r="E94" s="97" t="s">
        <v>587</v>
      </c>
      <c r="F94" s="97" t="s">
        <v>651</v>
      </c>
      <c r="G94" s="98">
        <v>24000</v>
      </c>
      <c r="H94" s="99"/>
      <c r="I94" s="100" t="s">
        <v>141</v>
      </c>
      <c r="J94" s="99"/>
      <c r="K94" s="100" t="s">
        <v>141</v>
      </c>
      <c r="L94" s="99" t="s">
        <v>67</v>
      </c>
      <c r="M94" s="100" t="s">
        <v>652</v>
      </c>
      <c r="N94" s="99"/>
      <c r="O94" s="100" t="s">
        <v>141</v>
      </c>
      <c r="P94" s="99" t="s">
        <v>67</v>
      </c>
      <c r="Q94" s="100" t="s">
        <v>652</v>
      </c>
      <c r="R94" s="99"/>
      <c r="S94" s="100" t="s">
        <v>141</v>
      </c>
      <c r="T94" s="101">
        <f>33.14</f>
        <v>33.14</v>
      </c>
      <c r="U94" s="102">
        <f>100</f>
        <v>100</v>
      </c>
      <c r="V94" s="102">
        <v>100</v>
      </c>
      <c r="W94" s="102"/>
      <c r="X94" s="102">
        <f>94248000</f>
        <v>94248000</v>
      </c>
      <c r="Y94" s="102">
        <v>94248000</v>
      </c>
      <c r="Z94" s="103"/>
      <c r="AA94" s="99"/>
      <c r="AB94" s="104">
        <f>100</f>
        <v>100</v>
      </c>
      <c r="AC94" s="104" t="str">
        <f t="shared" si="8"/>
        <v>－</v>
      </c>
      <c r="AD94" s="105" t="str">
        <f t="shared" si="8"/>
        <v>－</v>
      </c>
    </row>
    <row r="95" spans="1:30">
      <c r="A95" s="95" t="s">
        <v>46</v>
      </c>
      <c r="B95" s="96" t="s">
        <v>644</v>
      </c>
      <c r="C95" s="96" t="s">
        <v>645</v>
      </c>
      <c r="D95" s="96" t="s">
        <v>69</v>
      </c>
      <c r="E95" s="97" t="s">
        <v>591</v>
      </c>
      <c r="F95" s="97" t="s">
        <v>592</v>
      </c>
      <c r="G95" s="98">
        <v>26400</v>
      </c>
      <c r="H95" s="99"/>
      <c r="I95" s="100" t="s">
        <v>141</v>
      </c>
      <c r="J95" s="99"/>
      <c r="K95" s="100" t="s">
        <v>141</v>
      </c>
      <c r="L95" s="99" t="s">
        <v>67</v>
      </c>
      <c r="M95" s="100" t="s">
        <v>652</v>
      </c>
      <c r="N95" s="99"/>
      <c r="O95" s="100" t="s">
        <v>141</v>
      </c>
      <c r="P95" s="99" t="s">
        <v>67</v>
      </c>
      <c r="Q95" s="100" t="s">
        <v>652</v>
      </c>
      <c r="R95" s="99"/>
      <c r="S95" s="100" t="s">
        <v>141</v>
      </c>
      <c r="T95" s="101">
        <f>38.36</f>
        <v>38.36</v>
      </c>
      <c r="U95" s="102">
        <f>100</f>
        <v>100</v>
      </c>
      <c r="V95" s="102">
        <v>100</v>
      </c>
      <c r="W95" s="102"/>
      <c r="X95" s="102">
        <f>103672800</f>
        <v>103672800</v>
      </c>
      <c r="Y95" s="102">
        <v>103672800</v>
      </c>
      <c r="Z95" s="103"/>
      <c r="AA95" s="99"/>
      <c r="AB95" s="104">
        <f>100</f>
        <v>100</v>
      </c>
      <c r="AC95" s="104" t="str">
        <f t="shared" si="8"/>
        <v>－</v>
      </c>
      <c r="AD95" s="105" t="str">
        <f t="shared" si="8"/>
        <v>－</v>
      </c>
    </row>
    <row r="96" spans="1:30">
      <c r="A96" s="95" t="s">
        <v>46</v>
      </c>
      <c r="B96" s="96" t="s">
        <v>644</v>
      </c>
      <c r="C96" s="96" t="s">
        <v>645</v>
      </c>
      <c r="D96" s="96" t="s">
        <v>285</v>
      </c>
      <c r="E96" s="97" t="s">
        <v>595</v>
      </c>
      <c r="F96" s="97" t="s">
        <v>596</v>
      </c>
      <c r="G96" s="98">
        <v>24000</v>
      </c>
      <c r="H96" s="99"/>
      <c r="I96" s="100" t="s">
        <v>141</v>
      </c>
      <c r="J96" s="99"/>
      <c r="K96" s="100" t="s">
        <v>141</v>
      </c>
      <c r="L96" s="99" t="s">
        <v>67</v>
      </c>
      <c r="M96" s="100" t="s">
        <v>652</v>
      </c>
      <c r="N96" s="99"/>
      <c r="O96" s="100" t="s">
        <v>141</v>
      </c>
      <c r="P96" s="99" t="s">
        <v>67</v>
      </c>
      <c r="Q96" s="100" t="s">
        <v>652</v>
      </c>
      <c r="R96" s="99"/>
      <c r="S96" s="100" t="s">
        <v>141</v>
      </c>
      <c r="T96" s="101">
        <f>31.27</f>
        <v>31.27</v>
      </c>
      <c r="U96" s="102">
        <f>100</f>
        <v>100</v>
      </c>
      <c r="V96" s="102">
        <v>100</v>
      </c>
      <c r="W96" s="102"/>
      <c r="X96" s="102">
        <f>94248000</f>
        <v>94248000</v>
      </c>
      <c r="Y96" s="102">
        <v>94248000</v>
      </c>
      <c r="Z96" s="103"/>
      <c r="AA96" s="99"/>
      <c r="AB96" s="104">
        <f>100</f>
        <v>100</v>
      </c>
      <c r="AC96" s="104" t="str">
        <f t="shared" si="8"/>
        <v>－</v>
      </c>
      <c r="AD96" s="105" t="str">
        <f t="shared" si="8"/>
        <v>－</v>
      </c>
    </row>
    <row r="97" spans="1:30">
      <c r="A97" s="95" t="s">
        <v>46</v>
      </c>
      <c r="B97" s="96" t="s">
        <v>644</v>
      </c>
      <c r="C97" s="96" t="s">
        <v>645</v>
      </c>
      <c r="D97" s="96" t="s">
        <v>76</v>
      </c>
      <c r="E97" s="97" t="s">
        <v>653</v>
      </c>
      <c r="F97" s="97" t="s">
        <v>599</v>
      </c>
      <c r="G97" s="98">
        <v>24000</v>
      </c>
      <c r="H97" s="99"/>
      <c r="I97" s="100" t="s">
        <v>141</v>
      </c>
      <c r="J97" s="99"/>
      <c r="K97" s="100" t="s">
        <v>141</v>
      </c>
      <c r="L97" s="99"/>
      <c r="M97" s="100"/>
      <c r="N97" s="99"/>
      <c r="O97" s="100" t="s">
        <v>141</v>
      </c>
      <c r="P97" s="99"/>
      <c r="Q97" s="100"/>
      <c r="R97" s="99"/>
      <c r="S97" s="100" t="s">
        <v>141</v>
      </c>
      <c r="T97" s="101">
        <f>22.46</f>
        <v>22.46</v>
      </c>
      <c r="U97" s="102" t="str">
        <f t="shared" ref="U97:U117" si="12">"－"</f>
        <v>－</v>
      </c>
      <c r="V97" s="102"/>
      <c r="W97" s="102"/>
      <c r="X97" s="102" t="str">
        <f t="shared" ref="X97:X117" si="13">"－"</f>
        <v>－</v>
      </c>
      <c r="Y97" s="102"/>
      <c r="Z97" s="103"/>
      <c r="AA97" s="99"/>
      <c r="AB97" s="104" t="str">
        <f>"－"</f>
        <v>－</v>
      </c>
      <c r="AC97" s="104" t="str">
        <f t="shared" si="8"/>
        <v>－</v>
      </c>
      <c r="AD97" s="105" t="str">
        <f t="shared" si="8"/>
        <v>－</v>
      </c>
    </row>
    <row r="98" spans="1:30">
      <c r="A98" s="95" t="s">
        <v>46</v>
      </c>
      <c r="B98" s="96" t="s">
        <v>644</v>
      </c>
      <c r="C98" s="96" t="s">
        <v>645</v>
      </c>
      <c r="D98" s="96" t="s">
        <v>334</v>
      </c>
      <c r="E98" s="97" t="s">
        <v>601</v>
      </c>
      <c r="F98" s="97" t="s">
        <v>602</v>
      </c>
      <c r="G98" s="98">
        <v>24000</v>
      </c>
      <c r="H98" s="99"/>
      <c r="I98" s="100" t="s">
        <v>141</v>
      </c>
      <c r="J98" s="99"/>
      <c r="K98" s="100" t="s">
        <v>141</v>
      </c>
      <c r="L98" s="99"/>
      <c r="M98" s="100"/>
      <c r="N98" s="99"/>
      <c r="O98" s="100" t="s">
        <v>141</v>
      </c>
      <c r="P98" s="99"/>
      <c r="Q98" s="100"/>
      <c r="R98" s="99"/>
      <c r="S98" s="100" t="s">
        <v>141</v>
      </c>
      <c r="T98" s="101">
        <f>23.95</f>
        <v>23.95</v>
      </c>
      <c r="U98" s="102" t="str">
        <f t="shared" si="12"/>
        <v>－</v>
      </c>
      <c r="V98" s="102"/>
      <c r="W98" s="102"/>
      <c r="X98" s="102" t="str">
        <f t="shared" si="13"/>
        <v>－</v>
      </c>
      <c r="Y98" s="102"/>
      <c r="Z98" s="103"/>
      <c r="AA98" s="99"/>
      <c r="AB98" s="104" t="str">
        <f>"－"</f>
        <v>－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644</v>
      </c>
      <c r="C99" s="96" t="s">
        <v>645</v>
      </c>
      <c r="D99" s="96" t="s">
        <v>83</v>
      </c>
      <c r="E99" s="97" t="s">
        <v>604</v>
      </c>
      <c r="F99" s="97" t="s">
        <v>654</v>
      </c>
      <c r="G99" s="98">
        <v>25200</v>
      </c>
      <c r="H99" s="99"/>
      <c r="I99" s="100" t="s">
        <v>141</v>
      </c>
      <c r="J99" s="99"/>
      <c r="K99" s="100" t="s">
        <v>141</v>
      </c>
      <c r="L99" s="99"/>
      <c r="M99" s="100"/>
      <c r="N99" s="99"/>
      <c r="O99" s="100" t="s">
        <v>141</v>
      </c>
      <c r="P99" s="99"/>
      <c r="Q99" s="100"/>
      <c r="R99" s="99"/>
      <c r="S99" s="100" t="s">
        <v>141</v>
      </c>
      <c r="T99" s="101">
        <f>30.97</f>
        <v>30.97</v>
      </c>
      <c r="U99" s="102" t="str">
        <f t="shared" si="12"/>
        <v>－</v>
      </c>
      <c r="V99" s="102"/>
      <c r="W99" s="102"/>
      <c r="X99" s="102" t="str">
        <f t="shared" si="13"/>
        <v>－</v>
      </c>
      <c r="Y99" s="102"/>
      <c r="Z99" s="103"/>
      <c r="AA99" s="99"/>
      <c r="AB99" s="104" t="str">
        <f>"－"</f>
        <v>－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644</v>
      </c>
      <c r="C100" s="96" t="s">
        <v>645</v>
      </c>
      <c r="D100" s="96" t="s">
        <v>344</v>
      </c>
      <c r="E100" s="97" t="s">
        <v>655</v>
      </c>
      <c r="F100" s="97" t="s">
        <v>605</v>
      </c>
      <c r="G100" s="98">
        <v>22800</v>
      </c>
      <c r="H100" s="99"/>
      <c r="I100" s="100" t="s">
        <v>141</v>
      </c>
      <c r="J100" s="99"/>
      <c r="K100" s="100" t="s">
        <v>141</v>
      </c>
      <c r="L100" s="99"/>
      <c r="M100" s="100"/>
      <c r="N100" s="99"/>
      <c r="O100" s="100" t="s">
        <v>141</v>
      </c>
      <c r="P100" s="99"/>
      <c r="Q100" s="100"/>
      <c r="R100" s="99"/>
      <c r="S100" s="100" t="s">
        <v>141</v>
      </c>
      <c r="T100" s="101">
        <f>35.69</f>
        <v>35.69</v>
      </c>
      <c r="U100" s="102" t="str">
        <f t="shared" si="12"/>
        <v>－</v>
      </c>
      <c r="V100" s="102"/>
      <c r="W100" s="102"/>
      <c r="X100" s="102" t="str">
        <f t="shared" si="13"/>
        <v>－</v>
      </c>
      <c r="Y100" s="102"/>
      <c r="Z100" s="103"/>
      <c r="AA100" s="99"/>
      <c r="AB100" s="104">
        <f>1</f>
        <v>1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644</v>
      </c>
      <c r="C101" s="96" t="s">
        <v>645</v>
      </c>
      <c r="D101" s="96" t="s">
        <v>90</v>
      </c>
      <c r="E101" s="97" t="s">
        <v>607</v>
      </c>
      <c r="F101" s="97" t="s">
        <v>608</v>
      </c>
      <c r="G101" s="98">
        <v>22800</v>
      </c>
      <c r="H101" s="99"/>
      <c r="I101" s="100" t="s">
        <v>141</v>
      </c>
      <c r="J101" s="99"/>
      <c r="K101" s="100" t="s">
        <v>141</v>
      </c>
      <c r="L101" s="99"/>
      <c r="M101" s="100"/>
      <c r="N101" s="99"/>
      <c r="O101" s="100" t="s">
        <v>141</v>
      </c>
      <c r="P101" s="99"/>
      <c r="Q101" s="100"/>
      <c r="R101" s="99"/>
      <c r="S101" s="100" t="s">
        <v>141</v>
      </c>
      <c r="T101" s="101">
        <f>36.21</f>
        <v>36.21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>
        <f>1</f>
        <v>1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644</v>
      </c>
      <c r="C102" s="96" t="s">
        <v>645</v>
      </c>
      <c r="D102" s="96" t="s">
        <v>354</v>
      </c>
      <c r="E102" s="97" t="s">
        <v>656</v>
      </c>
      <c r="F102" s="97" t="s">
        <v>609</v>
      </c>
      <c r="G102" s="98">
        <v>26400</v>
      </c>
      <c r="H102" s="99"/>
      <c r="I102" s="100" t="s">
        <v>141</v>
      </c>
      <c r="J102" s="99"/>
      <c r="K102" s="100" t="s">
        <v>141</v>
      </c>
      <c r="L102" s="99"/>
      <c r="M102" s="100"/>
      <c r="N102" s="99"/>
      <c r="O102" s="100" t="s">
        <v>141</v>
      </c>
      <c r="P102" s="99"/>
      <c r="Q102" s="100"/>
      <c r="R102" s="99"/>
      <c r="S102" s="100" t="s">
        <v>141</v>
      </c>
      <c r="T102" s="101">
        <f>29.95</f>
        <v>29.95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ref="AB102:AD117" si="14">"－"</f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644</v>
      </c>
      <c r="C103" s="96" t="s">
        <v>645</v>
      </c>
      <c r="D103" s="96" t="s">
        <v>99</v>
      </c>
      <c r="E103" s="97" t="s">
        <v>610</v>
      </c>
      <c r="F103" s="97" t="s">
        <v>657</v>
      </c>
      <c r="G103" s="98">
        <v>24000</v>
      </c>
      <c r="H103" s="99"/>
      <c r="I103" s="100" t="s">
        <v>141</v>
      </c>
      <c r="J103" s="99"/>
      <c r="K103" s="100" t="s">
        <v>141</v>
      </c>
      <c r="L103" s="99"/>
      <c r="M103" s="100"/>
      <c r="N103" s="99"/>
      <c r="O103" s="100" t="s">
        <v>141</v>
      </c>
      <c r="P103" s="99"/>
      <c r="Q103" s="100"/>
      <c r="R103" s="99"/>
      <c r="S103" s="100" t="s">
        <v>141</v>
      </c>
      <c r="T103" s="101">
        <f>18.99</f>
        <v>18.989999999999998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644</v>
      </c>
      <c r="C104" s="96" t="s">
        <v>645</v>
      </c>
      <c r="D104" s="96" t="s">
        <v>423</v>
      </c>
      <c r="E104" s="97" t="s">
        <v>480</v>
      </c>
      <c r="F104" s="97" t="s">
        <v>611</v>
      </c>
      <c r="G104" s="98">
        <v>21600</v>
      </c>
      <c r="H104" s="99"/>
      <c r="I104" s="100" t="s">
        <v>141</v>
      </c>
      <c r="J104" s="99"/>
      <c r="K104" s="100" t="s">
        <v>141</v>
      </c>
      <c r="L104" s="99"/>
      <c r="M104" s="100"/>
      <c r="N104" s="99"/>
      <c r="O104" s="100" t="s">
        <v>141</v>
      </c>
      <c r="P104" s="99"/>
      <c r="Q104" s="100"/>
      <c r="R104" s="99"/>
      <c r="S104" s="100" t="s">
        <v>141</v>
      </c>
      <c r="T104" s="101">
        <f>18.8</f>
        <v>18.8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644</v>
      </c>
      <c r="C105" s="96" t="s">
        <v>645</v>
      </c>
      <c r="D105" s="96" t="s">
        <v>569</v>
      </c>
      <c r="E105" s="97" t="s">
        <v>612</v>
      </c>
      <c r="F105" s="97" t="s">
        <v>613</v>
      </c>
      <c r="G105" s="98">
        <v>26400</v>
      </c>
      <c r="H105" s="99"/>
      <c r="I105" s="100" t="s">
        <v>141</v>
      </c>
      <c r="J105" s="99"/>
      <c r="K105" s="100" t="s">
        <v>141</v>
      </c>
      <c r="L105" s="99"/>
      <c r="M105" s="100"/>
      <c r="N105" s="99"/>
      <c r="O105" s="100" t="s">
        <v>141</v>
      </c>
      <c r="P105" s="99"/>
      <c r="Q105" s="100"/>
      <c r="R105" s="99"/>
      <c r="S105" s="100" t="s">
        <v>141</v>
      </c>
      <c r="T105" s="101">
        <f>18.75</f>
        <v>18.75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644</v>
      </c>
      <c r="C106" s="96" t="s">
        <v>645</v>
      </c>
      <c r="D106" s="96" t="s">
        <v>614</v>
      </c>
      <c r="E106" s="97" t="s">
        <v>290</v>
      </c>
      <c r="F106" s="97" t="s">
        <v>615</v>
      </c>
      <c r="G106" s="98">
        <v>24000</v>
      </c>
      <c r="H106" s="99"/>
      <c r="I106" s="100" t="s">
        <v>141</v>
      </c>
      <c r="J106" s="99"/>
      <c r="K106" s="100" t="s">
        <v>141</v>
      </c>
      <c r="L106" s="99"/>
      <c r="M106" s="100"/>
      <c r="N106" s="99"/>
      <c r="O106" s="100" t="s">
        <v>141</v>
      </c>
      <c r="P106" s="99"/>
      <c r="Q106" s="100"/>
      <c r="R106" s="99"/>
      <c r="S106" s="100" t="s">
        <v>141</v>
      </c>
      <c r="T106" s="101">
        <f>22.64</f>
        <v>22.64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644</v>
      </c>
      <c r="C107" s="96" t="s">
        <v>645</v>
      </c>
      <c r="D107" s="96" t="s">
        <v>616</v>
      </c>
      <c r="E107" s="97" t="s">
        <v>290</v>
      </c>
      <c r="F107" s="97" t="s">
        <v>617</v>
      </c>
      <c r="G107" s="98">
        <v>26400</v>
      </c>
      <c r="H107" s="99"/>
      <c r="I107" s="100" t="s">
        <v>141</v>
      </c>
      <c r="J107" s="99"/>
      <c r="K107" s="100" t="s">
        <v>141</v>
      </c>
      <c r="L107" s="99"/>
      <c r="M107" s="100"/>
      <c r="N107" s="99"/>
      <c r="O107" s="100" t="s">
        <v>141</v>
      </c>
      <c r="P107" s="99"/>
      <c r="Q107" s="100"/>
      <c r="R107" s="99"/>
      <c r="S107" s="100" t="s">
        <v>141</v>
      </c>
      <c r="T107" s="101">
        <f>23.01</f>
        <v>23.01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644</v>
      </c>
      <c r="C108" s="96" t="s">
        <v>645</v>
      </c>
      <c r="D108" s="96" t="s">
        <v>618</v>
      </c>
      <c r="E108" s="97" t="s">
        <v>290</v>
      </c>
      <c r="F108" s="97" t="s">
        <v>658</v>
      </c>
      <c r="G108" s="98">
        <v>24000</v>
      </c>
      <c r="H108" s="99"/>
      <c r="I108" s="100" t="s">
        <v>141</v>
      </c>
      <c r="J108" s="99"/>
      <c r="K108" s="100" t="s">
        <v>141</v>
      </c>
      <c r="L108" s="99"/>
      <c r="M108" s="100"/>
      <c r="N108" s="99"/>
      <c r="O108" s="100" t="s">
        <v>141</v>
      </c>
      <c r="P108" s="99"/>
      <c r="Q108" s="100"/>
      <c r="R108" s="99"/>
      <c r="S108" s="100" t="s">
        <v>141</v>
      </c>
      <c r="T108" s="101">
        <f>20.77</f>
        <v>20.77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644</v>
      </c>
      <c r="C109" s="96" t="s">
        <v>645</v>
      </c>
      <c r="D109" s="96" t="s">
        <v>620</v>
      </c>
      <c r="E109" s="97" t="s">
        <v>290</v>
      </c>
      <c r="F109" s="97" t="s">
        <v>621</v>
      </c>
      <c r="G109" s="98">
        <v>25200</v>
      </c>
      <c r="H109" s="99"/>
      <c r="I109" s="100" t="s">
        <v>141</v>
      </c>
      <c r="J109" s="99"/>
      <c r="K109" s="100" t="s">
        <v>141</v>
      </c>
      <c r="L109" s="99"/>
      <c r="M109" s="100"/>
      <c r="N109" s="99"/>
      <c r="O109" s="100" t="s">
        <v>141</v>
      </c>
      <c r="P109" s="99"/>
      <c r="Q109" s="100"/>
      <c r="R109" s="99"/>
      <c r="S109" s="100" t="s">
        <v>141</v>
      </c>
      <c r="T109" s="101">
        <f>18.72</f>
        <v>18.72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644</v>
      </c>
      <c r="C110" s="96" t="s">
        <v>645</v>
      </c>
      <c r="D110" s="96" t="s">
        <v>622</v>
      </c>
      <c r="E110" s="97" t="s">
        <v>290</v>
      </c>
      <c r="F110" s="97" t="s">
        <v>623</v>
      </c>
      <c r="G110" s="98">
        <v>24000</v>
      </c>
      <c r="H110" s="99"/>
      <c r="I110" s="100" t="s">
        <v>141</v>
      </c>
      <c r="J110" s="99"/>
      <c r="K110" s="100" t="s">
        <v>141</v>
      </c>
      <c r="L110" s="99"/>
      <c r="M110" s="100"/>
      <c r="N110" s="99"/>
      <c r="O110" s="100" t="s">
        <v>141</v>
      </c>
      <c r="P110" s="99"/>
      <c r="Q110" s="100"/>
      <c r="R110" s="99"/>
      <c r="S110" s="100" t="s">
        <v>141</v>
      </c>
      <c r="T110" s="101">
        <f>19.06</f>
        <v>19.059999999999999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644</v>
      </c>
      <c r="C111" s="96" t="s">
        <v>645</v>
      </c>
      <c r="D111" s="96" t="s">
        <v>624</v>
      </c>
      <c r="E111" s="97" t="s">
        <v>290</v>
      </c>
      <c r="F111" s="97" t="s">
        <v>659</v>
      </c>
      <c r="G111" s="98">
        <v>25200</v>
      </c>
      <c r="H111" s="99"/>
      <c r="I111" s="100" t="s">
        <v>141</v>
      </c>
      <c r="J111" s="99"/>
      <c r="K111" s="100" t="s">
        <v>141</v>
      </c>
      <c r="L111" s="99"/>
      <c r="M111" s="100"/>
      <c r="N111" s="99"/>
      <c r="O111" s="100" t="s">
        <v>141</v>
      </c>
      <c r="P111" s="99"/>
      <c r="Q111" s="100"/>
      <c r="R111" s="99"/>
      <c r="S111" s="100" t="s">
        <v>141</v>
      </c>
      <c r="T111" s="101">
        <f>22.83</f>
        <v>22.83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644</v>
      </c>
      <c r="C112" s="96" t="s">
        <v>645</v>
      </c>
      <c r="D112" s="96" t="s">
        <v>626</v>
      </c>
      <c r="E112" s="97" t="s">
        <v>290</v>
      </c>
      <c r="F112" s="97" t="s">
        <v>627</v>
      </c>
      <c r="G112" s="98">
        <v>22800</v>
      </c>
      <c r="H112" s="99"/>
      <c r="I112" s="100" t="s">
        <v>141</v>
      </c>
      <c r="J112" s="99"/>
      <c r="K112" s="100" t="s">
        <v>141</v>
      </c>
      <c r="L112" s="99"/>
      <c r="M112" s="100"/>
      <c r="N112" s="99"/>
      <c r="O112" s="100" t="s">
        <v>141</v>
      </c>
      <c r="P112" s="99"/>
      <c r="Q112" s="100"/>
      <c r="R112" s="99"/>
      <c r="S112" s="100" t="s">
        <v>141</v>
      </c>
      <c r="T112" s="101">
        <f>23.04</f>
        <v>23.04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644</v>
      </c>
      <c r="C113" s="96" t="s">
        <v>645</v>
      </c>
      <c r="D113" s="96" t="s">
        <v>628</v>
      </c>
      <c r="E113" s="97" t="s">
        <v>290</v>
      </c>
      <c r="F113" s="97" t="s">
        <v>629</v>
      </c>
      <c r="G113" s="98">
        <v>22800</v>
      </c>
      <c r="H113" s="99"/>
      <c r="I113" s="100" t="s">
        <v>141</v>
      </c>
      <c r="J113" s="99"/>
      <c r="K113" s="100" t="s">
        <v>141</v>
      </c>
      <c r="L113" s="99"/>
      <c r="M113" s="100"/>
      <c r="N113" s="99"/>
      <c r="O113" s="100" t="s">
        <v>141</v>
      </c>
      <c r="P113" s="99"/>
      <c r="Q113" s="100"/>
      <c r="R113" s="99"/>
      <c r="S113" s="100" t="s">
        <v>141</v>
      </c>
      <c r="T113" s="101">
        <f>21.72</f>
        <v>21.72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644</v>
      </c>
      <c r="C114" s="96" t="s">
        <v>645</v>
      </c>
      <c r="D114" s="96" t="s">
        <v>630</v>
      </c>
      <c r="E114" s="97" t="s">
        <v>290</v>
      </c>
      <c r="F114" s="97" t="s">
        <v>660</v>
      </c>
      <c r="G114" s="98">
        <v>24000</v>
      </c>
      <c r="H114" s="99"/>
      <c r="I114" s="100" t="s">
        <v>141</v>
      </c>
      <c r="J114" s="99"/>
      <c r="K114" s="100" t="s">
        <v>141</v>
      </c>
      <c r="L114" s="99"/>
      <c r="M114" s="100"/>
      <c r="N114" s="99"/>
      <c r="O114" s="100" t="s">
        <v>141</v>
      </c>
      <c r="P114" s="99"/>
      <c r="Q114" s="100"/>
      <c r="R114" s="99"/>
      <c r="S114" s="100" t="s">
        <v>141</v>
      </c>
      <c r="T114" s="101">
        <f>18.29</f>
        <v>18.29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644</v>
      </c>
      <c r="C115" s="96" t="s">
        <v>645</v>
      </c>
      <c r="D115" s="96" t="s">
        <v>661</v>
      </c>
      <c r="E115" s="97" t="s">
        <v>363</v>
      </c>
      <c r="F115" s="97" t="s">
        <v>662</v>
      </c>
      <c r="G115" s="98">
        <v>25200</v>
      </c>
      <c r="H115" s="99"/>
      <c r="I115" s="100" t="s">
        <v>141</v>
      </c>
      <c r="J115" s="99"/>
      <c r="K115" s="100" t="s">
        <v>141</v>
      </c>
      <c r="L115" s="99"/>
      <c r="M115" s="100"/>
      <c r="N115" s="99"/>
      <c r="O115" s="100" t="s">
        <v>141</v>
      </c>
      <c r="P115" s="99"/>
      <c r="Q115" s="100"/>
      <c r="R115" s="99"/>
      <c r="S115" s="100" t="s">
        <v>141</v>
      </c>
      <c r="T115" s="101">
        <f>18.12</f>
        <v>18.12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663</v>
      </c>
      <c r="C116" s="96" t="s">
        <v>664</v>
      </c>
      <c r="D116" s="96" t="s">
        <v>46</v>
      </c>
      <c r="E116" s="97" t="s">
        <v>646</v>
      </c>
      <c r="F116" s="97" t="s">
        <v>647</v>
      </c>
      <c r="G116" s="98">
        <v>24000</v>
      </c>
      <c r="H116" s="99"/>
      <c r="I116" s="100" t="s">
        <v>141</v>
      </c>
      <c r="J116" s="99"/>
      <c r="K116" s="100" t="s">
        <v>141</v>
      </c>
      <c r="L116" s="99"/>
      <c r="M116" s="100"/>
      <c r="N116" s="99"/>
      <c r="O116" s="100" t="s">
        <v>141</v>
      </c>
      <c r="P116" s="99"/>
      <c r="Q116" s="100"/>
      <c r="R116" s="99"/>
      <c r="S116" s="100" t="s">
        <v>141</v>
      </c>
      <c r="T116" s="101">
        <f>18.79</f>
        <v>18.79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 t="s">
        <v>60</v>
      </c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663</v>
      </c>
      <c r="C117" s="96" t="s">
        <v>664</v>
      </c>
      <c r="D117" s="96" t="s">
        <v>267</v>
      </c>
      <c r="E117" s="97" t="s">
        <v>649</v>
      </c>
      <c r="F117" s="97" t="s">
        <v>579</v>
      </c>
      <c r="G117" s="98">
        <v>21600</v>
      </c>
      <c r="H117" s="99"/>
      <c r="I117" s="100" t="s">
        <v>141</v>
      </c>
      <c r="J117" s="99"/>
      <c r="K117" s="100" t="s">
        <v>141</v>
      </c>
      <c r="L117" s="99"/>
      <c r="M117" s="100"/>
      <c r="N117" s="99"/>
      <c r="O117" s="100" t="s">
        <v>141</v>
      </c>
      <c r="P117" s="99"/>
      <c r="Q117" s="100"/>
      <c r="R117" s="99"/>
      <c r="S117" s="100" t="s">
        <v>141</v>
      </c>
      <c r="T117" s="101">
        <f>21.31</f>
        <v>21.31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663</v>
      </c>
      <c r="C118" s="96" t="s">
        <v>664</v>
      </c>
      <c r="D118" s="96" t="s">
        <v>61</v>
      </c>
      <c r="E118" s="97" t="s">
        <v>583</v>
      </c>
      <c r="F118" s="97" t="s">
        <v>584</v>
      </c>
      <c r="G118" s="98">
        <v>26400</v>
      </c>
      <c r="H118" s="99"/>
      <c r="I118" s="100" t="s">
        <v>141</v>
      </c>
      <c r="J118" s="99"/>
      <c r="K118" s="100" t="s">
        <v>141</v>
      </c>
      <c r="L118" s="99" t="s">
        <v>55</v>
      </c>
      <c r="M118" s="100" t="s">
        <v>665</v>
      </c>
      <c r="N118" s="99"/>
      <c r="O118" s="100" t="s">
        <v>141</v>
      </c>
      <c r="P118" s="99" t="s">
        <v>55</v>
      </c>
      <c r="Q118" s="100" t="s">
        <v>665</v>
      </c>
      <c r="R118" s="99"/>
      <c r="S118" s="100" t="s">
        <v>141</v>
      </c>
      <c r="T118" s="101">
        <f>24.26</f>
        <v>24.26</v>
      </c>
      <c r="U118" s="102">
        <f>300</f>
        <v>300</v>
      </c>
      <c r="V118" s="102">
        <v>300</v>
      </c>
      <c r="W118" s="102"/>
      <c r="X118" s="102">
        <f>209880000</f>
        <v>209880000</v>
      </c>
      <c r="Y118" s="102">
        <v>209880000</v>
      </c>
      <c r="Z118" s="103"/>
      <c r="AA118" s="99"/>
      <c r="AB118" s="104">
        <f>300</f>
        <v>300</v>
      </c>
      <c r="AC118" s="104" t="str">
        <f t="shared" ref="AC118:AD149" si="15">"－"</f>
        <v>－</v>
      </c>
      <c r="AD118" s="105" t="str">
        <f t="shared" si="15"/>
        <v>－</v>
      </c>
    </row>
    <row r="119" spans="1:30">
      <c r="A119" s="95" t="s">
        <v>46</v>
      </c>
      <c r="B119" s="96" t="s">
        <v>663</v>
      </c>
      <c r="C119" s="96" t="s">
        <v>664</v>
      </c>
      <c r="D119" s="96" t="s">
        <v>278</v>
      </c>
      <c r="E119" s="97" t="s">
        <v>587</v>
      </c>
      <c r="F119" s="97" t="s">
        <v>651</v>
      </c>
      <c r="G119" s="98">
        <v>24000</v>
      </c>
      <c r="H119" s="99"/>
      <c r="I119" s="100" t="s">
        <v>141</v>
      </c>
      <c r="J119" s="99"/>
      <c r="K119" s="100" t="s">
        <v>141</v>
      </c>
      <c r="L119" s="99" t="s">
        <v>51</v>
      </c>
      <c r="M119" s="100" t="s">
        <v>666</v>
      </c>
      <c r="N119" s="99"/>
      <c r="O119" s="100" t="s">
        <v>141</v>
      </c>
      <c r="P119" s="99" t="s">
        <v>51</v>
      </c>
      <c r="Q119" s="100" t="s">
        <v>666</v>
      </c>
      <c r="R119" s="99"/>
      <c r="S119" s="100" t="s">
        <v>141</v>
      </c>
      <c r="T119" s="101">
        <f>30.09</f>
        <v>30.09</v>
      </c>
      <c r="U119" s="102">
        <f>800</f>
        <v>800</v>
      </c>
      <c r="V119" s="102">
        <v>800</v>
      </c>
      <c r="W119" s="102"/>
      <c r="X119" s="102">
        <f>595200000</f>
        <v>595200000</v>
      </c>
      <c r="Y119" s="102">
        <v>595200000</v>
      </c>
      <c r="Z119" s="103"/>
      <c r="AA119" s="99"/>
      <c r="AB119" s="104">
        <f>800</f>
        <v>800</v>
      </c>
      <c r="AC119" s="104" t="str">
        <f t="shared" si="15"/>
        <v>－</v>
      </c>
      <c r="AD119" s="105" t="str">
        <f t="shared" si="15"/>
        <v>－</v>
      </c>
    </row>
    <row r="120" spans="1:30">
      <c r="A120" s="95" t="s">
        <v>46</v>
      </c>
      <c r="B120" s="96" t="s">
        <v>663</v>
      </c>
      <c r="C120" s="96" t="s">
        <v>664</v>
      </c>
      <c r="D120" s="96" t="s">
        <v>69</v>
      </c>
      <c r="E120" s="97" t="s">
        <v>591</v>
      </c>
      <c r="F120" s="97" t="s">
        <v>592</v>
      </c>
      <c r="G120" s="98">
        <v>26400</v>
      </c>
      <c r="H120" s="99"/>
      <c r="I120" s="100" t="s">
        <v>141</v>
      </c>
      <c r="J120" s="99"/>
      <c r="K120" s="100" t="s">
        <v>141</v>
      </c>
      <c r="L120" s="99" t="s">
        <v>111</v>
      </c>
      <c r="M120" s="100" t="s">
        <v>667</v>
      </c>
      <c r="N120" s="99"/>
      <c r="O120" s="100" t="s">
        <v>141</v>
      </c>
      <c r="P120" s="99" t="s">
        <v>111</v>
      </c>
      <c r="Q120" s="100" t="s">
        <v>667</v>
      </c>
      <c r="R120" s="99"/>
      <c r="S120" s="100" t="s">
        <v>141</v>
      </c>
      <c r="T120" s="101">
        <f>33.6</f>
        <v>33.6</v>
      </c>
      <c r="U120" s="102">
        <f>820</f>
        <v>820</v>
      </c>
      <c r="V120" s="102">
        <v>820</v>
      </c>
      <c r="W120" s="102"/>
      <c r="X120" s="102">
        <f>736032000</f>
        <v>736032000</v>
      </c>
      <c r="Y120" s="102">
        <v>736032000</v>
      </c>
      <c r="Z120" s="103"/>
      <c r="AA120" s="99"/>
      <c r="AB120" s="104">
        <f>820</f>
        <v>820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663</v>
      </c>
      <c r="C121" s="96" t="s">
        <v>664</v>
      </c>
      <c r="D121" s="96" t="s">
        <v>285</v>
      </c>
      <c r="E121" s="97" t="s">
        <v>595</v>
      </c>
      <c r="F121" s="97" t="s">
        <v>596</v>
      </c>
      <c r="G121" s="98">
        <v>24000</v>
      </c>
      <c r="H121" s="99"/>
      <c r="I121" s="100" t="s">
        <v>141</v>
      </c>
      <c r="J121" s="99"/>
      <c r="K121" s="100" t="s">
        <v>141</v>
      </c>
      <c r="L121" s="99"/>
      <c r="M121" s="100"/>
      <c r="N121" s="99"/>
      <c r="O121" s="100" t="s">
        <v>141</v>
      </c>
      <c r="P121" s="99"/>
      <c r="Q121" s="100"/>
      <c r="R121" s="99"/>
      <c r="S121" s="100" t="s">
        <v>141</v>
      </c>
      <c r="T121" s="101">
        <f>28.42</f>
        <v>28.42</v>
      </c>
      <c r="U121" s="102" t="str">
        <f t="shared" ref="U121:U141" si="16">"－"</f>
        <v>－</v>
      </c>
      <c r="V121" s="102"/>
      <c r="W121" s="102"/>
      <c r="X121" s="102" t="str">
        <f t="shared" ref="X121:X141" si="17">"－"</f>
        <v>－</v>
      </c>
      <c r="Y121" s="102"/>
      <c r="Z121" s="103"/>
      <c r="AA121" s="99"/>
      <c r="AB121" s="104" t="str">
        <f t="shared" ref="AB121:AB141" si="18">"－"</f>
        <v>－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663</v>
      </c>
      <c r="C122" s="96" t="s">
        <v>664</v>
      </c>
      <c r="D122" s="96" t="s">
        <v>76</v>
      </c>
      <c r="E122" s="97" t="s">
        <v>653</v>
      </c>
      <c r="F122" s="97" t="s">
        <v>599</v>
      </c>
      <c r="G122" s="98">
        <v>24000</v>
      </c>
      <c r="H122" s="99"/>
      <c r="I122" s="100" t="s">
        <v>141</v>
      </c>
      <c r="J122" s="99"/>
      <c r="K122" s="100" t="s">
        <v>141</v>
      </c>
      <c r="L122" s="99"/>
      <c r="M122" s="100"/>
      <c r="N122" s="99"/>
      <c r="O122" s="100" t="s">
        <v>141</v>
      </c>
      <c r="P122" s="99"/>
      <c r="Q122" s="100"/>
      <c r="R122" s="99"/>
      <c r="S122" s="100" t="s">
        <v>141</v>
      </c>
      <c r="T122" s="101">
        <f>20.97</f>
        <v>20.97</v>
      </c>
      <c r="U122" s="102" t="str">
        <f t="shared" si="16"/>
        <v>－</v>
      </c>
      <c r="V122" s="102"/>
      <c r="W122" s="102"/>
      <c r="X122" s="102" t="str">
        <f t="shared" si="17"/>
        <v>－</v>
      </c>
      <c r="Y122" s="102"/>
      <c r="Z122" s="103"/>
      <c r="AA122" s="99"/>
      <c r="AB122" s="104" t="str">
        <f t="shared" si="18"/>
        <v>－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663</v>
      </c>
      <c r="C123" s="96" t="s">
        <v>664</v>
      </c>
      <c r="D123" s="96" t="s">
        <v>334</v>
      </c>
      <c r="E123" s="97" t="s">
        <v>601</v>
      </c>
      <c r="F123" s="97" t="s">
        <v>602</v>
      </c>
      <c r="G123" s="98">
        <v>24000</v>
      </c>
      <c r="H123" s="99"/>
      <c r="I123" s="100" t="s">
        <v>141</v>
      </c>
      <c r="J123" s="99"/>
      <c r="K123" s="100" t="s">
        <v>141</v>
      </c>
      <c r="L123" s="99"/>
      <c r="M123" s="100"/>
      <c r="N123" s="99"/>
      <c r="O123" s="100" t="s">
        <v>141</v>
      </c>
      <c r="P123" s="99"/>
      <c r="Q123" s="100"/>
      <c r="R123" s="99"/>
      <c r="S123" s="100" t="s">
        <v>141</v>
      </c>
      <c r="T123" s="101">
        <f>22.79</f>
        <v>22.79</v>
      </c>
      <c r="U123" s="102" t="str">
        <f t="shared" si="16"/>
        <v>－</v>
      </c>
      <c r="V123" s="102"/>
      <c r="W123" s="102"/>
      <c r="X123" s="102" t="str">
        <f t="shared" si="17"/>
        <v>－</v>
      </c>
      <c r="Y123" s="102"/>
      <c r="Z123" s="103"/>
      <c r="AA123" s="99"/>
      <c r="AB123" s="104" t="str">
        <f t="shared" si="18"/>
        <v>－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663</v>
      </c>
      <c r="C124" s="96" t="s">
        <v>664</v>
      </c>
      <c r="D124" s="96" t="s">
        <v>83</v>
      </c>
      <c r="E124" s="97" t="s">
        <v>604</v>
      </c>
      <c r="F124" s="97" t="s">
        <v>654</v>
      </c>
      <c r="G124" s="98">
        <v>25200</v>
      </c>
      <c r="H124" s="99"/>
      <c r="I124" s="100" t="s">
        <v>141</v>
      </c>
      <c r="J124" s="99"/>
      <c r="K124" s="100" t="s">
        <v>141</v>
      </c>
      <c r="L124" s="99"/>
      <c r="M124" s="100"/>
      <c r="N124" s="99"/>
      <c r="O124" s="100" t="s">
        <v>141</v>
      </c>
      <c r="P124" s="99"/>
      <c r="Q124" s="100"/>
      <c r="R124" s="99"/>
      <c r="S124" s="100" t="s">
        <v>141</v>
      </c>
      <c r="T124" s="101">
        <f>29.51</f>
        <v>29.51</v>
      </c>
      <c r="U124" s="102" t="str">
        <f t="shared" si="16"/>
        <v>－</v>
      </c>
      <c r="V124" s="102"/>
      <c r="W124" s="102"/>
      <c r="X124" s="102" t="str">
        <f t="shared" si="17"/>
        <v>－</v>
      </c>
      <c r="Y124" s="102"/>
      <c r="Z124" s="103"/>
      <c r="AA124" s="99"/>
      <c r="AB124" s="104" t="str">
        <f t="shared" si="18"/>
        <v>－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663</v>
      </c>
      <c r="C125" s="96" t="s">
        <v>664</v>
      </c>
      <c r="D125" s="96" t="s">
        <v>344</v>
      </c>
      <c r="E125" s="97" t="s">
        <v>655</v>
      </c>
      <c r="F125" s="97" t="s">
        <v>605</v>
      </c>
      <c r="G125" s="98">
        <v>22800</v>
      </c>
      <c r="H125" s="99"/>
      <c r="I125" s="100" t="s">
        <v>141</v>
      </c>
      <c r="J125" s="99"/>
      <c r="K125" s="100" t="s">
        <v>141</v>
      </c>
      <c r="L125" s="99"/>
      <c r="M125" s="100"/>
      <c r="N125" s="99"/>
      <c r="O125" s="100" t="s">
        <v>141</v>
      </c>
      <c r="P125" s="99"/>
      <c r="Q125" s="100"/>
      <c r="R125" s="99"/>
      <c r="S125" s="100" t="s">
        <v>141</v>
      </c>
      <c r="T125" s="101">
        <f>33.62</f>
        <v>33.619999999999997</v>
      </c>
      <c r="U125" s="102" t="str">
        <f t="shared" si="16"/>
        <v>－</v>
      </c>
      <c r="V125" s="102"/>
      <c r="W125" s="102"/>
      <c r="X125" s="102" t="str">
        <f t="shared" si="17"/>
        <v>－</v>
      </c>
      <c r="Y125" s="102"/>
      <c r="Z125" s="103"/>
      <c r="AA125" s="99"/>
      <c r="AB125" s="104" t="str">
        <f t="shared" si="18"/>
        <v>－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663</v>
      </c>
      <c r="C126" s="96" t="s">
        <v>664</v>
      </c>
      <c r="D126" s="96" t="s">
        <v>90</v>
      </c>
      <c r="E126" s="97" t="s">
        <v>607</v>
      </c>
      <c r="F126" s="97" t="s">
        <v>608</v>
      </c>
      <c r="G126" s="98">
        <v>22800</v>
      </c>
      <c r="H126" s="99"/>
      <c r="I126" s="100" t="s">
        <v>141</v>
      </c>
      <c r="J126" s="99"/>
      <c r="K126" s="100" t="s">
        <v>141</v>
      </c>
      <c r="L126" s="99"/>
      <c r="M126" s="100"/>
      <c r="N126" s="99"/>
      <c r="O126" s="100" t="s">
        <v>141</v>
      </c>
      <c r="P126" s="99"/>
      <c r="Q126" s="100"/>
      <c r="R126" s="99"/>
      <c r="S126" s="100" t="s">
        <v>141</v>
      </c>
      <c r="T126" s="101">
        <f>33.53</f>
        <v>33.53</v>
      </c>
      <c r="U126" s="102" t="str">
        <f t="shared" si="16"/>
        <v>－</v>
      </c>
      <c r="V126" s="102"/>
      <c r="W126" s="102"/>
      <c r="X126" s="102" t="str">
        <f t="shared" si="17"/>
        <v>－</v>
      </c>
      <c r="Y126" s="102"/>
      <c r="Z126" s="103"/>
      <c r="AA126" s="99"/>
      <c r="AB126" s="104" t="str">
        <f t="shared" si="18"/>
        <v>－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663</v>
      </c>
      <c r="C127" s="96" t="s">
        <v>664</v>
      </c>
      <c r="D127" s="96" t="s">
        <v>354</v>
      </c>
      <c r="E127" s="97" t="s">
        <v>656</v>
      </c>
      <c r="F127" s="97" t="s">
        <v>609</v>
      </c>
      <c r="G127" s="98">
        <v>26400</v>
      </c>
      <c r="H127" s="99"/>
      <c r="I127" s="100" t="s">
        <v>141</v>
      </c>
      <c r="J127" s="99"/>
      <c r="K127" s="100" t="s">
        <v>141</v>
      </c>
      <c r="L127" s="99"/>
      <c r="M127" s="100"/>
      <c r="N127" s="99"/>
      <c r="O127" s="100" t="s">
        <v>141</v>
      </c>
      <c r="P127" s="99"/>
      <c r="Q127" s="100"/>
      <c r="R127" s="99"/>
      <c r="S127" s="100" t="s">
        <v>141</v>
      </c>
      <c r="T127" s="101">
        <f>27.01</f>
        <v>27.01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si="18"/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663</v>
      </c>
      <c r="C128" s="96" t="s">
        <v>664</v>
      </c>
      <c r="D128" s="96" t="s">
        <v>99</v>
      </c>
      <c r="E128" s="97" t="s">
        <v>610</v>
      </c>
      <c r="F128" s="97" t="s">
        <v>657</v>
      </c>
      <c r="G128" s="98">
        <v>24000</v>
      </c>
      <c r="H128" s="99"/>
      <c r="I128" s="100" t="s">
        <v>141</v>
      </c>
      <c r="J128" s="99"/>
      <c r="K128" s="100" t="s">
        <v>141</v>
      </c>
      <c r="L128" s="99"/>
      <c r="M128" s="100"/>
      <c r="N128" s="99"/>
      <c r="O128" s="100" t="s">
        <v>141</v>
      </c>
      <c r="P128" s="99"/>
      <c r="Q128" s="100"/>
      <c r="R128" s="99"/>
      <c r="S128" s="100" t="s">
        <v>141</v>
      </c>
      <c r="T128" s="101">
        <f>16.49</f>
        <v>16.489999999999998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663</v>
      </c>
      <c r="C129" s="96" t="s">
        <v>664</v>
      </c>
      <c r="D129" s="96" t="s">
        <v>423</v>
      </c>
      <c r="E129" s="97" t="s">
        <v>480</v>
      </c>
      <c r="F129" s="97" t="s">
        <v>611</v>
      </c>
      <c r="G129" s="98">
        <v>21600</v>
      </c>
      <c r="H129" s="99"/>
      <c r="I129" s="100" t="s">
        <v>141</v>
      </c>
      <c r="J129" s="99"/>
      <c r="K129" s="100" t="s">
        <v>141</v>
      </c>
      <c r="L129" s="99"/>
      <c r="M129" s="100"/>
      <c r="N129" s="99"/>
      <c r="O129" s="100" t="s">
        <v>141</v>
      </c>
      <c r="P129" s="99"/>
      <c r="Q129" s="100"/>
      <c r="R129" s="99"/>
      <c r="S129" s="100" t="s">
        <v>141</v>
      </c>
      <c r="T129" s="101">
        <f>16.35</f>
        <v>16.350000000000001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663</v>
      </c>
      <c r="C130" s="96" t="s">
        <v>664</v>
      </c>
      <c r="D130" s="96" t="s">
        <v>569</v>
      </c>
      <c r="E130" s="97" t="s">
        <v>612</v>
      </c>
      <c r="F130" s="97" t="s">
        <v>613</v>
      </c>
      <c r="G130" s="98">
        <v>26400</v>
      </c>
      <c r="H130" s="99"/>
      <c r="I130" s="100" t="s">
        <v>141</v>
      </c>
      <c r="J130" s="99"/>
      <c r="K130" s="100" t="s">
        <v>141</v>
      </c>
      <c r="L130" s="99"/>
      <c r="M130" s="100"/>
      <c r="N130" s="99"/>
      <c r="O130" s="100" t="s">
        <v>141</v>
      </c>
      <c r="P130" s="99"/>
      <c r="Q130" s="100"/>
      <c r="R130" s="99"/>
      <c r="S130" s="100" t="s">
        <v>141</v>
      </c>
      <c r="T130" s="101">
        <f>16.91</f>
        <v>16.91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663</v>
      </c>
      <c r="C131" s="96" t="s">
        <v>664</v>
      </c>
      <c r="D131" s="96" t="s">
        <v>614</v>
      </c>
      <c r="E131" s="97" t="s">
        <v>290</v>
      </c>
      <c r="F131" s="97" t="s">
        <v>615</v>
      </c>
      <c r="G131" s="98">
        <v>24000</v>
      </c>
      <c r="H131" s="99"/>
      <c r="I131" s="100" t="s">
        <v>141</v>
      </c>
      <c r="J131" s="99"/>
      <c r="K131" s="100" t="s">
        <v>141</v>
      </c>
      <c r="L131" s="99"/>
      <c r="M131" s="100"/>
      <c r="N131" s="99"/>
      <c r="O131" s="100" t="s">
        <v>141</v>
      </c>
      <c r="P131" s="99"/>
      <c r="Q131" s="100"/>
      <c r="R131" s="99"/>
      <c r="S131" s="100" t="s">
        <v>141</v>
      </c>
      <c r="T131" s="101">
        <f>21.1</f>
        <v>21.1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663</v>
      </c>
      <c r="C132" s="96" t="s">
        <v>664</v>
      </c>
      <c r="D132" s="96" t="s">
        <v>616</v>
      </c>
      <c r="E132" s="97" t="s">
        <v>290</v>
      </c>
      <c r="F132" s="97" t="s">
        <v>617</v>
      </c>
      <c r="G132" s="98">
        <v>26400</v>
      </c>
      <c r="H132" s="99"/>
      <c r="I132" s="100" t="s">
        <v>141</v>
      </c>
      <c r="J132" s="99"/>
      <c r="K132" s="100" t="s">
        <v>141</v>
      </c>
      <c r="L132" s="99"/>
      <c r="M132" s="100"/>
      <c r="N132" s="99"/>
      <c r="O132" s="100" t="s">
        <v>141</v>
      </c>
      <c r="P132" s="99"/>
      <c r="Q132" s="100"/>
      <c r="R132" s="99"/>
      <c r="S132" s="100" t="s">
        <v>141</v>
      </c>
      <c r="T132" s="101">
        <f>21.37</f>
        <v>21.37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663</v>
      </c>
      <c r="C133" s="96" t="s">
        <v>664</v>
      </c>
      <c r="D133" s="96" t="s">
        <v>618</v>
      </c>
      <c r="E133" s="97" t="s">
        <v>290</v>
      </c>
      <c r="F133" s="97" t="s">
        <v>658</v>
      </c>
      <c r="G133" s="98">
        <v>24000</v>
      </c>
      <c r="H133" s="99"/>
      <c r="I133" s="100" t="s">
        <v>141</v>
      </c>
      <c r="J133" s="99"/>
      <c r="K133" s="100" t="s">
        <v>141</v>
      </c>
      <c r="L133" s="99"/>
      <c r="M133" s="100"/>
      <c r="N133" s="99"/>
      <c r="O133" s="100" t="s">
        <v>141</v>
      </c>
      <c r="P133" s="99"/>
      <c r="Q133" s="100"/>
      <c r="R133" s="99"/>
      <c r="S133" s="100" t="s">
        <v>141</v>
      </c>
      <c r="T133" s="101">
        <f>19.44</f>
        <v>19.440000000000001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663</v>
      </c>
      <c r="C134" s="96" t="s">
        <v>664</v>
      </c>
      <c r="D134" s="96" t="s">
        <v>620</v>
      </c>
      <c r="E134" s="97" t="s">
        <v>290</v>
      </c>
      <c r="F134" s="97" t="s">
        <v>621</v>
      </c>
      <c r="G134" s="98">
        <v>25200</v>
      </c>
      <c r="H134" s="99"/>
      <c r="I134" s="100" t="s">
        <v>141</v>
      </c>
      <c r="J134" s="99"/>
      <c r="K134" s="100" t="s">
        <v>141</v>
      </c>
      <c r="L134" s="99"/>
      <c r="M134" s="100"/>
      <c r="N134" s="99"/>
      <c r="O134" s="100" t="s">
        <v>141</v>
      </c>
      <c r="P134" s="99"/>
      <c r="Q134" s="100"/>
      <c r="R134" s="99"/>
      <c r="S134" s="100" t="s">
        <v>141</v>
      </c>
      <c r="T134" s="101">
        <f>16.77</f>
        <v>16.77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663</v>
      </c>
      <c r="C135" s="96" t="s">
        <v>664</v>
      </c>
      <c r="D135" s="96" t="s">
        <v>622</v>
      </c>
      <c r="E135" s="97" t="s">
        <v>290</v>
      </c>
      <c r="F135" s="97" t="s">
        <v>623</v>
      </c>
      <c r="G135" s="98">
        <v>24000</v>
      </c>
      <c r="H135" s="99"/>
      <c r="I135" s="100" t="s">
        <v>141</v>
      </c>
      <c r="J135" s="99"/>
      <c r="K135" s="100" t="s">
        <v>141</v>
      </c>
      <c r="L135" s="99"/>
      <c r="M135" s="100"/>
      <c r="N135" s="99"/>
      <c r="O135" s="100" t="s">
        <v>141</v>
      </c>
      <c r="P135" s="99"/>
      <c r="Q135" s="100"/>
      <c r="R135" s="99"/>
      <c r="S135" s="100" t="s">
        <v>141</v>
      </c>
      <c r="T135" s="101">
        <f>16.88</f>
        <v>16.88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663</v>
      </c>
      <c r="C136" s="96" t="s">
        <v>664</v>
      </c>
      <c r="D136" s="96" t="s">
        <v>624</v>
      </c>
      <c r="E136" s="97" t="s">
        <v>290</v>
      </c>
      <c r="F136" s="97" t="s">
        <v>659</v>
      </c>
      <c r="G136" s="98">
        <v>25200</v>
      </c>
      <c r="H136" s="99"/>
      <c r="I136" s="100" t="s">
        <v>141</v>
      </c>
      <c r="J136" s="99"/>
      <c r="K136" s="100" t="s">
        <v>141</v>
      </c>
      <c r="L136" s="99"/>
      <c r="M136" s="100"/>
      <c r="N136" s="99"/>
      <c r="O136" s="100" t="s">
        <v>141</v>
      </c>
      <c r="P136" s="99"/>
      <c r="Q136" s="100"/>
      <c r="R136" s="99"/>
      <c r="S136" s="100" t="s">
        <v>141</v>
      </c>
      <c r="T136" s="101">
        <f>19.86</f>
        <v>19.86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663</v>
      </c>
      <c r="C137" s="96" t="s">
        <v>664</v>
      </c>
      <c r="D137" s="96" t="s">
        <v>626</v>
      </c>
      <c r="E137" s="97" t="s">
        <v>290</v>
      </c>
      <c r="F137" s="97" t="s">
        <v>627</v>
      </c>
      <c r="G137" s="98">
        <v>22800</v>
      </c>
      <c r="H137" s="99"/>
      <c r="I137" s="100" t="s">
        <v>141</v>
      </c>
      <c r="J137" s="99"/>
      <c r="K137" s="100" t="s">
        <v>141</v>
      </c>
      <c r="L137" s="99"/>
      <c r="M137" s="100"/>
      <c r="N137" s="99"/>
      <c r="O137" s="100" t="s">
        <v>141</v>
      </c>
      <c r="P137" s="99"/>
      <c r="Q137" s="100"/>
      <c r="R137" s="99"/>
      <c r="S137" s="100" t="s">
        <v>141</v>
      </c>
      <c r="T137" s="101">
        <f>20.44</f>
        <v>20.440000000000001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663</v>
      </c>
      <c r="C138" s="96" t="s">
        <v>664</v>
      </c>
      <c r="D138" s="96" t="s">
        <v>628</v>
      </c>
      <c r="E138" s="97" t="s">
        <v>290</v>
      </c>
      <c r="F138" s="97" t="s">
        <v>629</v>
      </c>
      <c r="G138" s="98">
        <v>22800</v>
      </c>
      <c r="H138" s="99"/>
      <c r="I138" s="100" t="s">
        <v>141</v>
      </c>
      <c r="J138" s="99"/>
      <c r="K138" s="100" t="s">
        <v>141</v>
      </c>
      <c r="L138" s="99"/>
      <c r="M138" s="100"/>
      <c r="N138" s="99"/>
      <c r="O138" s="100" t="s">
        <v>141</v>
      </c>
      <c r="P138" s="99"/>
      <c r="Q138" s="100"/>
      <c r="R138" s="99"/>
      <c r="S138" s="100" t="s">
        <v>141</v>
      </c>
      <c r="T138" s="101">
        <f>19.44</f>
        <v>19.440000000000001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663</v>
      </c>
      <c r="C139" s="96" t="s">
        <v>664</v>
      </c>
      <c r="D139" s="96" t="s">
        <v>630</v>
      </c>
      <c r="E139" s="97" t="s">
        <v>290</v>
      </c>
      <c r="F139" s="97" t="s">
        <v>660</v>
      </c>
      <c r="G139" s="98">
        <v>24000</v>
      </c>
      <c r="H139" s="99"/>
      <c r="I139" s="100" t="s">
        <v>141</v>
      </c>
      <c r="J139" s="99"/>
      <c r="K139" s="100" t="s">
        <v>141</v>
      </c>
      <c r="L139" s="99"/>
      <c r="M139" s="100"/>
      <c r="N139" s="99"/>
      <c r="O139" s="100" t="s">
        <v>141</v>
      </c>
      <c r="P139" s="99"/>
      <c r="Q139" s="100"/>
      <c r="R139" s="99"/>
      <c r="S139" s="100" t="s">
        <v>141</v>
      </c>
      <c r="T139" s="101">
        <f>16.51</f>
        <v>16.510000000000002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663</v>
      </c>
      <c r="C140" s="96" t="s">
        <v>664</v>
      </c>
      <c r="D140" s="96" t="s">
        <v>661</v>
      </c>
      <c r="E140" s="97" t="s">
        <v>363</v>
      </c>
      <c r="F140" s="97" t="s">
        <v>662</v>
      </c>
      <c r="G140" s="98">
        <v>25200</v>
      </c>
      <c r="H140" s="99"/>
      <c r="I140" s="100" t="s">
        <v>141</v>
      </c>
      <c r="J140" s="99"/>
      <c r="K140" s="100" t="s">
        <v>141</v>
      </c>
      <c r="L140" s="99"/>
      <c r="M140" s="100"/>
      <c r="N140" s="99"/>
      <c r="O140" s="100" t="s">
        <v>141</v>
      </c>
      <c r="P140" s="99"/>
      <c r="Q140" s="100"/>
      <c r="R140" s="99"/>
      <c r="S140" s="100" t="s">
        <v>141</v>
      </c>
      <c r="T140" s="101">
        <f>15.61</f>
        <v>15.61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668</v>
      </c>
      <c r="C141" s="96" t="s">
        <v>669</v>
      </c>
      <c r="D141" s="96" t="s">
        <v>267</v>
      </c>
      <c r="E141" s="97" t="s">
        <v>290</v>
      </c>
      <c r="F141" s="97" t="s">
        <v>391</v>
      </c>
      <c r="G141" s="98">
        <v>1000</v>
      </c>
      <c r="H141" s="99"/>
      <c r="I141" s="100" t="s">
        <v>141</v>
      </c>
      <c r="J141" s="99"/>
      <c r="K141" s="100" t="s">
        <v>141</v>
      </c>
      <c r="L141" s="99"/>
      <c r="M141" s="100"/>
      <c r="N141" s="99"/>
      <c r="O141" s="100" t="s">
        <v>141</v>
      </c>
      <c r="P141" s="99"/>
      <c r="Q141" s="100"/>
      <c r="R141" s="99"/>
      <c r="S141" s="100" t="s">
        <v>141</v>
      </c>
      <c r="T141" s="101">
        <f>4103.35</f>
        <v>4103.3500000000004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 t="s">
        <v>60</v>
      </c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668</v>
      </c>
      <c r="C142" s="96" t="s">
        <v>669</v>
      </c>
      <c r="D142" s="96" t="s">
        <v>61</v>
      </c>
      <c r="E142" s="97" t="s">
        <v>290</v>
      </c>
      <c r="F142" s="97" t="s">
        <v>670</v>
      </c>
      <c r="G142" s="98">
        <v>1000</v>
      </c>
      <c r="H142" s="99" t="s">
        <v>55</v>
      </c>
      <c r="I142" s="100" t="s">
        <v>671</v>
      </c>
      <c r="J142" s="99" t="s">
        <v>55</v>
      </c>
      <c r="K142" s="100" t="s">
        <v>671</v>
      </c>
      <c r="L142" s="99" t="s">
        <v>67</v>
      </c>
      <c r="M142" s="100" t="s">
        <v>672</v>
      </c>
      <c r="N142" s="99" t="s">
        <v>219</v>
      </c>
      <c r="O142" s="100" t="s">
        <v>673</v>
      </c>
      <c r="P142" s="99" t="s">
        <v>67</v>
      </c>
      <c r="Q142" s="100" t="s">
        <v>672</v>
      </c>
      <c r="R142" s="99" t="s">
        <v>219</v>
      </c>
      <c r="S142" s="100" t="s">
        <v>673</v>
      </c>
      <c r="T142" s="101">
        <f>3647.83</f>
        <v>3647.83</v>
      </c>
      <c r="U142" s="102">
        <f>3</f>
        <v>3</v>
      </c>
      <c r="V142" s="102">
        <v>1</v>
      </c>
      <c r="W142" s="102"/>
      <c r="X142" s="102">
        <f>11900000</f>
        <v>11900000</v>
      </c>
      <c r="Y142" s="102">
        <v>3550000</v>
      </c>
      <c r="Z142" s="103"/>
      <c r="AA142" s="99"/>
      <c r="AB142" s="104">
        <f>1</f>
        <v>1</v>
      </c>
      <c r="AC142" s="104" t="str">
        <f t="shared" si="15"/>
        <v>－</v>
      </c>
      <c r="AD142" s="105">
        <f>2</f>
        <v>2</v>
      </c>
    </row>
    <row r="143" spans="1:30">
      <c r="A143" s="95" t="s">
        <v>46</v>
      </c>
      <c r="B143" s="96" t="s">
        <v>668</v>
      </c>
      <c r="C143" s="96" t="s">
        <v>669</v>
      </c>
      <c r="D143" s="96" t="s">
        <v>278</v>
      </c>
      <c r="E143" s="97" t="s">
        <v>290</v>
      </c>
      <c r="F143" s="97" t="s">
        <v>397</v>
      </c>
      <c r="G143" s="98">
        <v>1000</v>
      </c>
      <c r="H143" s="99"/>
      <c r="I143" s="100" t="s">
        <v>141</v>
      </c>
      <c r="J143" s="99"/>
      <c r="K143" s="100" t="s">
        <v>141</v>
      </c>
      <c r="L143" s="99"/>
      <c r="M143" s="100"/>
      <c r="N143" s="99"/>
      <c r="O143" s="100" t="s">
        <v>141</v>
      </c>
      <c r="P143" s="99"/>
      <c r="Q143" s="100"/>
      <c r="R143" s="99"/>
      <c r="S143" s="100" t="s">
        <v>141</v>
      </c>
      <c r="T143" s="101">
        <f>3562.17</f>
        <v>3562.17</v>
      </c>
      <c r="U143" s="102" t="str">
        <f t="shared" ref="U143:U156" si="19">"－"</f>
        <v>－</v>
      </c>
      <c r="V143" s="102"/>
      <c r="W143" s="102"/>
      <c r="X143" s="102" t="str">
        <f t="shared" ref="X143:X156" si="20">"－"</f>
        <v>－</v>
      </c>
      <c r="Y143" s="102"/>
      <c r="Z143" s="103"/>
      <c r="AA143" s="99"/>
      <c r="AB143" s="104" t="str">
        <f t="shared" ref="AB143:AD158" si="21">"－"</f>
        <v>－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668</v>
      </c>
      <c r="C144" s="96" t="s">
        <v>669</v>
      </c>
      <c r="D144" s="96" t="s">
        <v>69</v>
      </c>
      <c r="E144" s="97" t="s">
        <v>290</v>
      </c>
      <c r="F144" s="97" t="s">
        <v>674</v>
      </c>
      <c r="G144" s="98">
        <v>1000</v>
      </c>
      <c r="H144" s="99"/>
      <c r="I144" s="100" t="s">
        <v>141</v>
      </c>
      <c r="J144" s="99"/>
      <c r="K144" s="100" t="s">
        <v>141</v>
      </c>
      <c r="L144" s="99"/>
      <c r="M144" s="100"/>
      <c r="N144" s="99"/>
      <c r="O144" s="100" t="s">
        <v>141</v>
      </c>
      <c r="P144" s="99"/>
      <c r="Q144" s="100"/>
      <c r="R144" s="99"/>
      <c r="S144" s="100" t="s">
        <v>141</v>
      </c>
      <c r="T144" s="101">
        <f>3553.21</f>
        <v>3553.21</v>
      </c>
      <c r="U144" s="102" t="str">
        <f t="shared" si="19"/>
        <v>－</v>
      </c>
      <c r="V144" s="102"/>
      <c r="W144" s="102"/>
      <c r="X144" s="102" t="str">
        <f t="shared" si="20"/>
        <v>－</v>
      </c>
      <c r="Y144" s="102"/>
      <c r="Z144" s="103"/>
      <c r="AA144" s="99"/>
      <c r="AB144" s="104" t="str">
        <f t="shared" si="21"/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668</v>
      </c>
      <c r="C145" s="96" t="s">
        <v>669</v>
      </c>
      <c r="D145" s="96" t="s">
        <v>285</v>
      </c>
      <c r="E145" s="97" t="s">
        <v>290</v>
      </c>
      <c r="F145" s="97" t="s">
        <v>403</v>
      </c>
      <c r="G145" s="98">
        <v>1000</v>
      </c>
      <c r="H145" s="99"/>
      <c r="I145" s="100" t="s">
        <v>141</v>
      </c>
      <c r="J145" s="99"/>
      <c r="K145" s="100" t="s">
        <v>141</v>
      </c>
      <c r="L145" s="99"/>
      <c r="M145" s="100"/>
      <c r="N145" s="99"/>
      <c r="O145" s="100" t="s">
        <v>141</v>
      </c>
      <c r="P145" s="99"/>
      <c r="Q145" s="100"/>
      <c r="R145" s="99"/>
      <c r="S145" s="100" t="s">
        <v>141</v>
      </c>
      <c r="T145" s="101">
        <f>3653.99</f>
        <v>3653.99</v>
      </c>
      <c r="U145" s="102" t="str">
        <f t="shared" si="19"/>
        <v>－</v>
      </c>
      <c r="V145" s="102"/>
      <c r="W145" s="102"/>
      <c r="X145" s="102" t="str">
        <f t="shared" si="20"/>
        <v>－</v>
      </c>
      <c r="Y145" s="102"/>
      <c r="Z145" s="103"/>
      <c r="AA145" s="99"/>
      <c r="AB145" s="104" t="str">
        <f t="shared" si="21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668</v>
      </c>
      <c r="C146" s="96" t="s">
        <v>669</v>
      </c>
      <c r="D146" s="96" t="s">
        <v>76</v>
      </c>
      <c r="E146" s="97" t="s">
        <v>290</v>
      </c>
      <c r="F146" s="97" t="s">
        <v>675</v>
      </c>
      <c r="G146" s="98">
        <v>1000</v>
      </c>
      <c r="H146" s="99"/>
      <c r="I146" s="100" t="s">
        <v>141</v>
      </c>
      <c r="J146" s="99"/>
      <c r="K146" s="100" t="s">
        <v>141</v>
      </c>
      <c r="L146" s="99"/>
      <c r="M146" s="100"/>
      <c r="N146" s="99"/>
      <c r="O146" s="100" t="s">
        <v>141</v>
      </c>
      <c r="P146" s="99"/>
      <c r="Q146" s="100"/>
      <c r="R146" s="99"/>
      <c r="S146" s="100" t="s">
        <v>141</v>
      </c>
      <c r="T146" s="101">
        <f>3672.83</f>
        <v>3672.83</v>
      </c>
      <c r="U146" s="102" t="str">
        <f t="shared" si="19"/>
        <v>－</v>
      </c>
      <c r="V146" s="102"/>
      <c r="W146" s="102"/>
      <c r="X146" s="102" t="str">
        <f t="shared" si="20"/>
        <v>－</v>
      </c>
      <c r="Y146" s="102"/>
      <c r="Z146" s="103"/>
      <c r="AA146" s="99"/>
      <c r="AB146" s="104" t="str">
        <f t="shared" si="21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668</v>
      </c>
      <c r="C147" s="96" t="s">
        <v>669</v>
      </c>
      <c r="D147" s="96" t="s">
        <v>334</v>
      </c>
      <c r="E147" s="97" t="s">
        <v>290</v>
      </c>
      <c r="F147" s="97" t="s">
        <v>407</v>
      </c>
      <c r="G147" s="98">
        <v>1000</v>
      </c>
      <c r="H147" s="99"/>
      <c r="I147" s="100" t="s">
        <v>141</v>
      </c>
      <c r="J147" s="99"/>
      <c r="K147" s="100" t="s">
        <v>141</v>
      </c>
      <c r="L147" s="99"/>
      <c r="M147" s="100"/>
      <c r="N147" s="99"/>
      <c r="O147" s="100" t="s">
        <v>141</v>
      </c>
      <c r="P147" s="99"/>
      <c r="Q147" s="100"/>
      <c r="R147" s="99"/>
      <c r="S147" s="100" t="s">
        <v>141</v>
      </c>
      <c r="T147" s="101">
        <f>3802.74</f>
        <v>3802.74</v>
      </c>
      <c r="U147" s="102" t="str">
        <f t="shared" si="19"/>
        <v>－</v>
      </c>
      <c r="V147" s="102"/>
      <c r="W147" s="102"/>
      <c r="X147" s="102" t="str">
        <f t="shared" si="20"/>
        <v>－</v>
      </c>
      <c r="Y147" s="102"/>
      <c r="Z147" s="103"/>
      <c r="AA147" s="99"/>
      <c r="AB147" s="104" t="str">
        <f t="shared" si="21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668</v>
      </c>
      <c r="C148" s="96" t="s">
        <v>669</v>
      </c>
      <c r="D148" s="96" t="s">
        <v>83</v>
      </c>
      <c r="E148" s="97" t="s">
        <v>290</v>
      </c>
      <c r="F148" s="97" t="s">
        <v>676</v>
      </c>
      <c r="G148" s="98">
        <v>1000</v>
      </c>
      <c r="H148" s="99"/>
      <c r="I148" s="100" t="s">
        <v>141</v>
      </c>
      <c r="J148" s="99"/>
      <c r="K148" s="100" t="s">
        <v>141</v>
      </c>
      <c r="L148" s="99"/>
      <c r="M148" s="100"/>
      <c r="N148" s="99"/>
      <c r="O148" s="100" t="s">
        <v>141</v>
      </c>
      <c r="P148" s="99"/>
      <c r="Q148" s="100"/>
      <c r="R148" s="99"/>
      <c r="S148" s="100" t="s">
        <v>141</v>
      </c>
      <c r="T148" s="101">
        <f>3827</f>
        <v>3827</v>
      </c>
      <c r="U148" s="102" t="str">
        <f t="shared" si="19"/>
        <v>－</v>
      </c>
      <c r="V148" s="102"/>
      <c r="W148" s="102"/>
      <c r="X148" s="102" t="str">
        <f t="shared" si="20"/>
        <v>－</v>
      </c>
      <c r="Y148" s="102"/>
      <c r="Z148" s="103"/>
      <c r="AA148" s="99"/>
      <c r="AB148" s="104" t="str">
        <f t="shared" si="21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668</v>
      </c>
      <c r="C149" s="96" t="s">
        <v>669</v>
      </c>
      <c r="D149" s="96" t="s">
        <v>344</v>
      </c>
      <c r="E149" s="97" t="s">
        <v>290</v>
      </c>
      <c r="F149" s="97" t="s">
        <v>413</v>
      </c>
      <c r="G149" s="98">
        <v>1000</v>
      </c>
      <c r="H149" s="99"/>
      <c r="I149" s="100" t="s">
        <v>141</v>
      </c>
      <c r="J149" s="99"/>
      <c r="K149" s="100" t="s">
        <v>141</v>
      </c>
      <c r="L149" s="99"/>
      <c r="M149" s="100"/>
      <c r="N149" s="99"/>
      <c r="O149" s="100" t="s">
        <v>141</v>
      </c>
      <c r="P149" s="99"/>
      <c r="Q149" s="100"/>
      <c r="R149" s="99"/>
      <c r="S149" s="100" t="s">
        <v>141</v>
      </c>
      <c r="T149" s="101">
        <f>3864.15</f>
        <v>3864.15</v>
      </c>
      <c r="U149" s="102" t="str">
        <f t="shared" si="19"/>
        <v>－</v>
      </c>
      <c r="V149" s="102"/>
      <c r="W149" s="102"/>
      <c r="X149" s="102" t="str">
        <f t="shared" si="20"/>
        <v>－</v>
      </c>
      <c r="Y149" s="102"/>
      <c r="Z149" s="103"/>
      <c r="AA149" s="99"/>
      <c r="AB149" s="104" t="str">
        <f t="shared" si="21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668</v>
      </c>
      <c r="C150" s="96" t="s">
        <v>669</v>
      </c>
      <c r="D150" s="96" t="s">
        <v>90</v>
      </c>
      <c r="E150" s="97" t="s">
        <v>290</v>
      </c>
      <c r="F150" s="97" t="s">
        <v>677</v>
      </c>
      <c r="G150" s="98">
        <v>1000</v>
      </c>
      <c r="H150" s="99"/>
      <c r="I150" s="100" t="s">
        <v>141</v>
      </c>
      <c r="J150" s="99"/>
      <c r="K150" s="100" t="s">
        <v>141</v>
      </c>
      <c r="L150" s="99"/>
      <c r="M150" s="100"/>
      <c r="N150" s="99"/>
      <c r="O150" s="100" t="s">
        <v>141</v>
      </c>
      <c r="P150" s="99"/>
      <c r="Q150" s="100"/>
      <c r="R150" s="99"/>
      <c r="S150" s="100" t="s">
        <v>141</v>
      </c>
      <c r="T150" s="101">
        <f>3632.05</f>
        <v>3632.05</v>
      </c>
      <c r="U150" s="102" t="str">
        <f t="shared" si="19"/>
        <v>－</v>
      </c>
      <c r="V150" s="102"/>
      <c r="W150" s="102"/>
      <c r="X150" s="102" t="str">
        <f t="shared" si="20"/>
        <v>－</v>
      </c>
      <c r="Y150" s="102"/>
      <c r="Z150" s="103"/>
      <c r="AA150" s="99"/>
      <c r="AB150" s="104" t="str">
        <f t="shared" si="21"/>
        <v>－</v>
      </c>
      <c r="AC150" s="104" t="str">
        <f t="shared" si="21"/>
        <v>－</v>
      </c>
      <c r="AD150" s="105" t="str">
        <f t="shared" si="21"/>
        <v>－</v>
      </c>
    </row>
    <row r="151" spans="1:30">
      <c r="A151" s="95" t="s">
        <v>46</v>
      </c>
      <c r="B151" s="96" t="s">
        <v>668</v>
      </c>
      <c r="C151" s="96" t="s">
        <v>669</v>
      </c>
      <c r="D151" s="96" t="s">
        <v>354</v>
      </c>
      <c r="E151" s="97" t="s">
        <v>290</v>
      </c>
      <c r="F151" s="97" t="s">
        <v>418</v>
      </c>
      <c r="G151" s="98">
        <v>1000</v>
      </c>
      <c r="H151" s="99"/>
      <c r="I151" s="100" t="s">
        <v>141</v>
      </c>
      <c r="J151" s="99"/>
      <c r="K151" s="100" t="s">
        <v>141</v>
      </c>
      <c r="L151" s="99"/>
      <c r="M151" s="100"/>
      <c r="N151" s="99"/>
      <c r="O151" s="100" t="s">
        <v>141</v>
      </c>
      <c r="P151" s="99"/>
      <c r="Q151" s="100"/>
      <c r="R151" s="99"/>
      <c r="S151" s="100" t="s">
        <v>141</v>
      </c>
      <c r="T151" s="101">
        <f>3239.01</f>
        <v>3239.01</v>
      </c>
      <c r="U151" s="102" t="str">
        <f t="shared" si="19"/>
        <v>－</v>
      </c>
      <c r="V151" s="102"/>
      <c r="W151" s="102"/>
      <c r="X151" s="102" t="str">
        <f t="shared" si="20"/>
        <v>－</v>
      </c>
      <c r="Y151" s="102"/>
      <c r="Z151" s="103"/>
      <c r="AA151" s="99"/>
      <c r="AB151" s="104" t="str">
        <f t="shared" si="21"/>
        <v>－</v>
      </c>
      <c r="AC151" s="104" t="str">
        <f t="shared" si="21"/>
        <v>－</v>
      </c>
      <c r="AD151" s="105" t="str">
        <f t="shared" si="21"/>
        <v>－</v>
      </c>
    </row>
    <row r="152" spans="1:30">
      <c r="A152" s="95" t="s">
        <v>46</v>
      </c>
      <c r="B152" s="96" t="s">
        <v>668</v>
      </c>
      <c r="C152" s="96" t="s">
        <v>669</v>
      </c>
      <c r="D152" s="96" t="s">
        <v>99</v>
      </c>
      <c r="E152" s="97" t="s">
        <v>290</v>
      </c>
      <c r="F152" s="97" t="s">
        <v>678</v>
      </c>
      <c r="G152" s="98">
        <v>1000</v>
      </c>
      <c r="H152" s="99"/>
      <c r="I152" s="100" t="s">
        <v>141</v>
      </c>
      <c r="J152" s="99"/>
      <c r="K152" s="100" t="s">
        <v>141</v>
      </c>
      <c r="L152" s="99"/>
      <c r="M152" s="100"/>
      <c r="N152" s="99"/>
      <c r="O152" s="100" t="s">
        <v>141</v>
      </c>
      <c r="P152" s="99"/>
      <c r="Q152" s="100"/>
      <c r="R152" s="99"/>
      <c r="S152" s="100" t="s">
        <v>141</v>
      </c>
      <c r="T152" s="101">
        <f>3001.53</f>
        <v>3001.53</v>
      </c>
      <c r="U152" s="102" t="str">
        <f t="shared" si="19"/>
        <v>－</v>
      </c>
      <c r="V152" s="102"/>
      <c r="W152" s="102"/>
      <c r="X152" s="102" t="str">
        <f t="shared" si="20"/>
        <v>－</v>
      </c>
      <c r="Y152" s="102"/>
      <c r="Z152" s="103"/>
      <c r="AA152" s="99"/>
      <c r="AB152" s="104" t="str">
        <f t="shared" si="21"/>
        <v>－</v>
      </c>
      <c r="AC152" s="104" t="str">
        <f t="shared" si="21"/>
        <v>－</v>
      </c>
      <c r="AD152" s="105" t="str">
        <f t="shared" si="21"/>
        <v>－</v>
      </c>
    </row>
    <row r="153" spans="1:30">
      <c r="A153" s="95" t="s">
        <v>46</v>
      </c>
      <c r="B153" s="96" t="s">
        <v>668</v>
      </c>
      <c r="C153" s="96" t="s">
        <v>669</v>
      </c>
      <c r="D153" s="96" t="s">
        <v>423</v>
      </c>
      <c r="E153" s="97" t="s">
        <v>290</v>
      </c>
      <c r="F153" s="97" t="s">
        <v>425</v>
      </c>
      <c r="G153" s="98">
        <v>1000</v>
      </c>
      <c r="H153" s="99"/>
      <c r="I153" s="100" t="s">
        <v>141</v>
      </c>
      <c r="J153" s="99"/>
      <c r="K153" s="100" t="s">
        <v>141</v>
      </c>
      <c r="L153" s="99"/>
      <c r="M153" s="100"/>
      <c r="N153" s="99"/>
      <c r="O153" s="100" t="s">
        <v>141</v>
      </c>
      <c r="P153" s="99"/>
      <c r="Q153" s="100"/>
      <c r="R153" s="99"/>
      <c r="S153" s="100" t="s">
        <v>141</v>
      </c>
      <c r="T153" s="101">
        <f>2753.71</f>
        <v>2753.71</v>
      </c>
      <c r="U153" s="102" t="str">
        <f t="shared" si="19"/>
        <v>－</v>
      </c>
      <c r="V153" s="102"/>
      <c r="W153" s="102"/>
      <c r="X153" s="102" t="str">
        <f t="shared" si="20"/>
        <v>－</v>
      </c>
      <c r="Y153" s="102"/>
      <c r="Z153" s="103"/>
      <c r="AA153" s="99"/>
      <c r="AB153" s="104" t="str">
        <f t="shared" si="21"/>
        <v>－</v>
      </c>
      <c r="AC153" s="104" t="str">
        <f t="shared" si="21"/>
        <v>－</v>
      </c>
      <c r="AD153" s="105" t="str">
        <f t="shared" si="21"/>
        <v>－</v>
      </c>
    </row>
    <row r="154" spans="1:30">
      <c r="A154" s="95" t="s">
        <v>46</v>
      </c>
      <c r="B154" s="96" t="s">
        <v>668</v>
      </c>
      <c r="C154" s="96" t="s">
        <v>669</v>
      </c>
      <c r="D154" s="96" t="s">
        <v>569</v>
      </c>
      <c r="E154" s="97" t="s">
        <v>290</v>
      </c>
      <c r="F154" s="97" t="s">
        <v>679</v>
      </c>
      <c r="G154" s="98">
        <v>1000</v>
      </c>
      <c r="H154" s="99"/>
      <c r="I154" s="100" t="s">
        <v>141</v>
      </c>
      <c r="J154" s="99"/>
      <c r="K154" s="100" t="s">
        <v>141</v>
      </c>
      <c r="L154" s="99"/>
      <c r="M154" s="100"/>
      <c r="N154" s="99"/>
      <c r="O154" s="100" t="s">
        <v>141</v>
      </c>
      <c r="P154" s="99"/>
      <c r="Q154" s="100"/>
      <c r="R154" s="99"/>
      <c r="S154" s="100" t="s">
        <v>141</v>
      </c>
      <c r="T154" s="101">
        <f>2724.6</f>
        <v>2724.6</v>
      </c>
      <c r="U154" s="102" t="str">
        <f t="shared" si="19"/>
        <v>－</v>
      </c>
      <c r="V154" s="102"/>
      <c r="W154" s="102"/>
      <c r="X154" s="102" t="str">
        <f t="shared" si="20"/>
        <v>－</v>
      </c>
      <c r="Y154" s="102"/>
      <c r="Z154" s="103"/>
      <c r="AA154" s="99"/>
      <c r="AB154" s="104" t="str">
        <f t="shared" si="21"/>
        <v>－</v>
      </c>
      <c r="AC154" s="104" t="str">
        <f t="shared" si="21"/>
        <v>－</v>
      </c>
      <c r="AD154" s="105" t="str">
        <f t="shared" si="21"/>
        <v>－</v>
      </c>
    </row>
    <row r="155" spans="1:30">
      <c r="A155" s="95" t="s">
        <v>46</v>
      </c>
      <c r="B155" s="96" t="s">
        <v>668</v>
      </c>
      <c r="C155" s="96" t="s">
        <v>669</v>
      </c>
      <c r="D155" s="96" t="s">
        <v>614</v>
      </c>
      <c r="E155" s="97" t="s">
        <v>290</v>
      </c>
      <c r="F155" s="97" t="s">
        <v>680</v>
      </c>
      <c r="G155" s="98">
        <v>1000</v>
      </c>
      <c r="H155" s="99"/>
      <c r="I155" s="100" t="s">
        <v>141</v>
      </c>
      <c r="J155" s="99"/>
      <c r="K155" s="100" t="s">
        <v>141</v>
      </c>
      <c r="L155" s="99"/>
      <c r="M155" s="100"/>
      <c r="N155" s="99"/>
      <c r="O155" s="100" t="s">
        <v>141</v>
      </c>
      <c r="P155" s="99"/>
      <c r="Q155" s="100"/>
      <c r="R155" s="99"/>
      <c r="S155" s="100" t="s">
        <v>141</v>
      </c>
      <c r="T155" s="101">
        <f>2703.18</f>
        <v>2703.18</v>
      </c>
      <c r="U155" s="102" t="str">
        <f t="shared" si="19"/>
        <v>－</v>
      </c>
      <c r="V155" s="102"/>
      <c r="W155" s="102"/>
      <c r="X155" s="102" t="str">
        <f t="shared" si="20"/>
        <v>－</v>
      </c>
      <c r="Y155" s="102"/>
      <c r="Z155" s="103"/>
      <c r="AA155" s="99"/>
      <c r="AB155" s="104" t="str">
        <f t="shared" si="21"/>
        <v>－</v>
      </c>
      <c r="AC155" s="104" t="str">
        <f t="shared" si="21"/>
        <v>－</v>
      </c>
      <c r="AD155" s="105" t="str">
        <f t="shared" si="21"/>
        <v>－</v>
      </c>
    </row>
    <row r="156" spans="1:30">
      <c r="A156" s="95" t="s">
        <v>46</v>
      </c>
      <c r="B156" s="96" t="s">
        <v>668</v>
      </c>
      <c r="C156" s="96" t="s">
        <v>669</v>
      </c>
      <c r="D156" s="96" t="s">
        <v>616</v>
      </c>
      <c r="E156" s="97" t="s">
        <v>424</v>
      </c>
      <c r="F156" s="97" t="s">
        <v>681</v>
      </c>
      <c r="G156" s="98">
        <v>1000</v>
      </c>
      <c r="H156" s="99"/>
      <c r="I156" s="100" t="s">
        <v>141</v>
      </c>
      <c r="J156" s="99"/>
      <c r="K156" s="100" t="s">
        <v>141</v>
      </c>
      <c r="L156" s="99"/>
      <c r="M156" s="100"/>
      <c r="N156" s="99"/>
      <c r="O156" s="100" t="s">
        <v>141</v>
      </c>
      <c r="P156" s="99"/>
      <c r="Q156" s="100"/>
      <c r="R156" s="99"/>
      <c r="S156" s="100" t="s">
        <v>141</v>
      </c>
      <c r="T156" s="101">
        <f>2932.77</f>
        <v>2932.77</v>
      </c>
      <c r="U156" s="102" t="str">
        <f t="shared" si="19"/>
        <v>－</v>
      </c>
      <c r="V156" s="102"/>
      <c r="W156" s="102"/>
      <c r="X156" s="102" t="str">
        <f t="shared" si="20"/>
        <v>－</v>
      </c>
      <c r="Y156" s="102"/>
      <c r="Z156" s="103"/>
      <c r="AA156" s="99"/>
      <c r="AB156" s="104" t="str">
        <f t="shared" si="21"/>
        <v>－</v>
      </c>
      <c r="AC156" s="104" t="str">
        <f t="shared" si="21"/>
        <v>－</v>
      </c>
      <c r="AD156" s="105" t="str">
        <f t="shared" si="21"/>
        <v>－</v>
      </c>
    </row>
    <row r="157" spans="1:30">
      <c r="A157" s="95" t="s">
        <v>46</v>
      </c>
      <c r="B157" s="96" t="s">
        <v>682</v>
      </c>
      <c r="C157" s="96" t="s">
        <v>683</v>
      </c>
      <c r="D157" s="96" t="s">
        <v>267</v>
      </c>
      <c r="E157" s="97" t="s">
        <v>329</v>
      </c>
      <c r="F157" s="97" t="s">
        <v>50</v>
      </c>
      <c r="G157" s="98">
        <v>10</v>
      </c>
      <c r="H157" s="99" t="s">
        <v>167</v>
      </c>
      <c r="I157" s="100" t="s">
        <v>684</v>
      </c>
      <c r="J157" s="99" t="s">
        <v>167</v>
      </c>
      <c r="K157" s="100" t="s">
        <v>685</v>
      </c>
      <c r="L157" s="99" t="s">
        <v>58</v>
      </c>
      <c r="M157" s="100" t="s">
        <v>686</v>
      </c>
      <c r="N157" s="99" t="s">
        <v>58</v>
      </c>
      <c r="O157" s="100" t="s">
        <v>687</v>
      </c>
      <c r="P157" s="99" t="s">
        <v>58</v>
      </c>
      <c r="Q157" s="100" t="s">
        <v>688</v>
      </c>
      <c r="R157" s="99" t="s">
        <v>58</v>
      </c>
      <c r="S157" s="100" t="s">
        <v>689</v>
      </c>
      <c r="T157" s="101">
        <f>79844.12</f>
        <v>79844.12</v>
      </c>
      <c r="U157" s="102">
        <f>155</f>
        <v>155</v>
      </c>
      <c r="V157" s="102">
        <v>19</v>
      </c>
      <c r="W157" s="102"/>
      <c r="X157" s="102">
        <f>120731000</f>
        <v>120731000</v>
      </c>
      <c r="Y157" s="102">
        <v>14407000</v>
      </c>
      <c r="Z157" s="103"/>
      <c r="AA157" s="99" t="s">
        <v>60</v>
      </c>
      <c r="AB157" s="104">
        <f>112</f>
        <v>112</v>
      </c>
      <c r="AC157" s="104" t="str">
        <f t="shared" si="21"/>
        <v>－</v>
      </c>
      <c r="AD157" s="105">
        <f>7</f>
        <v>7</v>
      </c>
    </row>
    <row r="158" spans="1:30">
      <c r="A158" s="95" t="s">
        <v>46</v>
      </c>
      <c r="B158" s="96" t="s">
        <v>682</v>
      </c>
      <c r="C158" s="96" t="s">
        <v>683</v>
      </c>
      <c r="D158" s="96" t="s">
        <v>61</v>
      </c>
      <c r="E158" s="97" t="s">
        <v>434</v>
      </c>
      <c r="F158" s="97" t="s">
        <v>301</v>
      </c>
      <c r="G158" s="98">
        <v>10</v>
      </c>
      <c r="H158" s="99" t="s">
        <v>58</v>
      </c>
      <c r="I158" s="100" t="s">
        <v>690</v>
      </c>
      <c r="J158" s="99" t="s">
        <v>58</v>
      </c>
      <c r="K158" s="100" t="s">
        <v>690</v>
      </c>
      <c r="L158" s="99"/>
      <c r="M158" s="100"/>
      <c r="N158" s="99" t="s">
        <v>212</v>
      </c>
      <c r="O158" s="100" t="s">
        <v>691</v>
      </c>
      <c r="P158" s="99"/>
      <c r="Q158" s="100"/>
      <c r="R158" s="99" t="s">
        <v>212</v>
      </c>
      <c r="S158" s="100" t="s">
        <v>691</v>
      </c>
      <c r="T158" s="101">
        <f>79010</f>
        <v>79010</v>
      </c>
      <c r="U158" s="102">
        <f>5</f>
        <v>5</v>
      </c>
      <c r="V158" s="102"/>
      <c r="W158" s="102"/>
      <c r="X158" s="102">
        <f>3794000</f>
        <v>3794000</v>
      </c>
      <c r="Y158" s="102"/>
      <c r="Z158" s="103"/>
      <c r="AA158" s="99"/>
      <c r="AB158" s="104">
        <f>6</f>
        <v>6</v>
      </c>
      <c r="AC158" s="104" t="str">
        <f t="shared" si="21"/>
        <v>－</v>
      </c>
      <c r="AD158" s="105">
        <f>3</f>
        <v>3</v>
      </c>
    </row>
    <row r="159" spans="1:30">
      <c r="A159" s="95" t="s">
        <v>46</v>
      </c>
      <c r="B159" s="96" t="s">
        <v>682</v>
      </c>
      <c r="C159" s="96" t="s">
        <v>683</v>
      </c>
      <c r="D159" s="96" t="s">
        <v>278</v>
      </c>
      <c r="E159" s="97" t="s">
        <v>471</v>
      </c>
      <c r="F159" s="97" t="s">
        <v>113</v>
      </c>
      <c r="G159" s="98">
        <v>10</v>
      </c>
      <c r="H159" s="99" t="s">
        <v>53</v>
      </c>
      <c r="I159" s="100" t="s">
        <v>496</v>
      </c>
      <c r="J159" s="99" t="s">
        <v>53</v>
      </c>
      <c r="K159" s="100" t="s">
        <v>496</v>
      </c>
      <c r="L159" s="99"/>
      <c r="M159" s="100"/>
      <c r="N159" s="99" t="s">
        <v>58</v>
      </c>
      <c r="O159" s="100" t="s">
        <v>687</v>
      </c>
      <c r="P159" s="99"/>
      <c r="Q159" s="100"/>
      <c r="R159" s="99" t="s">
        <v>58</v>
      </c>
      <c r="S159" s="100" t="s">
        <v>687</v>
      </c>
      <c r="T159" s="101">
        <f>78960</f>
        <v>78960</v>
      </c>
      <c r="U159" s="102">
        <f>3</f>
        <v>3</v>
      </c>
      <c r="V159" s="102"/>
      <c r="W159" s="102"/>
      <c r="X159" s="102">
        <f>2310000</f>
        <v>2310000</v>
      </c>
      <c r="Y159" s="102"/>
      <c r="Z159" s="103"/>
      <c r="AA159" s="99"/>
      <c r="AB159" s="104">
        <f>3</f>
        <v>3</v>
      </c>
      <c r="AC159" s="104" t="str">
        <f t="shared" ref="AC159:AC194" si="22">"－"</f>
        <v>－</v>
      </c>
      <c r="AD159" s="105">
        <f>2</f>
        <v>2</v>
      </c>
    </row>
    <row r="160" spans="1:30">
      <c r="A160" s="95" t="s">
        <v>46</v>
      </c>
      <c r="B160" s="96" t="s">
        <v>682</v>
      </c>
      <c r="C160" s="96" t="s">
        <v>683</v>
      </c>
      <c r="D160" s="96" t="s">
        <v>69</v>
      </c>
      <c r="E160" s="97" t="s">
        <v>345</v>
      </c>
      <c r="F160" s="97" t="s">
        <v>311</v>
      </c>
      <c r="G160" s="98">
        <v>10</v>
      </c>
      <c r="H160" s="99" t="s">
        <v>58</v>
      </c>
      <c r="I160" s="100" t="s">
        <v>692</v>
      </c>
      <c r="J160" s="99" t="s">
        <v>58</v>
      </c>
      <c r="K160" s="100" t="s">
        <v>692</v>
      </c>
      <c r="L160" s="99"/>
      <c r="M160" s="100"/>
      <c r="N160" s="99" t="s">
        <v>58</v>
      </c>
      <c r="O160" s="100" t="s">
        <v>687</v>
      </c>
      <c r="P160" s="99"/>
      <c r="Q160" s="100"/>
      <c r="R160" s="99" t="s">
        <v>58</v>
      </c>
      <c r="S160" s="100" t="s">
        <v>687</v>
      </c>
      <c r="T160" s="101">
        <f>79060</f>
        <v>79060</v>
      </c>
      <c r="U160" s="102">
        <f>2</f>
        <v>2</v>
      </c>
      <c r="V160" s="102"/>
      <c r="W160" s="102"/>
      <c r="X160" s="102">
        <f>1520000</f>
        <v>1520000</v>
      </c>
      <c r="Y160" s="102"/>
      <c r="Z160" s="103"/>
      <c r="AA160" s="99"/>
      <c r="AB160" s="104">
        <f>2</f>
        <v>2</v>
      </c>
      <c r="AC160" s="104" t="str">
        <f t="shared" si="22"/>
        <v>－</v>
      </c>
      <c r="AD160" s="105">
        <f>1</f>
        <v>1</v>
      </c>
    </row>
    <row r="161" spans="1:30">
      <c r="A161" s="95" t="s">
        <v>46</v>
      </c>
      <c r="B161" s="96" t="s">
        <v>682</v>
      </c>
      <c r="C161" s="96" t="s">
        <v>683</v>
      </c>
      <c r="D161" s="96" t="s">
        <v>285</v>
      </c>
      <c r="E161" s="97" t="s">
        <v>480</v>
      </c>
      <c r="F161" s="97" t="s">
        <v>118</v>
      </c>
      <c r="G161" s="98">
        <v>10</v>
      </c>
      <c r="H161" s="99" t="s">
        <v>111</v>
      </c>
      <c r="I161" s="100" t="s">
        <v>487</v>
      </c>
      <c r="J161" s="99" t="s">
        <v>111</v>
      </c>
      <c r="K161" s="100" t="s">
        <v>487</v>
      </c>
      <c r="L161" s="99"/>
      <c r="M161" s="100"/>
      <c r="N161" s="99" t="s">
        <v>58</v>
      </c>
      <c r="O161" s="100" t="s">
        <v>687</v>
      </c>
      <c r="P161" s="99"/>
      <c r="Q161" s="100"/>
      <c r="R161" s="99" t="s">
        <v>58</v>
      </c>
      <c r="S161" s="100" t="s">
        <v>687</v>
      </c>
      <c r="T161" s="101">
        <f>78754</f>
        <v>78754</v>
      </c>
      <c r="U161" s="102">
        <f>3</f>
        <v>3</v>
      </c>
      <c r="V161" s="102"/>
      <c r="W161" s="102"/>
      <c r="X161" s="102">
        <f>2300000</f>
        <v>2300000</v>
      </c>
      <c r="Y161" s="102"/>
      <c r="Z161" s="103"/>
      <c r="AA161" s="99"/>
      <c r="AB161" s="104">
        <f>3</f>
        <v>3</v>
      </c>
      <c r="AC161" s="104" t="str">
        <f t="shared" si="22"/>
        <v>－</v>
      </c>
      <c r="AD161" s="105">
        <f>2</f>
        <v>2</v>
      </c>
    </row>
    <row r="162" spans="1:30">
      <c r="A162" s="95" t="s">
        <v>46</v>
      </c>
      <c r="B162" s="96" t="s">
        <v>682</v>
      </c>
      <c r="C162" s="96" t="s">
        <v>683</v>
      </c>
      <c r="D162" s="96" t="s">
        <v>76</v>
      </c>
      <c r="E162" s="97" t="s">
        <v>355</v>
      </c>
      <c r="F162" s="97" t="s">
        <v>486</v>
      </c>
      <c r="G162" s="98">
        <v>10</v>
      </c>
      <c r="H162" s="99"/>
      <c r="I162" s="100" t="s">
        <v>141</v>
      </c>
      <c r="J162" s="99"/>
      <c r="K162" s="100" t="s">
        <v>141</v>
      </c>
      <c r="L162" s="99"/>
      <c r="M162" s="100"/>
      <c r="N162" s="99"/>
      <c r="O162" s="100" t="s">
        <v>141</v>
      </c>
      <c r="P162" s="99"/>
      <c r="Q162" s="100"/>
      <c r="R162" s="99"/>
      <c r="S162" s="100" t="s">
        <v>141</v>
      </c>
      <c r="T162" s="101">
        <f>79060</f>
        <v>79060</v>
      </c>
      <c r="U162" s="102" t="str">
        <f>"－"</f>
        <v>－</v>
      </c>
      <c r="V162" s="102"/>
      <c r="W162" s="102"/>
      <c r="X162" s="102" t="str">
        <f>"－"</f>
        <v>－</v>
      </c>
      <c r="Y162" s="102"/>
      <c r="Z162" s="103"/>
      <c r="AA162" s="99"/>
      <c r="AB162" s="104" t="str">
        <f>"－"</f>
        <v>－</v>
      </c>
      <c r="AC162" s="104" t="str">
        <f t="shared" si="22"/>
        <v>－</v>
      </c>
      <c r="AD162" s="105" t="str">
        <f>"－"</f>
        <v>－</v>
      </c>
    </row>
    <row r="163" spans="1:30">
      <c r="A163" s="95" t="s">
        <v>46</v>
      </c>
      <c r="B163" s="96" t="s">
        <v>682</v>
      </c>
      <c r="C163" s="96" t="s">
        <v>683</v>
      </c>
      <c r="D163" s="96" t="s">
        <v>334</v>
      </c>
      <c r="E163" s="97" t="s">
        <v>100</v>
      </c>
      <c r="F163" s="97" t="s">
        <v>122</v>
      </c>
      <c r="G163" s="98">
        <v>10</v>
      </c>
      <c r="H163" s="99"/>
      <c r="I163" s="100" t="s">
        <v>141</v>
      </c>
      <c r="J163" s="99"/>
      <c r="K163" s="100" t="s">
        <v>141</v>
      </c>
      <c r="L163" s="99"/>
      <c r="M163" s="100"/>
      <c r="N163" s="99"/>
      <c r="O163" s="100" t="s">
        <v>141</v>
      </c>
      <c r="P163" s="99"/>
      <c r="Q163" s="100"/>
      <c r="R163" s="99"/>
      <c r="S163" s="100" t="s">
        <v>141</v>
      </c>
      <c r="T163" s="101">
        <f>75800</f>
        <v>75800</v>
      </c>
      <c r="U163" s="102" t="str">
        <f>"－"</f>
        <v>－</v>
      </c>
      <c r="V163" s="102"/>
      <c r="W163" s="102"/>
      <c r="X163" s="102" t="str">
        <f>"－"</f>
        <v>－</v>
      </c>
      <c r="Y163" s="102"/>
      <c r="Z163" s="103"/>
      <c r="AA163" s="99"/>
      <c r="AB163" s="104" t="str">
        <f>"－"</f>
        <v>－</v>
      </c>
      <c r="AC163" s="104" t="str">
        <f t="shared" si="22"/>
        <v>－</v>
      </c>
      <c r="AD163" s="105" t="str">
        <f>"－"</f>
        <v>－</v>
      </c>
    </row>
    <row r="164" spans="1:30">
      <c r="A164" s="95" t="s">
        <v>46</v>
      </c>
      <c r="B164" s="96" t="s">
        <v>693</v>
      </c>
      <c r="C164" s="96" t="s">
        <v>694</v>
      </c>
      <c r="D164" s="96" t="s">
        <v>267</v>
      </c>
      <c r="E164" s="97" t="s">
        <v>329</v>
      </c>
      <c r="F164" s="97" t="s">
        <v>50</v>
      </c>
      <c r="G164" s="98">
        <v>10</v>
      </c>
      <c r="H164" s="99" t="s">
        <v>167</v>
      </c>
      <c r="I164" s="100" t="s">
        <v>684</v>
      </c>
      <c r="J164" s="99" t="s">
        <v>167</v>
      </c>
      <c r="K164" s="100" t="s">
        <v>684</v>
      </c>
      <c r="L164" s="99" t="s">
        <v>53</v>
      </c>
      <c r="M164" s="100" t="s">
        <v>695</v>
      </c>
      <c r="N164" s="99" t="s">
        <v>111</v>
      </c>
      <c r="O164" s="100" t="s">
        <v>497</v>
      </c>
      <c r="P164" s="99" t="s">
        <v>58</v>
      </c>
      <c r="Q164" s="100" t="s">
        <v>696</v>
      </c>
      <c r="R164" s="99" t="s">
        <v>58</v>
      </c>
      <c r="S164" s="100" t="s">
        <v>497</v>
      </c>
      <c r="T164" s="101">
        <f>79547.06</f>
        <v>79547.06</v>
      </c>
      <c r="U164" s="102">
        <f>71</f>
        <v>71</v>
      </c>
      <c r="V164" s="102">
        <v>15</v>
      </c>
      <c r="W164" s="102"/>
      <c r="X164" s="102">
        <f>56003000</f>
        <v>56003000</v>
      </c>
      <c r="Y164" s="102">
        <v>12064000</v>
      </c>
      <c r="Z164" s="103"/>
      <c r="AA164" s="99" t="s">
        <v>60</v>
      </c>
      <c r="AB164" s="104">
        <f>60</f>
        <v>60</v>
      </c>
      <c r="AC164" s="104" t="str">
        <f t="shared" si="22"/>
        <v>－</v>
      </c>
      <c r="AD164" s="105">
        <f>7</f>
        <v>7</v>
      </c>
    </row>
    <row r="165" spans="1:30">
      <c r="A165" s="95" t="s">
        <v>46</v>
      </c>
      <c r="B165" s="96" t="s">
        <v>693</v>
      </c>
      <c r="C165" s="96" t="s">
        <v>694</v>
      </c>
      <c r="D165" s="96" t="s">
        <v>61</v>
      </c>
      <c r="E165" s="97" t="s">
        <v>434</v>
      </c>
      <c r="F165" s="97" t="s">
        <v>301</v>
      </c>
      <c r="G165" s="98">
        <v>10</v>
      </c>
      <c r="H165" s="99" t="s">
        <v>111</v>
      </c>
      <c r="I165" s="100" t="s">
        <v>697</v>
      </c>
      <c r="J165" s="99" t="s">
        <v>111</v>
      </c>
      <c r="K165" s="100" t="s">
        <v>697</v>
      </c>
      <c r="L165" s="99"/>
      <c r="M165" s="100"/>
      <c r="N165" s="99" t="s">
        <v>67</v>
      </c>
      <c r="O165" s="100" t="s">
        <v>689</v>
      </c>
      <c r="P165" s="99"/>
      <c r="Q165" s="100"/>
      <c r="R165" s="99" t="s">
        <v>67</v>
      </c>
      <c r="S165" s="100" t="s">
        <v>689</v>
      </c>
      <c r="T165" s="101">
        <f>79220</f>
        <v>79220</v>
      </c>
      <c r="U165" s="102">
        <f>3</f>
        <v>3</v>
      </c>
      <c r="V165" s="102"/>
      <c r="W165" s="102"/>
      <c r="X165" s="102">
        <f>2298000</f>
        <v>2298000</v>
      </c>
      <c r="Y165" s="102"/>
      <c r="Z165" s="103"/>
      <c r="AA165" s="99"/>
      <c r="AB165" s="104">
        <f>3</f>
        <v>3</v>
      </c>
      <c r="AC165" s="104" t="str">
        <f t="shared" si="22"/>
        <v>－</v>
      </c>
      <c r="AD165" s="105">
        <f>3</f>
        <v>3</v>
      </c>
    </row>
    <row r="166" spans="1:30">
      <c r="A166" s="95" t="s">
        <v>46</v>
      </c>
      <c r="B166" s="96" t="s">
        <v>693</v>
      </c>
      <c r="C166" s="96" t="s">
        <v>694</v>
      </c>
      <c r="D166" s="96" t="s">
        <v>278</v>
      </c>
      <c r="E166" s="97" t="s">
        <v>471</v>
      </c>
      <c r="F166" s="97" t="s">
        <v>113</v>
      </c>
      <c r="G166" s="98">
        <v>10</v>
      </c>
      <c r="H166" s="99" t="s">
        <v>53</v>
      </c>
      <c r="I166" s="100" t="s">
        <v>698</v>
      </c>
      <c r="J166" s="99" t="s">
        <v>53</v>
      </c>
      <c r="K166" s="100" t="s">
        <v>698</v>
      </c>
      <c r="L166" s="99"/>
      <c r="M166" s="100"/>
      <c r="N166" s="99" t="s">
        <v>53</v>
      </c>
      <c r="O166" s="100" t="s">
        <v>698</v>
      </c>
      <c r="P166" s="99"/>
      <c r="Q166" s="100"/>
      <c r="R166" s="99" t="s">
        <v>53</v>
      </c>
      <c r="S166" s="100" t="s">
        <v>698</v>
      </c>
      <c r="T166" s="101">
        <f>79200</f>
        <v>79200</v>
      </c>
      <c r="U166" s="102">
        <f>1</f>
        <v>1</v>
      </c>
      <c r="V166" s="102"/>
      <c r="W166" s="102"/>
      <c r="X166" s="102">
        <f>795000</f>
        <v>795000</v>
      </c>
      <c r="Y166" s="102"/>
      <c r="Z166" s="103"/>
      <c r="AA166" s="99"/>
      <c r="AB166" s="104">
        <f>1</f>
        <v>1</v>
      </c>
      <c r="AC166" s="104" t="str">
        <f t="shared" si="22"/>
        <v>－</v>
      </c>
      <c r="AD166" s="105">
        <f>1</f>
        <v>1</v>
      </c>
    </row>
    <row r="167" spans="1:30">
      <c r="A167" s="95" t="s">
        <v>46</v>
      </c>
      <c r="B167" s="96" t="s">
        <v>693</v>
      </c>
      <c r="C167" s="96" t="s">
        <v>694</v>
      </c>
      <c r="D167" s="96" t="s">
        <v>69</v>
      </c>
      <c r="E167" s="97" t="s">
        <v>345</v>
      </c>
      <c r="F167" s="97" t="s">
        <v>311</v>
      </c>
      <c r="G167" s="98">
        <v>10</v>
      </c>
      <c r="H167" s="99"/>
      <c r="I167" s="100" t="s">
        <v>141</v>
      </c>
      <c r="J167" s="99"/>
      <c r="K167" s="100" t="s">
        <v>141</v>
      </c>
      <c r="L167" s="99"/>
      <c r="M167" s="100"/>
      <c r="N167" s="99"/>
      <c r="O167" s="100" t="s">
        <v>141</v>
      </c>
      <c r="P167" s="99"/>
      <c r="Q167" s="100"/>
      <c r="R167" s="99"/>
      <c r="S167" s="100" t="s">
        <v>141</v>
      </c>
      <c r="T167" s="101">
        <f>79625</f>
        <v>79625</v>
      </c>
      <c r="U167" s="102" t="str">
        <f>"－"</f>
        <v>－</v>
      </c>
      <c r="V167" s="102"/>
      <c r="W167" s="102"/>
      <c r="X167" s="102" t="str">
        <f>"－"</f>
        <v>－</v>
      </c>
      <c r="Y167" s="102"/>
      <c r="Z167" s="103"/>
      <c r="AA167" s="99"/>
      <c r="AB167" s="104" t="str">
        <f>"－"</f>
        <v>－</v>
      </c>
      <c r="AC167" s="104" t="str">
        <f t="shared" si="22"/>
        <v>－</v>
      </c>
      <c r="AD167" s="105" t="str">
        <f>"－"</f>
        <v>－</v>
      </c>
    </row>
    <row r="168" spans="1:30">
      <c r="A168" s="95" t="s">
        <v>46</v>
      </c>
      <c r="B168" s="96" t="s">
        <v>693</v>
      </c>
      <c r="C168" s="96" t="s">
        <v>694</v>
      </c>
      <c r="D168" s="96" t="s">
        <v>285</v>
      </c>
      <c r="E168" s="97" t="s">
        <v>480</v>
      </c>
      <c r="F168" s="97" t="s">
        <v>118</v>
      </c>
      <c r="G168" s="98">
        <v>10</v>
      </c>
      <c r="H168" s="99" t="s">
        <v>111</v>
      </c>
      <c r="I168" s="100" t="s">
        <v>699</v>
      </c>
      <c r="J168" s="99" t="s">
        <v>111</v>
      </c>
      <c r="K168" s="100" t="s">
        <v>699</v>
      </c>
      <c r="L168" s="99"/>
      <c r="M168" s="100"/>
      <c r="N168" s="99" t="s">
        <v>111</v>
      </c>
      <c r="O168" s="100" t="s">
        <v>699</v>
      </c>
      <c r="P168" s="99"/>
      <c r="Q168" s="100"/>
      <c r="R168" s="99" t="s">
        <v>111</v>
      </c>
      <c r="S168" s="100" t="s">
        <v>699</v>
      </c>
      <c r="T168" s="101">
        <f>79625</f>
        <v>79625</v>
      </c>
      <c r="U168" s="102">
        <f>1</f>
        <v>1</v>
      </c>
      <c r="V168" s="102"/>
      <c r="W168" s="102"/>
      <c r="X168" s="102">
        <f>785000</f>
        <v>785000</v>
      </c>
      <c r="Y168" s="102"/>
      <c r="Z168" s="103"/>
      <c r="AA168" s="99"/>
      <c r="AB168" s="104">
        <f>1</f>
        <v>1</v>
      </c>
      <c r="AC168" s="104" t="str">
        <f t="shared" si="22"/>
        <v>－</v>
      </c>
      <c r="AD168" s="105">
        <f>1</f>
        <v>1</v>
      </c>
    </row>
    <row r="169" spans="1:30">
      <c r="A169" s="95" t="s">
        <v>46</v>
      </c>
      <c r="B169" s="96" t="s">
        <v>693</v>
      </c>
      <c r="C169" s="96" t="s">
        <v>694</v>
      </c>
      <c r="D169" s="96" t="s">
        <v>76</v>
      </c>
      <c r="E169" s="97" t="s">
        <v>355</v>
      </c>
      <c r="F169" s="97" t="s">
        <v>486</v>
      </c>
      <c r="G169" s="98">
        <v>10</v>
      </c>
      <c r="H169" s="99"/>
      <c r="I169" s="100" t="s">
        <v>141</v>
      </c>
      <c r="J169" s="99"/>
      <c r="K169" s="100" t="s">
        <v>141</v>
      </c>
      <c r="L169" s="99"/>
      <c r="M169" s="100"/>
      <c r="N169" s="99"/>
      <c r="O169" s="100" t="s">
        <v>141</v>
      </c>
      <c r="P169" s="99"/>
      <c r="Q169" s="100"/>
      <c r="R169" s="99"/>
      <c r="S169" s="100" t="s">
        <v>141</v>
      </c>
      <c r="T169" s="101">
        <f>79625</f>
        <v>79625</v>
      </c>
      <c r="U169" s="102" t="str">
        <f>"－"</f>
        <v>－</v>
      </c>
      <c r="V169" s="102"/>
      <c r="W169" s="102"/>
      <c r="X169" s="102" t="str">
        <f>"－"</f>
        <v>－</v>
      </c>
      <c r="Y169" s="102"/>
      <c r="Z169" s="103"/>
      <c r="AA169" s="99"/>
      <c r="AB169" s="104" t="str">
        <f>"－"</f>
        <v>－</v>
      </c>
      <c r="AC169" s="104" t="str">
        <f t="shared" si="22"/>
        <v>－</v>
      </c>
      <c r="AD169" s="105" t="str">
        <f>"－"</f>
        <v>－</v>
      </c>
    </row>
    <row r="170" spans="1:30">
      <c r="A170" s="95" t="s">
        <v>46</v>
      </c>
      <c r="B170" s="96" t="s">
        <v>693</v>
      </c>
      <c r="C170" s="96" t="s">
        <v>694</v>
      </c>
      <c r="D170" s="96" t="s">
        <v>334</v>
      </c>
      <c r="E170" s="97" t="s">
        <v>100</v>
      </c>
      <c r="F170" s="97" t="s">
        <v>122</v>
      </c>
      <c r="G170" s="98">
        <v>10</v>
      </c>
      <c r="H170" s="99"/>
      <c r="I170" s="100" t="s">
        <v>141</v>
      </c>
      <c r="J170" s="99"/>
      <c r="K170" s="100" t="s">
        <v>141</v>
      </c>
      <c r="L170" s="99"/>
      <c r="M170" s="100"/>
      <c r="N170" s="99"/>
      <c r="O170" s="100" t="s">
        <v>141</v>
      </c>
      <c r="P170" s="99"/>
      <c r="Q170" s="100"/>
      <c r="R170" s="99"/>
      <c r="S170" s="100" t="s">
        <v>141</v>
      </c>
      <c r="T170" s="101">
        <f>78500</f>
        <v>78500</v>
      </c>
      <c r="U170" s="102" t="str">
        <f>"－"</f>
        <v>－</v>
      </c>
      <c r="V170" s="102"/>
      <c r="W170" s="102"/>
      <c r="X170" s="102" t="str">
        <f>"－"</f>
        <v>－</v>
      </c>
      <c r="Y170" s="102"/>
      <c r="Z170" s="103"/>
      <c r="AA170" s="99"/>
      <c r="AB170" s="104" t="str">
        <f>"－"</f>
        <v>－</v>
      </c>
      <c r="AC170" s="104" t="str">
        <f t="shared" si="22"/>
        <v>－</v>
      </c>
      <c r="AD170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T_情報サービス部2(RPA)</cp:lastModifiedBy>
  <cp:lastPrinted>2020-10-20T00:01:10Z</cp:lastPrinted>
  <dcterms:created xsi:type="dcterms:W3CDTF">2017-12-14T02:19:15Z</dcterms:created>
  <dcterms:modified xsi:type="dcterms:W3CDTF">2022-05-10T03:31:50Z</dcterms:modified>
</cp:coreProperties>
</file>