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/>
  <mc:AlternateContent xmlns:mc="http://schemas.openxmlformats.org/markup-compatibility/2006">
    <mc:Choice Requires="x15">
      <x15ac:absPath xmlns:x15ac="http://schemas.microsoft.com/office/spreadsheetml/2010/11/ac" url="C:\RPA\0233_デリバティブ月間統計資料の掲載\作業\CMS\"/>
    </mc:Choice>
  </mc:AlternateContent>
  <xr:revisionPtr revIDLastSave="0" documentId="13_ncr:1_{788C2824-42AC-40CA-8D0D-701197AE7992}" xr6:coauthVersionLast="36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BO_DM0005" sheetId="9" r:id="rId1"/>
    <sheet name="BO_DM0007" sheetId="10" r:id="rId2"/>
  </sheets>
  <definedNames>
    <definedName name="_xlnm.Print_Titles" localSheetId="0">BO_DM0005!$1:$6</definedName>
    <definedName name="_xlnm.Print_Titles" localSheetId="1">BO_DM0007!$1:$6</definedName>
  </definedNames>
  <calcPr calcId="191029"/>
</workbook>
</file>

<file path=xl/calcChain.xml><?xml version="1.0" encoding="utf-8"?>
<calcChain xmlns="http://schemas.openxmlformats.org/spreadsheetml/2006/main">
  <c r="AD172" i="10" l="1"/>
  <c r="AC172" i="10"/>
  <c r="AB172" i="10"/>
  <c r="X172" i="10"/>
  <c r="U172" i="10"/>
  <c r="T172" i="10"/>
  <c r="AD171" i="10"/>
  <c r="AC171" i="10"/>
  <c r="AB171" i="10"/>
  <c r="X171" i="10"/>
  <c r="U171" i="10"/>
  <c r="T171" i="10"/>
  <c r="AD170" i="10"/>
  <c r="AC170" i="10"/>
  <c r="AB170" i="10"/>
  <c r="X170" i="10"/>
  <c r="U170" i="10"/>
  <c r="T170" i="10"/>
  <c r="AD169" i="10"/>
  <c r="AC169" i="10"/>
  <c r="AB169" i="10"/>
  <c r="X169" i="10"/>
  <c r="U169" i="10"/>
  <c r="T169" i="10"/>
  <c r="AD168" i="10"/>
  <c r="AC168" i="10"/>
  <c r="AB168" i="10"/>
  <c r="X168" i="10"/>
  <c r="U168" i="10"/>
  <c r="T168" i="10"/>
  <c r="AD167" i="10"/>
  <c r="AC167" i="10"/>
  <c r="AB167" i="10"/>
  <c r="X167" i="10"/>
  <c r="U167" i="10"/>
  <c r="T167" i="10"/>
  <c r="AD166" i="10"/>
  <c r="AC166" i="10"/>
  <c r="AB166" i="10"/>
  <c r="X166" i="10"/>
  <c r="U166" i="10"/>
  <c r="T166" i="10"/>
  <c r="AD165" i="10"/>
  <c r="AC165" i="10"/>
  <c r="AB165" i="10"/>
  <c r="X165" i="10"/>
  <c r="U165" i="10"/>
  <c r="T165" i="10"/>
  <c r="AD164" i="10"/>
  <c r="AC164" i="10"/>
  <c r="AB164" i="10"/>
  <c r="X164" i="10"/>
  <c r="U164" i="10"/>
  <c r="T164" i="10"/>
  <c r="AD163" i="10"/>
  <c r="AC163" i="10"/>
  <c r="AB163" i="10"/>
  <c r="X163" i="10"/>
  <c r="U163" i="10"/>
  <c r="T163" i="10"/>
  <c r="AD162" i="10"/>
  <c r="AC162" i="10"/>
  <c r="AB162" i="10"/>
  <c r="X162" i="10"/>
  <c r="U162" i="10"/>
  <c r="T162" i="10"/>
  <c r="AD161" i="10"/>
  <c r="AC161" i="10"/>
  <c r="AB161" i="10"/>
  <c r="X161" i="10"/>
  <c r="U161" i="10"/>
  <c r="T161" i="10"/>
  <c r="AD160" i="10"/>
  <c r="AC160" i="10"/>
  <c r="AB160" i="10"/>
  <c r="X160" i="10"/>
  <c r="U160" i="10"/>
  <c r="T160" i="10"/>
  <c r="AD159" i="10"/>
  <c r="AC159" i="10"/>
  <c r="AB159" i="10"/>
  <c r="X159" i="10"/>
  <c r="U159" i="10"/>
  <c r="T159" i="10"/>
  <c r="AD158" i="10"/>
  <c r="AC158" i="10"/>
  <c r="AB158" i="10"/>
  <c r="X158" i="10"/>
  <c r="U158" i="10"/>
  <c r="T158" i="10"/>
  <c r="AD157" i="10"/>
  <c r="AC157" i="10"/>
  <c r="AB157" i="10"/>
  <c r="X157" i="10"/>
  <c r="U157" i="10"/>
  <c r="T157" i="10"/>
  <c r="AD156" i="10"/>
  <c r="AC156" i="10"/>
  <c r="AB156" i="10"/>
  <c r="X156" i="10"/>
  <c r="U156" i="10"/>
  <c r="T156" i="10"/>
  <c r="AD155" i="10"/>
  <c r="AC155" i="10"/>
  <c r="AB155" i="10"/>
  <c r="X155" i="10"/>
  <c r="U155" i="10"/>
  <c r="T155" i="10"/>
  <c r="AD154" i="10"/>
  <c r="AC154" i="10"/>
  <c r="AB154" i="10"/>
  <c r="X154" i="10"/>
  <c r="U154" i="10"/>
  <c r="T154" i="10"/>
  <c r="AD153" i="10"/>
  <c r="AC153" i="10"/>
  <c r="AB153" i="10"/>
  <c r="X153" i="10"/>
  <c r="U153" i="10"/>
  <c r="T153" i="10"/>
  <c r="AD152" i="10"/>
  <c r="AC152" i="10"/>
  <c r="AB152" i="10"/>
  <c r="X152" i="10"/>
  <c r="U152" i="10"/>
  <c r="T152" i="10"/>
  <c r="AD151" i="10"/>
  <c r="AC151" i="10"/>
  <c r="AB151" i="10"/>
  <c r="X151" i="10"/>
  <c r="U151" i="10"/>
  <c r="T151" i="10"/>
  <c r="AD150" i="10"/>
  <c r="AC150" i="10"/>
  <c r="AB150" i="10"/>
  <c r="X150" i="10"/>
  <c r="U150" i="10"/>
  <c r="T150" i="10"/>
  <c r="AD149" i="10"/>
  <c r="AC149" i="10"/>
  <c r="AB149" i="10"/>
  <c r="X149" i="10"/>
  <c r="U149" i="10"/>
  <c r="T149" i="10"/>
  <c r="AD148" i="10"/>
  <c r="AC148" i="10"/>
  <c r="AB148" i="10"/>
  <c r="X148" i="10"/>
  <c r="U148" i="10"/>
  <c r="T148" i="10"/>
  <c r="AD147" i="10"/>
  <c r="AC147" i="10"/>
  <c r="AB147" i="10"/>
  <c r="X147" i="10"/>
  <c r="U147" i="10"/>
  <c r="T147" i="10"/>
  <c r="AD146" i="10"/>
  <c r="AC146" i="10"/>
  <c r="AB146" i="10"/>
  <c r="X146" i="10"/>
  <c r="U146" i="10"/>
  <c r="T146" i="10"/>
  <c r="AD145" i="10"/>
  <c r="AC145" i="10"/>
  <c r="AB145" i="10"/>
  <c r="X145" i="10"/>
  <c r="U145" i="10"/>
  <c r="T145" i="10"/>
  <c r="AD144" i="10"/>
  <c r="AC144" i="10"/>
  <c r="AB144" i="10"/>
  <c r="X144" i="10"/>
  <c r="U144" i="10"/>
  <c r="T144" i="10"/>
  <c r="AD143" i="10"/>
  <c r="AC143" i="10"/>
  <c r="AB143" i="10"/>
  <c r="X143" i="10"/>
  <c r="U143" i="10"/>
  <c r="T143" i="10"/>
  <c r="AD142" i="10"/>
  <c r="AC142" i="10"/>
  <c r="AB142" i="10"/>
  <c r="X142" i="10"/>
  <c r="U142" i="10"/>
  <c r="T142" i="10"/>
  <c r="AD141" i="10"/>
  <c r="AC141" i="10"/>
  <c r="AB141" i="10"/>
  <c r="X141" i="10"/>
  <c r="U141" i="10"/>
  <c r="T141" i="10"/>
  <c r="AD140" i="10"/>
  <c r="AC140" i="10"/>
  <c r="AB140" i="10"/>
  <c r="X140" i="10"/>
  <c r="U140" i="10"/>
  <c r="T140" i="10"/>
  <c r="AD139" i="10"/>
  <c r="AC139" i="10"/>
  <c r="AB139" i="10"/>
  <c r="X139" i="10"/>
  <c r="U139" i="10"/>
  <c r="T139" i="10"/>
  <c r="AD138" i="10"/>
  <c r="AC138" i="10"/>
  <c r="AB138" i="10"/>
  <c r="X138" i="10"/>
  <c r="U138" i="10"/>
  <c r="T138" i="10"/>
  <c r="AD137" i="10"/>
  <c r="AC137" i="10"/>
  <c r="AB137" i="10"/>
  <c r="X137" i="10"/>
  <c r="U137" i="10"/>
  <c r="T137" i="10"/>
  <c r="AD136" i="10"/>
  <c r="AC136" i="10"/>
  <c r="AB136" i="10"/>
  <c r="X136" i="10"/>
  <c r="U136" i="10"/>
  <c r="T136" i="10"/>
  <c r="AD135" i="10"/>
  <c r="AC135" i="10"/>
  <c r="AB135" i="10"/>
  <c r="X135" i="10"/>
  <c r="U135" i="10"/>
  <c r="T135" i="10"/>
  <c r="AD134" i="10"/>
  <c r="AC134" i="10"/>
  <c r="AB134" i="10"/>
  <c r="X134" i="10"/>
  <c r="U134" i="10"/>
  <c r="T134" i="10"/>
  <c r="AD133" i="10"/>
  <c r="AC133" i="10"/>
  <c r="AB133" i="10"/>
  <c r="X133" i="10"/>
  <c r="U133" i="10"/>
  <c r="T133" i="10"/>
  <c r="AD132" i="10"/>
  <c r="AC132" i="10"/>
  <c r="AB132" i="10"/>
  <c r="X132" i="10"/>
  <c r="U132" i="10"/>
  <c r="T132" i="10"/>
  <c r="AD131" i="10"/>
  <c r="AC131" i="10"/>
  <c r="AB131" i="10"/>
  <c r="X131" i="10"/>
  <c r="U131" i="10"/>
  <c r="T131" i="10"/>
  <c r="AD130" i="10"/>
  <c r="AC130" i="10"/>
  <c r="AB130" i="10"/>
  <c r="X130" i="10"/>
  <c r="U130" i="10"/>
  <c r="T130" i="10"/>
  <c r="AD129" i="10"/>
  <c r="AC129" i="10"/>
  <c r="AB129" i="10"/>
  <c r="X129" i="10"/>
  <c r="U129" i="10"/>
  <c r="T129" i="10"/>
  <c r="AD128" i="10"/>
  <c r="AC128" i="10"/>
  <c r="AB128" i="10"/>
  <c r="X128" i="10"/>
  <c r="U128" i="10"/>
  <c r="T128" i="10"/>
  <c r="AD127" i="10"/>
  <c r="AC127" i="10"/>
  <c r="AB127" i="10"/>
  <c r="X127" i="10"/>
  <c r="U127" i="10"/>
  <c r="T127" i="10"/>
  <c r="AD126" i="10"/>
  <c r="AC126" i="10"/>
  <c r="AB126" i="10"/>
  <c r="X126" i="10"/>
  <c r="U126" i="10"/>
  <c r="T126" i="10"/>
  <c r="AD125" i="10"/>
  <c r="AC125" i="10"/>
  <c r="AB125" i="10"/>
  <c r="X125" i="10"/>
  <c r="U125" i="10"/>
  <c r="T125" i="10"/>
  <c r="AD124" i="10"/>
  <c r="AC124" i="10"/>
  <c r="AB124" i="10"/>
  <c r="X124" i="10"/>
  <c r="U124" i="10"/>
  <c r="T124" i="10"/>
  <c r="AD123" i="10"/>
  <c r="AC123" i="10"/>
  <c r="AB123" i="10"/>
  <c r="X123" i="10"/>
  <c r="U123" i="10"/>
  <c r="T123" i="10"/>
  <c r="AD122" i="10"/>
  <c r="AC122" i="10"/>
  <c r="AB122" i="10"/>
  <c r="X122" i="10"/>
  <c r="U122" i="10"/>
  <c r="T122" i="10"/>
  <c r="AD121" i="10"/>
  <c r="AC121" i="10"/>
  <c r="AB121" i="10"/>
  <c r="X121" i="10"/>
  <c r="U121" i="10"/>
  <c r="T121" i="10"/>
  <c r="AD120" i="10"/>
  <c r="AC120" i="10"/>
  <c r="AB120" i="10"/>
  <c r="X120" i="10"/>
  <c r="U120" i="10"/>
  <c r="T120" i="10"/>
  <c r="AD119" i="10"/>
  <c r="AC119" i="10"/>
  <c r="AB119" i="10"/>
  <c r="X119" i="10"/>
  <c r="U119" i="10"/>
  <c r="T119" i="10"/>
  <c r="AD118" i="10"/>
  <c r="AC118" i="10"/>
  <c r="AB118" i="10"/>
  <c r="X118" i="10"/>
  <c r="U118" i="10"/>
  <c r="T118" i="10"/>
  <c r="AD117" i="10"/>
  <c r="AC117" i="10"/>
  <c r="AB117" i="10"/>
  <c r="X117" i="10"/>
  <c r="U117" i="10"/>
  <c r="T117" i="10"/>
  <c r="AD116" i="10"/>
  <c r="AC116" i="10"/>
  <c r="AB116" i="10"/>
  <c r="X116" i="10"/>
  <c r="U116" i="10"/>
  <c r="T116" i="10"/>
  <c r="AD115" i="10"/>
  <c r="AC115" i="10"/>
  <c r="AB115" i="10"/>
  <c r="X115" i="10"/>
  <c r="U115" i="10"/>
  <c r="T115" i="10"/>
  <c r="AD114" i="10"/>
  <c r="AC114" i="10"/>
  <c r="AB114" i="10"/>
  <c r="X114" i="10"/>
  <c r="U114" i="10"/>
  <c r="T114" i="10"/>
  <c r="AD113" i="10"/>
  <c r="AC113" i="10"/>
  <c r="AB113" i="10"/>
  <c r="X113" i="10"/>
  <c r="U113" i="10"/>
  <c r="T113" i="10"/>
  <c r="AD112" i="10"/>
  <c r="AC112" i="10"/>
  <c r="AB112" i="10"/>
  <c r="X112" i="10"/>
  <c r="U112" i="10"/>
  <c r="T112" i="10"/>
  <c r="AD111" i="10"/>
  <c r="AC111" i="10"/>
  <c r="AB111" i="10"/>
  <c r="X111" i="10"/>
  <c r="U111" i="10"/>
  <c r="T111" i="10"/>
  <c r="AD110" i="10"/>
  <c r="AC110" i="10"/>
  <c r="AB110" i="10"/>
  <c r="X110" i="10"/>
  <c r="U110" i="10"/>
  <c r="T110" i="10"/>
  <c r="AD109" i="10"/>
  <c r="AC109" i="10"/>
  <c r="AB109" i="10"/>
  <c r="X109" i="10"/>
  <c r="U109" i="10"/>
  <c r="T109" i="10"/>
  <c r="AD108" i="10"/>
  <c r="AC108" i="10"/>
  <c r="AB108" i="10"/>
  <c r="X108" i="10"/>
  <c r="U108" i="10"/>
  <c r="T108" i="10"/>
  <c r="AD107" i="10"/>
  <c r="AC107" i="10"/>
  <c r="AB107" i="10"/>
  <c r="X107" i="10"/>
  <c r="U107" i="10"/>
  <c r="T107" i="10"/>
  <c r="AD106" i="10"/>
  <c r="AC106" i="10"/>
  <c r="AB106" i="10"/>
  <c r="X106" i="10"/>
  <c r="U106" i="10"/>
  <c r="T106" i="10"/>
  <c r="AD105" i="10"/>
  <c r="AC105" i="10"/>
  <c r="AB105" i="10"/>
  <c r="X105" i="10"/>
  <c r="U105" i="10"/>
  <c r="T105" i="10"/>
  <c r="AD104" i="10"/>
  <c r="AC104" i="10"/>
  <c r="AB104" i="10"/>
  <c r="X104" i="10"/>
  <c r="U104" i="10"/>
  <c r="T104" i="10"/>
  <c r="AD103" i="10"/>
  <c r="AC103" i="10"/>
  <c r="AB103" i="10"/>
  <c r="X103" i="10"/>
  <c r="U103" i="10"/>
  <c r="T103" i="10"/>
  <c r="AD102" i="10"/>
  <c r="AC102" i="10"/>
  <c r="AB102" i="10"/>
  <c r="X102" i="10"/>
  <c r="U102" i="10"/>
  <c r="T102" i="10"/>
  <c r="AD101" i="10"/>
  <c r="AC101" i="10"/>
  <c r="AB101" i="10"/>
  <c r="X101" i="10"/>
  <c r="U101" i="10"/>
  <c r="T101" i="10"/>
  <c r="AD100" i="10"/>
  <c r="AC100" i="10"/>
  <c r="AB100" i="10"/>
  <c r="X100" i="10"/>
  <c r="U100" i="10"/>
  <c r="T100" i="10"/>
  <c r="AD99" i="10"/>
  <c r="AC99" i="10"/>
  <c r="AB99" i="10"/>
  <c r="X99" i="10"/>
  <c r="U99" i="10"/>
  <c r="T99" i="10"/>
  <c r="AD98" i="10"/>
  <c r="AC98" i="10"/>
  <c r="AB98" i="10"/>
  <c r="X98" i="10"/>
  <c r="U98" i="10"/>
  <c r="T98" i="10"/>
  <c r="AD97" i="10"/>
  <c r="AC97" i="10"/>
  <c r="AB97" i="10"/>
  <c r="X97" i="10"/>
  <c r="U97" i="10"/>
  <c r="T97" i="10"/>
  <c r="AD96" i="10"/>
  <c r="AC96" i="10"/>
  <c r="AB96" i="10"/>
  <c r="X96" i="10"/>
  <c r="U96" i="10"/>
  <c r="T96" i="10"/>
  <c r="AD95" i="10"/>
  <c r="AC95" i="10"/>
  <c r="AB95" i="10"/>
  <c r="X95" i="10"/>
  <c r="U95" i="10"/>
  <c r="T95" i="10"/>
  <c r="AD94" i="10"/>
  <c r="AC94" i="10"/>
  <c r="AB94" i="10"/>
  <c r="X94" i="10"/>
  <c r="U94" i="10"/>
  <c r="T94" i="10"/>
  <c r="AD93" i="10"/>
  <c r="AC93" i="10"/>
  <c r="AB93" i="10"/>
  <c r="X93" i="10"/>
  <c r="U93" i="10"/>
  <c r="T93" i="10"/>
  <c r="AD92" i="10"/>
  <c r="AC92" i="10"/>
  <c r="AB92" i="10"/>
  <c r="X92" i="10"/>
  <c r="U92" i="10"/>
  <c r="T92" i="10"/>
  <c r="AD91" i="10"/>
  <c r="AC91" i="10"/>
  <c r="AB91" i="10"/>
  <c r="X91" i="10"/>
  <c r="U91" i="10"/>
  <c r="T91" i="10"/>
  <c r="AD90" i="10"/>
  <c r="AC90" i="10"/>
  <c r="AB90" i="10"/>
  <c r="X90" i="10"/>
  <c r="U90" i="10"/>
  <c r="T90" i="10"/>
  <c r="AD89" i="10"/>
  <c r="AC89" i="10"/>
  <c r="AB89" i="10"/>
  <c r="X89" i="10"/>
  <c r="U89" i="10"/>
  <c r="T89" i="10"/>
  <c r="AD88" i="10"/>
  <c r="AC88" i="10"/>
  <c r="AB88" i="10"/>
  <c r="X88" i="10"/>
  <c r="U88" i="10"/>
  <c r="T88" i="10"/>
  <c r="AD87" i="10"/>
  <c r="AC87" i="10"/>
  <c r="AB87" i="10"/>
  <c r="X87" i="10"/>
  <c r="U87" i="10"/>
  <c r="T87" i="10"/>
  <c r="AD86" i="10"/>
  <c r="AC86" i="10"/>
  <c r="AB86" i="10"/>
  <c r="X86" i="10"/>
  <c r="U86" i="10"/>
  <c r="T86" i="10"/>
  <c r="AD85" i="10"/>
  <c r="AC85" i="10"/>
  <c r="AB85" i="10"/>
  <c r="X85" i="10"/>
  <c r="U85" i="10"/>
  <c r="T85" i="10"/>
  <c r="AD84" i="10"/>
  <c r="AC84" i="10"/>
  <c r="AB84" i="10"/>
  <c r="X84" i="10"/>
  <c r="U84" i="10"/>
  <c r="T84" i="10"/>
  <c r="AD83" i="10"/>
  <c r="AC83" i="10"/>
  <c r="AB83" i="10"/>
  <c r="X83" i="10"/>
  <c r="U83" i="10"/>
  <c r="T83" i="10"/>
  <c r="AD82" i="10"/>
  <c r="AC82" i="10"/>
  <c r="AB82" i="10"/>
  <c r="X82" i="10"/>
  <c r="U82" i="10"/>
  <c r="T82" i="10"/>
  <c r="AD81" i="10"/>
  <c r="AC81" i="10"/>
  <c r="AB81" i="10"/>
  <c r="X81" i="10"/>
  <c r="U81" i="10"/>
  <c r="T81" i="10"/>
  <c r="AD80" i="10"/>
  <c r="AC80" i="10"/>
  <c r="AB80" i="10"/>
  <c r="X80" i="10"/>
  <c r="U80" i="10"/>
  <c r="T80" i="10"/>
  <c r="AD79" i="10"/>
  <c r="AC79" i="10"/>
  <c r="AB79" i="10"/>
  <c r="X79" i="10"/>
  <c r="U79" i="10"/>
  <c r="T79" i="10"/>
  <c r="AD78" i="10"/>
  <c r="AC78" i="10"/>
  <c r="AB78" i="10"/>
  <c r="X78" i="10"/>
  <c r="U78" i="10"/>
  <c r="T78" i="10"/>
  <c r="AD77" i="10"/>
  <c r="AC77" i="10"/>
  <c r="AB77" i="10"/>
  <c r="X77" i="10"/>
  <c r="U77" i="10"/>
  <c r="T77" i="10"/>
  <c r="AD76" i="10"/>
  <c r="AC76" i="10"/>
  <c r="AB76" i="10"/>
  <c r="X76" i="10"/>
  <c r="U76" i="10"/>
  <c r="T76" i="10"/>
  <c r="AD75" i="10"/>
  <c r="AC75" i="10"/>
  <c r="AB75" i="10"/>
  <c r="X75" i="10"/>
  <c r="U75" i="10"/>
  <c r="T75" i="10"/>
  <c r="AD74" i="10"/>
  <c r="AC74" i="10"/>
  <c r="AB74" i="10"/>
  <c r="X74" i="10"/>
  <c r="U74" i="10"/>
  <c r="T74" i="10"/>
  <c r="AD73" i="10"/>
  <c r="AC73" i="10"/>
  <c r="AB73" i="10"/>
  <c r="X73" i="10"/>
  <c r="U73" i="10"/>
  <c r="T73" i="10"/>
  <c r="AD72" i="10"/>
  <c r="AC72" i="10"/>
  <c r="AB72" i="10"/>
  <c r="X72" i="10"/>
  <c r="U72" i="10"/>
  <c r="T72" i="10"/>
  <c r="AD71" i="10"/>
  <c r="AC71" i="10"/>
  <c r="AB71" i="10"/>
  <c r="X71" i="10"/>
  <c r="U71" i="10"/>
  <c r="T71" i="10"/>
  <c r="AD70" i="10"/>
  <c r="AC70" i="10"/>
  <c r="AB70" i="10"/>
  <c r="X70" i="10"/>
  <c r="U70" i="10"/>
  <c r="T70" i="10"/>
  <c r="AD69" i="10"/>
  <c r="AC69" i="10"/>
  <c r="AB69" i="10"/>
  <c r="X69" i="10"/>
  <c r="U69" i="10"/>
  <c r="T69" i="10"/>
  <c r="AD68" i="10"/>
  <c r="AC68" i="10"/>
  <c r="AB68" i="10"/>
  <c r="X68" i="10"/>
  <c r="U68" i="10"/>
  <c r="T68" i="10"/>
  <c r="AD67" i="10"/>
  <c r="AC67" i="10"/>
  <c r="AB67" i="10"/>
  <c r="X67" i="10"/>
  <c r="U67" i="10"/>
  <c r="T67" i="10"/>
  <c r="AD66" i="10"/>
  <c r="AC66" i="10"/>
  <c r="AB66" i="10"/>
  <c r="X66" i="10"/>
  <c r="U66" i="10"/>
  <c r="T66" i="10"/>
  <c r="AD65" i="10"/>
  <c r="AC65" i="10"/>
  <c r="AB65" i="10"/>
  <c r="X65" i="10"/>
  <c r="U65" i="10"/>
  <c r="T65" i="10"/>
  <c r="AD64" i="10"/>
  <c r="AC64" i="10"/>
  <c r="AB64" i="10"/>
  <c r="X64" i="10"/>
  <c r="U64" i="10"/>
  <c r="T64" i="10"/>
  <c r="AD63" i="10"/>
  <c r="AC63" i="10"/>
  <c r="AB63" i="10"/>
  <c r="X63" i="10"/>
  <c r="U63" i="10"/>
  <c r="T63" i="10"/>
  <c r="AD62" i="10"/>
  <c r="AC62" i="10"/>
  <c r="AB62" i="10"/>
  <c r="X62" i="10"/>
  <c r="U62" i="10"/>
  <c r="T62" i="10"/>
  <c r="AD61" i="10"/>
  <c r="AC61" i="10"/>
  <c r="AB61" i="10"/>
  <c r="X61" i="10"/>
  <c r="U61" i="10"/>
  <c r="T61" i="10"/>
  <c r="AD60" i="10"/>
  <c r="AC60" i="10"/>
  <c r="AB60" i="10"/>
  <c r="X60" i="10"/>
  <c r="U60" i="10"/>
  <c r="T60" i="10"/>
  <c r="AD59" i="10"/>
  <c r="AC59" i="10"/>
  <c r="AB59" i="10"/>
  <c r="X59" i="10"/>
  <c r="U59" i="10"/>
  <c r="T59" i="10"/>
  <c r="AD58" i="10"/>
  <c r="AC58" i="10"/>
  <c r="AB58" i="10"/>
  <c r="X58" i="10"/>
  <c r="U58" i="10"/>
  <c r="T58" i="10"/>
  <c r="AD57" i="10"/>
  <c r="AC57" i="10"/>
  <c r="AB57" i="10"/>
  <c r="X57" i="10"/>
  <c r="U57" i="10"/>
  <c r="T57" i="10"/>
  <c r="AD56" i="10"/>
  <c r="AC56" i="10"/>
  <c r="AB56" i="10"/>
  <c r="X56" i="10"/>
  <c r="U56" i="10"/>
  <c r="T56" i="10"/>
  <c r="AD55" i="10"/>
  <c r="AC55" i="10"/>
  <c r="AB55" i="10"/>
  <c r="X55" i="10"/>
  <c r="U55" i="10"/>
  <c r="T55" i="10"/>
  <c r="AD54" i="10"/>
  <c r="AC54" i="10"/>
  <c r="AB54" i="10"/>
  <c r="X54" i="10"/>
  <c r="U54" i="10"/>
  <c r="T54" i="10"/>
  <c r="AD53" i="10"/>
  <c r="AC53" i="10"/>
  <c r="AB53" i="10"/>
  <c r="X53" i="10"/>
  <c r="U53" i="10"/>
  <c r="T53" i="10"/>
  <c r="AD52" i="10"/>
  <c r="AC52" i="10"/>
  <c r="AB52" i="10"/>
  <c r="X52" i="10"/>
  <c r="U52" i="10"/>
  <c r="T52" i="10"/>
  <c r="AD51" i="10"/>
  <c r="AC51" i="10"/>
  <c r="AB51" i="10"/>
  <c r="X51" i="10"/>
  <c r="U51" i="10"/>
  <c r="T51" i="10"/>
  <c r="AD50" i="10"/>
  <c r="AC50" i="10"/>
  <c r="AB50" i="10"/>
  <c r="X50" i="10"/>
  <c r="U50" i="10"/>
  <c r="T50" i="10"/>
  <c r="AD49" i="10"/>
  <c r="AC49" i="10"/>
  <c r="AB49" i="10"/>
  <c r="X49" i="10"/>
  <c r="U49" i="10"/>
  <c r="T49" i="10"/>
  <c r="AD48" i="10"/>
  <c r="AC48" i="10"/>
  <c r="AB48" i="10"/>
  <c r="X48" i="10"/>
  <c r="U48" i="10"/>
  <c r="T48" i="10"/>
  <c r="AD47" i="10"/>
  <c r="AC47" i="10"/>
  <c r="AB47" i="10"/>
  <c r="X47" i="10"/>
  <c r="U47" i="10"/>
  <c r="T47" i="10"/>
  <c r="AD46" i="10"/>
  <c r="AC46" i="10"/>
  <c r="AB46" i="10"/>
  <c r="X46" i="10"/>
  <c r="U46" i="10"/>
  <c r="T46" i="10"/>
  <c r="AD45" i="10"/>
  <c r="AC45" i="10"/>
  <c r="AB45" i="10"/>
  <c r="X45" i="10"/>
  <c r="U45" i="10"/>
  <c r="T45" i="10"/>
  <c r="AD44" i="10"/>
  <c r="AC44" i="10"/>
  <c r="AB44" i="10"/>
  <c r="X44" i="10"/>
  <c r="U44" i="10"/>
  <c r="T44" i="10"/>
  <c r="AD43" i="10"/>
  <c r="AC43" i="10"/>
  <c r="AB43" i="10"/>
  <c r="X43" i="10"/>
  <c r="U43" i="10"/>
  <c r="T43" i="10"/>
  <c r="AD42" i="10"/>
  <c r="AC42" i="10"/>
  <c r="AB42" i="10"/>
  <c r="X42" i="10"/>
  <c r="U42" i="10"/>
  <c r="T42" i="10"/>
  <c r="AD41" i="10"/>
  <c r="AC41" i="10"/>
  <c r="AB41" i="10"/>
  <c r="X41" i="10"/>
  <c r="U41" i="10"/>
  <c r="T41" i="10"/>
  <c r="AD40" i="10"/>
  <c r="AC40" i="10"/>
  <c r="AB40" i="10"/>
  <c r="X40" i="10"/>
  <c r="U40" i="10"/>
  <c r="T40" i="10"/>
  <c r="AD39" i="10"/>
  <c r="AC39" i="10"/>
  <c r="AB39" i="10"/>
  <c r="X39" i="10"/>
  <c r="U39" i="10"/>
  <c r="T39" i="10"/>
  <c r="AD38" i="10"/>
  <c r="AC38" i="10"/>
  <c r="AB38" i="10"/>
  <c r="X38" i="10"/>
  <c r="U38" i="10"/>
  <c r="T38" i="10"/>
  <c r="AD37" i="10"/>
  <c r="AC37" i="10"/>
  <c r="AB37" i="10"/>
  <c r="X37" i="10"/>
  <c r="U37" i="10"/>
  <c r="T37" i="10"/>
  <c r="AD36" i="10"/>
  <c r="AC36" i="10"/>
  <c r="AB36" i="10"/>
  <c r="X36" i="10"/>
  <c r="U36" i="10"/>
  <c r="T36" i="10"/>
  <c r="AD35" i="10"/>
  <c r="AC35" i="10"/>
  <c r="AB35" i="10"/>
  <c r="X35" i="10"/>
  <c r="U35" i="10"/>
  <c r="T35" i="10"/>
  <c r="AD34" i="10"/>
  <c r="AC34" i="10"/>
  <c r="AB34" i="10"/>
  <c r="X34" i="10"/>
  <c r="U34" i="10"/>
  <c r="T34" i="10"/>
  <c r="AD33" i="10"/>
  <c r="AC33" i="10"/>
  <c r="AB33" i="10"/>
  <c r="X33" i="10"/>
  <c r="U33" i="10"/>
  <c r="T33" i="10"/>
  <c r="AD32" i="10"/>
  <c r="AC32" i="10"/>
  <c r="AB32" i="10"/>
  <c r="X32" i="10"/>
  <c r="U32" i="10"/>
  <c r="T32" i="10"/>
  <c r="AD31" i="10"/>
  <c r="AC31" i="10"/>
  <c r="AB31" i="10"/>
  <c r="X31" i="10"/>
  <c r="U31" i="10"/>
  <c r="T31" i="10"/>
  <c r="AD30" i="10"/>
  <c r="AC30" i="10"/>
  <c r="AB30" i="10"/>
  <c r="X30" i="10"/>
  <c r="U30" i="10"/>
  <c r="T30" i="10"/>
  <c r="AD29" i="10"/>
  <c r="AC29" i="10"/>
  <c r="AB29" i="10"/>
  <c r="X29" i="10"/>
  <c r="U29" i="10"/>
  <c r="T29" i="10"/>
  <c r="AD28" i="10"/>
  <c r="AC28" i="10"/>
  <c r="AB28" i="10"/>
  <c r="X28" i="10"/>
  <c r="U28" i="10"/>
  <c r="T28" i="10"/>
  <c r="AD27" i="10"/>
  <c r="AC27" i="10"/>
  <c r="AB27" i="10"/>
  <c r="X27" i="10"/>
  <c r="U27" i="10"/>
  <c r="T27" i="10"/>
  <c r="AD26" i="10"/>
  <c r="AC26" i="10"/>
  <c r="AB26" i="10"/>
  <c r="X26" i="10"/>
  <c r="U26" i="10"/>
  <c r="T26" i="10"/>
  <c r="AD25" i="10"/>
  <c r="AC25" i="10"/>
  <c r="AB25" i="10"/>
  <c r="X25" i="10"/>
  <c r="U25" i="10"/>
  <c r="T25" i="10"/>
  <c r="AD24" i="10"/>
  <c r="AC24" i="10"/>
  <c r="AB24" i="10"/>
  <c r="X24" i="10"/>
  <c r="U24" i="10"/>
  <c r="T24" i="10"/>
  <c r="AD23" i="10"/>
  <c r="AC23" i="10"/>
  <c r="AB23" i="10"/>
  <c r="X23" i="10"/>
  <c r="U23" i="10"/>
  <c r="T23" i="10"/>
  <c r="AD22" i="10"/>
  <c r="AC22" i="10"/>
  <c r="AB22" i="10"/>
  <c r="X22" i="10"/>
  <c r="U22" i="10"/>
  <c r="T22" i="10"/>
  <c r="AD21" i="10"/>
  <c r="AC21" i="10"/>
  <c r="AB21" i="10"/>
  <c r="X21" i="10"/>
  <c r="U21" i="10"/>
  <c r="T21" i="10"/>
  <c r="AD20" i="10"/>
  <c r="AC20" i="10"/>
  <c r="AB20" i="10"/>
  <c r="X20" i="10"/>
  <c r="U20" i="10"/>
  <c r="T20" i="10"/>
  <c r="AD19" i="10"/>
  <c r="AC19" i="10"/>
  <c r="AB19" i="10"/>
  <c r="X19" i="10"/>
  <c r="U19" i="10"/>
  <c r="T19" i="10"/>
  <c r="AD18" i="10"/>
  <c r="AC18" i="10"/>
  <c r="AB18" i="10"/>
  <c r="X18" i="10"/>
  <c r="U18" i="10"/>
  <c r="T18" i="10"/>
  <c r="AD17" i="10"/>
  <c r="AC17" i="10"/>
  <c r="AB17" i="10"/>
  <c r="X17" i="10"/>
  <c r="U17" i="10"/>
  <c r="T17" i="10"/>
  <c r="AD16" i="10"/>
  <c r="AC16" i="10"/>
  <c r="AB16" i="10"/>
  <c r="X16" i="10"/>
  <c r="U16" i="10"/>
  <c r="T16" i="10"/>
  <c r="AD15" i="10"/>
  <c r="AC15" i="10"/>
  <c r="AB15" i="10"/>
  <c r="X15" i="10"/>
  <c r="U15" i="10"/>
  <c r="T15" i="10"/>
  <c r="AD14" i="10"/>
  <c r="AC14" i="10"/>
  <c r="AB14" i="10"/>
  <c r="X14" i="10"/>
  <c r="U14" i="10"/>
  <c r="T14" i="10"/>
  <c r="AD13" i="10"/>
  <c r="AC13" i="10"/>
  <c r="AB13" i="10"/>
  <c r="X13" i="10"/>
  <c r="U13" i="10"/>
  <c r="T13" i="10"/>
  <c r="AD12" i="10"/>
  <c r="AC12" i="10"/>
  <c r="AB12" i="10"/>
  <c r="X12" i="10"/>
  <c r="U12" i="10"/>
  <c r="T12" i="10"/>
  <c r="AD11" i="10"/>
  <c r="AC11" i="10"/>
  <c r="AB11" i="10"/>
  <c r="X11" i="10"/>
  <c r="U11" i="10"/>
  <c r="T11" i="10"/>
  <c r="AD10" i="10"/>
  <c r="AC10" i="10"/>
  <c r="AB10" i="10"/>
  <c r="X10" i="10"/>
  <c r="U10" i="10"/>
  <c r="T10" i="10"/>
  <c r="AD9" i="10"/>
  <c r="AC9" i="10"/>
  <c r="AB9" i="10"/>
  <c r="X9" i="10"/>
  <c r="U9" i="10"/>
  <c r="T9" i="10"/>
  <c r="AD8" i="10"/>
  <c r="AC8" i="10"/>
  <c r="AB8" i="10"/>
  <c r="X8" i="10"/>
  <c r="U8" i="10"/>
  <c r="T8" i="10"/>
  <c r="AD7" i="10"/>
  <c r="AC7" i="10"/>
  <c r="AB7" i="10"/>
  <c r="X7" i="10"/>
  <c r="U7" i="10"/>
  <c r="T7" i="10"/>
  <c r="AA2" i="10"/>
  <c r="AC95" i="9"/>
  <c r="AB95" i="9"/>
  <c r="AA95" i="9"/>
  <c r="W95" i="9"/>
  <c r="T95" i="9"/>
  <c r="S95" i="9"/>
  <c r="AC94" i="9"/>
  <c r="AB94" i="9"/>
  <c r="AA94" i="9"/>
  <c r="W94" i="9"/>
  <c r="T94" i="9"/>
  <c r="S94" i="9"/>
  <c r="AC93" i="9"/>
  <c r="AB93" i="9"/>
  <c r="AA93" i="9"/>
  <c r="W93" i="9"/>
  <c r="T93" i="9"/>
  <c r="S93" i="9"/>
  <c r="AC92" i="9"/>
  <c r="AB92" i="9"/>
  <c r="AA92" i="9"/>
  <c r="W92" i="9"/>
  <c r="T92" i="9"/>
  <c r="S92" i="9"/>
  <c r="AC91" i="9"/>
  <c r="AB91" i="9"/>
  <c r="AA91" i="9"/>
  <c r="W91" i="9"/>
  <c r="T91" i="9"/>
  <c r="S91" i="9"/>
  <c r="AC90" i="9"/>
  <c r="AB90" i="9"/>
  <c r="AA90" i="9"/>
  <c r="W90" i="9"/>
  <c r="T90" i="9"/>
  <c r="S90" i="9"/>
  <c r="AC89" i="9"/>
  <c r="AB89" i="9"/>
  <c r="AA89" i="9"/>
  <c r="W89" i="9"/>
  <c r="T89" i="9"/>
  <c r="S89" i="9"/>
  <c r="AC88" i="9"/>
  <c r="AB88" i="9"/>
  <c r="AA88" i="9"/>
  <c r="W88" i="9"/>
  <c r="T88" i="9"/>
  <c r="S88" i="9"/>
  <c r="AC87" i="9"/>
  <c r="AB87" i="9"/>
  <c r="AA87" i="9"/>
  <c r="W87" i="9"/>
  <c r="T87" i="9"/>
  <c r="S87" i="9"/>
  <c r="AC86" i="9"/>
  <c r="AB86" i="9"/>
  <c r="AA86" i="9"/>
  <c r="W86" i="9"/>
  <c r="T86" i="9"/>
  <c r="S86" i="9"/>
  <c r="AC85" i="9"/>
  <c r="AB85" i="9"/>
  <c r="AA85" i="9"/>
  <c r="W85" i="9"/>
  <c r="T85" i="9"/>
  <c r="S85" i="9"/>
  <c r="AC84" i="9"/>
  <c r="AB84" i="9"/>
  <c r="AA84" i="9"/>
  <c r="W84" i="9"/>
  <c r="T84" i="9"/>
  <c r="S84" i="9"/>
  <c r="AC83" i="9"/>
  <c r="AB83" i="9"/>
  <c r="AA83" i="9"/>
  <c r="W83" i="9"/>
  <c r="T83" i="9"/>
  <c r="S83" i="9"/>
  <c r="AC82" i="9"/>
  <c r="AB82" i="9"/>
  <c r="AA82" i="9"/>
  <c r="W82" i="9"/>
  <c r="T82" i="9"/>
  <c r="S82" i="9"/>
  <c r="AC81" i="9"/>
  <c r="AB81" i="9"/>
  <c r="AA81" i="9"/>
  <c r="W81" i="9"/>
  <c r="T81" i="9"/>
  <c r="S81" i="9"/>
  <c r="AC80" i="9"/>
  <c r="AB80" i="9"/>
  <c r="AA80" i="9"/>
  <c r="W80" i="9"/>
  <c r="T80" i="9"/>
  <c r="S80" i="9"/>
  <c r="AC79" i="9"/>
  <c r="AB79" i="9"/>
  <c r="AA79" i="9"/>
  <c r="W79" i="9"/>
  <c r="T79" i="9"/>
  <c r="S79" i="9"/>
  <c r="AC78" i="9"/>
  <c r="AB78" i="9"/>
  <c r="AA78" i="9"/>
  <c r="W78" i="9"/>
  <c r="T78" i="9"/>
  <c r="S78" i="9"/>
  <c r="AC77" i="9"/>
  <c r="AB77" i="9"/>
  <c r="AA77" i="9"/>
  <c r="W77" i="9"/>
  <c r="T77" i="9"/>
  <c r="S77" i="9"/>
  <c r="AC76" i="9"/>
  <c r="AB76" i="9"/>
  <c r="AA76" i="9"/>
  <c r="W76" i="9"/>
  <c r="T76" i="9"/>
  <c r="S76" i="9"/>
  <c r="AC75" i="9"/>
  <c r="AB75" i="9"/>
  <c r="AA75" i="9"/>
  <c r="W75" i="9"/>
  <c r="T75" i="9"/>
  <c r="S75" i="9"/>
  <c r="AC74" i="9"/>
  <c r="AB74" i="9"/>
  <c r="AA74" i="9"/>
  <c r="W74" i="9"/>
  <c r="T74" i="9"/>
  <c r="S74" i="9"/>
  <c r="AC73" i="9"/>
  <c r="AB73" i="9"/>
  <c r="AA73" i="9"/>
  <c r="W73" i="9"/>
  <c r="T73" i="9"/>
  <c r="S73" i="9"/>
  <c r="AC72" i="9"/>
  <c r="AB72" i="9"/>
  <c r="AA72" i="9"/>
  <c r="W72" i="9"/>
  <c r="T72" i="9"/>
  <c r="S72" i="9"/>
  <c r="AC71" i="9"/>
  <c r="AB71" i="9"/>
  <c r="AA71" i="9"/>
  <c r="W71" i="9"/>
  <c r="T71" i="9"/>
  <c r="S71" i="9"/>
  <c r="AC70" i="9"/>
  <c r="AB70" i="9"/>
  <c r="AA70" i="9"/>
  <c r="W70" i="9"/>
  <c r="T70" i="9"/>
  <c r="S70" i="9"/>
  <c r="AC69" i="9"/>
  <c r="AB69" i="9"/>
  <c r="AA69" i="9"/>
  <c r="W69" i="9"/>
  <c r="T69" i="9"/>
  <c r="S69" i="9"/>
  <c r="AC68" i="9"/>
  <c r="AB68" i="9"/>
  <c r="AA68" i="9"/>
  <c r="W68" i="9"/>
  <c r="T68" i="9"/>
  <c r="S68" i="9"/>
  <c r="AC67" i="9"/>
  <c r="AB67" i="9"/>
  <c r="AA67" i="9"/>
  <c r="W67" i="9"/>
  <c r="T67" i="9"/>
  <c r="S67" i="9"/>
  <c r="AC66" i="9"/>
  <c r="AB66" i="9"/>
  <c r="AA66" i="9"/>
  <c r="W66" i="9"/>
  <c r="T66" i="9"/>
  <c r="S66" i="9"/>
  <c r="AC65" i="9"/>
  <c r="AB65" i="9"/>
  <c r="AA65" i="9"/>
  <c r="W65" i="9"/>
  <c r="T65" i="9"/>
  <c r="S65" i="9"/>
  <c r="AC64" i="9"/>
  <c r="AB64" i="9"/>
  <c r="AA64" i="9"/>
  <c r="W64" i="9"/>
  <c r="T64" i="9"/>
  <c r="S64" i="9"/>
  <c r="AC63" i="9"/>
  <c r="AB63" i="9"/>
  <c r="AA63" i="9"/>
  <c r="W63" i="9"/>
  <c r="T63" i="9"/>
  <c r="S63" i="9"/>
  <c r="AC62" i="9"/>
  <c r="AB62" i="9"/>
  <c r="AA62" i="9"/>
  <c r="W62" i="9"/>
  <c r="T62" i="9"/>
  <c r="S62" i="9"/>
  <c r="AC61" i="9"/>
  <c r="AB61" i="9"/>
  <c r="AA61" i="9"/>
  <c r="W61" i="9"/>
  <c r="T61" i="9"/>
  <c r="S61" i="9"/>
  <c r="AC60" i="9"/>
  <c r="AB60" i="9"/>
  <c r="AA60" i="9"/>
  <c r="W60" i="9"/>
  <c r="T60" i="9"/>
  <c r="S60" i="9"/>
  <c r="AC59" i="9"/>
  <c r="AB59" i="9"/>
  <c r="AA59" i="9"/>
  <c r="W59" i="9"/>
  <c r="T59" i="9"/>
  <c r="S59" i="9"/>
  <c r="AC58" i="9"/>
  <c r="AB58" i="9"/>
  <c r="AA58" i="9"/>
  <c r="W58" i="9"/>
  <c r="T58" i="9"/>
  <c r="S58" i="9"/>
  <c r="AC57" i="9"/>
  <c r="AB57" i="9"/>
  <c r="AA57" i="9"/>
  <c r="W57" i="9"/>
  <c r="T57" i="9"/>
  <c r="S57" i="9"/>
  <c r="AC56" i="9"/>
  <c r="AB56" i="9"/>
  <c r="AA56" i="9"/>
  <c r="W56" i="9"/>
  <c r="T56" i="9"/>
  <c r="S56" i="9"/>
  <c r="AC55" i="9"/>
  <c r="AB55" i="9"/>
  <c r="AA55" i="9"/>
  <c r="W55" i="9"/>
  <c r="T55" i="9"/>
  <c r="S55" i="9"/>
  <c r="AC54" i="9"/>
  <c r="AB54" i="9"/>
  <c r="AA54" i="9"/>
  <c r="W54" i="9"/>
  <c r="T54" i="9"/>
  <c r="S54" i="9"/>
  <c r="AC53" i="9"/>
  <c r="AB53" i="9"/>
  <c r="AA53" i="9"/>
  <c r="W53" i="9"/>
  <c r="T53" i="9"/>
  <c r="S53" i="9"/>
  <c r="AC52" i="9"/>
  <c r="AB52" i="9"/>
  <c r="AA52" i="9"/>
  <c r="W52" i="9"/>
  <c r="T52" i="9"/>
  <c r="S52" i="9"/>
  <c r="AC51" i="9"/>
  <c r="AB51" i="9"/>
  <c r="AA51" i="9"/>
  <c r="W51" i="9"/>
  <c r="T51" i="9"/>
  <c r="S51" i="9"/>
  <c r="AC50" i="9"/>
  <c r="AB50" i="9"/>
  <c r="AA50" i="9"/>
  <c r="W50" i="9"/>
  <c r="T50" i="9"/>
  <c r="S50" i="9"/>
  <c r="AC49" i="9"/>
  <c r="AB49" i="9"/>
  <c r="AA49" i="9"/>
  <c r="W49" i="9"/>
  <c r="T49" i="9"/>
  <c r="S49" i="9"/>
  <c r="AC48" i="9"/>
  <c r="AB48" i="9"/>
  <c r="AA48" i="9"/>
  <c r="W48" i="9"/>
  <c r="T48" i="9"/>
  <c r="S48" i="9"/>
  <c r="AC47" i="9"/>
  <c r="AB47" i="9"/>
  <c r="AA47" i="9"/>
  <c r="W47" i="9"/>
  <c r="T47" i="9"/>
  <c r="S47" i="9"/>
  <c r="AC46" i="9"/>
  <c r="AB46" i="9"/>
  <c r="AA46" i="9"/>
  <c r="W46" i="9"/>
  <c r="T46" i="9"/>
  <c r="S46" i="9"/>
  <c r="AC45" i="9"/>
  <c r="AB45" i="9"/>
  <c r="AA45" i="9"/>
  <c r="W45" i="9"/>
  <c r="T45" i="9"/>
  <c r="S45" i="9"/>
  <c r="AC44" i="9"/>
  <c r="AB44" i="9"/>
  <c r="AA44" i="9"/>
  <c r="W44" i="9"/>
  <c r="T44" i="9"/>
  <c r="S44" i="9"/>
  <c r="AC43" i="9"/>
  <c r="AB43" i="9"/>
  <c r="AA43" i="9"/>
  <c r="W43" i="9"/>
  <c r="T43" i="9"/>
  <c r="S43" i="9"/>
  <c r="AC42" i="9"/>
  <c r="AB42" i="9"/>
  <c r="AA42" i="9"/>
  <c r="W42" i="9"/>
  <c r="T42" i="9"/>
  <c r="S42" i="9"/>
  <c r="AC41" i="9"/>
  <c r="AB41" i="9"/>
  <c r="AA41" i="9"/>
  <c r="W41" i="9"/>
  <c r="T41" i="9"/>
  <c r="S41" i="9"/>
  <c r="AC40" i="9"/>
  <c r="AB40" i="9"/>
  <c r="AA40" i="9"/>
  <c r="W40" i="9"/>
  <c r="T40" i="9"/>
  <c r="S40" i="9"/>
  <c r="AC39" i="9"/>
  <c r="AB39" i="9"/>
  <c r="AA39" i="9"/>
  <c r="W39" i="9"/>
  <c r="T39" i="9"/>
  <c r="S39" i="9"/>
  <c r="AC38" i="9"/>
  <c r="AB38" i="9"/>
  <c r="AA38" i="9"/>
  <c r="W38" i="9"/>
  <c r="T38" i="9"/>
  <c r="S38" i="9"/>
  <c r="AC37" i="9"/>
  <c r="AB37" i="9"/>
  <c r="AA37" i="9"/>
  <c r="W37" i="9"/>
  <c r="T37" i="9"/>
  <c r="S37" i="9"/>
  <c r="AC36" i="9"/>
  <c r="AB36" i="9"/>
  <c r="AA36" i="9"/>
  <c r="W36" i="9"/>
  <c r="T36" i="9"/>
  <c r="S36" i="9"/>
  <c r="AC35" i="9"/>
  <c r="AB35" i="9"/>
  <c r="AA35" i="9"/>
  <c r="W35" i="9"/>
  <c r="T35" i="9"/>
  <c r="S35" i="9"/>
  <c r="AC34" i="9"/>
  <c r="AB34" i="9"/>
  <c r="AA34" i="9"/>
  <c r="W34" i="9"/>
  <c r="T34" i="9"/>
  <c r="S34" i="9"/>
  <c r="AC33" i="9"/>
  <c r="AB33" i="9"/>
  <c r="AA33" i="9"/>
  <c r="W33" i="9"/>
  <c r="T33" i="9"/>
  <c r="S33" i="9"/>
  <c r="AC32" i="9"/>
  <c r="AB32" i="9"/>
  <c r="AA32" i="9"/>
  <c r="W32" i="9"/>
  <c r="T32" i="9"/>
  <c r="S32" i="9"/>
  <c r="AC31" i="9"/>
  <c r="AB31" i="9"/>
  <c r="AA31" i="9"/>
  <c r="W31" i="9"/>
  <c r="T31" i="9"/>
  <c r="S31" i="9"/>
  <c r="AC30" i="9"/>
  <c r="AB30" i="9"/>
  <c r="AA30" i="9"/>
  <c r="W30" i="9"/>
  <c r="T30" i="9"/>
  <c r="S30" i="9"/>
  <c r="AC29" i="9"/>
  <c r="AB29" i="9"/>
  <c r="AA29" i="9"/>
  <c r="W29" i="9"/>
  <c r="T29" i="9"/>
  <c r="S29" i="9"/>
  <c r="AC28" i="9"/>
  <c r="AB28" i="9"/>
  <c r="AA28" i="9"/>
  <c r="W28" i="9"/>
  <c r="T28" i="9"/>
  <c r="S28" i="9"/>
  <c r="AC27" i="9"/>
  <c r="AB27" i="9"/>
  <c r="AA27" i="9"/>
  <c r="W27" i="9"/>
  <c r="T27" i="9"/>
  <c r="S27" i="9"/>
  <c r="AC26" i="9"/>
  <c r="AB26" i="9"/>
  <c r="AA26" i="9"/>
  <c r="W26" i="9"/>
  <c r="T26" i="9"/>
  <c r="S26" i="9"/>
  <c r="AC25" i="9"/>
  <c r="AB25" i="9"/>
  <c r="AA25" i="9"/>
  <c r="W25" i="9"/>
  <c r="T25" i="9"/>
  <c r="S25" i="9"/>
  <c r="AC24" i="9"/>
  <c r="AB24" i="9"/>
  <c r="AA24" i="9"/>
  <c r="W24" i="9"/>
  <c r="T24" i="9"/>
  <c r="S24" i="9"/>
  <c r="AC23" i="9"/>
  <c r="AB23" i="9"/>
  <c r="AA23" i="9"/>
  <c r="W23" i="9"/>
  <c r="T23" i="9"/>
  <c r="S23" i="9"/>
  <c r="AC22" i="9"/>
  <c r="AB22" i="9"/>
  <c r="AA22" i="9"/>
  <c r="W22" i="9"/>
  <c r="T22" i="9"/>
  <c r="S22" i="9"/>
  <c r="AC21" i="9"/>
  <c r="AB21" i="9"/>
  <c r="AA21" i="9"/>
  <c r="W21" i="9"/>
  <c r="T21" i="9"/>
  <c r="S21" i="9"/>
  <c r="AC20" i="9"/>
  <c r="AB20" i="9"/>
  <c r="AA20" i="9"/>
  <c r="W20" i="9"/>
  <c r="T20" i="9"/>
  <c r="S20" i="9"/>
  <c r="AC19" i="9"/>
  <c r="AB19" i="9"/>
  <c r="AA19" i="9"/>
  <c r="W19" i="9"/>
  <c r="T19" i="9"/>
  <c r="S19" i="9"/>
  <c r="AC18" i="9"/>
  <c r="AB18" i="9"/>
  <c r="AA18" i="9"/>
  <c r="W18" i="9"/>
  <c r="T18" i="9"/>
  <c r="S18" i="9"/>
  <c r="AC17" i="9"/>
  <c r="AB17" i="9"/>
  <c r="AA17" i="9"/>
  <c r="W17" i="9"/>
  <c r="T17" i="9"/>
  <c r="S17" i="9"/>
  <c r="AC16" i="9"/>
  <c r="AB16" i="9"/>
  <c r="AA16" i="9"/>
  <c r="W16" i="9"/>
  <c r="T16" i="9"/>
  <c r="S16" i="9"/>
  <c r="AC15" i="9"/>
  <c r="AB15" i="9"/>
  <c r="AA15" i="9"/>
  <c r="W15" i="9"/>
  <c r="T15" i="9"/>
  <c r="S15" i="9"/>
  <c r="AC14" i="9"/>
  <c r="AB14" i="9"/>
  <c r="AA14" i="9"/>
  <c r="W14" i="9"/>
  <c r="T14" i="9"/>
  <c r="S14" i="9"/>
  <c r="AC13" i="9"/>
  <c r="AB13" i="9"/>
  <c r="AA13" i="9"/>
  <c r="W13" i="9"/>
  <c r="T13" i="9"/>
  <c r="S13" i="9"/>
  <c r="AC12" i="9"/>
  <c r="AB12" i="9"/>
  <c r="AA12" i="9"/>
  <c r="W12" i="9"/>
  <c r="T12" i="9"/>
  <c r="S12" i="9"/>
  <c r="AC11" i="9"/>
  <c r="AB11" i="9"/>
  <c r="AA11" i="9"/>
  <c r="W11" i="9"/>
  <c r="T11" i="9"/>
  <c r="S11" i="9"/>
  <c r="AC10" i="9"/>
  <c r="AB10" i="9"/>
  <c r="AA10" i="9"/>
  <c r="W10" i="9"/>
  <c r="T10" i="9"/>
  <c r="S10" i="9"/>
  <c r="AC9" i="9"/>
  <c r="AB9" i="9"/>
  <c r="AA9" i="9"/>
  <c r="W9" i="9"/>
  <c r="T9" i="9"/>
  <c r="S9" i="9"/>
  <c r="AC8" i="9"/>
  <c r="AB8" i="9"/>
  <c r="AA8" i="9"/>
  <c r="W8" i="9"/>
  <c r="T8" i="9"/>
  <c r="S8" i="9"/>
  <c r="AC7" i="9"/>
  <c r="AB7" i="9"/>
  <c r="AA7" i="9"/>
  <c r="W7" i="9"/>
  <c r="T7" i="9"/>
  <c r="S7" i="9"/>
</calcChain>
</file>

<file path=xl/sharedStrings.xml><?xml version="1.0" encoding="utf-8"?>
<sst xmlns="http://schemas.openxmlformats.org/spreadsheetml/2006/main" count="3291" uniqueCount="653">
  <si>
    <t>年月</t>
  </si>
  <si>
    <t>限月取引</t>
  </si>
  <si>
    <t xml:space="preserve"> </t>
  </si>
  <si>
    <t>　</t>
  </si>
  <si>
    <t>Contract Month</t>
  </si>
  <si>
    <t>取引期間</t>
    <rPh sb="0" eb="2">
      <t>トリヒキ</t>
    </rPh>
    <rPh sb="2" eb="4">
      <t>キカン</t>
    </rPh>
    <phoneticPr fontId="6"/>
  </si>
  <si>
    <t>日</t>
    <rPh sb="0" eb="1">
      <t>ヒ</t>
    </rPh>
    <phoneticPr fontId="6"/>
  </si>
  <si>
    <t>商品等</t>
    <rPh sb="0" eb="2">
      <t>ショウヒン</t>
    </rPh>
    <rPh sb="2" eb="3">
      <t>トウ</t>
    </rPh>
    <phoneticPr fontId="6"/>
  </si>
  <si>
    <t>Days 
Traded</t>
    <phoneticPr fontId="6"/>
  </si>
  <si>
    <t>Open 
Interest(unit)</t>
    <phoneticPr fontId="6"/>
  </si>
  <si>
    <t>J-NET(￥)</t>
    <phoneticPr fontId="6"/>
  </si>
  <si>
    <t>Trading 
Value(￥)</t>
    <phoneticPr fontId="6"/>
  </si>
  <si>
    <t>J-NET(unit)</t>
    <phoneticPr fontId="6"/>
  </si>
  <si>
    <t>Trading Volume(unit)</t>
    <phoneticPr fontId="6"/>
  </si>
  <si>
    <t>Date</t>
    <phoneticPr fontId="6"/>
  </si>
  <si>
    <t>Trading
Period</t>
    <phoneticPr fontId="6"/>
  </si>
  <si>
    <t>Year/Month</t>
    <phoneticPr fontId="6"/>
  </si>
  <si>
    <t>日</t>
    <phoneticPr fontId="6"/>
  </si>
  <si>
    <t>うちJ-NET
取引（円）</t>
    <phoneticPr fontId="6"/>
  </si>
  <si>
    <t>うちJ-NET
取引（単位）</t>
    <phoneticPr fontId="6"/>
  </si>
  <si>
    <t>値付
日数</t>
    <phoneticPr fontId="6"/>
  </si>
  <si>
    <t>建玉現在高
（単位）</t>
    <phoneticPr fontId="6"/>
  </si>
  <si>
    <t>取引金額（円）</t>
    <phoneticPr fontId="6"/>
  </si>
  <si>
    <t>取引高（単位）</t>
    <phoneticPr fontId="6"/>
  </si>
  <si>
    <t>値  段  Price</t>
    <phoneticPr fontId="6"/>
  </si>
  <si>
    <t>Products</t>
    <phoneticPr fontId="6"/>
  </si>
  <si>
    <t>商品先物相場表</t>
    <rPh sb="0" eb="2">
      <t>ショウヒン</t>
    </rPh>
    <rPh sb="2" eb="4">
      <t>サキモノ</t>
    </rPh>
    <phoneticPr fontId="6"/>
  </si>
  <si>
    <t>Commodity Futures Quotations</t>
    <phoneticPr fontId="6"/>
  </si>
  <si>
    <t>早受渡・申告受渡高
（単位）</t>
    <rPh sb="0" eb="1">
      <t>ハヤ</t>
    </rPh>
    <rPh sb="1" eb="3">
      <t>ウケワタシ</t>
    </rPh>
    <rPh sb="4" eb="6">
      <t>シンコク</t>
    </rPh>
    <rPh sb="6" eb="8">
      <t>ウケワタシ</t>
    </rPh>
    <rPh sb="8" eb="9">
      <t>ダカ</t>
    </rPh>
    <rPh sb="11" eb="13">
      <t>タンイ</t>
    </rPh>
    <phoneticPr fontId="6"/>
  </si>
  <si>
    <t>Early Delivery, Declared Delivery Volume(unit)</t>
    <phoneticPr fontId="6"/>
  </si>
  <si>
    <t>うちストラテジー
取引（単位）</t>
    <phoneticPr fontId="6"/>
  </si>
  <si>
    <t>Strategy(unit)</t>
    <phoneticPr fontId="6"/>
  </si>
  <si>
    <t>うちストラテジー
取引（円）</t>
    <phoneticPr fontId="6"/>
  </si>
  <si>
    <t>Strategy(￥)</t>
    <phoneticPr fontId="6"/>
  </si>
  <si>
    <t>始　値
（円/ポイント）</t>
    <phoneticPr fontId="6"/>
  </si>
  <si>
    <t>高　値
（円/ポイント）</t>
    <phoneticPr fontId="6"/>
  </si>
  <si>
    <t>うちJ-NET取引
（円/ポイント）</t>
    <phoneticPr fontId="6"/>
  </si>
  <si>
    <t>安　値
（円/ポイント）</t>
    <phoneticPr fontId="6"/>
  </si>
  <si>
    <t>終　値
（円/ポイント）</t>
    <phoneticPr fontId="6"/>
  </si>
  <si>
    <t>平均清算数値
（円/ポイント）</t>
    <phoneticPr fontId="6"/>
  </si>
  <si>
    <t>Open(￥/point)</t>
    <phoneticPr fontId="6"/>
  </si>
  <si>
    <t>High(￥/point)</t>
    <phoneticPr fontId="6"/>
  </si>
  <si>
    <t>J-NET(￥/point)</t>
    <phoneticPr fontId="6"/>
  </si>
  <si>
    <t>Low(￥/point)</t>
    <phoneticPr fontId="6"/>
  </si>
  <si>
    <t>Close(￥/point)</t>
    <phoneticPr fontId="6"/>
  </si>
  <si>
    <t>Average
Settlement
Price(￥/point)</t>
    <phoneticPr fontId="6"/>
  </si>
  <si>
    <t>2022/05</t>
  </si>
  <si>
    <t>金標準先物</t>
  </si>
  <si>
    <t>Gold Standard Futures</t>
  </si>
  <si>
    <t>2022/06</t>
  </si>
  <si>
    <t>2021/06/28</t>
  </si>
  <si>
    <t>2022/06/27</t>
  </si>
  <si>
    <t>02</t>
  </si>
  <si>
    <t>7,860</t>
  </si>
  <si>
    <t>7,950</t>
  </si>
  <si>
    <t>17</t>
  </si>
  <si>
    <t>7,449</t>
  </si>
  <si>
    <t>31</t>
  </si>
  <si>
    <t>7,610</t>
  </si>
  <si>
    <t>2022/08</t>
  </si>
  <si>
    <t>2021/08/27</t>
  </si>
  <si>
    <t>2022/08/26</t>
  </si>
  <si>
    <t>7,868</t>
  </si>
  <si>
    <t>7,959</t>
  </si>
  <si>
    <t>7,427</t>
  </si>
  <si>
    <t>7,602</t>
  </si>
  <si>
    <t>2022/10</t>
  </si>
  <si>
    <t>2021/10/27</t>
  </si>
  <si>
    <t>2022/10/26</t>
  </si>
  <si>
    <t>7,876</t>
  </si>
  <si>
    <t>7,953</t>
  </si>
  <si>
    <t>7,410</t>
  </si>
  <si>
    <t>7,597</t>
  </si>
  <si>
    <t>2022/12</t>
  </si>
  <si>
    <t>2021/12/24</t>
  </si>
  <si>
    <t>2022/12/23</t>
  </si>
  <si>
    <t>7,403</t>
  </si>
  <si>
    <t>7,593</t>
  </si>
  <si>
    <t>2023/02</t>
  </si>
  <si>
    <t>2022/02/24</t>
  </si>
  <si>
    <t>2023/02/22</t>
  </si>
  <si>
    <t>7,870</t>
  </si>
  <si>
    <t>7,954</t>
  </si>
  <si>
    <t>7,870.0000</t>
  </si>
  <si>
    <t>7,408</t>
  </si>
  <si>
    <t>18</t>
  </si>
  <si>
    <t>7,521.0000</t>
  </si>
  <si>
    <t>7,590</t>
  </si>
  <si>
    <t>2023/04</t>
  </si>
  <si>
    <t>2022/04/26</t>
  </si>
  <si>
    <t>2023/04/25</t>
  </si>
  <si>
    <t>7,875</t>
  </si>
  <si>
    <t>7,957</t>
  </si>
  <si>
    <t>09</t>
  </si>
  <si>
    <t>7,850.0000</t>
  </si>
  <si>
    <t>7,405</t>
  </si>
  <si>
    <t>13</t>
  </si>
  <si>
    <t>7,484.0000</t>
  </si>
  <si>
    <t>7,588</t>
  </si>
  <si>
    <t>金ミニ先物</t>
  </si>
  <si>
    <t>Gold Mini Futures</t>
  </si>
  <si>
    <t>2022/06/24</t>
  </si>
  <si>
    <t>7,878.5</t>
  </si>
  <si>
    <t>7,890.0</t>
  </si>
  <si>
    <t>7,450.0</t>
  </si>
  <si>
    <t>7,614.5</t>
  </si>
  <si>
    <t>2022/08/25</t>
  </si>
  <si>
    <t>7,929.5</t>
  </si>
  <si>
    <t>7,444.5</t>
  </si>
  <si>
    <t>7,611.5</t>
  </si>
  <si>
    <t>2022/10/25</t>
  </si>
  <si>
    <t>7,944.0</t>
  </si>
  <si>
    <t>20</t>
  </si>
  <si>
    <t>7,599.0</t>
  </si>
  <si>
    <t>2022/12/22</t>
  </si>
  <si>
    <t>7,855.0</t>
  </si>
  <si>
    <t>7,946.5</t>
  </si>
  <si>
    <t>7,417.0</t>
  </si>
  <si>
    <t>7,597.5</t>
  </si>
  <si>
    <t>2023/02/21</t>
  </si>
  <si>
    <t>7,849.0</t>
  </si>
  <si>
    <t>7,955.0</t>
  </si>
  <si>
    <t>7,410.0</t>
  </si>
  <si>
    <t>7,593.0</t>
  </si>
  <si>
    <t>2023/04/24</t>
  </si>
  <si>
    <t>7,853.0</t>
  </si>
  <si>
    <t>7,958.0</t>
  </si>
  <si>
    <t>7,404.5</t>
  </si>
  <si>
    <t>7,583.0</t>
  </si>
  <si>
    <t>金限日先物</t>
  </si>
  <si>
    <t>Gold Rolling-Spot Futures</t>
  </si>
  <si>
    <t>－</t>
  </si>
  <si>
    <t>7,906</t>
  </si>
  <si>
    <t>8,000</t>
  </si>
  <si>
    <t>7,914.0000</t>
  </si>
  <si>
    <t>7,451</t>
  </si>
  <si>
    <t>19</t>
  </si>
  <si>
    <t>7,490.0000</t>
  </si>
  <si>
    <t>7,620</t>
  </si>
  <si>
    <t>銀先物</t>
  </si>
  <si>
    <t>Silver Futures</t>
  </si>
  <si>
    <t>94.4</t>
  </si>
  <si>
    <t>86.8</t>
  </si>
  <si>
    <t>94.8</t>
  </si>
  <si>
    <t>95.2</t>
  </si>
  <si>
    <t>16</t>
  </si>
  <si>
    <t>86.1</t>
  </si>
  <si>
    <t>30</t>
  </si>
  <si>
    <t>88.2</t>
  </si>
  <si>
    <t>99.1</t>
  </si>
  <si>
    <t>85.9</t>
  </si>
  <si>
    <t>87.8</t>
  </si>
  <si>
    <t>98.7</t>
  </si>
  <si>
    <t>85.0</t>
  </si>
  <si>
    <t>88.4</t>
  </si>
  <si>
    <t>99.5</t>
  </si>
  <si>
    <t>99.7</t>
  </si>
  <si>
    <t>85.3</t>
  </si>
  <si>
    <t>89.6</t>
  </si>
  <si>
    <t>98.9</t>
  </si>
  <si>
    <t>100.0</t>
  </si>
  <si>
    <t>85.6</t>
  </si>
  <si>
    <t>90.8</t>
  </si>
  <si>
    <t>白金標準先物</t>
  </si>
  <si>
    <t>Platinum Standard Futures</t>
  </si>
  <si>
    <t>3,833</t>
  </si>
  <si>
    <t>12</t>
  </si>
  <si>
    <t>4,100</t>
  </si>
  <si>
    <t>3,804</t>
  </si>
  <si>
    <t>3,915</t>
  </si>
  <si>
    <t>3,858</t>
  </si>
  <si>
    <t>06</t>
  </si>
  <si>
    <t>4,020</t>
  </si>
  <si>
    <t>3,773</t>
  </si>
  <si>
    <t>3,908</t>
  </si>
  <si>
    <t>3,842</t>
  </si>
  <si>
    <t>4,011</t>
  </si>
  <si>
    <t>3,740</t>
  </si>
  <si>
    <t>3,879</t>
  </si>
  <si>
    <t>3,786</t>
  </si>
  <si>
    <t>4,013</t>
  </si>
  <si>
    <t>3,742</t>
  </si>
  <si>
    <t>3,889</t>
  </si>
  <si>
    <t>3,802</t>
  </si>
  <si>
    <t>4,024</t>
  </si>
  <si>
    <t>3,743</t>
  </si>
  <si>
    <t>3,895</t>
  </si>
  <si>
    <t>3,803</t>
  </si>
  <si>
    <t>4,010</t>
  </si>
  <si>
    <t>3,720</t>
  </si>
  <si>
    <t>3,880</t>
  </si>
  <si>
    <t>白金ミニ先物</t>
  </si>
  <si>
    <t>Platinum Mini Futures</t>
  </si>
  <si>
    <t>3,817.0</t>
  </si>
  <si>
    <t>4,112.0</t>
  </si>
  <si>
    <t>3,906.0</t>
  </si>
  <si>
    <t>3,810.0</t>
  </si>
  <si>
    <t>4,049.5</t>
  </si>
  <si>
    <t>3,796.5</t>
  </si>
  <si>
    <t>26</t>
  </si>
  <si>
    <t>3,785.0</t>
  </si>
  <si>
    <t>4,010.0</t>
  </si>
  <si>
    <t>3,879.5</t>
  </si>
  <si>
    <t>3,810.5</t>
  </si>
  <si>
    <t>4,011.0</t>
  </si>
  <si>
    <t>27</t>
  </si>
  <si>
    <t>3,783.5</t>
  </si>
  <si>
    <t>3,790.0</t>
  </si>
  <si>
    <t>4,020.0</t>
  </si>
  <si>
    <t>3,731.5</t>
  </si>
  <si>
    <t>4,008.5</t>
  </si>
  <si>
    <t>3,719.0</t>
  </si>
  <si>
    <t>3,875.0</t>
  </si>
  <si>
    <t>白金限日先物</t>
  </si>
  <si>
    <t>Platinum Rolling-Spot Futures</t>
  </si>
  <si>
    <t>3,890</t>
  </si>
  <si>
    <t>4,092</t>
  </si>
  <si>
    <t>3,824</t>
  </si>
  <si>
    <t>3,979</t>
  </si>
  <si>
    <t>パラジウム先物</t>
  </si>
  <si>
    <t>Palladium Futures</t>
  </si>
  <si>
    <t>8,400</t>
  </si>
  <si>
    <t>8,350</t>
  </si>
  <si>
    <t>10,010</t>
  </si>
  <si>
    <t>11</t>
  </si>
  <si>
    <t>8,601</t>
  </si>
  <si>
    <t>9,277</t>
  </si>
  <si>
    <t>8,349</t>
  </si>
  <si>
    <t>CME原油等指数先物</t>
  </si>
  <si>
    <t>CME Petroleum Index Futures</t>
  </si>
  <si>
    <t>2021/11/02</t>
  </si>
  <si>
    <t>2022/05/02</t>
  </si>
  <si>
    <t>*</t>
  </si>
  <si>
    <t>2021/12/02</t>
  </si>
  <si>
    <t>2022/06/01</t>
  </si>
  <si>
    <t>269.00</t>
  </si>
  <si>
    <t>278.70</t>
  </si>
  <si>
    <t>2022/07</t>
  </si>
  <si>
    <t>2022/01/05</t>
  </si>
  <si>
    <t>2022/07/01</t>
  </si>
  <si>
    <t>259.00</t>
  </si>
  <si>
    <t>271.05</t>
  </si>
  <si>
    <t>2022/02/02</t>
  </si>
  <si>
    <t>2022/08/01</t>
  </si>
  <si>
    <t>278.10</t>
  </si>
  <si>
    <t>2022/09</t>
  </si>
  <si>
    <t>2022/03/02</t>
  </si>
  <si>
    <t>2022/09/01</t>
  </si>
  <si>
    <t>244.35</t>
  </si>
  <si>
    <t>266.55</t>
  </si>
  <si>
    <t>2022/04/04</t>
  </si>
  <si>
    <t>2022/10/03</t>
  </si>
  <si>
    <t>2022/11</t>
  </si>
  <si>
    <t>2022/05/06</t>
  </si>
  <si>
    <t>2022/11/01</t>
  </si>
  <si>
    <t>ゴム（RSS3）先物</t>
  </si>
  <si>
    <t>RSS3 Rubber Futures</t>
  </si>
  <si>
    <t>2021/09/21</t>
  </si>
  <si>
    <t>2022/05/25</t>
  </si>
  <si>
    <t>248.7</t>
  </si>
  <si>
    <t>25</t>
  </si>
  <si>
    <t>250.7</t>
  </si>
  <si>
    <t>241.8000</t>
  </si>
  <si>
    <t>235.0</t>
  </si>
  <si>
    <t>248.5</t>
  </si>
  <si>
    <t>251.0</t>
  </si>
  <si>
    <t>250.7000</t>
  </si>
  <si>
    <t>239.5</t>
  </si>
  <si>
    <t>245.7000</t>
  </si>
  <si>
    <t>2022/07/25</t>
  </si>
  <si>
    <t>243.8</t>
  </si>
  <si>
    <t>248.4</t>
  </si>
  <si>
    <t>237.0</t>
  </si>
  <si>
    <t>246.0</t>
  </si>
  <si>
    <t>251.9</t>
  </si>
  <si>
    <t>238.5</t>
  </si>
  <si>
    <t>2021/09/27</t>
  </si>
  <si>
    <t>2022/09/26</t>
  </si>
  <si>
    <t>248.2</t>
  </si>
  <si>
    <t>253.3</t>
  </si>
  <si>
    <t>251.2000</t>
  </si>
  <si>
    <t>240.0</t>
  </si>
  <si>
    <t>246.8000</t>
  </si>
  <si>
    <t>248.1</t>
  </si>
  <si>
    <t>2021/10/26</t>
  </si>
  <si>
    <t>249.2</t>
  </si>
  <si>
    <t>254.7</t>
  </si>
  <si>
    <t>23</t>
  </si>
  <si>
    <t>247.1000</t>
  </si>
  <si>
    <t>240.4</t>
  </si>
  <si>
    <t>248.3</t>
  </si>
  <si>
    <t>2021/11/25</t>
  </si>
  <si>
    <t>2022/11/24</t>
  </si>
  <si>
    <t>255.0</t>
  </si>
  <si>
    <t>242.0</t>
  </si>
  <si>
    <t>250.0</t>
  </si>
  <si>
    <t>2021/12/23</t>
  </si>
  <si>
    <t>253.8</t>
  </si>
  <si>
    <t>243.3</t>
  </si>
  <si>
    <t>249.1</t>
  </si>
  <si>
    <t>2023/01</t>
  </si>
  <si>
    <t>2022/01/26</t>
  </si>
  <si>
    <t>2023/01/25</t>
  </si>
  <si>
    <t>251.6</t>
  </si>
  <si>
    <t>253.1</t>
  </si>
  <si>
    <t>2022/02/22</t>
  </si>
  <si>
    <t>256.6</t>
  </si>
  <si>
    <t>247.0</t>
  </si>
  <si>
    <t>24</t>
  </si>
  <si>
    <t>254.0</t>
  </si>
  <si>
    <t>2023/03</t>
  </si>
  <si>
    <t>2022/03/28</t>
  </si>
  <si>
    <t>2023/03/27</t>
  </si>
  <si>
    <t>249.0</t>
  </si>
  <si>
    <t>244.5</t>
  </si>
  <si>
    <t>2022/04/25</t>
  </si>
  <si>
    <t>259.8</t>
  </si>
  <si>
    <t>247.7</t>
  </si>
  <si>
    <t>251.4</t>
  </si>
  <si>
    <t>2023/05</t>
  </si>
  <si>
    <t>2022/05/26</t>
  </si>
  <si>
    <t>2023/05/25</t>
  </si>
  <si>
    <t>251.1</t>
  </si>
  <si>
    <t>255.7</t>
  </si>
  <si>
    <t>ゴム（TSR20）先物</t>
  </si>
  <si>
    <t>TSR20 Rubber Futures</t>
  </si>
  <si>
    <t>2022/05/31</t>
  </si>
  <si>
    <t>2022/06/30</t>
  </si>
  <si>
    <t>2022/07/29</t>
  </si>
  <si>
    <t>204.6</t>
  </si>
  <si>
    <t>207.1</t>
  </si>
  <si>
    <t>206.5</t>
  </si>
  <si>
    <t>2022/08/31</t>
  </si>
  <si>
    <t>209.4</t>
  </si>
  <si>
    <t>210.0</t>
  </si>
  <si>
    <t>2021/10/01</t>
  </si>
  <si>
    <t>2022/09/30</t>
  </si>
  <si>
    <t>2021/11/01</t>
  </si>
  <si>
    <t>2022/10/31</t>
  </si>
  <si>
    <t>2021/12/01</t>
  </si>
  <si>
    <t>2022/11/30</t>
  </si>
  <si>
    <t>2022/01/04</t>
  </si>
  <si>
    <t>2022/12/30</t>
  </si>
  <si>
    <t>2022/02/01</t>
  </si>
  <si>
    <t>2023/01/31</t>
  </si>
  <si>
    <t>2022/03/01</t>
  </si>
  <si>
    <t>2023/02/28</t>
  </si>
  <si>
    <t>2022/04/01</t>
  </si>
  <si>
    <t>2023/03/31</t>
  </si>
  <si>
    <t>2023/04/28</t>
  </si>
  <si>
    <t>とうもろこし先物</t>
  </si>
  <si>
    <t>Corn Futures</t>
  </si>
  <si>
    <t>2021/06/16</t>
  </si>
  <si>
    <t>2022/06/15</t>
  </si>
  <si>
    <t>10</t>
  </si>
  <si>
    <t>56,750</t>
  </si>
  <si>
    <t>57,300</t>
  </si>
  <si>
    <t>50,610</t>
  </si>
  <si>
    <t>53,000</t>
  </si>
  <si>
    <t>2021/08/16</t>
  </si>
  <si>
    <t>2022/08/15</t>
  </si>
  <si>
    <t>59,000</t>
  </si>
  <si>
    <t>59,000.0000</t>
  </si>
  <si>
    <t>54,590</t>
  </si>
  <si>
    <t>55,050</t>
  </si>
  <si>
    <t>2021/10/18</t>
  </si>
  <si>
    <t>2022/10/14</t>
  </si>
  <si>
    <t>56,040</t>
  </si>
  <si>
    <t>56,570</t>
  </si>
  <si>
    <t>48,710</t>
  </si>
  <si>
    <t>52,150</t>
  </si>
  <si>
    <t>2021/12/16</t>
  </si>
  <si>
    <t>2022/12/15</t>
  </si>
  <si>
    <t>57,250</t>
  </si>
  <si>
    <t>51,000</t>
  </si>
  <si>
    <t>52,510</t>
  </si>
  <si>
    <t>2022/02/16</t>
  </si>
  <si>
    <t>2023/02/15</t>
  </si>
  <si>
    <t>57,750</t>
  </si>
  <si>
    <t>58,510</t>
  </si>
  <si>
    <t>50,520</t>
  </si>
  <si>
    <t>53,210</t>
  </si>
  <si>
    <t>2022/04/18</t>
  </si>
  <si>
    <t>2023/04/14</t>
  </si>
  <si>
    <t>58,390</t>
  </si>
  <si>
    <t>59,600</t>
  </si>
  <si>
    <t>51,870</t>
  </si>
  <si>
    <t>53,800</t>
  </si>
  <si>
    <t>一般大豆先物</t>
  </si>
  <si>
    <t>Soybean Futures</t>
  </si>
  <si>
    <t>小豆先物</t>
  </si>
  <si>
    <t>Azuki (Red Bean) Futures</t>
  </si>
  <si>
    <t>2021/11/26</t>
  </si>
  <si>
    <t>2022/01/27</t>
  </si>
  <si>
    <t>2022/07/26</t>
  </si>
  <si>
    <t>2022/03/29</t>
  </si>
  <si>
    <t>2022/09/27</t>
  </si>
  <si>
    <t>2022/05/27</t>
  </si>
  <si>
    <t>2022/11/25</t>
  </si>
  <si>
    <t>月末日：</t>
    <phoneticPr fontId="6"/>
  </si>
  <si>
    <t>（株）東京商品取引所</t>
    <phoneticPr fontId="6"/>
  </si>
  <si>
    <t>取引単位</t>
    <phoneticPr fontId="6"/>
  </si>
  <si>
    <t>平均帳入値段
（円）</t>
    <phoneticPr fontId="6"/>
  </si>
  <si>
    <t>取組高
（単位）</t>
    <phoneticPr fontId="6"/>
  </si>
  <si>
    <t>立会
日数</t>
    <rPh sb="0" eb="2">
      <t>タチアイ</t>
    </rPh>
    <phoneticPr fontId="6"/>
  </si>
  <si>
    <t>始　値（円）</t>
    <phoneticPr fontId="6"/>
  </si>
  <si>
    <t>高　値（円）</t>
    <phoneticPr fontId="6"/>
  </si>
  <si>
    <t>安　値（円）</t>
    <phoneticPr fontId="6"/>
  </si>
  <si>
    <t>終　値（円）</t>
    <phoneticPr fontId="6"/>
  </si>
  <si>
    <t>うち立会外
取引（単位）</t>
    <rPh sb="2" eb="4">
      <t>タチアイ</t>
    </rPh>
    <rPh sb="4" eb="5">
      <t>ガイ</t>
    </rPh>
    <phoneticPr fontId="6"/>
  </si>
  <si>
    <t>うち立会外
取引（円）</t>
    <rPh sb="2" eb="4">
      <t>タチアイ</t>
    </rPh>
    <rPh sb="4" eb="5">
      <t>ガイ</t>
    </rPh>
    <phoneticPr fontId="6"/>
  </si>
  <si>
    <t>うち立会外（円）</t>
    <rPh sb="2" eb="4">
      <t>タチアイ</t>
    </rPh>
    <rPh sb="4" eb="5">
      <t>ガイ</t>
    </rPh>
    <phoneticPr fontId="6"/>
  </si>
  <si>
    <t>Trading
unit</t>
    <phoneticPr fontId="6"/>
  </si>
  <si>
    <t>Open(￥)</t>
    <phoneticPr fontId="6"/>
  </si>
  <si>
    <t>High(￥)</t>
    <phoneticPr fontId="6"/>
  </si>
  <si>
    <t>Block Trades(￥)</t>
    <phoneticPr fontId="6"/>
  </si>
  <si>
    <t>Low(￥)</t>
    <phoneticPr fontId="6"/>
  </si>
  <si>
    <t>Close(￥)</t>
    <phoneticPr fontId="6"/>
  </si>
  <si>
    <t>Average
Settlement
Price(￥)</t>
    <phoneticPr fontId="6"/>
  </si>
  <si>
    <t>Block Trades(unit)</t>
    <phoneticPr fontId="6"/>
  </si>
  <si>
    <t>バージガソリン先物</t>
  </si>
  <si>
    <t>Gasoline Futures</t>
  </si>
  <si>
    <t>74,000</t>
  </si>
  <si>
    <t>75,800</t>
  </si>
  <si>
    <t>75,800.0000</t>
  </si>
  <si>
    <t>72,800</t>
  </si>
  <si>
    <t>74,800.0000</t>
  </si>
  <si>
    <t>2021/12/27</t>
  </si>
  <si>
    <t>76,000</t>
  </si>
  <si>
    <t>72,000</t>
  </si>
  <si>
    <t>74,300</t>
  </si>
  <si>
    <t>75,300</t>
  </si>
  <si>
    <t>2022/02/28</t>
  </si>
  <si>
    <t>74,600</t>
  </si>
  <si>
    <t>78,160</t>
  </si>
  <si>
    <t>73,600</t>
  </si>
  <si>
    <t>2022/09/22</t>
  </si>
  <si>
    <t>77,780</t>
  </si>
  <si>
    <t>83,180</t>
  </si>
  <si>
    <t>75,000</t>
  </si>
  <si>
    <t>82,770</t>
  </si>
  <si>
    <t>77,010</t>
  </si>
  <si>
    <t>79,010</t>
  </si>
  <si>
    <t>バージ灯油先物</t>
  </si>
  <si>
    <t>Kerosene Futures</t>
  </si>
  <si>
    <t>77,000</t>
  </si>
  <si>
    <t>76,500.0000</t>
  </si>
  <si>
    <t>73,500</t>
  </si>
  <si>
    <t>74,500.0000</t>
  </si>
  <si>
    <t>74,500</t>
  </si>
  <si>
    <t>74,900</t>
  </si>
  <si>
    <t>76,440</t>
  </si>
  <si>
    <t>73,990</t>
  </si>
  <si>
    <t>76,130</t>
  </si>
  <si>
    <t>78,680</t>
  </si>
  <si>
    <t>78,100</t>
  </si>
  <si>
    <t>79,680</t>
  </si>
  <si>
    <t>84,000</t>
  </si>
  <si>
    <t>81,140.0000</t>
  </si>
  <si>
    <t>81,140</t>
  </si>
  <si>
    <t>バージ軽油先物</t>
  </si>
  <si>
    <t>Gas Oil Futures</t>
  </si>
  <si>
    <t>プラッツドバイ原油先物</t>
  </si>
  <si>
    <t>Platts Dubai Crude Oil Futures</t>
  </si>
  <si>
    <t>83,610</t>
  </si>
  <si>
    <t>89,000</t>
  </si>
  <si>
    <t>87,550.0000</t>
  </si>
  <si>
    <t>82,740</t>
  </si>
  <si>
    <t>82,800.0000</t>
  </si>
  <si>
    <t>87,730</t>
  </si>
  <si>
    <t>82,000</t>
  </si>
  <si>
    <t>92,280</t>
  </si>
  <si>
    <t>92,010.0000</t>
  </si>
  <si>
    <t>78,740</t>
  </si>
  <si>
    <t>82,000.0000</t>
  </si>
  <si>
    <t>80,490</t>
  </si>
  <si>
    <t>89,590</t>
  </si>
  <si>
    <t>90,560.0000</t>
  </si>
  <si>
    <t>77,100</t>
  </si>
  <si>
    <t>78,800.0000</t>
  </si>
  <si>
    <t>89,350</t>
  </si>
  <si>
    <t>78,620</t>
  </si>
  <si>
    <t>87,040</t>
  </si>
  <si>
    <t>88,800.0000</t>
  </si>
  <si>
    <t>75,230</t>
  </si>
  <si>
    <t>78,190.0000</t>
  </si>
  <si>
    <t>84,910</t>
  </si>
  <si>
    <t>87,250.0000</t>
  </si>
  <si>
    <t>73,900</t>
  </si>
  <si>
    <t>75,250.0000</t>
  </si>
  <si>
    <t>84,810</t>
  </si>
  <si>
    <t>77,180</t>
  </si>
  <si>
    <t>82,990</t>
  </si>
  <si>
    <t>82,900.0000</t>
  </si>
  <si>
    <t>72,630</t>
  </si>
  <si>
    <t>75,200.0000</t>
  </si>
  <si>
    <t>82,900</t>
  </si>
  <si>
    <t>77,950</t>
  </si>
  <si>
    <t>81,580</t>
  </si>
  <si>
    <t>73,000</t>
  </si>
  <si>
    <t>81,470</t>
  </si>
  <si>
    <t>77,300</t>
  </si>
  <si>
    <t>77,600</t>
  </si>
  <si>
    <t>71,480</t>
  </si>
  <si>
    <t>71,870</t>
  </si>
  <si>
    <t>70,560</t>
  </si>
  <si>
    <t>74,800</t>
  </si>
  <si>
    <t>69,290</t>
  </si>
  <si>
    <t>74,010</t>
  </si>
  <si>
    <t>2023/05/31</t>
  </si>
  <si>
    <t>72,060</t>
  </si>
  <si>
    <t>73,670</t>
  </si>
  <si>
    <t>68,220</t>
  </si>
  <si>
    <t>2023/06</t>
  </si>
  <si>
    <t>2023/06/30</t>
  </si>
  <si>
    <t>69,450</t>
  </si>
  <si>
    <t>71,760</t>
  </si>
  <si>
    <t>68,880</t>
  </si>
  <si>
    <t>71,000</t>
  </si>
  <si>
    <t>2023/07</t>
  </si>
  <si>
    <t>2023/07/31</t>
  </si>
  <si>
    <t>70,510</t>
  </si>
  <si>
    <t>72,170</t>
  </si>
  <si>
    <t>66,220</t>
  </si>
  <si>
    <t>72,130</t>
  </si>
  <si>
    <t>東エリア・ベースロード電力先物</t>
  </si>
  <si>
    <t>East Area Baseload Electricity Futures</t>
  </si>
  <si>
    <t>2021/03/01</t>
  </si>
  <si>
    <t>2022/05/30</t>
  </si>
  <si>
    <t>2021/03/31</t>
  </si>
  <si>
    <t>2022/06/29</t>
  </si>
  <si>
    <t>24.50</t>
  </si>
  <si>
    <t>2021/04/30</t>
  </si>
  <si>
    <t>31.50</t>
  </si>
  <si>
    <t>34.00</t>
  </si>
  <si>
    <t>33.5000</t>
  </si>
  <si>
    <t>31.5000</t>
  </si>
  <si>
    <t>32.50</t>
  </si>
  <si>
    <t>2021/05/31</t>
  </si>
  <si>
    <t>2022/08/30</t>
  </si>
  <si>
    <t>35.50</t>
  </si>
  <si>
    <t>37.00</t>
  </si>
  <si>
    <t>30.5800</t>
  </si>
  <si>
    <t>2021/06/30</t>
  </si>
  <si>
    <t>2022/09/29</t>
  </si>
  <si>
    <t>27.50</t>
  </si>
  <si>
    <t>28.50</t>
  </si>
  <si>
    <t>2021/08/02</t>
  </si>
  <si>
    <t>2022/10/28</t>
  </si>
  <si>
    <t>25.00</t>
  </si>
  <si>
    <t>2021/08/31</t>
  </si>
  <si>
    <t>2022/11/29</t>
  </si>
  <si>
    <t>26.00</t>
  </si>
  <si>
    <t>2021/09/30</t>
  </si>
  <si>
    <t>35.5000</t>
  </si>
  <si>
    <t>30.7000</t>
  </si>
  <si>
    <t>2023/01/30</t>
  </si>
  <si>
    <t>2021/11/30</t>
  </si>
  <si>
    <t>2023/02/27</t>
  </si>
  <si>
    <t>30.6500</t>
  </si>
  <si>
    <t>2023/03/30</t>
  </si>
  <si>
    <t>28.00</t>
  </si>
  <si>
    <t>2022/01/31</t>
  </si>
  <si>
    <t>2023/05/30</t>
  </si>
  <si>
    <t>2022/03/31</t>
  </si>
  <si>
    <t>2023/06/29</t>
  </si>
  <si>
    <t>2023/07/28</t>
  </si>
  <si>
    <t>2023/08</t>
  </si>
  <si>
    <t>2023/08/30</t>
  </si>
  <si>
    <t>2023/09</t>
  </si>
  <si>
    <t>2023/09/29</t>
  </si>
  <si>
    <t>2023/10</t>
  </si>
  <si>
    <t>2023/10/30</t>
  </si>
  <si>
    <t>2023/11</t>
  </si>
  <si>
    <t>2023/11/29</t>
  </si>
  <si>
    <t>2023/12</t>
  </si>
  <si>
    <t>2023/12/29</t>
  </si>
  <si>
    <t>2024/01</t>
  </si>
  <si>
    <t>2024/01/30</t>
  </si>
  <si>
    <t>2024/02</t>
  </si>
  <si>
    <t>2024/02/28</t>
  </si>
  <si>
    <t>2024/03</t>
  </si>
  <si>
    <t>2024/03/29</t>
  </si>
  <si>
    <t>2024/04</t>
  </si>
  <si>
    <t>2024/04/26</t>
  </si>
  <si>
    <t>2024/05</t>
  </si>
  <si>
    <t>2024/05/30</t>
  </si>
  <si>
    <t>西エリア・ベースロード電力先物</t>
  </si>
  <si>
    <t>West Area Baseload Electricity Futures</t>
  </si>
  <si>
    <t>22.50</t>
  </si>
  <si>
    <t>22.3000</t>
  </si>
  <si>
    <t>30.5000</t>
  </si>
  <si>
    <t>27.00</t>
  </si>
  <si>
    <t>24.00</t>
  </si>
  <si>
    <t>24.8700</t>
  </si>
  <si>
    <t>30.3700</t>
  </si>
  <si>
    <t>東エリア・日中ロード電力先物</t>
  </si>
  <si>
    <t>East Area Peakload Electricity Futures</t>
  </si>
  <si>
    <t>2021/02/26</t>
  </si>
  <si>
    <t>25.40</t>
  </si>
  <si>
    <t>27.2000</t>
  </si>
  <si>
    <t>2022/07/28</t>
  </si>
  <si>
    <t>38.2000</t>
  </si>
  <si>
    <t>37.0000</t>
  </si>
  <si>
    <t>35.2700</t>
  </si>
  <si>
    <t>32.2000</t>
  </si>
  <si>
    <t>2021/07/30</t>
  </si>
  <si>
    <t>2022/12/28</t>
  </si>
  <si>
    <t>38.5000</t>
  </si>
  <si>
    <t>35.9700</t>
  </si>
  <si>
    <t>2021/10/29</t>
  </si>
  <si>
    <t>47.5800</t>
  </si>
  <si>
    <t>36.0000</t>
  </si>
  <si>
    <t>48.6300</t>
  </si>
  <si>
    <t>35.8100</t>
  </si>
  <si>
    <t>2021/12/29</t>
  </si>
  <si>
    <t>2023/04/27</t>
  </si>
  <si>
    <t>2023/09/28</t>
  </si>
  <si>
    <t>2023/12/28</t>
  </si>
  <si>
    <t>2024/03/28</t>
  </si>
  <si>
    <t>2022/04/28</t>
  </si>
  <si>
    <t>西エリア・日中ロード電力先物</t>
  </si>
  <si>
    <t>West Area Peakload Electricity Futures</t>
  </si>
  <si>
    <t>37.2500</t>
  </si>
  <si>
    <t>35.7500</t>
  </si>
  <si>
    <t>LNG（プラッツJKM）先物</t>
  </si>
  <si>
    <t>LNG（Platts JKM）Futures</t>
  </si>
  <si>
    <t>2022/05/13</t>
  </si>
  <si>
    <t>2022/07/15</t>
  </si>
  <si>
    <t>2022/09/15</t>
  </si>
  <si>
    <t>2022/11/15</t>
  </si>
  <si>
    <t>2023/01/13</t>
  </si>
  <si>
    <t>2023/03/15</t>
  </si>
  <si>
    <t>2023/05/15</t>
  </si>
  <si>
    <t>2023/06/15</t>
  </si>
  <si>
    <t>2023/07/14</t>
  </si>
  <si>
    <t>2022/05/16</t>
  </si>
  <si>
    <t>2023/08/15</t>
  </si>
  <si>
    <t>中京ローリーガソリン先物</t>
  </si>
  <si>
    <t>Chukyo Gasoline Futures</t>
  </si>
  <si>
    <t>75,400</t>
  </si>
  <si>
    <t>77,200</t>
  </si>
  <si>
    <t>77,200.0000</t>
  </si>
  <si>
    <t>72,200</t>
  </si>
  <si>
    <t>75,700.0000</t>
  </si>
  <si>
    <t>76,500</t>
  </si>
  <si>
    <t>75,600</t>
  </si>
  <si>
    <t>中京ローリー灯油先物</t>
  </si>
  <si>
    <t>Chukyo Kerosene Futures</t>
  </si>
  <si>
    <t>75,500.0000</t>
  </si>
  <si>
    <t>75,300.0000</t>
  </si>
  <si>
    <t>75,700</t>
  </si>
  <si>
    <t>74,100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</si>
</sst>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_);[Red]\(&quot;¥&quot;#,##0\)"/>
    <numFmt numFmtId="8" formatCode="&quot;¥&quot;#,##0.00_);[Red]\(&quot;¥&quot;#,##0.00\)"/>
    <numFmt numFmtId="41" formatCode="_(* #,##0_);_(* \(#,##0\);_(* &quot;-&quot;_);_(@_)"/>
    <numFmt numFmtId="43" formatCode="_(* #,##0.00_);_(* \(#,##0.00\);_(* &quot;-&quot;??_);_(@_)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  <font>
      <sz val="1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54">
    <xf numFmtId="0" fontId="0" fillId="0" borderId="0"/>
    <xf numFmtId="38" fontId="5" fillId="0" borderId="0" applyFont="0" applyFill="0" applyBorder="0" applyAlignment="0" applyProtection="0"/>
    <xf numFmtId="176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77" fontId="10" fillId="0" borderId="0"/>
    <xf numFmtId="0" fontId="11" fillId="0" borderId="0"/>
    <xf numFmtId="0" fontId="12" fillId="0" borderId="0"/>
    <xf numFmtId="49" fontId="13" fillId="2" borderId="3" applyNumberFormat="0" applyFill="0" applyBorder="0" applyProtection="0"/>
    <xf numFmtId="0" fontId="7" fillId="0" borderId="0">
      <alignment vertical="center"/>
    </xf>
    <xf numFmtId="0" fontId="14" fillId="0" borderId="0"/>
    <xf numFmtId="0" fontId="14" fillId="0" borderId="0">
      <alignment vertical="center"/>
    </xf>
    <xf numFmtId="178" fontId="16" fillId="0" borderId="0"/>
    <xf numFmtId="0" fontId="5" fillId="0" borderId="0"/>
    <xf numFmtId="0" fontId="5" fillId="0" borderId="0"/>
    <xf numFmtId="0" fontId="14" fillId="0" borderId="0">
      <alignment vertical="center"/>
    </xf>
    <xf numFmtId="0" fontId="4" fillId="0" borderId="0">
      <alignment vertical="center"/>
    </xf>
    <xf numFmtId="9" fontId="19" fillId="0" borderId="0" applyFont="0" applyFill="0" applyBorder="0" applyAlignment="0" applyProtection="0"/>
    <xf numFmtId="0" fontId="20" fillId="0" borderId="0"/>
    <xf numFmtId="0" fontId="5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20" borderId="0" applyNumberFormat="0" applyBorder="0" applyAlignment="0" applyProtection="0"/>
    <xf numFmtId="0" fontId="24" fillId="0" borderId="0">
      <alignment horizontal="center" wrapText="1"/>
      <protection locked="0"/>
    </xf>
    <xf numFmtId="0" fontId="25" fillId="0" borderId="0"/>
    <xf numFmtId="0" fontId="26" fillId="4" borderId="0" applyNumberFormat="0" applyBorder="0" applyAlignment="0" applyProtection="0"/>
    <xf numFmtId="0" fontId="27" fillId="0" borderId="0" applyNumberFormat="0" applyFill="0" applyBorder="0" applyAlignment="0" applyProtection="0"/>
    <xf numFmtId="179" fontId="7" fillId="0" borderId="0" applyFill="0" applyBorder="0" applyAlignment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8" fillId="21" borderId="10" applyNumberFormat="0" applyAlignment="0" applyProtection="0"/>
    <xf numFmtId="0" fontId="29" fillId="22" borderId="11" applyNumberFormat="0" applyAlignment="0" applyProtection="0"/>
    <xf numFmtId="0" fontId="30" fillId="0" borderId="0">
      <alignment vertical="top" wrapText="1"/>
    </xf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0" fontId="31" fillId="0" borderId="0">
      <alignment horizontal="left"/>
    </xf>
    <xf numFmtId="0" fontId="32" fillId="0" borderId="0" applyNumberFormat="0" applyFill="0" applyBorder="0" applyAlignment="0" applyProtection="0"/>
    <xf numFmtId="0" fontId="33" fillId="5" borderId="0" applyNumberFormat="0" applyBorder="0" applyAlignment="0" applyProtection="0"/>
    <xf numFmtId="38" fontId="34" fillId="23" borderId="0" applyNumberFormat="0" applyBorder="0" applyAlignment="0" applyProtection="0"/>
    <xf numFmtId="0" fontId="35" fillId="24" borderId="0"/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9" fillId="0" borderId="2">
      <alignment horizontal="left" vertical="center"/>
    </xf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7" fillId="0" borderId="0" applyBorder="0"/>
    <xf numFmtId="0" fontId="39" fillId="8" borderId="10" applyNumberFormat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10" fontId="34" fillId="25" borderId="4" applyNumberFormat="0" applyBorder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39" fillId="8" borderId="10" applyNumberFormat="0" applyAlignment="0" applyProtection="0"/>
    <xf numFmtId="0" fontId="7" fillId="0" borderId="0"/>
    <xf numFmtId="0" fontId="40" fillId="0" borderId="15" applyNumberFormat="0" applyFill="0" applyAlignment="0" applyProtection="0"/>
    <xf numFmtId="38" fontId="41" fillId="0" borderId="0" applyFont="0" applyFill="0" applyBorder="0" applyAlignment="0" applyProtection="0"/>
    <xf numFmtId="40" fontId="41" fillId="0" borderId="0" applyFont="0" applyFill="0" applyBorder="0" applyAlignment="0" applyProtection="0"/>
    <xf numFmtId="182" fontId="41" fillId="0" borderId="0" applyFont="0" applyFill="0" applyBorder="0" applyAlignment="0" applyProtection="0"/>
    <xf numFmtId="183" fontId="41" fillId="0" borderId="0" applyFont="0" applyFill="0" applyBorder="0" applyAlignment="0" applyProtection="0"/>
    <xf numFmtId="0" fontId="42" fillId="26" borderId="0" applyNumberFormat="0" applyBorder="0" applyAlignment="0" applyProtection="0"/>
    <xf numFmtId="37" fontId="43" fillId="0" borderId="0"/>
    <xf numFmtId="184" fontId="7" fillId="0" borderId="0"/>
    <xf numFmtId="184" fontId="7" fillId="0" borderId="0"/>
    <xf numFmtId="177" fontId="10" fillId="0" borderId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11" fillId="27" borderId="16" applyNumberFormat="0" applyFon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0" fontId="44" fillId="21" borderId="17" applyNumberFormat="0" applyAlignment="0" applyProtection="0"/>
    <xf numFmtId="14" fontId="24" fillId="0" borderId="0">
      <alignment horizontal="center" wrapText="1"/>
      <protection locked="0"/>
    </xf>
    <xf numFmtId="10" fontId="11" fillId="0" borderId="0" applyFont="0" applyFill="0" applyBorder="0" applyAlignment="0" applyProtection="0"/>
    <xf numFmtId="4" fontId="31" fillId="0" borderId="0">
      <alignment horizontal="right"/>
    </xf>
    <xf numFmtId="0" fontId="45" fillId="0" borderId="0" applyNumberFormat="0" applyFont="0" applyFill="0" applyBorder="0" applyAlignment="0" applyProtection="0">
      <alignment horizontal="left"/>
    </xf>
    <xf numFmtId="0" fontId="46" fillId="0" borderId="18">
      <alignment horizontal="center"/>
    </xf>
    <xf numFmtId="0" fontId="47" fillId="0" borderId="0" applyNumberFormat="0" applyFont="0" applyFill="0" applyBorder="0" applyAlignment="0"/>
    <xf numFmtId="4" fontId="48" fillId="0" borderId="0">
      <alignment horizontal="right"/>
    </xf>
    <xf numFmtId="0" fontId="49" fillId="0" borderId="0">
      <alignment horizontal="left"/>
    </xf>
    <xf numFmtId="0" fontId="50" fillId="0" borderId="0"/>
    <xf numFmtId="0" fontId="51" fillId="0" borderId="0">
      <alignment horizontal="center"/>
    </xf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2" fillId="0" borderId="19" applyNumberFormat="0" applyFill="0" applyAlignment="0" applyProtection="0"/>
    <xf numFmtId="0" fontId="53" fillId="0" borderId="0" applyNumberFormat="0" applyFill="0" applyBorder="0" applyAlignment="0" applyProtection="0"/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4" fillId="0" borderId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6" fillId="22" borderId="11" applyNumberFormat="0" applyAlignment="0" applyProtection="0">
      <alignment vertical="center"/>
    </xf>
    <xf numFmtId="0" fontId="57" fillId="0" borderId="0"/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21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7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5" fillId="27" borderId="16" applyNumberFormat="0" applyFont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62" fillId="0" borderId="15" applyNumberFormat="0" applyFill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4" fillId="21" borderId="10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38" fontId="66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7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185" fontId="1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8" fillId="0" borderId="12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69" fillId="0" borderId="13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1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2" fillId="0" borderId="19" applyNumberFormat="0" applyFill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0" fontId="73" fillId="21" borderId="17" applyNumberFormat="0" applyAlignment="0" applyProtection="0">
      <alignment vertical="center"/>
    </xf>
    <xf numFmtId="186" fontId="12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7" fontId="11" fillId="0" borderId="0" applyFont="0" applyFill="0" applyBorder="0" applyAlignment="0" applyProtection="0"/>
    <xf numFmtId="188" fontId="11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5" fillId="0" borderId="0" applyFont="0" applyFill="0" applyBorder="0" applyAlignment="0" applyProtection="0"/>
    <xf numFmtId="6" fontId="14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14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76" fillId="8" borderId="10" applyNumberFormat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17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78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/>
    <xf numFmtId="0" fontId="18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>
      <alignment vertical="center"/>
    </xf>
    <xf numFmtId="0" fontId="79" fillId="0" borderId="0">
      <alignment vertical="center"/>
    </xf>
    <xf numFmtId="0" fontId="14" fillId="0" borderId="0"/>
    <xf numFmtId="0" fontId="79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9" fillId="0" borderId="0"/>
    <xf numFmtId="0" fontId="17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>
      <alignment vertical="center"/>
    </xf>
    <xf numFmtId="0" fontId="5" fillId="0" borderId="0"/>
    <xf numFmtId="0" fontId="81" fillId="0" borderId="0"/>
    <xf numFmtId="0" fontId="14" fillId="0" borderId="0"/>
    <xf numFmtId="0" fontId="7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9" fillId="0" borderId="0"/>
    <xf numFmtId="0" fontId="78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/>
    <xf numFmtId="0" fontId="21" fillId="0" borderId="0">
      <alignment vertical="center"/>
    </xf>
    <xf numFmtId="0" fontId="14" fillId="0" borderId="0">
      <alignment vertical="center"/>
    </xf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>
      <alignment vertical="center"/>
    </xf>
    <xf numFmtId="0" fontId="17" fillId="0" borderId="0">
      <alignment vertical="center"/>
    </xf>
    <xf numFmtId="0" fontId="81" fillId="0" borderId="0"/>
    <xf numFmtId="0" fontId="17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5" fillId="0" borderId="0"/>
    <xf numFmtId="0" fontId="5" fillId="0" borderId="0"/>
    <xf numFmtId="0" fontId="81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1" fillId="0" borderId="0"/>
    <xf numFmtId="0" fontId="81" fillId="0" borderId="0"/>
    <xf numFmtId="0" fontId="5" fillId="0" borderId="0"/>
    <xf numFmtId="0" fontId="81" fillId="0" borderId="0"/>
    <xf numFmtId="0" fontId="21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2" fillId="0" borderId="0">
      <alignment vertical="center"/>
    </xf>
    <xf numFmtId="0" fontId="5" fillId="0" borderId="0"/>
    <xf numFmtId="0" fontId="5" fillId="0" borderId="0"/>
    <xf numFmtId="0" fontId="14" fillId="0" borderId="0"/>
    <xf numFmtId="0" fontId="14" fillId="0" borderId="0"/>
    <xf numFmtId="0" fontId="5" fillId="0" borderId="0"/>
    <xf numFmtId="0" fontId="5" fillId="0" borderId="0"/>
    <xf numFmtId="0" fontId="7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7" fillId="0" borderId="0"/>
    <xf numFmtId="0" fontId="5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83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14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0" fillId="0" borderId="0">
      <alignment vertical="center"/>
    </xf>
    <xf numFmtId="0" fontId="5" fillId="0" borderId="0"/>
    <xf numFmtId="0" fontId="5" fillId="0" borderId="0">
      <alignment vertical="center"/>
    </xf>
    <xf numFmtId="0" fontId="8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85" fillId="0" borderId="0">
      <alignment vertical="center"/>
    </xf>
    <xf numFmtId="0" fontId="5" fillId="0" borderId="0">
      <alignment vertical="center"/>
    </xf>
    <xf numFmtId="0" fontId="8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19" fillId="0" borderId="0"/>
    <xf numFmtId="0" fontId="85" fillId="0" borderId="0">
      <alignment vertical="center"/>
    </xf>
    <xf numFmtId="0" fontId="1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6" fillId="0" borderId="0"/>
    <xf numFmtId="0" fontId="87" fillId="0" borderId="0"/>
    <xf numFmtId="0" fontId="57" fillId="0" borderId="0"/>
    <xf numFmtId="49" fontId="15" fillId="0" borderId="0" applyFill="0" applyBorder="0"/>
    <xf numFmtId="0" fontId="88" fillId="0" borderId="0"/>
    <xf numFmtId="0" fontId="89" fillId="0" borderId="0"/>
    <xf numFmtId="0" fontId="88" fillId="0" borderId="0"/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90" fillId="5" borderId="0" applyNumberFormat="0" applyBorder="0" applyAlignment="0" applyProtection="0">
      <alignment vertical="center"/>
    </xf>
    <xf numFmtId="0" fontId="5" fillId="0" borderId="0"/>
    <xf numFmtId="0" fontId="3" fillId="0" borderId="0">
      <alignment vertical="center"/>
    </xf>
    <xf numFmtId="0" fontId="91" fillId="0" borderId="0"/>
    <xf numFmtId="0" fontId="91" fillId="0" borderId="0"/>
    <xf numFmtId="186" fontId="91" fillId="0" borderId="0"/>
    <xf numFmtId="186" fontId="9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8">
    <xf numFmtId="0" fontId="0" fillId="0" borderId="0" xfId="0"/>
    <xf numFmtId="189" fontId="7" fillId="0" borderId="37" xfId="1946" applyNumberFormat="1" applyFont="1" applyFill="1" applyBorder="1" applyAlignment="1">
      <alignment horizontal="right" vertical="center"/>
    </xf>
    <xf numFmtId="3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horizontal="right" vertical="center"/>
    </xf>
    <xf numFmtId="3" fontId="7" fillId="0" borderId="21" xfId="1946" applyNumberFormat="1" applyFont="1" applyFill="1" applyBorder="1" applyAlignment="1">
      <alignment horizontal="right" vertical="center"/>
    </xf>
    <xf numFmtId="4" fontId="7" fillId="0" borderId="21" xfId="1946" applyNumberFormat="1" applyFont="1" applyFill="1" applyBorder="1" applyAlignment="1">
      <alignment horizontal="right" vertical="center"/>
    </xf>
    <xf numFmtId="49" fontId="7" fillId="0" borderId="23" xfId="1946" applyNumberFormat="1" applyFont="1" applyFill="1" applyBorder="1" applyAlignment="1">
      <alignment horizontal="right" vertical="center"/>
    </xf>
    <xf numFmtId="49" fontId="7" fillId="0" borderId="22" xfId="1946" applyNumberFormat="1" applyFont="1" applyFill="1" applyBorder="1" applyAlignment="1">
      <alignment vertical="center"/>
    </xf>
    <xf numFmtId="49" fontId="7" fillId="0" borderId="21" xfId="1946" applyNumberFormat="1" applyFont="1" applyFill="1" applyBorder="1" applyAlignment="1">
      <alignment vertical="center"/>
    </xf>
    <xf numFmtId="49" fontId="7" fillId="0" borderId="36" xfId="1946" applyNumberFormat="1" applyFont="1" applyFill="1" applyBorder="1" applyAlignment="1">
      <alignment vertical="center"/>
    </xf>
    <xf numFmtId="0" fontId="95" fillId="0" borderId="0" xfId="1946" applyFont="1" applyFill="1">
      <alignment vertical="center"/>
    </xf>
    <xf numFmtId="0" fontId="19" fillId="0" borderId="9" xfId="1946" applyFont="1" applyFill="1" applyBorder="1">
      <alignment vertical="center"/>
    </xf>
    <xf numFmtId="0" fontId="19" fillId="0" borderId="20" xfId="1946" applyFont="1" applyFill="1" applyBorder="1">
      <alignment vertical="center"/>
    </xf>
    <xf numFmtId="0" fontId="19" fillId="0" borderId="8" xfId="1946" applyFont="1" applyFill="1" applyBorder="1">
      <alignment vertical="center"/>
    </xf>
    <xf numFmtId="0" fontId="7" fillId="0" borderId="39" xfId="1946" applyNumberFormat="1" applyFont="1" applyFill="1" applyBorder="1" applyAlignment="1">
      <alignment horizontal="center" vertical="center" wrapText="1"/>
    </xf>
    <xf numFmtId="0" fontId="7" fillId="0" borderId="44" xfId="1946" applyNumberFormat="1" applyFont="1" applyFill="1" applyBorder="1" applyAlignment="1">
      <alignment horizontal="center" vertical="center" wrapText="1"/>
    </xf>
    <xf numFmtId="0" fontId="19" fillId="0" borderId="0" xfId="1946" applyFont="1" applyFill="1">
      <alignment vertical="center"/>
    </xf>
    <xf numFmtId="0" fontId="94" fillId="0" borderId="9" xfId="1946" applyFont="1" applyFill="1" applyBorder="1" applyAlignment="1">
      <alignment vertical="center" wrapText="1"/>
    </xf>
    <xf numFmtId="0" fontId="94" fillId="0" borderId="9" xfId="1946" applyFont="1" applyFill="1" applyBorder="1">
      <alignment vertical="center"/>
    </xf>
    <xf numFmtId="0" fontId="94" fillId="0" borderId="6" xfId="1946" applyFont="1" applyFill="1" applyBorder="1">
      <alignment vertical="center"/>
    </xf>
    <xf numFmtId="0" fontId="7" fillId="0" borderId="44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93" fillId="0" borderId="5" xfId="1946" applyFont="1" applyFill="1" applyBorder="1" applyAlignment="1">
      <alignment vertical="center" wrapText="1"/>
    </xf>
    <xf numFmtId="0" fontId="93" fillId="0" borderId="9" xfId="1946" applyFont="1" applyFill="1" applyBorder="1" applyAlignment="1">
      <alignment vertical="center" wrapText="1"/>
    </xf>
    <xf numFmtId="0" fontId="93" fillId="0" borderId="7" xfId="1946" applyFont="1" applyFill="1" applyBorder="1" applyAlignment="1">
      <alignment vertical="center" wrapText="1"/>
    </xf>
    <xf numFmtId="0" fontId="93" fillId="0" borderId="20" xfId="1946" applyFont="1" applyFill="1" applyBorder="1" applyAlignment="1">
      <alignment vertical="center" wrapText="1"/>
    </xf>
    <xf numFmtId="0" fontId="7" fillId="0" borderId="35" xfId="1946" applyNumberFormat="1" applyFont="1" applyFill="1" applyBorder="1" applyAlignment="1">
      <alignment horizontal="center" vertical="center" wrapText="1"/>
    </xf>
    <xf numFmtId="0" fontId="7" fillId="0" borderId="37" xfId="1946" applyNumberFormat="1" applyFont="1" applyFill="1" applyBorder="1" applyAlignment="1">
      <alignment horizontal="center" vertical="center" wrapText="1"/>
    </xf>
    <xf numFmtId="0" fontId="7" fillId="0" borderId="40" xfId="1946" applyNumberFormat="1" applyFont="1" applyFill="1" applyBorder="1" applyAlignment="1">
      <alignment horizontal="center" vertical="center" wrapText="1"/>
    </xf>
    <xf numFmtId="0" fontId="7" fillId="0" borderId="41" xfId="1946" applyNumberFormat="1" applyFont="1" applyFill="1" applyBorder="1" applyAlignment="1">
      <alignment horizontal="center" vertical="center" wrapText="1"/>
    </xf>
    <xf numFmtId="0" fontId="7" fillId="0" borderId="38" xfId="1946" applyFont="1" applyFill="1" applyBorder="1" applyAlignment="1">
      <alignment horizontal="center" vertical="center" wrapText="1"/>
    </xf>
    <xf numFmtId="0" fontId="7" fillId="0" borderId="29" xfId="1946" applyFont="1" applyFill="1" applyBorder="1" applyAlignment="1">
      <alignment horizontal="center" vertical="center" wrapText="1"/>
    </xf>
    <xf numFmtId="0" fontId="96" fillId="0" borderId="23" xfId="1946" applyNumberFormat="1" applyFont="1" applyFill="1" applyBorder="1" applyAlignment="1">
      <alignment horizontal="center" vertical="center" wrapText="1"/>
    </xf>
    <xf numFmtId="0" fontId="7" fillId="0" borderId="24" xfId="1946" applyNumberFormat="1" applyFont="1" applyFill="1" applyBorder="1" applyAlignment="1">
      <alignment horizontal="center" vertical="center" wrapText="1"/>
    </xf>
    <xf numFmtId="0" fontId="7" fillId="0" borderId="42" xfId="1946" applyFont="1" applyFill="1" applyBorder="1" applyAlignment="1">
      <alignment horizontal="center" vertical="center" wrapText="1"/>
    </xf>
    <xf numFmtId="0" fontId="7" fillId="0" borderId="43" xfId="1946" applyFont="1" applyFill="1" applyBorder="1" applyAlignment="1">
      <alignment horizontal="center" vertical="center" wrapText="1"/>
    </xf>
    <xf numFmtId="0" fontId="7" fillId="0" borderId="21" xfId="1946" applyNumberFormat="1" applyFont="1" applyFill="1" applyBorder="1" applyAlignment="1">
      <alignment horizontal="center" vertical="center" wrapText="1"/>
    </xf>
    <xf numFmtId="0" fontId="7" fillId="0" borderId="24" xfId="1946" applyFont="1" applyFill="1" applyBorder="1" applyAlignment="1">
      <alignment horizontal="center" vertical="center" wrapText="1"/>
    </xf>
    <xf numFmtId="0" fontId="7" fillId="0" borderId="21" xfId="1946" applyFont="1" applyFill="1" applyBorder="1" applyAlignment="1">
      <alignment horizontal="center" vertical="center" wrapText="1"/>
    </xf>
    <xf numFmtId="0" fontId="7" fillId="0" borderId="25" xfId="1946" applyNumberFormat="1" applyFont="1" applyFill="1" applyBorder="1" applyAlignment="1">
      <alignment horizontal="center" vertical="center" wrapText="1"/>
    </xf>
    <xf numFmtId="0" fontId="7" fillId="0" borderId="28" xfId="1946" applyNumberFormat="1" applyFont="1" applyFill="1" applyBorder="1" applyAlignment="1">
      <alignment horizontal="center" vertical="center" wrapText="1"/>
    </xf>
    <xf numFmtId="0" fontId="7" fillId="0" borderId="29" xfId="1946" applyNumberFormat="1" applyFont="1" applyFill="1" applyBorder="1" applyAlignment="1">
      <alignment horizontal="center" vertical="center" wrapText="1"/>
    </xf>
    <xf numFmtId="0" fontId="7" fillId="0" borderId="45" xfId="1946" applyNumberFormat="1" applyFont="1" applyFill="1" applyBorder="1" applyAlignment="1">
      <alignment horizontal="center" vertical="center" wrapText="1"/>
    </xf>
    <xf numFmtId="0" fontId="7" fillId="0" borderId="27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top" wrapText="1"/>
    </xf>
    <xf numFmtId="0" fontId="7" fillId="0" borderId="9" xfId="1946" applyNumberFormat="1" applyFont="1" applyFill="1" applyBorder="1" applyAlignment="1">
      <alignment horizontal="center" vertical="top" wrapText="1"/>
    </xf>
    <xf numFmtId="0" fontId="7" fillId="0" borderId="33" xfId="1946" applyNumberFormat="1" applyFont="1" applyFill="1" applyBorder="1" applyAlignment="1">
      <alignment horizontal="center" vertical="top" wrapText="1"/>
    </xf>
    <xf numFmtId="0" fontId="7" fillId="0" borderId="34" xfId="1946" applyNumberFormat="1" applyFont="1" applyFill="1" applyBorder="1" applyAlignment="1">
      <alignment horizontal="center" vertical="center" wrapText="1"/>
    </xf>
    <xf numFmtId="0" fontId="7" fillId="0" borderId="36" xfId="1946" applyNumberFormat="1" applyFont="1" applyFill="1" applyBorder="1" applyAlignment="1">
      <alignment horizontal="center" vertical="center" wrapText="1"/>
    </xf>
    <xf numFmtId="0" fontId="7" fillId="0" borderId="32" xfId="1946" applyNumberFormat="1" applyFont="1" applyFill="1" applyBorder="1" applyAlignment="1">
      <alignment horizontal="center" vertical="center" wrapText="1"/>
    </xf>
    <xf numFmtId="0" fontId="7" fillId="0" borderId="33" xfId="1946" applyNumberFormat="1" applyFont="1" applyFill="1" applyBorder="1" applyAlignment="1">
      <alignment horizontal="center" vertical="center" wrapText="1"/>
    </xf>
    <xf numFmtId="0" fontId="7" fillId="0" borderId="26" xfId="1946" applyNumberFormat="1" applyFont="1" applyFill="1" applyBorder="1" applyAlignment="1">
      <alignment horizontal="center" vertical="center" wrapText="1"/>
    </xf>
    <xf numFmtId="0" fontId="7" fillId="0" borderId="22" xfId="1946" applyNumberFormat="1" applyFont="1" applyFill="1" applyBorder="1" applyAlignment="1">
      <alignment horizontal="center" vertical="center" wrapText="1"/>
    </xf>
    <xf numFmtId="0" fontId="7" fillId="0" borderId="23" xfId="1946" applyNumberFormat="1" applyFont="1" applyFill="1" applyBorder="1" applyAlignment="1">
      <alignment horizontal="center" vertical="center" wrapText="1"/>
    </xf>
    <xf numFmtId="0" fontId="7" fillId="0" borderId="30" xfId="1946" applyNumberFormat="1" applyFont="1" applyFill="1" applyBorder="1" applyAlignment="1">
      <alignment horizontal="center" vertical="top" wrapText="1"/>
    </xf>
    <xf numFmtId="0" fontId="7" fillId="0" borderId="31" xfId="1946" applyNumberFormat="1" applyFont="1" applyFill="1" applyBorder="1" applyAlignment="1">
      <alignment horizontal="center" vertical="top" wrapText="1"/>
    </xf>
    <xf numFmtId="0" fontId="93" fillId="0" borderId="20" xfId="1946" applyFont="1" applyFill="1" applyBorder="1" applyAlignment="1">
      <alignment horizontal="right" vertical="center"/>
    </xf>
    <xf numFmtId="14" fontId="93" fillId="0" borderId="20" xfId="1946" applyNumberFormat="1" applyFont="1" applyFill="1" applyBorder="1">
      <alignment vertical="center"/>
    </xf>
    <xf numFmtId="14" fontId="93" fillId="0" borderId="20" xfId="1946" applyNumberFormat="1" applyFont="1" applyFill="1" applyBorder="1" applyAlignment="1">
      <alignment horizontal="right" vertical="center"/>
    </xf>
    <xf numFmtId="0" fontId="97" fillId="0" borderId="20" xfId="1946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right" vertical="center"/>
    </xf>
    <xf numFmtId="14" fontId="19" fillId="0" borderId="20" xfId="1946" applyNumberFormat="1" applyFont="1" applyFill="1" applyBorder="1" applyAlignment="1">
      <alignment horizontal="left" vertical="center"/>
    </xf>
    <xf numFmtId="14" fontId="97" fillId="0" borderId="20" xfId="1946" applyNumberFormat="1" applyFont="1" applyFill="1" applyBorder="1">
      <alignment vertical="center"/>
    </xf>
    <xf numFmtId="0" fontId="19" fillId="0" borderId="8" xfId="1946" applyFont="1" applyFill="1" applyBorder="1" applyAlignment="1">
      <alignment horizontal="right" vertical="center"/>
    </xf>
    <xf numFmtId="0" fontId="7" fillId="0" borderId="34" xfId="1946" applyFont="1" applyFill="1" applyBorder="1" applyAlignment="1">
      <alignment horizontal="center" vertical="center" wrapText="1"/>
    </xf>
    <xf numFmtId="0" fontId="7" fillId="0" borderId="45" xfId="1946" applyFont="1" applyFill="1" applyBorder="1" applyAlignment="1">
      <alignment horizontal="center" vertical="center" wrapText="1"/>
    </xf>
    <xf numFmtId="0" fontId="7" fillId="0" borderId="32" xfId="1946" applyFont="1" applyFill="1" applyBorder="1" applyAlignment="1">
      <alignment horizontal="center" vertical="center" wrapText="1"/>
    </xf>
    <xf numFmtId="0" fontId="7" fillId="0" borderId="33" xfId="1946" applyFont="1" applyFill="1" applyBorder="1" applyAlignment="1">
      <alignment horizontal="center" vertical="center" wrapText="1"/>
    </xf>
    <xf numFmtId="0" fontId="7" fillId="0" borderId="30" xfId="1946" applyFont="1" applyFill="1" applyBorder="1" applyAlignment="1">
      <alignment horizontal="center" vertical="top" wrapText="1"/>
    </xf>
    <xf numFmtId="0" fontId="7" fillId="0" borderId="31" xfId="1946" applyFont="1" applyFill="1" applyBorder="1" applyAlignment="1">
      <alignment horizontal="center" vertical="top" wrapText="1"/>
    </xf>
    <xf numFmtId="0" fontId="7" fillId="0" borderId="32" xfId="1946" applyFont="1" applyFill="1" applyBorder="1" applyAlignment="1">
      <alignment horizontal="center" vertical="top" wrapText="1"/>
    </xf>
    <xf numFmtId="0" fontId="7" fillId="0" borderId="9" xfId="1946" applyFont="1" applyFill="1" applyBorder="1" applyAlignment="1">
      <alignment horizontal="center" vertical="top" wrapText="1"/>
    </xf>
    <xf numFmtId="0" fontId="7" fillId="0" borderId="33" xfId="1946" applyFont="1" applyFill="1" applyBorder="1" applyAlignment="1">
      <alignment horizontal="center" vertical="top" wrapText="1"/>
    </xf>
    <xf numFmtId="0" fontId="7" fillId="0" borderId="25" xfId="1946" applyFont="1" applyFill="1" applyBorder="1" applyAlignment="1">
      <alignment horizontal="center" vertical="center" wrapText="1"/>
    </xf>
    <xf numFmtId="0" fontId="7" fillId="0" borderId="28" xfId="1946" applyFont="1" applyFill="1" applyBorder="1" applyAlignment="1">
      <alignment horizontal="center" vertical="center" wrapText="1"/>
    </xf>
    <xf numFmtId="0" fontId="7" fillId="0" borderId="35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7" xfId="1946" applyFont="1" applyFill="1" applyBorder="1" applyAlignment="1">
      <alignment horizontal="center" vertical="center" wrapText="1"/>
    </xf>
    <xf numFmtId="0" fontId="7" fillId="0" borderId="40" xfId="1946" applyFont="1" applyFill="1" applyBorder="1" applyAlignment="1">
      <alignment horizontal="center" vertical="center" wrapText="1"/>
    </xf>
    <xf numFmtId="0" fontId="96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0" fontId="7" fillId="0" borderId="26" xfId="1946" applyFont="1" applyFill="1" applyBorder="1" applyAlignment="1">
      <alignment horizontal="center" vertical="center" wrapText="1"/>
    </xf>
    <xf numFmtId="0" fontId="7" fillId="0" borderId="41" xfId="1946" applyFont="1" applyFill="1" applyBorder="1" applyAlignment="1">
      <alignment horizontal="center" vertical="center" wrapText="1"/>
    </xf>
    <xf numFmtId="0" fontId="7" fillId="0" borderId="39" xfId="1946" applyFont="1" applyFill="1" applyBorder="1" applyAlignment="1">
      <alignment horizontal="center" vertical="center" wrapText="1"/>
    </xf>
    <xf numFmtId="0" fontId="7" fillId="0" borderId="36" xfId="1946" applyFont="1" applyFill="1" applyBorder="1" applyAlignment="1">
      <alignment horizontal="center" vertical="center" wrapText="1"/>
    </xf>
    <xf numFmtId="0" fontId="7" fillId="0" borderId="22" xfId="1946" applyFont="1" applyFill="1" applyBorder="1" applyAlignment="1">
      <alignment horizontal="center" vertical="center" wrapText="1"/>
    </xf>
    <xf numFmtId="0" fontId="7" fillId="0" borderId="23" xfId="1946" applyFont="1" applyFill="1" applyBorder="1" applyAlignment="1">
      <alignment horizontal="center" vertical="center" wrapText="1"/>
    </xf>
    <xf numFmtId="0" fontId="7" fillId="0" borderId="37" xfId="1946" applyFont="1" applyFill="1" applyBorder="1" applyAlignment="1">
      <alignment horizontal="center" vertical="center" wrapText="1"/>
    </xf>
    <xf numFmtId="49" fontId="7" fillId="0" borderId="36" xfId="1946" applyNumberFormat="1" applyFont="1" applyBorder="1">
      <alignment vertical="center"/>
    </xf>
    <xf numFmtId="49" fontId="7" fillId="0" borderId="21" xfId="1946" applyNumberFormat="1" applyFont="1" applyBorder="1">
      <alignment vertical="center"/>
    </xf>
    <xf numFmtId="49" fontId="7" fillId="0" borderId="22" xfId="1946" applyNumberFormat="1" applyFont="1" applyBorder="1">
      <alignment vertical="center"/>
    </xf>
    <xf numFmtId="38" fontId="7" fillId="0" borderId="21" xfId="1953" applyFont="1" applyBorder="1" applyAlignment="1">
      <alignment horizontal="right" vertical="center"/>
    </xf>
    <xf numFmtId="49" fontId="7" fillId="0" borderId="22" xfId="1946" applyNumberFormat="1" applyFont="1" applyBorder="1" applyAlignment="1">
      <alignment horizontal="right" vertical="center"/>
    </xf>
    <xf numFmtId="49" fontId="7" fillId="0" borderId="23" xfId="1946" applyNumberFormat="1" applyFont="1" applyBorder="1" applyAlignment="1">
      <alignment horizontal="right" vertical="center"/>
    </xf>
    <xf numFmtId="4" fontId="7" fillId="0" borderId="21" xfId="1946" applyNumberFormat="1" applyFont="1" applyBorder="1" applyAlignment="1">
      <alignment horizontal="right" vertical="center"/>
    </xf>
    <xf numFmtId="3" fontId="7" fillId="0" borderId="21" xfId="1946" applyNumberFormat="1" applyFont="1" applyBorder="1" applyAlignment="1">
      <alignment horizontal="right" vertical="center"/>
    </xf>
    <xf numFmtId="3" fontId="7" fillId="0" borderId="22" xfId="1946" applyNumberFormat="1" applyFont="1" applyBorder="1" applyAlignment="1">
      <alignment horizontal="right" vertical="center"/>
    </xf>
    <xf numFmtId="3" fontId="7" fillId="0" borderId="23" xfId="1946" applyNumberFormat="1" applyFont="1" applyBorder="1" applyAlignment="1">
      <alignment horizontal="right" vertical="center"/>
    </xf>
    <xf numFmtId="189" fontId="7" fillId="0" borderId="37" xfId="1946" applyNumberFormat="1" applyFont="1" applyBorder="1" applyAlignment="1">
      <alignment horizontal="right" vertical="center"/>
    </xf>
    <xf numFmtId="0" fontId="95" fillId="0" borderId="0" xfId="1946" applyFont="1">
      <alignment vertical="center"/>
    </xf>
    <xf numFmtId="0" fontId="19" fillId="0" borderId="0" xfId="1946" applyFont="1">
      <alignment vertical="center"/>
    </xf>
  </cellXfs>
  <cellStyles count="1954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" xfId="1953" builtinId="6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桁区切り 7 2" xfId="1952" xr:uid="{00000000-0005-0000-0000-000048030000}"/>
    <cellStyle name="見出し 1 2" xfId="847" xr:uid="{00000000-0005-0000-0000-000049030000}"/>
    <cellStyle name="見出し 1 3" xfId="848" xr:uid="{00000000-0005-0000-0000-00004A030000}"/>
    <cellStyle name="見出し 1 4" xfId="849" xr:uid="{00000000-0005-0000-0000-00004B030000}"/>
    <cellStyle name="見出し 1 5" xfId="850" xr:uid="{00000000-0005-0000-0000-00004C030000}"/>
    <cellStyle name="見出し 1 6" xfId="851" xr:uid="{00000000-0005-0000-0000-00004D030000}"/>
    <cellStyle name="見出し 1 7" xfId="852" xr:uid="{00000000-0005-0000-0000-00004E030000}"/>
    <cellStyle name="見出し 1 8" xfId="853" xr:uid="{00000000-0005-0000-0000-00004F030000}"/>
    <cellStyle name="見出し 1 9" xfId="854" xr:uid="{00000000-0005-0000-0000-000050030000}"/>
    <cellStyle name="見出し 2 2" xfId="855" xr:uid="{00000000-0005-0000-0000-000051030000}"/>
    <cellStyle name="見出し 2 3" xfId="856" xr:uid="{00000000-0005-0000-0000-000052030000}"/>
    <cellStyle name="見出し 2 4" xfId="857" xr:uid="{00000000-0005-0000-0000-000053030000}"/>
    <cellStyle name="見出し 2 5" xfId="858" xr:uid="{00000000-0005-0000-0000-000054030000}"/>
    <cellStyle name="見出し 2 6" xfId="859" xr:uid="{00000000-0005-0000-0000-000055030000}"/>
    <cellStyle name="見出し 2 7" xfId="860" xr:uid="{00000000-0005-0000-0000-000056030000}"/>
    <cellStyle name="見出し 2 8" xfId="861" xr:uid="{00000000-0005-0000-0000-000057030000}"/>
    <cellStyle name="見出し 2 9" xfId="862" xr:uid="{00000000-0005-0000-0000-000058030000}"/>
    <cellStyle name="見出し 3 2" xfId="863" xr:uid="{00000000-0005-0000-0000-000059030000}"/>
    <cellStyle name="見出し 3 3" xfId="864" xr:uid="{00000000-0005-0000-0000-00005A030000}"/>
    <cellStyle name="見出し 3 4" xfId="865" xr:uid="{00000000-0005-0000-0000-00005B030000}"/>
    <cellStyle name="見出し 3 5" xfId="866" xr:uid="{00000000-0005-0000-0000-00005C030000}"/>
    <cellStyle name="見出し 3 6" xfId="867" xr:uid="{00000000-0005-0000-0000-00005D030000}"/>
    <cellStyle name="見出し 3 7" xfId="868" xr:uid="{00000000-0005-0000-0000-00005E030000}"/>
    <cellStyle name="見出し 3 8" xfId="869" xr:uid="{00000000-0005-0000-0000-00005F030000}"/>
    <cellStyle name="見出し 3 9" xfId="870" xr:uid="{00000000-0005-0000-0000-000060030000}"/>
    <cellStyle name="見出し 4 2" xfId="871" xr:uid="{00000000-0005-0000-0000-000061030000}"/>
    <cellStyle name="見出し 4 3" xfId="872" xr:uid="{00000000-0005-0000-0000-000062030000}"/>
    <cellStyle name="見出し 4 4" xfId="873" xr:uid="{00000000-0005-0000-0000-000063030000}"/>
    <cellStyle name="見出し 4 5" xfId="874" xr:uid="{00000000-0005-0000-0000-000064030000}"/>
    <cellStyle name="見出し 4 6" xfId="875" xr:uid="{00000000-0005-0000-0000-000065030000}"/>
    <cellStyle name="見出し 4 7" xfId="876" xr:uid="{00000000-0005-0000-0000-000066030000}"/>
    <cellStyle name="見出し 4 8" xfId="877" xr:uid="{00000000-0005-0000-0000-000067030000}"/>
    <cellStyle name="見出し 4 9" xfId="878" xr:uid="{00000000-0005-0000-0000-000068030000}"/>
    <cellStyle name="構成図作成用" xfId="879" xr:uid="{00000000-0005-0000-0000-000069030000}"/>
    <cellStyle name="取り消し" xfId="8" xr:uid="{00000000-0005-0000-0000-00006A030000}"/>
    <cellStyle name="集計 2" xfId="880" xr:uid="{00000000-0005-0000-0000-00006B030000}"/>
    <cellStyle name="集計 2 2" xfId="881" xr:uid="{00000000-0005-0000-0000-00006C030000}"/>
    <cellStyle name="集計 2 2 2" xfId="882" xr:uid="{00000000-0005-0000-0000-00006D030000}"/>
    <cellStyle name="集計 2 2 2 2" xfId="883" xr:uid="{00000000-0005-0000-0000-00006E030000}"/>
    <cellStyle name="集計 2 2 2 2 2" xfId="884" xr:uid="{00000000-0005-0000-0000-00006F030000}"/>
    <cellStyle name="集計 2 2 2 3" xfId="885" xr:uid="{00000000-0005-0000-0000-000070030000}"/>
    <cellStyle name="集計 2 2 2 3 2" xfId="886" xr:uid="{00000000-0005-0000-0000-000071030000}"/>
    <cellStyle name="集計 2 2 2 4" xfId="887" xr:uid="{00000000-0005-0000-0000-000072030000}"/>
    <cellStyle name="集計 2 2 2 4 2" xfId="888" xr:uid="{00000000-0005-0000-0000-000073030000}"/>
    <cellStyle name="集計 2 2 2 5" xfId="889" xr:uid="{00000000-0005-0000-0000-000074030000}"/>
    <cellStyle name="集計 2 2 2 5 2" xfId="890" xr:uid="{00000000-0005-0000-0000-000075030000}"/>
    <cellStyle name="集計 2 2 2 6" xfId="891" xr:uid="{00000000-0005-0000-0000-000076030000}"/>
    <cellStyle name="集計 2 2 2 6 2" xfId="892" xr:uid="{00000000-0005-0000-0000-000077030000}"/>
    <cellStyle name="集計 2 2 2 7" xfId="893" xr:uid="{00000000-0005-0000-0000-000078030000}"/>
    <cellStyle name="集計 2 2 3" xfId="894" xr:uid="{00000000-0005-0000-0000-000079030000}"/>
    <cellStyle name="集計 2 2 3 2" xfId="895" xr:uid="{00000000-0005-0000-0000-00007A030000}"/>
    <cellStyle name="集計 2 3" xfId="896" xr:uid="{00000000-0005-0000-0000-00007B030000}"/>
    <cellStyle name="集計 2 3 2" xfId="897" xr:uid="{00000000-0005-0000-0000-00007C030000}"/>
    <cellStyle name="集計 2 3 2 2" xfId="898" xr:uid="{00000000-0005-0000-0000-00007D030000}"/>
    <cellStyle name="集計 2 3 3" xfId="899" xr:uid="{00000000-0005-0000-0000-00007E030000}"/>
    <cellStyle name="集計 2 3 3 2" xfId="900" xr:uid="{00000000-0005-0000-0000-00007F030000}"/>
    <cellStyle name="集計 2 3 4" xfId="901" xr:uid="{00000000-0005-0000-0000-000080030000}"/>
    <cellStyle name="集計 2 3 4 2" xfId="902" xr:uid="{00000000-0005-0000-0000-000081030000}"/>
    <cellStyle name="集計 2 3 5" xfId="903" xr:uid="{00000000-0005-0000-0000-000082030000}"/>
    <cellStyle name="集計 2 3 5 2" xfId="904" xr:uid="{00000000-0005-0000-0000-000083030000}"/>
    <cellStyle name="集計 2 3 6" xfId="905" xr:uid="{00000000-0005-0000-0000-000084030000}"/>
    <cellStyle name="集計 2 3 6 2" xfId="906" xr:uid="{00000000-0005-0000-0000-000085030000}"/>
    <cellStyle name="集計 2 3 7" xfId="907" xr:uid="{00000000-0005-0000-0000-000086030000}"/>
    <cellStyle name="集計 2 4" xfId="908" xr:uid="{00000000-0005-0000-0000-000087030000}"/>
    <cellStyle name="集計 2 4 2" xfId="909" xr:uid="{00000000-0005-0000-0000-000088030000}"/>
    <cellStyle name="集計 3" xfId="910" xr:uid="{00000000-0005-0000-0000-000089030000}"/>
    <cellStyle name="集計 3 2" xfId="911" xr:uid="{00000000-0005-0000-0000-00008A030000}"/>
    <cellStyle name="集計 3 2 2" xfId="912" xr:uid="{00000000-0005-0000-0000-00008B030000}"/>
    <cellStyle name="集計 3 2 2 2" xfId="913" xr:uid="{00000000-0005-0000-0000-00008C030000}"/>
    <cellStyle name="集計 3 2 3" xfId="914" xr:uid="{00000000-0005-0000-0000-00008D030000}"/>
    <cellStyle name="集計 3 2 3 2" xfId="915" xr:uid="{00000000-0005-0000-0000-00008E030000}"/>
    <cellStyle name="集計 3 2 4" xfId="916" xr:uid="{00000000-0005-0000-0000-00008F030000}"/>
    <cellStyle name="集計 3 2 4 2" xfId="917" xr:uid="{00000000-0005-0000-0000-000090030000}"/>
    <cellStyle name="集計 3 2 5" xfId="918" xr:uid="{00000000-0005-0000-0000-000091030000}"/>
    <cellStyle name="集計 3 2 5 2" xfId="919" xr:uid="{00000000-0005-0000-0000-000092030000}"/>
    <cellStyle name="集計 3 2 6" xfId="920" xr:uid="{00000000-0005-0000-0000-000093030000}"/>
    <cellStyle name="集計 3 2 6 2" xfId="921" xr:uid="{00000000-0005-0000-0000-000094030000}"/>
    <cellStyle name="集計 3 2 7" xfId="922" xr:uid="{00000000-0005-0000-0000-000095030000}"/>
    <cellStyle name="集計 3 3" xfId="923" xr:uid="{00000000-0005-0000-0000-000096030000}"/>
    <cellStyle name="集計 3 3 2" xfId="924" xr:uid="{00000000-0005-0000-0000-000097030000}"/>
    <cellStyle name="集計 3 4" xfId="925" xr:uid="{00000000-0005-0000-0000-000098030000}"/>
    <cellStyle name="集計 4" xfId="926" xr:uid="{00000000-0005-0000-0000-000099030000}"/>
    <cellStyle name="集計 4 2" xfId="927" xr:uid="{00000000-0005-0000-0000-00009A030000}"/>
    <cellStyle name="集計 4 2 2" xfId="928" xr:uid="{00000000-0005-0000-0000-00009B030000}"/>
    <cellStyle name="集計 4 3" xfId="929" xr:uid="{00000000-0005-0000-0000-00009C030000}"/>
    <cellStyle name="集計 4 3 2" xfId="930" xr:uid="{00000000-0005-0000-0000-00009D030000}"/>
    <cellStyle name="集計 4 4" xfId="931" xr:uid="{00000000-0005-0000-0000-00009E030000}"/>
    <cellStyle name="集計 4 4 2" xfId="932" xr:uid="{00000000-0005-0000-0000-00009F030000}"/>
    <cellStyle name="集計 4 5" xfId="933" xr:uid="{00000000-0005-0000-0000-0000A0030000}"/>
    <cellStyle name="集計 4 5 2" xfId="934" xr:uid="{00000000-0005-0000-0000-0000A1030000}"/>
    <cellStyle name="集計 4 6" xfId="935" xr:uid="{00000000-0005-0000-0000-0000A2030000}"/>
    <cellStyle name="集計 4 6 2" xfId="936" xr:uid="{00000000-0005-0000-0000-0000A3030000}"/>
    <cellStyle name="集計 4 7" xfId="937" xr:uid="{00000000-0005-0000-0000-0000A4030000}"/>
    <cellStyle name="集計 5" xfId="938" xr:uid="{00000000-0005-0000-0000-0000A5030000}"/>
    <cellStyle name="集計 6" xfId="939" xr:uid="{00000000-0005-0000-0000-0000A6030000}"/>
    <cellStyle name="集計 7" xfId="940" xr:uid="{00000000-0005-0000-0000-0000A7030000}"/>
    <cellStyle name="集計 8" xfId="941" xr:uid="{00000000-0005-0000-0000-0000A8030000}"/>
    <cellStyle name="集計 9" xfId="942" xr:uid="{00000000-0005-0000-0000-0000A9030000}"/>
    <cellStyle name="出力 2" xfId="943" xr:uid="{00000000-0005-0000-0000-0000AA030000}"/>
    <cellStyle name="出力 2 2" xfId="944" xr:uid="{00000000-0005-0000-0000-0000AB030000}"/>
    <cellStyle name="出力 2 2 2" xfId="945" xr:uid="{00000000-0005-0000-0000-0000AC030000}"/>
    <cellStyle name="出力 2 2 2 2" xfId="946" xr:uid="{00000000-0005-0000-0000-0000AD030000}"/>
    <cellStyle name="出力 2 2 2 2 2" xfId="947" xr:uid="{00000000-0005-0000-0000-0000AE030000}"/>
    <cellStyle name="出力 2 2 2 3" xfId="948" xr:uid="{00000000-0005-0000-0000-0000AF030000}"/>
    <cellStyle name="出力 2 2 2 3 2" xfId="949" xr:uid="{00000000-0005-0000-0000-0000B0030000}"/>
    <cellStyle name="出力 2 2 2 4" xfId="950" xr:uid="{00000000-0005-0000-0000-0000B1030000}"/>
    <cellStyle name="出力 2 2 2 4 2" xfId="951" xr:uid="{00000000-0005-0000-0000-0000B2030000}"/>
    <cellStyle name="出力 2 2 2 5" xfId="952" xr:uid="{00000000-0005-0000-0000-0000B3030000}"/>
    <cellStyle name="出力 2 2 2 5 2" xfId="953" xr:uid="{00000000-0005-0000-0000-0000B4030000}"/>
    <cellStyle name="出力 2 2 2 6" xfId="954" xr:uid="{00000000-0005-0000-0000-0000B5030000}"/>
    <cellStyle name="出力 2 2 2 6 2" xfId="955" xr:uid="{00000000-0005-0000-0000-0000B6030000}"/>
    <cellStyle name="出力 2 2 2 7" xfId="956" xr:uid="{00000000-0005-0000-0000-0000B7030000}"/>
    <cellStyle name="出力 2 2 3" xfId="957" xr:uid="{00000000-0005-0000-0000-0000B8030000}"/>
    <cellStyle name="出力 2 2 3 2" xfId="958" xr:uid="{00000000-0005-0000-0000-0000B9030000}"/>
    <cellStyle name="出力 2 3" xfId="959" xr:uid="{00000000-0005-0000-0000-0000BA030000}"/>
    <cellStyle name="出力 2 3 2" xfId="960" xr:uid="{00000000-0005-0000-0000-0000BB030000}"/>
    <cellStyle name="出力 2 3 2 2" xfId="961" xr:uid="{00000000-0005-0000-0000-0000BC030000}"/>
    <cellStyle name="出力 2 3 3" xfId="962" xr:uid="{00000000-0005-0000-0000-0000BD030000}"/>
    <cellStyle name="出力 2 3 3 2" xfId="963" xr:uid="{00000000-0005-0000-0000-0000BE030000}"/>
    <cellStyle name="出力 2 3 4" xfId="964" xr:uid="{00000000-0005-0000-0000-0000BF030000}"/>
    <cellStyle name="出力 2 3 4 2" xfId="965" xr:uid="{00000000-0005-0000-0000-0000C0030000}"/>
    <cellStyle name="出力 2 3 5" xfId="966" xr:uid="{00000000-0005-0000-0000-0000C1030000}"/>
    <cellStyle name="出力 2 3 5 2" xfId="967" xr:uid="{00000000-0005-0000-0000-0000C2030000}"/>
    <cellStyle name="出力 2 3 6" xfId="968" xr:uid="{00000000-0005-0000-0000-0000C3030000}"/>
    <cellStyle name="出力 2 3 6 2" xfId="969" xr:uid="{00000000-0005-0000-0000-0000C4030000}"/>
    <cellStyle name="出力 2 3 7" xfId="970" xr:uid="{00000000-0005-0000-0000-0000C5030000}"/>
    <cellStyle name="出力 2 4" xfId="971" xr:uid="{00000000-0005-0000-0000-0000C6030000}"/>
    <cellStyle name="出力 2 4 2" xfId="972" xr:uid="{00000000-0005-0000-0000-0000C7030000}"/>
    <cellStyle name="出力 3" xfId="973" xr:uid="{00000000-0005-0000-0000-0000C8030000}"/>
    <cellStyle name="出力 3 2" xfId="974" xr:uid="{00000000-0005-0000-0000-0000C9030000}"/>
    <cellStyle name="出力 3 2 2" xfId="975" xr:uid="{00000000-0005-0000-0000-0000CA030000}"/>
    <cellStyle name="出力 3 2 2 2" xfId="976" xr:uid="{00000000-0005-0000-0000-0000CB030000}"/>
    <cellStyle name="出力 3 2 3" xfId="977" xr:uid="{00000000-0005-0000-0000-0000CC030000}"/>
    <cellStyle name="出力 3 2 3 2" xfId="978" xr:uid="{00000000-0005-0000-0000-0000CD030000}"/>
    <cellStyle name="出力 3 2 4" xfId="979" xr:uid="{00000000-0005-0000-0000-0000CE030000}"/>
    <cellStyle name="出力 3 2 4 2" xfId="980" xr:uid="{00000000-0005-0000-0000-0000CF030000}"/>
    <cellStyle name="出力 3 2 5" xfId="981" xr:uid="{00000000-0005-0000-0000-0000D0030000}"/>
    <cellStyle name="出力 3 2 5 2" xfId="982" xr:uid="{00000000-0005-0000-0000-0000D1030000}"/>
    <cellStyle name="出力 3 2 6" xfId="983" xr:uid="{00000000-0005-0000-0000-0000D2030000}"/>
    <cellStyle name="出力 3 2 6 2" xfId="984" xr:uid="{00000000-0005-0000-0000-0000D3030000}"/>
    <cellStyle name="出力 3 2 7" xfId="985" xr:uid="{00000000-0005-0000-0000-0000D4030000}"/>
    <cellStyle name="出力 3 3" xfId="986" xr:uid="{00000000-0005-0000-0000-0000D5030000}"/>
    <cellStyle name="出力 3 3 2" xfId="987" xr:uid="{00000000-0005-0000-0000-0000D6030000}"/>
    <cellStyle name="出力 3 4" xfId="988" xr:uid="{00000000-0005-0000-0000-0000D7030000}"/>
    <cellStyle name="出力 4" xfId="989" xr:uid="{00000000-0005-0000-0000-0000D8030000}"/>
    <cellStyle name="出力 4 2" xfId="990" xr:uid="{00000000-0005-0000-0000-0000D9030000}"/>
    <cellStyle name="出力 4 2 2" xfId="991" xr:uid="{00000000-0005-0000-0000-0000DA030000}"/>
    <cellStyle name="出力 4 3" xfId="992" xr:uid="{00000000-0005-0000-0000-0000DB030000}"/>
    <cellStyle name="出力 4 3 2" xfId="993" xr:uid="{00000000-0005-0000-0000-0000DC030000}"/>
    <cellStyle name="出力 4 4" xfId="994" xr:uid="{00000000-0005-0000-0000-0000DD030000}"/>
    <cellStyle name="出力 4 4 2" xfId="995" xr:uid="{00000000-0005-0000-0000-0000DE030000}"/>
    <cellStyle name="出力 4 5" xfId="996" xr:uid="{00000000-0005-0000-0000-0000DF030000}"/>
    <cellStyle name="出力 4 5 2" xfId="997" xr:uid="{00000000-0005-0000-0000-0000E0030000}"/>
    <cellStyle name="出力 4 6" xfId="998" xr:uid="{00000000-0005-0000-0000-0000E1030000}"/>
    <cellStyle name="出力 4 6 2" xfId="999" xr:uid="{00000000-0005-0000-0000-0000E2030000}"/>
    <cellStyle name="出力 4 7" xfId="1000" xr:uid="{00000000-0005-0000-0000-0000E3030000}"/>
    <cellStyle name="出力 5" xfId="1001" xr:uid="{00000000-0005-0000-0000-0000E4030000}"/>
    <cellStyle name="出力 6" xfId="1002" xr:uid="{00000000-0005-0000-0000-0000E5030000}"/>
    <cellStyle name="出力 7" xfId="1003" xr:uid="{00000000-0005-0000-0000-0000E6030000}"/>
    <cellStyle name="出力 8" xfId="1004" xr:uid="{00000000-0005-0000-0000-0000E7030000}"/>
    <cellStyle name="出力 9" xfId="1005" xr:uid="{00000000-0005-0000-0000-0000E8030000}"/>
    <cellStyle name="人月" xfId="1006" xr:uid="{00000000-0005-0000-0000-0000E9030000}"/>
    <cellStyle name="人月 2" xfId="1941" xr:uid="{00000000-0005-0000-0000-0000EA030000}"/>
    <cellStyle name="人月 3" xfId="1940" xr:uid="{00000000-0005-0000-0000-0000EB030000}"/>
    <cellStyle name="説明文 2" xfId="1007" xr:uid="{00000000-0005-0000-0000-0000EC030000}"/>
    <cellStyle name="説明文 3" xfId="1008" xr:uid="{00000000-0005-0000-0000-0000ED030000}"/>
    <cellStyle name="説明文 4" xfId="1009" xr:uid="{00000000-0005-0000-0000-0000EE030000}"/>
    <cellStyle name="説明文 5" xfId="1010" xr:uid="{00000000-0005-0000-0000-0000EF030000}"/>
    <cellStyle name="説明文 6" xfId="1011" xr:uid="{00000000-0005-0000-0000-0000F0030000}"/>
    <cellStyle name="説明文 7" xfId="1012" xr:uid="{00000000-0005-0000-0000-0000F1030000}"/>
    <cellStyle name="説明文 8" xfId="1013" xr:uid="{00000000-0005-0000-0000-0000F2030000}"/>
    <cellStyle name="説明文 9" xfId="1014" xr:uid="{00000000-0005-0000-0000-0000F3030000}"/>
    <cellStyle name="脱浦 [0.00]_laroux" xfId="1015" xr:uid="{00000000-0005-0000-0000-0000F4030000}"/>
    <cellStyle name="脱浦_laroux" xfId="1016" xr:uid="{00000000-0005-0000-0000-0000F5030000}"/>
    <cellStyle name="通貨 [0.00" xfId="1017" xr:uid="{00000000-0005-0000-0000-0000F6030000}"/>
    <cellStyle name="通貨 [0.00 2" xfId="1018" xr:uid="{00000000-0005-0000-0000-0000F7030000}"/>
    <cellStyle name="通貨 [0.00 3" xfId="1019" xr:uid="{00000000-0005-0000-0000-0000F8030000}"/>
    <cellStyle name="通貨 [0.00 4" xfId="1020" xr:uid="{00000000-0005-0000-0000-0000F9030000}"/>
    <cellStyle name="通貨 [0.00 5" xfId="1021" xr:uid="{00000000-0005-0000-0000-0000FA030000}"/>
    <cellStyle name="通貨 [0.00 6" xfId="1022" xr:uid="{00000000-0005-0000-0000-0000FB030000}"/>
    <cellStyle name="通貨 2" xfId="1023" xr:uid="{00000000-0005-0000-0000-0000FC030000}"/>
    <cellStyle name="通貨 2 2" xfId="1024" xr:uid="{00000000-0005-0000-0000-0000FD030000}"/>
    <cellStyle name="通貨 2 2 2" xfId="1025" xr:uid="{00000000-0005-0000-0000-0000FE030000}"/>
    <cellStyle name="通貨 2 2 3" xfId="1026" xr:uid="{00000000-0005-0000-0000-0000FF030000}"/>
    <cellStyle name="通貨 2 3" xfId="1027" xr:uid="{00000000-0005-0000-0000-000000040000}"/>
    <cellStyle name="通貨 2 4" xfId="1028" xr:uid="{00000000-0005-0000-0000-000001040000}"/>
    <cellStyle name="通貨 2 5" xfId="1029" xr:uid="{00000000-0005-0000-0000-000002040000}"/>
    <cellStyle name="通貨 3" xfId="1030" xr:uid="{00000000-0005-0000-0000-000003040000}"/>
    <cellStyle name="入力 2" xfId="1031" xr:uid="{00000000-0005-0000-0000-000004040000}"/>
    <cellStyle name="入力 2 2" xfId="1032" xr:uid="{00000000-0005-0000-0000-000005040000}"/>
    <cellStyle name="入力 2 2 2" xfId="1033" xr:uid="{00000000-0005-0000-0000-000006040000}"/>
    <cellStyle name="入力 2 2 2 2" xfId="1034" xr:uid="{00000000-0005-0000-0000-000007040000}"/>
    <cellStyle name="入力 2 2 2 2 2" xfId="1035" xr:uid="{00000000-0005-0000-0000-000008040000}"/>
    <cellStyle name="入力 2 2 2 3" xfId="1036" xr:uid="{00000000-0005-0000-0000-000009040000}"/>
    <cellStyle name="入力 2 2 2 3 2" xfId="1037" xr:uid="{00000000-0005-0000-0000-00000A040000}"/>
    <cellStyle name="入力 2 2 2 4" xfId="1038" xr:uid="{00000000-0005-0000-0000-00000B040000}"/>
    <cellStyle name="入力 2 2 2 4 2" xfId="1039" xr:uid="{00000000-0005-0000-0000-00000C040000}"/>
    <cellStyle name="入力 2 2 2 5" xfId="1040" xr:uid="{00000000-0005-0000-0000-00000D040000}"/>
    <cellStyle name="入力 2 2 2 5 2" xfId="1041" xr:uid="{00000000-0005-0000-0000-00000E040000}"/>
    <cellStyle name="入力 2 2 2 6" xfId="1042" xr:uid="{00000000-0005-0000-0000-00000F040000}"/>
    <cellStyle name="入力 2 2 2 6 2" xfId="1043" xr:uid="{00000000-0005-0000-0000-000010040000}"/>
    <cellStyle name="入力 2 2 2 7" xfId="1044" xr:uid="{00000000-0005-0000-0000-000011040000}"/>
    <cellStyle name="入力 2 2 3" xfId="1045" xr:uid="{00000000-0005-0000-0000-000012040000}"/>
    <cellStyle name="入力 2 2 3 2" xfId="1046" xr:uid="{00000000-0005-0000-0000-000013040000}"/>
    <cellStyle name="入力 2 2 4" xfId="1047" xr:uid="{00000000-0005-0000-0000-000014040000}"/>
    <cellStyle name="入力 2 3" xfId="1048" xr:uid="{00000000-0005-0000-0000-000015040000}"/>
    <cellStyle name="入力 2 3 2" xfId="1049" xr:uid="{00000000-0005-0000-0000-000016040000}"/>
    <cellStyle name="入力 2 3 2 2" xfId="1050" xr:uid="{00000000-0005-0000-0000-000017040000}"/>
    <cellStyle name="入力 2 3 3" xfId="1051" xr:uid="{00000000-0005-0000-0000-000018040000}"/>
    <cellStyle name="入力 2 3 3 2" xfId="1052" xr:uid="{00000000-0005-0000-0000-000019040000}"/>
    <cellStyle name="入力 2 3 4" xfId="1053" xr:uid="{00000000-0005-0000-0000-00001A040000}"/>
    <cellStyle name="入力 2 3 4 2" xfId="1054" xr:uid="{00000000-0005-0000-0000-00001B040000}"/>
    <cellStyle name="入力 2 3 5" xfId="1055" xr:uid="{00000000-0005-0000-0000-00001C040000}"/>
    <cellStyle name="入力 2 3 5 2" xfId="1056" xr:uid="{00000000-0005-0000-0000-00001D040000}"/>
    <cellStyle name="入力 2 3 6" xfId="1057" xr:uid="{00000000-0005-0000-0000-00001E040000}"/>
    <cellStyle name="入力 2 3 6 2" xfId="1058" xr:uid="{00000000-0005-0000-0000-00001F040000}"/>
    <cellStyle name="入力 2 3 7" xfId="1059" xr:uid="{00000000-0005-0000-0000-000020040000}"/>
    <cellStyle name="入力 2 4" xfId="1060" xr:uid="{00000000-0005-0000-0000-000021040000}"/>
    <cellStyle name="入力 2 4 2" xfId="1061" xr:uid="{00000000-0005-0000-0000-000022040000}"/>
    <cellStyle name="入力 2 5" xfId="1062" xr:uid="{00000000-0005-0000-0000-000023040000}"/>
    <cellStyle name="入力 3" xfId="1063" xr:uid="{00000000-0005-0000-0000-000024040000}"/>
    <cellStyle name="入力 3 2" xfId="1064" xr:uid="{00000000-0005-0000-0000-000025040000}"/>
    <cellStyle name="入力 3 2 2" xfId="1065" xr:uid="{00000000-0005-0000-0000-000026040000}"/>
    <cellStyle name="入力 3 2 2 2" xfId="1066" xr:uid="{00000000-0005-0000-0000-000027040000}"/>
    <cellStyle name="入力 3 2 3" xfId="1067" xr:uid="{00000000-0005-0000-0000-000028040000}"/>
    <cellStyle name="入力 3 2 3 2" xfId="1068" xr:uid="{00000000-0005-0000-0000-000029040000}"/>
    <cellStyle name="入力 3 2 4" xfId="1069" xr:uid="{00000000-0005-0000-0000-00002A040000}"/>
    <cellStyle name="入力 3 2 4 2" xfId="1070" xr:uid="{00000000-0005-0000-0000-00002B040000}"/>
    <cellStyle name="入力 3 2 5" xfId="1071" xr:uid="{00000000-0005-0000-0000-00002C040000}"/>
    <cellStyle name="入力 3 2 5 2" xfId="1072" xr:uid="{00000000-0005-0000-0000-00002D040000}"/>
    <cellStyle name="入力 3 2 6" xfId="1073" xr:uid="{00000000-0005-0000-0000-00002E040000}"/>
    <cellStyle name="入力 3 2 6 2" xfId="1074" xr:uid="{00000000-0005-0000-0000-00002F040000}"/>
    <cellStyle name="入力 3 2 7" xfId="1075" xr:uid="{00000000-0005-0000-0000-000030040000}"/>
    <cellStyle name="入力 3 3" xfId="1076" xr:uid="{00000000-0005-0000-0000-000031040000}"/>
    <cellStyle name="入力 3 3 2" xfId="1077" xr:uid="{00000000-0005-0000-0000-000032040000}"/>
    <cellStyle name="入力 3 4" xfId="1078" xr:uid="{00000000-0005-0000-0000-000033040000}"/>
    <cellStyle name="入力 4" xfId="1079" xr:uid="{00000000-0005-0000-0000-000034040000}"/>
    <cellStyle name="入力 4 2" xfId="1080" xr:uid="{00000000-0005-0000-0000-000035040000}"/>
    <cellStyle name="入力 4 2 2" xfId="1081" xr:uid="{00000000-0005-0000-0000-000036040000}"/>
    <cellStyle name="入力 4 3" xfId="1082" xr:uid="{00000000-0005-0000-0000-000037040000}"/>
    <cellStyle name="入力 4 3 2" xfId="1083" xr:uid="{00000000-0005-0000-0000-000038040000}"/>
    <cellStyle name="入力 4 4" xfId="1084" xr:uid="{00000000-0005-0000-0000-000039040000}"/>
    <cellStyle name="入力 4 4 2" xfId="1085" xr:uid="{00000000-0005-0000-0000-00003A040000}"/>
    <cellStyle name="入力 4 5" xfId="1086" xr:uid="{00000000-0005-0000-0000-00003B040000}"/>
    <cellStyle name="入力 4 5 2" xfId="1087" xr:uid="{00000000-0005-0000-0000-00003C040000}"/>
    <cellStyle name="入力 4 6" xfId="1088" xr:uid="{00000000-0005-0000-0000-00003D040000}"/>
    <cellStyle name="入力 4 6 2" xfId="1089" xr:uid="{00000000-0005-0000-0000-00003E040000}"/>
    <cellStyle name="入力 4 7" xfId="1090" xr:uid="{00000000-0005-0000-0000-00003F040000}"/>
    <cellStyle name="入力 5" xfId="1091" xr:uid="{00000000-0005-0000-0000-000040040000}"/>
    <cellStyle name="入力 6" xfId="1092" xr:uid="{00000000-0005-0000-0000-000041040000}"/>
    <cellStyle name="入力 7" xfId="1093" xr:uid="{00000000-0005-0000-0000-000042040000}"/>
    <cellStyle name="入力 8" xfId="1094" xr:uid="{00000000-0005-0000-0000-000043040000}"/>
    <cellStyle name="入力 9" xfId="1095" xr:uid="{00000000-0005-0000-0000-000044040000}"/>
    <cellStyle name="標準" xfId="0" builtinId="0"/>
    <cellStyle name="標準 10" xfId="1096" xr:uid="{00000000-0005-0000-0000-000046040000}"/>
    <cellStyle name="標準 10 2" xfId="1097" xr:uid="{00000000-0005-0000-0000-000047040000}"/>
    <cellStyle name="標準 10 3" xfId="14" xr:uid="{00000000-0005-0000-0000-000048040000}"/>
    <cellStyle name="標準 10 4" xfId="1098" xr:uid="{00000000-0005-0000-0000-000049040000}"/>
    <cellStyle name="標準 10 5" xfId="1099" xr:uid="{00000000-0005-0000-0000-00004A040000}"/>
    <cellStyle name="標準 100" xfId="1100" xr:uid="{00000000-0005-0000-0000-00004B040000}"/>
    <cellStyle name="標準 100 2" xfId="1101" xr:uid="{00000000-0005-0000-0000-00004C040000}"/>
    <cellStyle name="標準 100 2 2" xfId="1102" xr:uid="{00000000-0005-0000-0000-00004D040000}"/>
    <cellStyle name="標準 100 2 2 2" xfId="1103" xr:uid="{00000000-0005-0000-0000-00004E040000}"/>
    <cellStyle name="標準 100 2 2 3" xfId="1104" xr:uid="{00000000-0005-0000-0000-00004F040000}"/>
    <cellStyle name="標準 100 2 2 4" xfId="1105" xr:uid="{00000000-0005-0000-0000-000050040000}"/>
    <cellStyle name="標準 100 2 3" xfId="1106" xr:uid="{00000000-0005-0000-0000-000051040000}"/>
    <cellStyle name="標準 100 2 4" xfId="1107" xr:uid="{00000000-0005-0000-0000-000052040000}"/>
    <cellStyle name="標準 100 2 5" xfId="1108" xr:uid="{00000000-0005-0000-0000-000053040000}"/>
    <cellStyle name="標準 100 3" xfId="1109" xr:uid="{00000000-0005-0000-0000-000054040000}"/>
    <cellStyle name="標準 100 3 2" xfId="1110" xr:uid="{00000000-0005-0000-0000-000055040000}"/>
    <cellStyle name="標準 100 3 3" xfId="1111" xr:uid="{00000000-0005-0000-0000-000056040000}"/>
    <cellStyle name="標準 100 3 4" xfId="1112" xr:uid="{00000000-0005-0000-0000-000057040000}"/>
    <cellStyle name="標準 100 4" xfId="1113" xr:uid="{00000000-0005-0000-0000-000058040000}"/>
    <cellStyle name="標準 100 5" xfId="1114" xr:uid="{00000000-0005-0000-0000-000059040000}"/>
    <cellStyle name="標準 100 6" xfId="1115" xr:uid="{00000000-0005-0000-0000-00005A040000}"/>
    <cellStyle name="標準 101" xfId="1116" xr:uid="{00000000-0005-0000-0000-00005B040000}"/>
    <cellStyle name="標準 102" xfId="1117" xr:uid="{00000000-0005-0000-0000-00005C040000}"/>
    <cellStyle name="標準 102 2" xfId="1118" xr:uid="{00000000-0005-0000-0000-00005D040000}"/>
    <cellStyle name="標準 102 2 2" xfId="1119" xr:uid="{00000000-0005-0000-0000-00005E040000}"/>
    <cellStyle name="標準 102 2 3" xfId="1120" xr:uid="{00000000-0005-0000-0000-00005F040000}"/>
    <cellStyle name="標準 102 2 4" xfId="1121" xr:uid="{00000000-0005-0000-0000-000060040000}"/>
    <cellStyle name="標準 102 3" xfId="1122" xr:uid="{00000000-0005-0000-0000-000061040000}"/>
    <cellStyle name="標準 102 4" xfId="1123" xr:uid="{00000000-0005-0000-0000-000062040000}"/>
    <cellStyle name="標準 102 5" xfId="1124" xr:uid="{00000000-0005-0000-0000-000063040000}"/>
    <cellStyle name="標準 103" xfId="1125" xr:uid="{00000000-0005-0000-0000-000064040000}"/>
    <cellStyle name="標準 104" xfId="1126" xr:uid="{00000000-0005-0000-0000-000065040000}"/>
    <cellStyle name="標準 104 2" xfId="1127" xr:uid="{00000000-0005-0000-0000-000066040000}"/>
    <cellStyle name="標準 104 3" xfId="1128" xr:uid="{00000000-0005-0000-0000-000067040000}"/>
    <cellStyle name="標準 104 4" xfId="1129" xr:uid="{00000000-0005-0000-0000-000068040000}"/>
    <cellStyle name="標準 105" xfId="1130" xr:uid="{00000000-0005-0000-0000-000069040000}"/>
    <cellStyle name="標準 106" xfId="1131" xr:uid="{00000000-0005-0000-0000-00006A040000}"/>
    <cellStyle name="標準 107" xfId="1132" xr:uid="{00000000-0005-0000-0000-00006B040000}"/>
    <cellStyle name="標準 108" xfId="1133" xr:uid="{00000000-0005-0000-0000-00006C040000}"/>
    <cellStyle name="標準 109" xfId="1134" xr:uid="{00000000-0005-0000-0000-00006D040000}"/>
    <cellStyle name="標準 11" xfId="1135" xr:uid="{00000000-0005-0000-0000-00006E040000}"/>
    <cellStyle name="標準 11 2" xfId="1136" xr:uid="{00000000-0005-0000-0000-00006F040000}"/>
    <cellStyle name="標準 11 3" xfId="1137" xr:uid="{00000000-0005-0000-0000-000070040000}"/>
    <cellStyle name="標準 110" xfId="1138" xr:uid="{00000000-0005-0000-0000-000071040000}"/>
    <cellStyle name="標準 111" xfId="1139" xr:uid="{00000000-0005-0000-0000-000072040000}"/>
    <cellStyle name="標準 112" xfId="1140" xr:uid="{00000000-0005-0000-0000-000073040000}"/>
    <cellStyle name="標準 113" xfId="1141" xr:uid="{00000000-0005-0000-0000-000074040000}"/>
    <cellStyle name="標準 114" xfId="1142" xr:uid="{00000000-0005-0000-0000-000075040000}"/>
    <cellStyle name="標準 115" xfId="1143" xr:uid="{00000000-0005-0000-0000-000076040000}"/>
    <cellStyle name="標準 116" xfId="1144" xr:uid="{00000000-0005-0000-0000-000077040000}"/>
    <cellStyle name="標準 117" xfId="1145" xr:uid="{00000000-0005-0000-0000-000078040000}"/>
    <cellStyle name="標準 118" xfId="1146" xr:uid="{00000000-0005-0000-0000-000079040000}"/>
    <cellStyle name="標準 119" xfId="1147" xr:uid="{00000000-0005-0000-0000-00007A040000}"/>
    <cellStyle name="標準 12" xfId="1148" xr:uid="{00000000-0005-0000-0000-00007B040000}"/>
    <cellStyle name="標準 12 2" xfId="1149" xr:uid="{00000000-0005-0000-0000-00007C040000}"/>
    <cellStyle name="標準 12 2 2" xfId="1150" xr:uid="{00000000-0005-0000-0000-00007D040000}"/>
    <cellStyle name="標準 12 2 3" xfId="1151" xr:uid="{00000000-0005-0000-0000-00007E040000}"/>
    <cellStyle name="標準 12 3" xfId="1152" xr:uid="{00000000-0005-0000-0000-00007F040000}"/>
    <cellStyle name="標準 12 3 2" xfId="1153" xr:uid="{00000000-0005-0000-0000-000080040000}"/>
    <cellStyle name="標準 12 3 3" xfId="1154" xr:uid="{00000000-0005-0000-0000-000081040000}"/>
    <cellStyle name="標準 120" xfId="1155" xr:uid="{00000000-0005-0000-0000-000082040000}"/>
    <cellStyle name="標準 121" xfId="1156" xr:uid="{00000000-0005-0000-0000-000083040000}"/>
    <cellStyle name="標準 122" xfId="1157" xr:uid="{00000000-0005-0000-0000-000084040000}"/>
    <cellStyle name="標準 123" xfId="1158" xr:uid="{00000000-0005-0000-0000-000085040000}"/>
    <cellStyle name="標準 124" xfId="1159" xr:uid="{00000000-0005-0000-0000-000086040000}"/>
    <cellStyle name="標準 125" xfId="1160" xr:uid="{00000000-0005-0000-0000-000087040000}"/>
    <cellStyle name="標準 126" xfId="1161" xr:uid="{00000000-0005-0000-0000-000088040000}"/>
    <cellStyle name="標準 127" xfId="1162" xr:uid="{00000000-0005-0000-0000-000089040000}"/>
    <cellStyle name="標準 128" xfId="1163" xr:uid="{00000000-0005-0000-0000-00008A040000}"/>
    <cellStyle name="標準 129" xfId="1164" xr:uid="{00000000-0005-0000-0000-00008B040000}"/>
    <cellStyle name="標準 13" xfId="1165" xr:uid="{00000000-0005-0000-0000-00008C040000}"/>
    <cellStyle name="標準 13 2" xfId="1166" xr:uid="{00000000-0005-0000-0000-00008D040000}"/>
    <cellStyle name="標準 13 3" xfId="1167" xr:uid="{00000000-0005-0000-0000-00008E040000}"/>
    <cellStyle name="標準 13 4" xfId="1168" xr:uid="{00000000-0005-0000-0000-00008F040000}"/>
    <cellStyle name="標準 13 5" xfId="1169" xr:uid="{00000000-0005-0000-0000-000090040000}"/>
    <cellStyle name="標準 130" xfId="1170" xr:uid="{00000000-0005-0000-0000-000091040000}"/>
    <cellStyle name="標準 131" xfId="1171" xr:uid="{00000000-0005-0000-0000-000092040000}"/>
    <cellStyle name="標準 132" xfId="1937" xr:uid="{00000000-0005-0000-0000-000093040000}"/>
    <cellStyle name="標準 132 2" xfId="1943" xr:uid="{00000000-0005-0000-0000-000094040000}"/>
    <cellStyle name="標準 132 2 2" xfId="1950" xr:uid="{00000000-0005-0000-0000-000095040000}"/>
    <cellStyle name="標準 132 3" xfId="1948" xr:uid="{00000000-0005-0000-0000-000096040000}"/>
    <cellStyle name="標準 133" xfId="1944" xr:uid="{00000000-0005-0000-0000-000097040000}"/>
    <cellStyle name="標準 133 2" xfId="1951" xr:uid="{00000000-0005-0000-0000-000098040000}"/>
    <cellStyle name="標準 134" xfId="1946" xr:uid="{00000000-0005-0000-0000-000099040000}"/>
    <cellStyle name="標準 136" xfId="1172" xr:uid="{00000000-0005-0000-0000-00009A040000}"/>
    <cellStyle name="標準 14" xfId="1173" xr:uid="{00000000-0005-0000-0000-00009B040000}"/>
    <cellStyle name="標準 14 2" xfId="1174" xr:uid="{00000000-0005-0000-0000-00009C040000}"/>
    <cellStyle name="標準 14 2 2" xfId="1175" xr:uid="{00000000-0005-0000-0000-00009D040000}"/>
    <cellStyle name="標準 14 2 3" xfId="1176" xr:uid="{00000000-0005-0000-0000-00009E040000}"/>
    <cellStyle name="標準 14 3" xfId="1177" xr:uid="{00000000-0005-0000-0000-00009F040000}"/>
    <cellStyle name="標準 14 4" xfId="1178" xr:uid="{00000000-0005-0000-0000-0000A0040000}"/>
    <cellStyle name="標準 15" xfId="1179" xr:uid="{00000000-0005-0000-0000-0000A1040000}"/>
    <cellStyle name="標準 15 2" xfId="1180" xr:uid="{00000000-0005-0000-0000-0000A2040000}"/>
    <cellStyle name="標準 15 2 2" xfId="1181" xr:uid="{00000000-0005-0000-0000-0000A3040000}"/>
    <cellStyle name="標準 15 2 3" xfId="1182" xr:uid="{00000000-0005-0000-0000-0000A4040000}"/>
    <cellStyle name="標準 15 3" xfId="1183" xr:uid="{00000000-0005-0000-0000-0000A5040000}"/>
    <cellStyle name="標準 15 4" xfId="1184" xr:uid="{00000000-0005-0000-0000-0000A6040000}"/>
    <cellStyle name="標準 15 5" xfId="1185" xr:uid="{00000000-0005-0000-0000-0000A7040000}"/>
    <cellStyle name="標準 15 6" xfId="1186" xr:uid="{00000000-0005-0000-0000-0000A8040000}"/>
    <cellStyle name="標準 16" xfId="1187" xr:uid="{00000000-0005-0000-0000-0000A9040000}"/>
    <cellStyle name="標準 16 2" xfId="1188" xr:uid="{00000000-0005-0000-0000-0000AA040000}"/>
    <cellStyle name="標準 16 2 2" xfId="1189" xr:uid="{00000000-0005-0000-0000-0000AB040000}"/>
    <cellStyle name="標準 16 2 3" xfId="1190" xr:uid="{00000000-0005-0000-0000-0000AC040000}"/>
    <cellStyle name="標準 16 3" xfId="1191" xr:uid="{00000000-0005-0000-0000-0000AD040000}"/>
    <cellStyle name="標準 16 4" xfId="1192" xr:uid="{00000000-0005-0000-0000-0000AE040000}"/>
    <cellStyle name="標準 16 5" xfId="1193" xr:uid="{00000000-0005-0000-0000-0000AF040000}"/>
    <cellStyle name="標準 17" xfId="1194" xr:uid="{00000000-0005-0000-0000-0000B0040000}"/>
    <cellStyle name="標準 17 2" xfId="1195" xr:uid="{00000000-0005-0000-0000-0000B1040000}"/>
    <cellStyle name="標準 17 2 2" xfId="1196" xr:uid="{00000000-0005-0000-0000-0000B2040000}"/>
    <cellStyle name="標準 17 2 3" xfId="1197" xr:uid="{00000000-0005-0000-0000-0000B3040000}"/>
    <cellStyle name="標準 17 3" xfId="1198" xr:uid="{00000000-0005-0000-0000-0000B4040000}"/>
    <cellStyle name="標準 17 4" xfId="1199" xr:uid="{00000000-0005-0000-0000-0000B5040000}"/>
    <cellStyle name="標準 17 5" xfId="1200" xr:uid="{00000000-0005-0000-0000-0000B6040000}"/>
    <cellStyle name="標準 18" xfId="1201" xr:uid="{00000000-0005-0000-0000-0000B7040000}"/>
    <cellStyle name="標準 18 2" xfId="1202" xr:uid="{00000000-0005-0000-0000-0000B8040000}"/>
    <cellStyle name="標準 18 2 2" xfId="1203" xr:uid="{00000000-0005-0000-0000-0000B9040000}"/>
    <cellStyle name="標準 18 2 3" xfId="1204" xr:uid="{00000000-0005-0000-0000-0000BA040000}"/>
    <cellStyle name="標準 18 2 4" xfId="1205" xr:uid="{00000000-0005-0000-0000-0000BB040000}"/>
    <cellStyle name="標準 18 3" xfId="1206" xr:uid="{00000000-0005-0000-0000-0000BC040000}"/>
    <cellStyle name="標準 18 4" xfId="1207" xr:uid="{00000000-0005-0000-0000-0000BD040000}"/>
    <cellStyle name="標準 18 5" xfId="1208" xr:uid="{00000000-0005-0000-0000-0000BE040000}"/>
    <cellStyle name="標準 18 6" xfId="1209" xr:uid="{00000000-0005-0000-0000-0000BF040000}"/>
    <cellStyle name="標準 19" xfId="1210" xr:uid="{00000000-0005-0000-0000-0000C0040000}"/>
    <cellStyle name="標準 19 2" xfId="1211" xr:uid="{00000000-0005-0000-0000-0000C1040000}"/>
    <cellStyle name="標準 19 3" xfId="1212" xr:uid="{00000000-0005-0000-0000-0000C2040000}"/>
    <cellStyle name="標準 2" xfId="9" xr:uid="{00000000-0005-0000-0000-0000C3040000}"/>
    <cellStyle name="標準 2 10" xfId="1213" xr:uid="{00000000-0005-0000-0000-0000C4040000}"/>
    <cellStyle name="標準 2 11" xfId="1214" xr:uid="{00000000-0005-0000-0000-0000C5040000}"/>
    <cellStyle name="標準 2 12" xfId="1215" xr:uid="{00000000-0005-0000-0000-0000C6040000}"/>
    <cellStyle name="標準 2 13" xfId="1216" xr:uid="{00000000-0005-0000-0000-0000C7040000}"/>
    <cellStyle name="標準 2 2" xfId="10" xr:uid="{00000000-0005-0000-0000-0000C8040000}"/>
    <cellStyle name="標準 2 2 2" xfId="1217" xr:uid="{00000000-0005-0000-0000-0000C9040000}"/>
    <cellStyle name="標準 2 2 2 2" xfId="1218" xr:uid="{00000000-0005-0000-0000-0000CA040000}"/>
    <cellStyle name="標準 2 2 2 2 2" xfId="1219" xr:uid="{00000000-0005-0000-0000-0000CB040000}"/>
    <cellStyle name="標準 2 2 2 2 3" xfId="1220" xr:uid="{00000000-0005-0000-0000-0000CC040000}"/>
    <cellStyle name="標準 2 2 2 3" xfId="1221" xr:uid="{00000000-0005-0000-0000-0000CD040000}"/>
    <cellStyle name="標準 2 2 3" xfId="1222" xr:uid="{00000000-0005-0000-0000-0000CE040000}"/>
    <cellStyle name="標準 2 2 3 2" xfId="1223" xr:uid="{00000000-0005-0000-0000-0000CF040000}"/>
    <cellStyle name="標準 2 2 3 3" xfId="1224" xr:uid="{00000000-0005-0000-0000-0000D0040000}"/>
    <cellStyle name="標準 2 2 4" xfId="1225" xr:uid="{00000000-0005-0000-0000-0000D1040000}"/>
    <cellStyle name="標準 2 2 4 2" xfId="1226" xr:uid="{00000000-0005-0000-0000-0000D2040000}"/>
    <cellStyle name="標準 2 2 4 3" xfId="1227" xr:uid="{00000000-0005-0000-0000-0000D3040000}"/>
    <cellStyle name="標準 2 2 5" xfId="1228" xr:uid="{00000000-0005-0000-0000-0000D4040000}"/>
    <cellStyle name="標準 2 2 5 2" xfId="1229" xr:uid="{00000000-0005-0000-0000-0000D5040000}"/>
    <cellStyle name="標準 2 2 5 3" xfId="1230" xr:uid="{00000000-0005-0000-0000-0000D6040000}"/>
    <cellStyle name="標準 2 2 6" xfId="1231" xr:uid="{00000000-0005-0000-0000-0000D7040000}"/>
    <cellStyle name="標準 2 2 6 2" xfId="1232" xr:uid="{00000000-0005-0000-0000-0000D8040000}"/>
    <cellStyle name="標準 2 2 6 3" xfId="1233" xr:uid="{00000000-0005-0000-0000-0000D9040000}"/>
    <cellStyle name="標準 2 2 7" xfId="1234" xr:uid="{00000000-0005-0000-0000-0000DA040000}"/>
    <cellStyle name="標準 2 2 8" xfId="1235" xr:uid="{00000000-0005-0000-0000-0000DB040000}"/>
    <cellStyle name="標準 2 2_(別紙1)参加者テスト仕様書(JPN)_ver1.81" xfId="1236" xr:uid="{00000000-0005-0000-0000-0000DC040000}"/>
    <cellStyle name="標準 2 3" xfId="13" xr:uid="{00000000-0005-0000-0000-0000DD040000}"/>
    <cellStyle name="標準 2 3 2" xfId="1237" xr:uid="{00000000-0005-0000-0000-0000DE040000}"/>
    <cellStyle name="標準 2 3 2 2" xfId="1238" xr:uid="{00000000-0005-0000-0000-0000DF040000}"/>
    <cellStyle name="標準 2 3 3" xfId="1239" xr:uid="{00000000-0005-0000-0000-0000E0040000}"/>
    <cellStyle name="標準 2 3 3 2" xfId="1240" xr:uid="{00000000-0005-0000-0000-0000E1040000}"/>
    <cellStyle name="標準 2 3 3 3" xfId="1241" xr:uid="{00000000-0005-0000-0000-0000E2040000}"/>
    <cellStyle name="標準 2 3 4" xfId="1242" xr:uid="{00000000-0005-0000-0000-0000E3040000}"/>
    <cellStyle name="標準 2 4" xfId="1243" xr:uid="{00000000-0005-0000-0000-0000E4040000}"/>
    <cellStyle name="標準 2 4 2" xfId="1244" xr:uid="{00000000-0005-0000-0000-0000E5040000}"/>
    <cellStyle name="標準 2 4 2 2" xfId="1245" xr:uid="{00000000-0005-0000-0000-0000E6040000}"/>
    <cellStyle name="標準 2 4 3" xfId="1246" xr:uid="{00000000-0005-0000-0000-0000E7040000}"/>
    <cellStyle name="標準 2 5" xfId="1247" xr:uid="{00000000-0005-0000-0000-0000E8040000}"/>
    <cellStyle name="標準 2 5 2" xfId="1248" xr:uid="{00000000-0005-0000-0000-0000E9040000}"/>
    <cellStyle name="標準 2 5 3" xfId="1249" xr:uid="{00000000-0005-0000-0000-0000EA040000}"/>
    <cellStyle name="標準 2 6" xfId="1250" xr:uid="{00000000-0005-0000-0000-0000EB040000}"/>
    <cellStyle name="標準 2 6 2" xfId="1251" xr:uid="{00000000-0005-0000-0000-0000EC040000}"/>
    <cellStyle name="標準 2 6 3" xfId="1252" xr:uid="{00000000-0005-0000-0000-0000ED040000}"/>
    <cellStyle name="標準 2 6 4" xfId="1253" xr:uid="{00000000-0005-0000-0000-0000EE040000}"/>
    <cellStyle name="標準 2 7" xfId="1254" xr:uid="{00000000-0005-0000-0000-0000EF040000}"/>
    <cellStyle name="標準 2 7 2" xfId="1255" xr:uid="{00000000-0005-0000-0000-0000F0040000}"/>
    <cellStyle name="標準 2 8" xfId="1256" xr:uid="{00000000-0005-0000-0000-0000F1040000}"/>
    <cellStyle name="標準 2 8 2" xfId="1257" xr:uid="{00000000-0005-0000-0000-0000F2040000}"/>
    <cellStyle name="標準 2 9" xfId="1258" xr:uid="{00000000-0005-0000-0000-0000F3040000}"/>
    <cellStyle name="標準 2_(別紙1)参加者テスト仕様書(JPN)_ver1.81" xfId="1259" xr:uid="{00000000-0005-0000-0000-0000F4040000}"/>
    <cellStyle name="標準 20" xfId="1260" xr:uid="{00000000-0005-0000-0000-0000F5040000}"/>
    <cellStyle name="標準 20 2" xfId="1261" xr:uid="{00000000-0005-0000-0000-0000F6040000}"/>
    <cellStyle name="標準 20 3" xfId="1262" xr:uid="{00000000-0005-0000-0000-0000F7040000}"/>
    <cellStyle name="標準 20 4" xfId="1263" xr:uid="{00000000-0005-0000-0000-0000F8040000}"/>
    <cellStyle name="標準 20 5" xfId="1264" xr:uid="{00000000-0005-0000-0000-0000F9040000}"/>
    <cellStyle name="標準 21" xfId="1265" xr:uid="{00000000-0005-0000-0000-0000FA040000}"/>
    <cellStyle name="標準 21 2" xfId="1266" xr:uid="{00000000-0005-0000-0000-0000FB040000}"/>
    <cellStyle name="標準 21 2 2" xfId="1267" xr:uid="{00000000-0005-0000-0000-0000FC040000}"/>
    <cellStyle name="標準 21 3" xfId="1268" xr:uid="{00000000-0005-0000-0000-0000FD040000}"/>
    <cellStyle name="標準 21 3 2" xfId="1269" xr:uid="{00000000-0005-0000-0000-0000FE040000}"/>
    <cellStyle name="標準 21 4" xfId="1270" xr:uid="{00000000-0005-0000-0000-0000FF040000}"/>
    <cellStyle name="標準 21 5" xfId="1271" xr:uid="{00000000-0005-0000-0000-000000050000}"/>
    <cellStyle name="標準 22" xfId="1272" xr:uid="{00000000-0005-0000-0000-000001050000}"/>
    <cellStyle name="標準 22 2" xfId="1273" xr:uid="{00000000-0005-0000-0000-000002050000}"/>
    <cellStyle name="標準 22 3" xfId="1274" xr:uid="{00000000-0005-0000-0000-000003050000}"/>
    <cellStyle name="標準 23" xfId="1275" xr:uid="{00000000-0005-0000-0000-000004050000}"/>
    <cellStyle name="標準 23 2" xfId="1276" xr:uid="{00000000-0005-0000-0000-000005050000}"/>
    <cellStyle name="標準 23 3" xfId="1277" xr:uid="{00000000-0005-0000-0000-000006050000}"/>
    <cellStyle name="標準 24" xfId="1278" xr:uid="{00000000-0005-0000-0000-000007050000}"/>
    <cellStyle name="標準 24 2" xfId="1279" xr:uid="{00000000-0005-0000-0000-000008050000}"/>
    <cellStyle name="標準 24 3" xfId="1280" xr:uid="{00000000-0005-0000-0000-000009050000}"/>
    <cellStyle name="標準 25" xfId="1281" xr:uid="{00000000-0005-0000-0000-00000A050000}"/>
    <cellStyle name="標準 26" xfId="1282" xr:uid="{00000000-0005-0000-0000-00000B050000}"/>
    <cellStyle name="標準 27" xfId="1283" xr:uid="{00000000-0005-0000-0000-00000C050000}"/>
    <cellStyle name="標準 28" xfId="1284" xr:uid="{00000000-0005-0000-0000-00000D050000}"/>
    <cellStyle name="標準 29" xfId="1285" xr:uid="{00000000-0005-0000-0000-00000E050000}"/>
    <cellStyle name="標準 3" xfId="11" xr:uid="{00000000-0005-0000-0000-00000F050000}"/>
    <cellStyle name="標準 3 10" xfId="1286" xr:uid="{00000000-0005-0000-0000-000010050000}"/>
    <cellStyle name="標準 3 11" xfId="1287" xr:uid="{00000000-0005-0000-0000-000011050000}"/>
    <cellStyle name="標準 3 2" xfId="1288" xr:uid="{00000000-0005-0000-0000-000012050000}"/>
    <cellStyle name="標準 3 2 2" xfId="1289" xr:uid="{00000000-0005-0000-0000-000013050000}"/>
    <cellStyle name="標準 3 2 2 2" xfId="1290" xr:uid="{00000000-0005-0000-0000-000014050000}"/>
    <cellStyle name="標準 3 2 2 3" xfId="1291" xr:uid="{00000000-0005-0000-0000-000015050000}"/>
    <cellStyle name="標準 3 2 3" xfId="1292" xr:uid="{00000000-0005-0000-0000-000016050000}"/>
    <cellStyle name="標準 3 2 3 2" xfId="1293" xr:uid="{00000000-0005-0000-0000-000017050000}"/>
    <cellStyle name="標準 3 2 3 3" xfId="1294" xr:uid="{00000000-0005-0000-0000-000018050000}"/>
    <cellStyle name="標準 3 2 4" xfId="1295" xr:uid="{00000000-0005-0000-0000-000019050000}"/>
    <cellStyle name="標準 3 2 5" xfId="1296" xr:uid="{00000000-0005-0000-0000-00001A050000}"/>
    <cellStyle name="標準 3 3" xfId="1297" xr:uid="{00000000-0005-0000-0000-00001B050000}"/>
    <cellStyle name="標準 3 4" xfId="1298" xr:uid="{00000000-0005-0000-0000-00001C050000}"/>
    <cellStyle name="標準 3 4 2" xfId="1299" xr:uid="{00000000-0005-0000-0000-00001D050000}"/>
    <cellStyle name="標準 3 4 3" xfId="1300" xr:uid="{00000000-0005-0000-0000-00001E050000}"/>
    <cellStyle name="標準 3 5" xfId="1301" xr:uid="{00000000-0005-0000-0000-00001F050000}"/>
    <cellStyle name="標準 3 5 2" xfId="1302" xr:uid="{00000000-0005-0000-0000-000020050000}"/>
    <cellStyle name="標準 3 5 3" xfId="1303" xr:uid="{00000000-0005-0000-0000-000021050000}"/>
    <cellStyle name="標準 3 6" xfId="1304" xr:uid="{00000000-0005-0000-0000-000022050000}"/>
    <cellStyle name="標準 3 6 2" xfId="1305" xr:uid="{00000000-0005-0000-0000-000023050000}"/>
    <cellStyle name="標準 3 7" xfId="1306" xr:uid="{00000000-0005-0000-0000-000024050000}"/>
    <cellStyle name="標準 3 8" xfId="1307" xr:uid="{00000000-0005-0000-0000-000025050000}"/>
    <cellStyle name="標準 3 9" xfId="1308" xr:uid="{00000000-0005-0000-0000-000026050000}"/>
    <cellStyle name="標準 3_【Quick取得データ配信ツール(仮)】課題管理表（EUC）_20121210" xfId="1309" xr:uid="{00000000-0005-0000-0000-000027050000}"/>
    <cellStyle name="標準 30" xfId="1310" xr:uid="{00000000-0005-0000-0000-000028050000}"/>
    <cellStyle name="標準 31" xfId="1311" xr:uid="{00000000-0005-0000-0000-000029050000}"/>
    <cellStyle name="標準 31 2" xfId="1312" xr:uid="{00000000-0005-0000-0000-00002A050000}"/>
    <cellStyle name="標準 31 3" xfId="1313" xr:uid="{00000000-0005-0000-0000-00002B050000}"/>
    <cellStyle name="標準 32" xfId="1314" xr:uid="{00000000-0005-0000-0000-00002C050000}"/>
    <cellStyle name="標準 32 2" xfId="1315" xr:uid="{00000000-0005-0000-0000-00002D050000}"/>
    <cellStyle name="標準 32 3" xfId="1316" xr:uid="{00000000-0005-0000-0000-00002E050000}"/>
    <cellStyle name="標準 33" xfId="1317" xr:uid="{00000000-0005-0000-0000-00002F050000}"/>
    <cellStyle name="標準 33 2" xfId="1318" xr:uid="{00000000-0005-0000-0000-000030050000}"/>
    <cellStyle name="標準 33 3" xfId="1319" xr:uid="{00000000-0005-0000-0000-000031050000}"/>
    <cellStyle name="標準 34" xfId="1320" xr:uid="{00000000-0005-0000-0000-000032050000}"/>
    <cellStyle name="標準 34 2" xfId="1321" xr:uid="{00000000-0005-0000-0000-000033050000}"/>
    <cellStyle name="標準 34 3" xfId="1322" xr:uid="{00000000-0005-0000-0000-000034050000}"/>
    <cellStyle name="標準 35" xfId="1323" xr:uid="{00000000-0005-0000-0000-000035050000}"/>
    <cellStyle name="標準 35 2" xfId="1324" xr:uid="{00000000-0005-0000-0000-000036050000}"/>
    <cellStyle name="標準 35 3" xfId="1325" xr:uid="{00000000-0005-0000-0000-000037050000}"/>
    <cellStyle name="標準 36" xfId="1326" xr:uid="{00000000-0005-0000-0000-000038050000}"/>
    <cellStyle name="標準 36 2" xfId="1327" xr:uid="{00000000-0005-0000-0000-000039050000}"/>
    <cellStyle name="標準 36 3" xfId="1328" xr:uid="{00000000-0005-0000-0000-00003A050000}"/>
    <cellStyle name="標準 37" xfId="1329" xr:uid="{00000000-0005-0000-0000-00003B050000}"/>
    <cellStyle name="標準 37 2" xfId="1330" xr:uid="{00000000-0005-0000-0000-00003C050000}"/>
    <cellStyle name="標準 37 3" xfId="1331" xr:uid="{00000000-0005-0000-0000-00003D050000}"/>
    <cellStyle name="標準 38" xfId="1332" xr:uid="{00000000-0005-0000-0000-00003E050000}"/>
    <cellStyle name="標準 39" xfId="1333" xr:uid="{00000000-0005-0000-0000-00003F050000}"/>
    <cellStyle name="標準 39 2" xfId="1334" xr:uid="{00000000-0005-0000-0000-000040050000}"/>
    <cellStyle name="標準 39 3" xfId="1335" xr:uid="{00000000-0005-0000-0000-000041050000}"/>
    <cellStyle name="標準 4" xfId="16" xr:uid="{00000000-0005-0000-0000-000042050000}"/>
    <cellStyle name="標準 4 2" xfId="1336" xr:uid="{00000000-0005-0000-0000-000043050000}"/>
    <cellStyle name="標準 4 2 2" xfId="1337" xr:uid="{00000000-0005-0000-0000-000044050000}"/>
    <cellStyle name="標準 4 2 2 2" xfId="1338" xr:uid="{00000000-0005-0000-0000-000045050000}"/>
    <cellStyle name="標準 4 2 2 3" xfId="1339" xr:uid="{00000000-0005-0000-0000-000046050000}"/>
    <cellStyle name="標準 4 2 3" xfId="1340" xr:uid="{00000000-0005-0000-0000-000047050000}"/>
    <cellStyle name="標準 4 3" xfId="1341" xr:uid="{00000000-0005-0000-0000-000048050000}"/>
    <cellStyle name="標準 4 3 2" xfId="1342" xr:uid="{00000000-0005-0000-0000-000049050000}"/>
    <cellStyle name="標準 4 3 3" xfId="1343" xr:uid="{00000000-0005-0000-0000-00004A050000}"/>
    <cellStyle name="標準 4 4" xfId="1344" xr:uid="{00000000-0005-0000-0000-00004B050000}"/>
    <cellStyle name="標準 4 4 2" xfId="1345" xr:uid="{00000000-0005-0000-0000-00004C050000}"/>
    <cellStyle name="標準 4 4 3" xfId="1346" xr:uid="{00000000-0005-0000-0000-00004D050000}"/>
    <cellStyle name="標準 4 5" xfId="1347" xr:uid="{00000000-0005-0000-0000-00004E050000}"/>
    <cellStyle name="標準 4 6" xfId="1348" xr:uid="{00000000-0005-0000-0000-00004F050000}"/>
    <cellStyle name="標準 4 7" xfId="1942" xr:uid="{00000000-0005-0000-0000-000050050000}"/>
    <cellStyle name="標準 4 7 2" xfId="1949" xr:uid="{00000000-0005-0000-0000-000051050000}"/>
    <cellStyle name="標準 4 8" xfId="1947" xr:uid="{00000000-0005-0000-0000-000052050000}"/>
    <cellStyle name="標準 4_20121011__1_F⇒O_【証拠金１本化】課題管理（清算）" xfId="1349" xr:uid="{00000000-0005-0000-0000-000053050000}"/>
    <cellStyle name="標準 40" xfId="1350" xr:uid="{00000000-0005-0000-0000-000054050000}"/>
    <cellStyle name="標準 41" xfId="1351" xr:uid="{00000000-0005-0000-0000-000055050000}"/>
    <cellStyle name="標準 42" xfId="1352" xr:uid="{00000000-0005-0000-0000-000056050000}"/>
    <cellStyle name="標準 43" xfId="1353" xr:uid="{00000000-0005-0000-0000-000057050000}"/>
    <cellStyle name="標準 44" xfId="1354" xr:uid="{00000000-0005-0000-0000-000058050000}"/>
    <cellStyle name="標準 45" xfId="1355" xr:uid="{00000000-0005-0000-0000-000059050000}"/>
    <cellStyle name="標準 46" xfId="1356" xr:uid="{00000000-0005-0000-0000-00005A050000}"/>
    <cellStyle name="標準 47" xfId="1357" xr:uid="{00000000-0005-0000-0000-00005B050000}"/>
    <cellStyle name="標準 48" xfId="1358" xr:uid="{00000000-0005-0000-0000-00005C050000}"/>
    <cellStyle name="標準 49" xfId="1359" xr:uid="{00000000-0005-0000-0000-00005D050000}"/>
    <cellStyle name="標準 5" xfId="1360" xr:uid="{00000000-0005-0000-0000-00005E050000}"/>
    <cellStyle name="標準 5 2" xfId="1361" xr:uid="{00000000-0005-0000-0000-00005F050000}"/>
    <cellStyle name="標準 5 2 2" xfId="1362" xr:uid="{00000000-0005-0000-0000-000060050000}"/>
    <cellStyle name="標準 5 2 2 2" xfId="15" xr:uid="{00000000-0005-0000-0000-000061050000}"/>
    <cellStyle name="標準 5 2 2 3" xfId="1363" xr:uid="{00000000-0005-0000-0000-000062050000}"/>
    <cellStyle name="標準 5 2 3" xfId="1364" xr:uid="{00000000-0005-0000-0000-000063050000}"/>
    <cellStyle name="標準 5 2 3 2" xfId="1365" xr:uid="{00000000-0005-0000-0000-000064050000}"/>
    <cellStyle name="標準 5 2 3 3" xfId="1366" xr:uid="{00000000-0005-0000-0000-000065050000}"/>
    <cellStyle name="標準 5 3" xfId="1367" xr:uid="{00000000-0005-0000-0000-000066050000}"/>
    <cellStyle name="標準 5 4" xfId="1368" xr:uid="{00000000-0005-0000-0000-000067050000}"/>
    <cellStyle name="標準 5 4 2" xfId="1369" xr:uid="{00000000-0005-0000-0000-000068050000}"/>
    <cellStyle name="標準 5_バックアップセンタ_切替テストスケジュール_20120406~10" xfId="1370" xr:uid="{00000000-0005-0000-0000-000069050000}"/>
    <cellStyle name="標準 50" xfId="1371" xr:uid="{00000000-0005-0000-0000-00006A050000}"/>
    <cellStyle name="標準 51" xfId="1372" xr:uid="{00000000-0005-0000-0000-00006B050000}"/>
    <cellStyle name="標準 52" xfId="1373" xr:uid="{00000000-0005-0000-0000-00006C050000}"/>
    <cellStyle name="標準 53" xfId="1374" xr:uid="{00000000-0005-0000-0000-00006D050000}"/>
    <cellStyle name="標準 54" xfId="1375" xr:uid="{00000000-0005-0000-0000-00006E050000}"/>
    <cellStyle name="標準 55" xfId="1376" xr:uid="{00000000-0005-0000-0000-00006F050000}"/>
    <cellStyle name="標準 56" xfId="1377" xr:uid="{00000000-0005-0000-0000-000070050000}"/>
    <cellStyle name="標準 57" xfId="1378" xr:uid="{00000000-0005-0000-0000-000071050000}"/>
    <cellStyle name="標準 58" xfId="1379" xr:uid="{00000000-0005-0000-0000-000072050000}"/>
    <cellStyle name="標準 59" xfId="1380" xr:uid="{00000000-0005-0000-0000-000073050000}"/>
    <cellStyle name="標準 6" xfId="1381" xr:uid="{00000000-0005-0000-0000-000074050000}"/>
    <cellStyle name="標準 6 2" xfId="1382" xr:uid="{00000000-0005-0000-0000-000075050000}"/>
    <cellStyle name="標準 6 2 2" xfId="1383" xr:uid="{00000000-0005-0000-0000-000076050000}"/>
    <cellStyle name="標準 6 2 3" xfId="1384" xr:uid="{00000000-0005-0000-0000-000077050000}"/>
    <cellStyle name="標準 6 2 4" xfId="1385" xr:uid="{00000000-0005-0000-0000-000078050000}"/>
    <cellStyle name="標準 6 3" xfId="1386" xr:uid="{00000000-0005-0000-0000-000079050000}"/>
    <cellStyle name="標準 6_バックアップセンタ_切替テストスケジュール_20120406~10" xfId="1387" xr:uid="{00000000-0005-0000-0000-00007A050000}"/>
    <cellStyle name="標準 60" xfId="1388" xr:uid="{00000000-0005-0000-0000-00007B050000}"/>
    <cellStyle name="標準 61" xfId="1389" xr:uid="{00000000-0005-0000-0000-00007C050000}"/>
    <cellStyle name="標準 62" xfId="1390" xr:uid="{00000000-0005-0000-0000-00007D050000}"/>
    <cellStyle name="標準 63" xfId="1391" xr:uid="{00000000-0005-0000-0000-00007E050000}"/>
    <cellStyle name="標準 64" xfId="1392" xr:uid="{00000000-0005-0000-0000-00007F050000}"/>
    <cellStyle name="標準 65" xfId="1393" xr:uid="{00000000-0005-0000-0000-000080050000}"/>
    <cellStyle name="標準 66" xfId="1394" xr:uid="{00000000-0005-0000-0000-000081050000}"/>
    <cellStyle name="標準 67" xfId="1395" xr:uid="{00000000-0005-0000-0000-000082050000}"/>
    <cellStyle name="標準 68" xfId="1396" xr:uid="{00000000-0005-0000-0000-000083050000}"/>
    <cellStyle name="標準 69" xfId="1397" xr:uid="{00000000-0005-0000-0000-000084050000}"/>
    <cellStyle name="標準 69 2" xfId="1398" xr:uid="{00000000-0005-0000-0000-000085050000}"/>
    <cellStyle name="標準 69 2 2" xfId="1399" xr:uid="{00000000-0005-0000-0000-000086050000}"/>
    <cellStyle name="標準 69 2 2 2" xfId="1400" xr:uid="{00000000-0005-0000-0000-000087050000}"/>
    <cellStyle name="標準 69 2 2 3" xfId="1401" xr:uid="{00000000-0005-0000-0000-000088050000}"/>
    <cellStyle name="標準 69 2 2 4" xfId="1402" xr:uid="{00000000-0005-0000-0000-000089050000}"/>
    <cellStyle name="標準 69 2 3" xfId="1403" xr:uid="{00000000-0005-0000-0000-00008A050000}"/>
    <cellStyle name="標準 69 2 4" xfId="1404" xr:uid="{00000000-0005-0000-0000-00008B050000}"/>
    <cellStyle name="標準 69 2 5" xfId="1405" xr:uid="{00000000-0005-0000-0000-00008C050000}"/>
    <cellStyle name="標準 69 3" xfId="1406" xr:uid="{00000000-0005-0000-0000-00008D050000}"/>
    <cellStyle name="標準 69 3 2" xfId="1407" xr:uid="{00000000-0005-0000-0000-00008E050000}"/>
    <cellStyle name="標準 69 3 3" xfId="1408" xr:uid="{00000000-0005-0000-0000-00008F050000}"/>
    <cellStyle name="標準 69 3 4" xfId="1409" xr:uid="{00000000-0005-0000-0000-000090050000}"/>
    <cellStyle name="標準 69 4" xfId="1410" xr:uid="{00000000-0005-0000-0000-000091050000}"/>
    <cellStyle name="標準 69 5" xfId="1411" xr:uid="{00000000-0005-0000-0000-000092050000}"/>
    <cellStyle name="標準 69 6" xfId="1412" xr:uid="{00000000-0005-0000-0000-000093050000}"/>
    <cellStyle name="標準 69 7" xfId="1413" xr:uid="{00000000-0005-0000-0000-000094050000}"/>
    <cellStyle name="標準 69 8" xfId="1414" xr:uid="{00000000-0005-0000-0000-000095050000}"/>
    <cellStyle name="標準 7" xfId="1415" xr:uid="{00000000-0005-0000-0000-000096050000}"/>
    <cellStyle name="標準 7 2" xfId="1416" xr:uid="{00000000-0005-0000-0000-000097050000}"/>
    <cellStyle name="標準 7 2 2" xfId="1417" xr:uid="{00000000-0005-0000-0000-000098050000}"/>
    <cellStyle name="標準 7 2 3" xfId="1418" xr:uid="{00000000-0005-0000-0000-000099050000}"/>
    <cellStyle name="標準 7 3" xfId="1419" xr:uid="{00000000-0005-0000-0000-00009A050000}"/>
    <cellStyle name="標準 7 3 2" xfId="1420" xr:uid="{00000000-0005-0000-0000-00009B050000}"/>
    <cellStyle name="標準 7 3 3" xfId="1421" xr:uid="{00000000-0005-0000-0000-00009C050000}"/>
    <cellStyle name="標準 7 4" xfId="1422" xr:uid="{00000000-0005-0000-0000-00009D050000}"/>
    <cellStyle name="標準 7 4 2" xfId="1423" xr:uid="{00000000-0005-0000-0000-00009E050000}"/>
    <cellStyle name="標準 7 4 3" xfId="1424" xr:uid="{00000000-0005-0000-0000-00009F050000}"/>
    <cellStyle name="標準 7 5" xfId="1425" xr:uid="{00000000-0005-0000-0000-0000A0050000}"/>
    <cellStyle name="標準 70" xfId="1426" xr:uid="{00000000-0005-0000-0000-0000A1050000}"/>
    <cellStyle name="標準 70 2" xfId="1427" xr:uid="{00000000-0005-0000-0000-0000A2050000}"/>
    <cellStyle name="標準 70 2 2" xfId="1428" xr:uid="{00000000-0005-0000-0000-0000A3050000}"/>
    <cellStyle name="標準 70 2 2 2" xfId="1429" xr:uid="{00000000-0005-0000-0000-0000A4050000}"/>
    <cellStyle name="標準 70 2 2 3" xfId="1430" xr:uid="{00000000-0005-0000-0000-0000A5050000}"/>
    <cellStyle name="標準 70 2 2 4" xfId="1431" xr:uid="{00000000-0005-0000-0000-0000A6050000}"/>
    <cellStyle name="標準 70 2 3" xfId="1432" xr:uid="{00000000-0005-0000-0000-0000A7050000}"/>
    <cellStyle name="標準 70 2 4" xfId="1433" xr:uid="{00000000-0005-0000-0000-0000A8050000}"/>
    <cellStyle name="標準 70 2 5" xfId="1434" xr:uid="{00000000-0005-0000-0000-0000A9050000}"/>
    <cellStyle name="標準 70 3" xfId="1435" xr:uid="{00000000-0005-0000-0000-0000AA050000}"/>
    <cellStyle name="標準 70 3 2" xfId="1436" xr:uid="{00000000-0005-0000-0000-0000AB050000}"/>
    <cellStyle name="標準 70 3 3" xfId="1437" xr:uid="{00000000-0005-0000-0000-0000AC050000}"/>
    <cellStyle name="標準 70 3 4" xfId="1438" xr:uid="{00000000-0005-0000-0000-0000AD050000}"/>
    <cellStyle name="標準 70 4" xfId="1439" xr:uid="{00000000-0005-0000-0000-0000AE050000}"/>
    <cellStyle name="標準 70 5" xfId="1440" xr:uid="{00000000-0005-0000-0000-0000AF050000}"/>
    <cellStyle name="標準 70 6" xfId="1441" xr:uid="{00000000-0005-0000-0000-0000B0050000}"/>
    <cellStyle name="標準 70 7" xfId="1442" xr:uid="{00000000-0005-0000-0000-0000B1050000}"/>
    <cellStyle name="標準 70 8" xfId="1443" xr:uid="{00000000-0005-0000-0000-0000B2050000}"/>
    <cellStyle name="標準 71" xfId="1444" xr:uid="{00000000-0005-0000-0000-0000B3050000}"/>
    <cellStyle name="標準 71 2" xfId="1445" xr:uid="{00000000-0005-0000-0000-0000B4050000}"/>
    <cellStyle name="標準 71 2 2" xfId="1446" xr:uid="{00000000-0005-0000-0000-0000B5050000}"/>
    <cellStyle name="標準 71 2 2 2" xfId="1447" xr:uid="{00000000-0005-0000-0000-0000B6050000}"/>
    <cellStyle name="標準 71 2 2 3" xfId="1448" xr:uid="{00000000-0005-0000-0000-0000B7050000}"/>
    <cellStyle name="標準 71 2 2 4" xfId="1449" xr:uid="{00000000-0005-0000-0000-0000B8050000}"/>
    <cellStyle name="標準 71 2 3" xfId="1450" xr:uid="{00000000-0005-0000-0000-0000B9050000}"/>
    <cellStyle name="標準 71 2 4" xfId="1451" xr:uid="{00000000-0005-0000-0000-0000BA050000}"/>
    <cellStyle name="標準 71 2 5" xfId="1452" xr:uid="{00000000-0005-0000-0000-0000BB050000}"/>
    <cellStyle name="標準 71 3" xfId="1453" xr:uid="{00000000-0005-0000-0000-0000BC050000}"/>
    <cellStyle name="標準 71 3 2" xfId="1454" xr:uid="{00000000-0005-0000-0000-0000BD050000}"/>
    <cellStyle name="標準 71 3 3" xfId="1455" xr:uid="{00000000-0005-0000-0000-0000BE050000}"/>
    <cellStyle name="標準 71 3 4" xfId="1456" xr:uid="{00000000-0005-0000-0000-0000BF050000}"/>
    <cellStyle name="標準 71 4" xfId="1457" xr:uid="{00000000-0005-0000-0000-0000C0050000}"/>
    <cellStyle name="標準 71 5" xfId="1458" xr:uid="{00000000-0005-0000-0000-0000C1050000}"/>
    <cellStyle name="標準 71 6" xfId="1459" xr:uid="{00000000-0005-0000-0000-0000C2050000}"/>
    <cellStyle name="標準 71 7" xfId="1460" xr:uid="{00000000-0005-0000-0000-0000C3050000}"/>
    <cellStyle name="標準 71 8" xfId="1461" xr:uid="{00000000-0005-0000-0000-0000C4050000}"/>
    <cellStyle name="標準 72" xfId="1462" xr:uid="{00000000-0005-0000-0000-0000C5050000}"/>
    <cellStyle name="標準 72 2" xfId="1463" xr:uid="{00000000-0005-0000-0000-0000C6050000}"/>
    <cellStyle name="標準 72 2 2" xfId="1464" xr:uid="{00000000-0005-0000-0000-0000C7050000}"/>
    <cellStyle name="標準 72 2 2 2" xfId="1465" xr:uid="{00000000-0005-0000-0000-0000C8050000}"/>
    <cellStyle name="標準 72 2 2 3" xfId="1466" xr:uid="{00000000-0005-0000-0000-0000C9050000}"/>
    <cellStyle name="標準 72 2 2 4" xfId="1467" xr:uid="{00000000-0005-0000-0000-0000CA050000}"/>
    <cellStyle name="標準 72 2 3" xfId="1468" xr:uid="{00000000-0005-0000-0000-0000CB050000}"/>
    <cellStyle name="標準 72 2 4" xfId="1469" xr:uid="{00000000-0005-0000-0000-0000CC050000}"/>
    <cellStyle name="標準 72 2 5" xfId="1470" xr:uid="{00000000-0005-0000-0000-0000CD050000}"/>
    <cellStyle name="標準 72 3" xfId="1471" xr:uid="{00000000-0005-0000-0000-0000CE050000}"/>
    <cellStyle name="標準 72 3 2" xfId="1472" xr:uid="{00000000-0005-0000-0000-0000CF050000}"/>
    <cellStyle name="標準 72 3 3" xfId="1473" xr:uid="{00000000-0005-0000-0000-0000D0050000}"/>
    <cellStyle name="標準 72 3 4" xfId="1474" xr:uid="{00000000-0005-0000-0000-0000D1050000}"/>
    <cellStyle name="標準 72 4" xfId="1475" xr:uid="{00000000-0005-0000-0000-0000D2050000}"/>
    <cellStyle name="標準 72 5" xfId="1476" xr:uid="{00000000-0005-0000-0000-0000D3050000}"/>
    <cellStyle name="標準 72 6" xfId="1477" xr:uid="{00000000-0005-0000-0000-0000D4050000}"/>
    <cellStyle name="標準 72 7" xfId="1478" xr:uid="{00000000-0005-0000-0000-0000D5050000}"/>
    <cellStyle name="標準 72 8" xfId="1479" xr:uid="{00000000-0005-0000-0000-0000D6050000}"/>
    <cellStyle name="標準 73" xfId="1480" xr:uid="{00000000-0005-0000-0000-0000D7050000}"/>
    <cellStyle name="標準 73 2" xfId="1481" xr:uid="{00000000-0005-0000-0000-0000D8050000}"/>
    <cellStyle name="標準 73 2 2" xfId="1482" xr:uid="{00000000-0005-0000-0000-0000D9050000}"/>
    <cellStyle name="標準 73 2 2 2" xfId="1483" xr:uid="{00000000-0005-0000-0000-0000DA050000}"/>
    <cellStyle name="標準 73 2 2 3" xfId="1484" xr:uid="{00000000-0005-0000-0000-0000DB050000}"/>
    <cellStyle name="標準 73 2 2 4" xfId="1485" xr:uid="{00000000-0005-0000-0000-0000DC050000}"/>
    <cellStyle name="標準 73 2 3" xfId="1486" xr:uid="{00000000-0005-0000-0000-0000DD050000}"/>
    <cellStyle name="標準 73 2 4" xfId="1487" xr:uid="{00000000-0005-0000-0000-0000DE050000}"/>
    <cellStyle name="標準 73 2 5" xfId="1488" xr:uid="{00000000-0005-0000-0000-0000DF050000}"/>
    <cellStyle name="標準 73 3" xfId="1489" xr:uid="{00000000-0005-0000-0000-0000E0050000}"/>
    <cellStyle name="標準 73 3 2" xfId="1490" xr:uid="{00000000-0005-0000-0000-0000E1050000}"/>
    <cellStyle name="標準 73 3 3" xfId="1491" xr:uid="{00000000-0005-0000-0000-0000E2050000}"/>
    <cellStyle name="標準 73 3 4" xfId="1492" xr:uid="{00000000-0005-0000-0000-0000E3050000}"/>
    <cellStyle name="標準 73 4" xfId="1493" xr:uid="{00000000-0005-0000-0000-0000E4050000}"/>
    <cellStyle name="標準 73 5" xfId="1494" xr:uid="{00000000-0005-0000-0000-0000E5050000}"/>
    <cellStyle name="標準 73 6" xfId="1495" xr:uid="{00000000-0005-0000-0000-0000E6050000}"/>
    <cellStyle name="標準 74" xfId="1496" xr:uid="{00000000-0005-0000-0000-0000E7050000}"/>
    <cellStyle name="標準 74 2" xfId="1497" xr:uid="{00000000-0005-0000-0000-0000E8050000}"/>
    <cellStyle name="標準 74 2 2" xfId="1498" xr:uid="{00000000-0005-0000-0000-0000E9050000}"/>
    <cellStyle name="標準 74 2 2 2" xfId="1499" xr:uid="{00000000-0005-0000-0000-0000EA050000}"/>
    <cellStyle name="標準 74 2 2 3" xfId="1500" xr:uid="{00000000-0005-0000-0000-0000EB050000}"/>
    <cellStyle name="標準 74 2 2 4" xfId="1501" xr:uid="{00000000-0005-0000-0000-0000EC050000}"/>
    <cellStyle name="標準 74 2 3" xfId="1502" xr:uid="{00000000-0005-0000-0000-0000ED050000}"/>
    <cellStyle name="標準 74 2 4" xfId="1503" xr:uid="{00000000-0005-0000-0000-0000EE050000}"/>
    <cellStyle name="標準 74 2 5" xfId="1504" xr:uid="{00000000-0005-0000-0000-0000EF050000}"/>
    <cellStyle name="標準 74 3" xfId="1505" xr:uid="{00000000-0005-0000-0000-0000F0050000}"/>
    <cellStyle name="標準 74 3 2" xfId="1506" xr:uid="{00000000-0005-0000-0000-0000F1050000}"/>
    <cellStyle name="標準 74 3 3" xfId="1507" xr:uid="{00000000-0005-0000-0000-0000F2050000}"/>
    <cellStyle name="標準 74 3 4" xfId="1508" xr:uid="{00000000-0005-0000-0000-0000F3050000}"/>
    <cellStyle name="標準 74 4" xfId="1509" xr:uid="{00000000-0005-0000-0000-0000F4050000}"/>
    <cellStyle name="標準 74 5" xfId="1510" xr:uid="{00000000-0005-0000-0000-0000F5050000}"/>
    <cellStyle name="標準 74 6" xfId="1511" xr:uid="{00000000-0005-0000-0000-0000F6050000}"/>
    <cellStyle name="標準 75" xfId="1512" xr:uid="{00000000-0005-0000-0000-0000F7050000}"/>
    <cellStyle name="標準 75 2" xfId="1513" xr:uid="{00000000-0005-0000-0000-0000F8050000}"/>
    <cellStyle name="標準 75 2 2" xfId="1514" xr:uid="{00000000-0005-0000-0000-0000F9050000}"/>
    <cellStyle name="標準 75 2 2 2" xfId="1515" xr:uid="{00000000-0005-0000-0000-0000FA050000}"/>
    <cellStyle name="標準 75 2 2 3" xfId="1516" xr:uid="{00000000-0005-0000-0000-0000FB050000}"/>
    <cellStyle name="標準 75 2 2 4" xfId="1517" xr:uid="{00000000-0005-0000-0000-0000FC050000}"/>
    <cellStyle name="標準 75 2 3" xfId="1518" xr:uid="{00000000-0005-0000-0000-0000FD050000}"/>
    <cellStyle name="標準 75 2 4" xfId="1519" xr:uid="{00000000-0005-0000-0000-0000FE050000}"/>
    <cellStyle name="標準 75 2 5" xfId="1520" xr:uid="{00000000-0005-0000-0000-0000FF050000}"/>
    <cellStyle name="標準 75 3" xfId="1521" xr:uid="{00000000-0005-0000-0000-000000060000}"/>
    <cellStyle name="標準 75 3 2" xfId="1522" xr:uid="{00000000-0005-0000-0000-000001060000}"/>
    <cellStyle name="標準 75 3 3" xfId="1523" xr:uid="{00000000-0005-0000-0000-000002060000}"/>
    <cellStyle name="標準 75 3 4" xfId="1524" xr:uid="{00000000-0005-0000-0000-000003060000}"/>
    <cellStyle name="標準 75 4" xfId="1525" xr:uid="{00000000-0005-0000-0000-000004060000}"/>
    <cellStyle name="標準 75 5" xfId="1526" xr:uid="{00000000-0005-0000-0000-000005060000}"/>
    <cellStyle name="標準 75 6" xfId="1527" xr:uid="{00000000-0005-0000-0000-000006060000}"/>
    <cellStyle name="標準 76" xfId="1528" xr:uid="{00000000-0005-0000-0000-000007060000}"/>
    <cellStyle name="標準 76 2" xfId="1529" xr:uid="{00000000-0005-0000-0000-000008060000}"/>
    <cellStyle name="標準 76 2 2" xfId="1530" xr:uid="{00000000-0005-0000-0000-000009060000}"/>
    <cellStyle name="標準 76 2 2 2" xfId="1531" xr:uid="{00000000-0005-0000-0000-00000A060000}"/>
    <cellStyle name="標準 76 2 2 3" xfId="1532" xr:uid="{00000000-0005-0000-0000-00000B060000}"/>
    <cellStyle name="標準 76 2 2 4" xfId="1533" xr:uid="{00000000-0005-0000-0000-00000C060000}"/>
    <cellStyle name="標準 76 2 3" xfId="1534" xr:uid="{00000000-0005-0000-0000-00000D060000}"/>
    <cellStyle name="標準 76 2 4" xfId="1535" xr:uid="{00000000-0005-0000-0000-00000E060000}"/>
    <cellStyle name="標準 76 2 5" xfId="1536" xr:uid="{00000000-0005-0000-0000-00000F060000}"/>
    <cellStyle name="標準 76 3" xfId="1537" xr:uid="{00000000-0005-0000-0000-000010060000}"/>
    <cellStyle name="標準 76 3 2" xfId="1538" xr:uid="{00000000-0005-0000-0000-000011060000}"/>
    <cellStyle name="標準 76 3 3" xfId="1539" xr:uid="{00000000-0005-0000-0000-000012060000}"/>
    <cellStyle name="標準 76 3 4" xfId="1540" xr:uid="{00000000-0005-0000-0000-000013060000}"/>
    <cellStyle name="標準 76 4" xfId="1541" xr:uid="{00000000-0005-0000-0000-000014060000}"/>
    <cellStyle name="標準 76 5" xfId="1542" xr:uid="{00000000-0005-0000-0000-000015060000}"/>
    <cellStyle name="標準 76 6" xfId="1543" xr:uid="{00000000-0005-0000-0000-000016060000}"/>
    <cellStyle name="標準 77" xfId="1544" xr:uid="{00000000-0005-0000-0000-000017060000}"/>
    <cellStyle name="標準 77 2" xfId="1545" xr:uid="{00000000-0005-0000-0000-000018060000}"/>
    <cellStyle name="標準 77 2 2" xfId="1546" xr:uid="{00000000-0005-0000-0000-000019060000}"/>
    <cellStyle name="標準 77 2 2 2" xfId="1547" xr:uid="{00000000-0005-0000-0000-00001A060000}"/>
    <cellStyle name="標準 77 2 2 3" xfId="1548" xr:uid="{00000000-0005-0000-0000-00001B060000}"/>
    <cellStyle name="標準 77 2 2 4" xfId="1549" xr:uid="{00000000-0005-0000-0000-00001C060000}"/>
    <cellStyle name="標準 77 2 3" xfId="1550" xr:uid="{00000000-0005-0000-0000-00001D060000}"/>
    <cellStyle name="標準 77 2 4" xfId="1551" xr:uid="{00000000-0005-0000-0000-00001E060000}"/>
    <cellStyle name="標準 77 2 5" xfId="1552" xr:uid="{00000000-0005-0000-0000-00001F060000}"/>
    <cellStyle name="標準 77 3" xfId="1553" xr:uid="{00000000-0005-0000-0000-000020060000}"/>
    <cellStyle name="標準 77 3 2" xfId="1554" xr:uid="{00000000-0005-0000-0000-000021060000}"/>
    <cellStyle name="標準 77 3 3" xfId="1555" xr:uid="{00000000-0005-0000-0000-000022060000}"/>
    <cellStyle name="標準 77 3 4" xfId="1556" xr:uid="{00000000-0005-0000-0000-000023060000}"/>
    <cellStyle name="標準 77 4" xfId="1557" xr:uid="{00000000-0005-0000-0000-000024060000}"/>
    <cellStyle name="標準 77 5" xfId="1558" xr:uid="{00000000-0005-0000-0000-000025060000}"/>
    <cellStyle name="標準 77 6" xfId="1559" xr:uid="{00000000-0005-0000-0000-000026060000}"/>
    <cellStyle name="標準 78" xfId="1560" xr:uid="{00000000-0005-0000-0000-000027060000}"/>
    <cellStyle name="標準 78 2" xfId="1561" xr:uid="{00000000-0005-0000-0000-000028060000}"/>
    <cellStyle name="標準 78 2 2" xfId="1562" xr:uid="{00000000-0005-0000-0000-000029060000}"/>
    <cellStyle name="標準 78 2 2 2" xfId="1563" xr:uid="{00000000-0005-0000-0000-00002A060000}"/>
    <cellStyle name="標準 78 2 2 3" xfId="1564" xr:uid="{00000000-0005-0000-0000-00002B060000}"/>
    <cellStyle name="標準 78 2 2 4" xfId="1565" xr:uid="{00000000-0005-0000-0000-00002C060000}"/>
    <cellStyle name="標準 78 2 3" xfId="1566" xr:uid="{00000000-0005-0000-0000-00002D060000}"/>
    <cellStyle name="標準 78 2 4" xfId="1567" xr:uid="{00000000-0005-0000-0000-00002E060000}"/>
    <cellStyle name="標準 78 2 5" xfId="1568" xr:uid="{00000000-0005-0000-0000-00002F060000}"/>
    <cellStyle name="標準 78 3" xfId="1569" xr:uid="{00000000-0005-0000-0000-000030060000}"/>
    <cellStyle name="標準 78 3 2" xfId="1570" xr:uid="{00000000-0005-0000-0000-000031060000}"/>
    <cellStyle name="標準 78 3 3" xfId="1571" xr:uid="{00000000-0005-0000-0000-000032060000}"/>
    <cellStyle name="標準 78 3 4" xfId="1572" xr:uid="{00000000-0005-0000-0000-000033060000}"/>
    <cellStyle name="標準 78 4" xfId="1573" xr:uid="{00000000-0005-0000-0000-000034060000}"/>
    <cellStyle name="標準 78 5" xfId="1574" xr:uid="{00000000-0005-0000-0000-000035060000}"/>
    <cellStyle name="標準 78 6" xfId="1575" xr:uid="{00000000-0005-0000-0000-000036060000}"/>
    <cellStyle name="標準 79" xfId="1576" xr:uid="{00000000-0005-0000-0000-000037060000}"/>
    <cellStyle name="標準 79 2" xfId="1577" xr:uid="{00000000-0005-0000-0000-000038060000}"/>
    <cellStyle name="標準 79 2 2" xfId="1578" xr:uid="{00000000-0005-0000-0000-000039060000}"/>
    <cellStyle name="標準 79 2 2 2" xfId="1579" xr:uid="{00000000-0005-0000-0000-00003A060000}"/>
    <cellStyle name="標準 79 2 2 3" xfId="1580" xr:uid="{00000000-0005-0000-0000-00003B060000}"/>
    <cellStyle name="標準 79 2 2 4" xfId="1581" xr:uid="{00000000-0005-0000-0000-00003C060000}"/>
    <cellStyle name="標準 79 2 3" xfId="1582" xr:uid="{00000000-0005-0000-0000-00003D060000}"/>
    <cellStyle name="標準 79 2 4" xfId="1583" xr:uid="{00000000-0005-0000-0000-00003E060000}"/>
    <cellStyle name="標準 79 2 5" xfId="1584" xr:uid="{00000000-0005-0000-0000-00003F060000}"/>
    <cellStyle name="標準 79 3" xfId="1585" xr:uid="{00000000-0005-0000-0000-000040060000}"/>
    <cellStyle name="標準 79 3 2" xfId="1586" xr:uid="{00000000-0005-0000-0000-000041060000}"/>
    <cellStyle name="標準 79 3 3" xfId="1587" xr:uid="{00000000-0005-0000-0000-000042060000}"/>
    <cellStyle name="標準 79 3 4" xfId="1588" xr:uid="{00000000-0005-0000-0000-000043060000}"/>
    <cellStyle name="標準 79 4" xfId="1589" xr:uid="{00000000-0005-0000-0000-000044060000}"/>
    <cellStyle name="標準 79 5" xfId="1590" xr:uid="{00000000-0005-0000-0000-000045060000}"/>
    <cellStyle name="標準 79 6" xfId="1591" xr:uid="{00000000-0005-0000-0000-000046060000}"/>
    <cellStyle name="標準 8" xfId="1592" xr:uid="{00000000-0005-0000-0000-000047060000}"/>
    <cellStyle name="標準 8 2" xfId="1593" xr:uid="{00000000-0005-0000-0000-000048060000}"/>
    <cellStyle name="標準 8 3" xfId="1594" xr:uid="{00000000-0005-0000-0000-000049060000}"/>
    <cellStyle name="標準 8 4" xfId="1595" xr:uid="{00000000-0005-0000-0000-00004A060000}"/>
    <cellStyle name="標準 8 5" xfId="1596" xr:uid="{00000000-0005-0000-0000-00004B060000}"/>
    <cellStyle name="標準 8 6" xfId="1597" xr:uid="{00000000-0005-0000-0000-00004C060000}"/>
    <cellStyle name="標準 80" xfId="1598" xr:uid="{00000000-0005-0000-0000-00004D060000}"/>
    <cellStyle name="標準 80 2" xfId="1599" xr:uid="{00000000-0005-0000-0000-00004E060000}"/>
    <cellStyle name="標準 80 2 2" xfId="1600" xr:uid="{00000000-0005-0000-0000-00004F060000}"/>
    <cellStyle name="標準 80 2 2 2" xfId="1601" xr:uid="{00000000-0005-0000-0000-000050060000}"/>
    <cellStyle name="標準 80 2 2 3" xfId="1602" xr:uid="{00000000-0005-0000-0000-000051060000}"/>
    <cellStyle name="標準 80 2 2 4" xfId="1603" xr:uid="{00000000-0005-0000-0000-000052060000}"/>
    <cellStyle name="標準 80 2 3" xfId="1604" xr:uid="{00000000-0005-0000-0000-000053060000}"/>
    <cellStyle name="標準 80 2 4" xfId="1605" xr:uid="{00000000-0005-0000-0000-000054060000}"/>
    <cellStyle name="標準 80 2 5" xfId="1606" xr:uid="{00000000-0005-0000-0000-000055060000}"/>
    <cellStyle name="標準 80 3" xfId="1607" xr:uid="{00000000-0005-0000-0000-000056060000}"/>
    <cellStyle name="標準 80 3 2" xfId="1608" xr:uid="{00000000-0005-0000-0000-000057060000}"/>
    <cellStyle name="標準 80 3 3" xfId="1609" xr:uid="{00000000-0005-0000-0000-000058060000}"/>
    <cellStyle name="標準 80 3 4" xfId="1610" xr:uid="{00000000-0005-0000-0000-000059060000}"/>
    <cellStyle name="標準 80 4" xfId="1611" xr:uid="{00000000-0005-0000-0000-00005A060000}"/>
    <cellStyle name="標準 80 5" xfId="1612" xr:uid="{00000000-0005-0000-0000-00005B060000}"/>
    <cellStyle name="標準 80 6" xfId="1613" xr:uid="{00000000-0005-0000-0000-00005C060000}"/>
    <cellStyle name="標準 81" xfId="1614" xr:uid="{00000000-0005-0000-0000-00005D060000}"/>
    <cellStyle name="標準 81 2" xfId="1615" xr:uid="{00000000-0005-0000-0000-00005E060000}"/>
    <cellStyle name="標準 81 2 2" xfId="1616" xr:uid="{00000000-0005-0000-0000-00005F060000}"/>
    <cellStyle name="標準 81 2 2 2" xfId="1617" xr:uid="{00000000-0005-0000-0000-000060060000}"/>
    <cellStyle name="標準 81 2 2 3" xfId="1618" xr:uid="{00000000-0005-0000-0000-000061060000}"/>
    <cellStyle name="標準 81 2 2 4" xfId="1619" xr:uid="{00000000-0005-0000-0000-000062060000}"/>
    <cellStyle name="標準 81 2 3" xfId="1620" xr:uid="{00000000-0005-0000-0000-000063060000}"/>
    <cellStyle name="標準 81 2 4" xfId="1621" xr:uid="{00000000-0005-0000-0000-000064060000}"/>
    <cellStyle name="標準 81 2 5" xfId="1622" xr:uid="{00000000-0005-0000-0000-000065060000}"/>
    <cellStyle name="標準 81 3" xfId="1623" xr:uid="{00000000-0005-0000-0000-000066060000}"/>
    <cellStyle name="標準 81 3 2" xfId="1624" xr:uid="{00000000-0005-0000-0000-000067060000}"/>
    <cellStyle name="標準 81 3 3" xfId="1625" xr:uid="{00000000-0005-0000-0000-000068060000}"/>
    <cellStyle name="標準 81 3 4" xfId="1626" xr:uid="{00000000-0005-0000-0000-000069060000}"/>
    <cellStyle name="標準 81 4" xfId="1627" xr:uid="{00000000-0005-0000-0000-00006A060000}"/>
    <cellStyle name="標準 81 5" xfId="1628" xr:uid="{00000000-0005-0000-0000-00006B060000}"/>
    <cellStyle name="標準 81 6" xfId="1629" xr:uid="{00000000-0005-0000-0000-00006C060000}"/>
    <cellStyle name="標準 82" xfId="1630" xr:uid="{00000000-0005-0000-0000-00006D060000}"/>
    <cellStyle name="標準 82 2" xfId="1631" xr:uid="{00000000-0005-0000-0000-00006E060000}"/>
    <cellStyle name="標準 82 2 2" xfId="1632" xr:uid="{00000000-0005-0000-0000-00006F060000}"/>
    <cellStyle name="標準 82 2 2 2" xfId="1633" xr:uid="{00000000-0005-0000-0000-000070060000}"/>
    <cellStyle name="標準 82 2 2 3" xfId="1634" xr:uid="{00000000-0005-0000-0000-000071060000}"/>
    <cellStyle name="標準 82 2 2 4" xfId="1635" xr:uid="{00000000-0005-0000-0000-000072060000}"/>
    <cellStyle name="標準 82 2 3" xfId="1636" xr:uid="{00000000-0005-0000-0000-000073060000}"/>
    <cellStyle name="標準 82 2 4" xfId="1637" xr:uid="{00000000-0005-0000-0000-000074060000}"/>
    <cellStyle name="標準 82 2 5" xfId="1638" xr:uid="{00000000-0005-0000-0000-000075060000}"/>
    <cellStyle name="標準 82 3" xfId="1639" xr:uid="{00000000-0005-0000-0000-000076060000}"/>
    <cellStyle name="標準 82 3 2" xfId="1640" xr:uid="{00000000-0005-0000-0000-000077060000}"/>
    <cellStyle name="標準 82 3 3" xfId="1641" xr:uid="{00000000-0005-0000-0000-000078060000}"/>
    <cellStyle name="標準 82 3 4" xfId="1642" xr:uid="{00000000-0005-0000-0000-000079060000}"/>
    <cellStyle name="標準 82 4" xfId="1643" xr:uid="{00000000-0005-0000-0000-00007A060000}"/>
    <cellStyle name="標準 82 5" xfId="1644" xr:uid="{00000000-0005-0000-0000-00007B060000}"/>
    <cellStyle name="標準 82 6" xfId="1645" xr:uid="{00000000-0005-0000-0000-00007C060000}"/>
    <cellStyle name="標準 83" xfId="1646" xr:uid="{00000000-0005-0000-0000-00007D060000}"/>
    <cellStyle name="標準 83 2" xfId="1647" xr:uid="{00000000-0005-0000-0000-00007E060000}"/>
    <cellStyle name="標準 83 2 2" xfId="1648" xr:uid="{00000000-0005-0000-0000-00007F060000}"/>
    <cellStyle name="標準 83 2 2 2" xfId="1649" xr:uid="{00000000-0005-0000-0000-000080060000}"/>
    <cellStyle name="標準 83 2 2 3" xfId="1650" xr:uid="{00000000-0005-0000-0000-000081060000}"/>
    <cellStyle name="標準 83 2 2 4" xfId="1651" xr:uid="{00000000-0005-0000-0000-000082060000}"/>
    <cellStyle name="標準 83 2 3" xfId="1652" xr:uid="{00000000-0005-0000-0000-000083060000}"/>
    <cellStyle name="標準 83 2 4" xfId="1653" xr:uid="{00000000-0005-0000-0000-000084060000}"/>
    <cellStyle name="標準 83 2 5" xfId="1654" xr:uid="{00000000-0005-0000-0000-000085060000}"/>
    <cellStyle name="標準 83 3" xfId="1655" xr:uid="{00000000-0005-0000-0000-000086060000}"/>
    <cellStyle name="標準 83 3 2" xfId="1656" xr:uid="{00000000-0005-0000-0000-000087060000}"/>
    <cellStyle name="標準 83 3 3" xfId="1657" xr:uid="{00000000-0005-0000-0000-000088060000}"/>
    <cellStyle name="標準 83 3 4" xfId="1658" xr:uid="{00000000-0005-0000-0000-000089060000}"/>
    <cellStyle name="標準 83 4" xfId="1659" xr:uid="{00000000-0005-0000-0000-00008A060000}"/>
    <cellStyle name="標準 83 5" xfId="1660" xr:uid="{00000000-0005-0000-0000-00008B060000}"/>
    <cellStyle name="標準 83 6" xfId="1661" xr:uid="{00000000-0005-0000-0000-00008C060000}"/>
    <cellStyle name="標準 84" xfId="1662" xr:uid="{00000000-0005-0000-0000-00008D060000}"/>
    <cellStyle name="標準 84 2" xfId="1663" xr:uid="{00000000-0005-0000-0000-00008E060000}"/>
    <cellStyle name="標準 84 2 2" xfId="1664" xr:uid="{00000000-0005-0000-0000-00008F060000}"/>
    <cellStyle name="標準 84 2 2 2" xfId="1665" xr:uid="{00000000-0005-0000-0000-000090060000}"/>
    <cellStyle name="標準 84 2 2 3" xfId="1666" xr:uid="{00000000-0005-0000-0000-000091060000}"/>
    <cellStyle name="標準 84 2 2 4" xfId="1667" xr:uid="{00000000-0005-0000-0000-000092060000}"/>
    <cellStyle name="標準 84 2 3" xfId="1668" xr:uid="{00000000-0005-0000-0000-000093060000}"/>
    <cellStyle name="標準 84 2 4" xfId="1669" xr:uid="{00000000-0005-0000-0000-000094060000}"/>
    <cellStyle name="標準 84 2 5" xfId="1670" xr:uid="{00000000-0005-0000-0000-000095060000}"/>
    <cellStyle name="標準 84 3" xfId="1671" xr:uid="{00000000-0005-0000-0000-000096060000}"/>
    <cellStyle name="標準 84 3 2" xfId="1672" xr:uid="{00000000-0005-0000-0000-000097060000}"/>
    <cellStyle name="標準 84 3 3" xfId="1673" xr:uid="{00000000-0005-0000-0000-000098060000}"/>
    <cellStyle name="標準 84 3 4" xfId="1674" xr:uid="{00000000-0005-0000-0000-000099060000}"/>
    <cellStyle name="標準 84 4" xfId="1675" xr:uid="{00000000-0005-0000-0000-00009A060000}"/>
    <cellStyle name="標準 84 5" xfId="1676" xr:uid="{00000000-0005-0000-0000-00009B060000}"/>
    <cellStyle name="標準 84 6" xfId="1677" xr:uid="{00000000-0005-0000-0000-00009C060000}"/>
    <cellStyle name="標準 85" xfId="1678" xr:uid="{00000000-0005-0000-0000-00009D060000}"/>
    <cellStyle name="標準 85 2" xfId="1679" xr:uid="{00000000-0005-0000-0000-00009E060000}"/>
    <cellStyle name="標準 85 2 2" xfId="1680" xr:uid="{00000000-0005-0000-0000-00009F060000}"/>
    <cellStyle name="標準 85 2 2 2" xfId="1681" xr:uid="{00000000-0005-0000-0000-0000A0060000}"/>
    <cellStyle name="標準 85 2 2 3" xfId="1682" xr:uid="{00000000-0005-0000-0000-0000A1060000}"/>
    <cellStyle name="標準 85 2 2 4" xfId="1683" xr:uid="{00000000-0005-0000-0000-0000A2060000}"/>
    <cellStyle name="標準 85 2 3" xfId="1684" xr:uid="{00000000-0005-0000-0000-0000A3060000}"/>
    <cellStyle name="標準 85 2 4" xfId="1685" xr:uid="{00000000-0005-0000-0000-0000A4060000}"/>
    <cellStyle name="標準 85 2 5" xfId="1686" xr:uid="{00000000-0005-0000-0000-0000A5060000}"/>
    <cellStyle name="標準 85 3" xfId="1687" xr:uid="{00000000-0005-0000-0000-0000A6060000}"/>
    <cellStyle name="標準 85 3 2" xfId="1688" xr:uid="{00000000-0005-0000-0000-0000A7060000}"/>
    <cellStyle name="標準 85 3 3" xfId="1689" xr:uid="{00000000-0005-0000-0000-0000A8060000}"/>
    <cellStyle name="標準 85 3 4" xfId="1690" xr:uid="{00000000-0005-0000-0000-0000A9060000}"/>
    <cellStyle name="標準 85 4" xfId="1691" xr:uid="{00000000-0005-0000-0000-0000AA060000}"/>
    <cellStyle name="標準 85 5" xfId="1692" xr:uid="{00000000-0005-0000-0000-0000AB060000}"/>
    <cellStyle name="標準 85 6" xfId="1693" xr:uid="{00000000-0005-0000-0000-0000AC060000}"/>
    <cellStyle name="標準 86" xfId="1694" xr:uid="{00000000-0005-0000-0000-0000AD060000}"/>
    <cellStyle name="標準 86 2" xfId="1695" xr:uid="{00000000-0005-0000-0000-0000AE060000}"/>
    <cellStyle name="標準 86 2 2" xfId="1696" xr:uid="{00000000-0005-0000-0000-0000AF060000}"/>
    <cellStyle name="標準 86 2 2 2" xfId="1697" xr:uid="{00000000-0005-0000-0000-0000B0060000}"/>
    <cellStyle name="標準 86 2 2 3" xfId="1698" xr:uid="{00000000-0005-0000-0000-0000B1060000}"/>
    <cellStyle name="標準 86 2 2 4" xfId="1699" xr:uid="{00000000-0005-0000-0000-0000B2060000}"/>
    <cellStyle name="標準 86 2 3" xfId="1700" xr:uid="{00000000-0005-0000-0000-0000B3060000}"/>
    <cellStyle name="標準 86 2 4" xfId="1701" xr:uid="{00000000-0005-0000-0000-0000B4060000}"/>
    <cellStyle name="標準 86 2 5" xfId="1702" xr:uid="{00000000-0005-0000-0000-0000B5060000}"/>
    <cellStyle name="標準 86 3" xfId="1703" xr:uid="{00000000-0005-0000-0000-0000B6060000}"/>
    <cellStyle name="標準 86 3 2" xfId="1704" xr:uid="{00000000-0005-0000-0000-0000B7060000}"/>
    <cellStyle name="標準 86 3 3" xfId="1705" xr:uid="{00000000-0005-0000-0000-0000B8060000}"/>
    <cellStyle name="標準 86 3 4" xfId="1706" xr:uid="{00000000-0005-0000-0000-0000B9060000}"/>
    <cellStyle name="標準 86 4" xfId="1707" xr:uid="{00000000-0005-0000-0000-0000BA060000}"/>
    <cellStyle name="標準 86 5" xfId="1708" xr:uid="{00000000-0005-0000-0000-0000BB060000}"/>
    <cellStyle name="標準 86 6" xfId="1709" xr:uid="{00000000-0005-0000-0000-0000BC060000}"/>
    <cellStyle name="標準 87" xfId="1710" xr:uid="{00000000-0005-0000-0000-0000BD060000}"/>
    <cellStyle name="標準 87 2" xfId="1711" xr:uid="{00000000-0005-0000-0000-0000BE060000}"/>
    <cellStyle name="標準 87 2 2" xfId="1712" xr:uid="{00000000-0005-0000-0000-0000BF060000}"/>
    <cellStyle name="標準 87 2 2 2" xfId="1713" xr:uid="{00000000-0005-0000-0000-0000C0060000}"/>
    <cellStyle name="標準 87 2 2 3" xfId="1714" xr:uid="{00000000-0005-0000-0000-0000C1060000}"/>
    <cellStyle name="標準 87 2 2 4" xfId="1715" xr:uid="{00000000-0005-0000-0000-0000C2060000}"/>
    <cellStyle name="標準 87 2 3" xfId="1716" xr:uid="{00000000-0005-0000-0000-0000C3060000}"/>
    <cellStyle name="標準 87 2 4" xfId="1717" xr:uid="{00000000-0005-0000-0000-0000C4060000}"/>
    <cellStyle name="標準 87 2 5" xfId="1718" xr:uid="{00000000-0005-0000-0000-0000C5060000}"/>
    <cellStyle name="標準 87 3" xfId="1719" xr:uid="{00000000-0005-0000-0000-0000C6060000}"/>
    <cellStyle name="標準 87 3 2" xfId="1720" xr:uid="{00000000-0005-0000-0000-0000C7060000}"/>
    <cellStyle name="標準 87 3 3" xfId="1721" xr:uid="{00000000-0005-0000-0000-0000C8060000}"/>
    <cellStyle name="標準 87 3 4" xfId="1722" xr:uid="{00000000-0005-0000-0000-0000C9060000}"/>
    <cellStyle name="標準 87 4" xfId="1723" xr:uid="{00000000-0005-0000-0000-0000CA060000}"/>
    <cellStyle name="標準 87 5" xfId="1724" xr:uid="{00000000-0005-0000-0000-0000CB060000}"/>
    <cellStyle name="標準 87 6" xfId="1725" xr:uid="{00000000-0005-0000-0000-0000CC060000}"/>
    <cellStyle name="標準 88" xfId="1726" xr:uid="{00000000-0005-0000-0000-0000CD060000}"/>
    <cellStyle name="標準 88 2" xfId="1727" xr:uid="{00000000-0005-0000-0000-0000CE060000}"/>
    <cellStyle name="標準 88 2 2" xfId="1728" xr:uid="{00000000-0005-0000-0000-0000CF060000}"/>
    <cellStyle name="標準 88 2 2 2" xfId="1729" xr:uid="{00000000-0005-0000-0000-0000D0060000}"/>
    <cellStyle name="標準 88 2 2 3" xfId="1730" xr:uid="{00000000-0005-0000-0000-0000D1060000}"/>
    <cellStyle name="標準 88 2 2 4" xfId="1731" xr:uid="{00000000-0005-0000-0000-0000D2060000}"/>
    <cellStyle name="標準 88 2 3" xfId="1732" xr:uid="{00000000-0005-0000-0000-0000D3060000}"/>
    <cellStyle name="標準 88 2 4" xfId="1733" xr:uid="{00000000-0005-0000-0000-0000D4060000}"/>
    <cellStyle name="標準 88 2 5" xfId="1734" xr:uid="{00000000-0005-0000-0000-0000D5060000}"/>
    <cellStyle name="標準 88 3" xfId="1735" xr:uid="{00000000-0005-0000-0000-0000D6060000}"/>
    <cellStyle name="標準 88 3 2" xfId="1736" xr:uid="{00000000-0005-0000-0000-0000D7060000}"/>
    <cellStyle name="標準 88 3 3" xfId="1737" xr:uid="{00000000-0005-0000-0000-0000D8060000}"/>
    <cellStyle name="標準 88 3 4" xfId="1738" xr:uid="{00000000-0005-0000-0000-0000D9060000}"/>
    <cellStyle name="標準 88 4" xfId="1739" xr:uid="{00000000-0005-0000-0000-0000DA060000}"/>
    <cellStyle name="標準 88 5" xfId="1740" xr:uid="{00000000-0005-0000-0000-0000DB060000}"/>
    <cellStyle name="標準 88 6" xfId="1741" xr:uid="{00000000-0005-0000-0000-0000DC060000}"/>
    <cellStyle name="標準 89" xfId="1742" xr:uid="{00000000-0005-0000-0000-0000DD060000}"/>
    <cellStyle name="標準 89 2" xfId="1743" xr:uid="{00000000-0005-0000-0000-0000DE060000}"/>
    <cellStyle name="標準 89 2 2" xfId="1744" xr:uid="{00000000-0005-0000-0000-0000DF060000}"/>
    <cellStyle name="標準 89 2 2 2" xfId="1745" xr:uid="{00000000-0005-0000-0000-0000E0060000}"/>
    <cellStyle name="標準 89 2 2 3" xfId="1746" xr:uid="{00000000-0005-0000-0000-0000E1060000}"/>
    <cellStyle name="標準 89 2 2 4" xfId="1747" xr:uid="{00000000-0005-0000-0000-0000E2060000}"/>
    <cellStyle name="標準 89 2 3" xfId="1748" xr:uid="{00000000-0005-0000-0000-0000E3060000}"/>
    <cellStyle name="標準 89 2 4" xfId="1749" xr:uid="{00000000-0005-0000-0000-0000E4060000}"/>
    <cellStyle name="標準 89 2 5" xfId="1750" xr:uid="{00000000-0005-0000-0000-0000E5060000}"/>
    <cellStyle name="標準 89 3" xfId="1751" xr:uid="{00000000-0005-0000-0000-0000E6060000}"/>
    <cellStyle name="標準 89 3 2" xfId="1752" xr:uid="{00000000-0005-0000-0000-0000E7060000}"/>
    <cellStyle name="標準 89 3 3" xfId="1753" xr:uid="{00000000-0005-0000-0000-0000E8060000}"/>
    <cellStyle name="標準 89 3 4" xfId="1754" xr:uid="{00000000-0005-0000-0000-0000E9060000}"/>
    <cellStyle name="標準 89 4" xfId="1755" xr:uid="{00000000-0005-0000-0000-0000EA060000}"/>
    <cellStyle name="標準 89 5" xfId="1756" xr:uid="{00000000-0005-0000-0000-0000EB060000}"/>
    <cellStyle name="標準 89 6" xfId="1757" xr:uid="{00000000-0005-0000-0000-0000EC060000}"/>
    <cellStyle name="標準 9" xfId="1758" xr:uid="{00000000-0005-0000-0000-0000ED060000}"/>
    <cellStyle name="標準 9 2" xfId="1759" xr:uid="{00000000-0005-0000-0000-0000EE060000}"/>
    <cellStyle name="標準 9 3" xfId="1760" xr:uid="{00000000-0005-0000-0000-0000EF060000}"/>
    <cellStyle name="標準 90" xfId="1761" xr:uid="{00000000-0005-0000-0000-0000F0060000}"/>
    <cellStyle name="標準 90 2" xfId="1762" xr:uid="{00000000-0005-0000-0000-0000F1060000}"/>
    <cellStyle name="標準 90 2 2" xfId="1763" xr:uid="{00000000-0005-0000-0000-0000F2060000}"/>
    <cellStyle name="標準 90 2 2 2" xfId="1764" xr:uid="{00000000-0005-0000-0000-0000F3060000}"/>
    <cellStyle name="標準 90 2 2 3" xfId="1765" xr:uid="{00000000-0005-0000-0000-0000F4060000}"/>
    <cellStyle name="標準 90 2 2 4" xfId="1766" xr:uid="{00000000-0005-0000-0000-0000F5060000}"/>
    <cellStyle name="標準 90 2 3" xfId="1767" xr:uid="{00000000-0005-0000-0000-0000F6060000}"/>
    <cellStyle name="標準 90 2 4" xfId="1768" xr:uid="{00000000-0005-0000-0000-0000F7060000}"/>
    <cellStyle name="標準 90 2 5" xfId="1769" xr:uid="{00000000-0005-0000-0000-0000F8060000}"/>
    <cellStyle name="標準 90 3" xfId="1770" xr:uid="{00000000-0005-0000-0000-0000F9060000}"/>
    <cellStyle name="標準 90 3 2" xfId="1771" xr:uid="{00000000-0005-0000-0000-0000FA060000}"/>
    <cellStyle name="標準 90 3 3" xfId="1772" xr:uid="{00000000-0005-0000-0000-0000FB060000}"/>
    <cellStyle name="標準 90 3 4" xfId="1773" xr:uid="{00000000-0005-0000-0000-0000FC060000}"/>
    <cellStyle name="標準 90 4" xfId="1774" xr:uid="{00000000-0005-0000-0000-0000FD060000}"/>
    <cellStyle name="標準 90 5" xfId="1775" xr:uid="{00000000-0005-0000-0000-0000FE060000}"/>
    <cellStyle name="標準 90 6" xfId="1776" xr:uid="{00000000-0005-0000-0000-0000FF060000}"/>
    <cellStyle name="標準 91" xfId="1777" xr:uid="{00000000-0005-0000-0000-000000070000}"/>
    <cellStyle name="標準 91 2" xfId="1778" xr:uid="{00000000-0005-0000-0000-000001070000}"/>
    <cellStyle name="標準 91 2 2" xfId="1779" xr:uid="{00000000-0005-0000-0000-000002070000}"/>
    <cellStyle name="標準 91 2 2 2" xfId="1780" xr:uid="{00000000-0005-0000-0000-000003070000}"/>
    <cellStyle name="標準 91 2 2 3" xfId="1781" xr:uid="{00000000-0005-0000-0000-000004070000}"/>
    <cellStyle name="標準 91 2 2 4" xfId="1782" xr:uid="{00000000-0005-0000-0000-000005070000}"/>
    <cellStyle name="標準 91 2 3" xfId="1783" xr:uid="{00000000-0005-0000-0000-000006070000}"/>
    <cellStyle name="標準 91 2 4" xfId="1784" xr:uid="{00000000-0005-0000-0000-000007070000}"/>
    <cellStyle name="標準 91 2 5" xfId="1785" xr:uid="{00000000-0005-0000-0000-000008070000}"/>
    <cellStyle name="標準 91 3" xfId="1786" xr:uid="{00000000-0005-0000-0000-000009070000}"/>
    <cellStyle name="標準 91 3 2" xfId="1787" xr:uid="{00000000-0005-0000-0000-00000A070000}"/>
    <cellStyle name="標準 91 3 3" xfId="1788" xr:uid="{00000000-0005-0000-0000-00000B070000}"/>
    <cellStyle name="標準 91 3 4" xfId="1789" xr:uid="{00000000-0005-0000-0000-00000C070000}"/>
    <cellStyle name="標準 91 4" xfId="1790" xr:uid="{00000000-0005-0000-0000-00000D070000}"/>
    <cellStyle name="標準 91 5" xfId="1791" xr:uid="{00000000-0005-0000-0000-00000E070000}"/>
    <cellStyle name="標準 91 6" xfId="1792" xr:uid="{00000000-0005-0000-0000-00000F070000}"/>
    <cellStyle name="標準 92" xfId="1793" xr:uid="{00000000-0005-0000-0000-000010070000}"/>
    <cellStyle name="標準 92 2" xfId="1794" xr:uid="{00000000-0005-0000-0000-000011070000}"/>
    <cellStyle name="標準 92 2 2" xfId="1795" xr:uid="{00000000-0005-0000-0000-000012070000}"/>
    <cellStyle name="標準 92 2 2 2" xfId="1796" xr:uid="{00000000-0005-0000-0000-000013070000}"/>
    <cellStyle name="標準 92 2 2 3" xfId="1797" xr:uid="{00000000-0005-0000-0000-000014070000}"/>
    <cellStyle name="標準 92 2 2 4" xfId="1798" xr:uid="{00000000-0005-0000-0000-000015070000}"/>
    <cellStyle name="標準 92 2 3" xfId="1799" xr:uid="{00000000-0005-0000-0000-000016070000}"/>
    <cellStyle name="標準 92 2 4" xfId="1800" xr:uid="{00000000-0005-0000-0000-000017070000}"/>
    <cellStyle name="標準 92 2 5" xfId="1801" xr:uid="{00000000-0005-0000-0000-000018070000}"/>
    <cellStyle name="標準 92 3" xfId="1802" xr:uid="{00000000-0005-0000-0000-000019070000}"/>
    <cellStyle name="標準 92 3 2" xfId="1803" xr:uid="{00000000-0005-0000-0000-00001A070000}"/>
    <cellStyle name="標準 92 3 3" xfId="1804" xr:uid="{00000000-0005-0000-0000-00001B070000}"/>
    <cellStyle name="標準 92 3 4" xfId="1805" xr:uid="{00000000-0005-0000-0000-00001C070000}"/>
    <cellStyle name="標準 92 4" xfId="1806" xr:uid="{00000000-0005-0000-0000-00001D070000}"/>
    <cellStyle name="標準 92 5" xfId="1807" xr:uid="{00000000-0005-0000-0000-00001E070000}"/>
    <cellStyle name="標準 92 6" xfId="1808" xr:uid="{00000000-0005-0000-0000-00001F070000}"/>
    <cellStyle name="標準 93" xfId="1809" xr:uid="{00000000-0005-0000-0000-000020070000}"/>
    <cellStyle name="標準 93 2" xfId="1810" xr:uid="{00000000-0005-0000-0000-000021070000}"/>
    <cellStyle name="標準 93 2 2" xfId="1811" xr:uid="{00000000-0005-0000-0000-000022070000}"/>
    <cellStyle name="標準 93 2 2 2" xfId="1812" xr:uid="{00000000-0005-0000-0000-000023070000}"/>
    <cellStyle name="標準 93 2 2 3" xfId="1813" xr:uid="{00000000-0005-0000-0000-000024070000}"/>
    <cellStyle name="標準 93 2 2 4" xfId="1814" xr:uid="{00000000-0005-0000-0000-000025070000}"/>
    <cellStyle name="標準 93 2 3" xfId="1815" xr:uid="{00000000-0005-0000-0000-000026070000}"/>
    <cellStyle name="標準 93 2 4" xfId="1816" xr:uid="{00000000-0005-0000-0000-000027070000}"/>
    <cellStyle name="標準 93 2 5" xfId="1817" xr:uid="{00000000-0005-0000-0000-000028070000}"/>
    <cellStyle name="標準 93 3" xfId="1818" xr:uid="{00000000-0005-0000-0000-000029070000}"/>
    <cellStyle name="標準 93 3 2" xfId="1819" xr:uid="{00000000-0005-0000-0000-00002A070000}"/>
    <cellStyle name="標準 93 3 3" xfId="1820" xr:uid="{00000000-0005-0000-0000-00002B070000}"/>
    <cellStyle name="標準 93 3 4" xfId="1821" xr:uid="{00000000-0005-0000-0000-00002C070000}"/>
    <cellStyle name="標準 93 4" xfId="1822" xr:uid="{00000000-0005-0000-0000-00002D070000}"/>
    <cellStyle name="標準 93 5" xfId="1823" xr:uid="{00000000-0005-0000-0000-00002E070000}"/>
    <cellStyle name="標準 93 6" xfId="1824" xr:uid="{00000000-0005-0000-0000-00002F070000}"/>
    <cellStyle name="標準 94" xfId="1825" xr:uid="{00000000-0005-0000-0000-000030070000}"/>
    <cellStyle name="標準 94 2" xfId="1826" xr:uid="{00000000-0005-0000-0000-000031070000}"/>
    <cellStyle name="標準 94 2 2" xfId="1827" xr:uid="{00000000-0005-0000-0000-000032070000}"/>
    <cellStyle name="標準 94 2 2 2" xfId="1828" xr:uid="{00000000-0005-0000-0000-000033070000}"/>
    <cellStyle name="標準 94 2 2 3" xfId="1829" xr:uid="{00000000-0005-0000-0000-000034070000}"/>
    <cellStyle name="標準 94 2 2 4" xfId="1830" xr:uid="{00000000-0005-0000-0000-000035070000}"/>
    <cellStyle name="標準 94 2 3" xfId="1831" xr:uid="{00000000-0005-0000-0000-000036070000}"/>
    <cellStyle name="標準 94 2 4" xfId="1832" xr:uid="{00000000-0005-0000-0000-000037070000}"/>
    <cellStyle name="標準 94 2 5" xfId="1833" xr:uid="{00000000-0005-0000-0000-000038070000}"/>
    <cellStyle name="標準 94 3" xfId="1834" xr:uid="{00000000-0005-0000-0000-000039070000}"/>
    <cellStyle name="標準 94 3 2" xfId="1835" xr:uid="{00000000-0005-0000-0000-00003A070000}"/>
    <cellStyle name="標準 94 3 3" xfId="1836" xr:uid="{00000000-0005-0000-0000-00003B070000}"/>
    <cellStyle name="標準 94 3 4" xfId="1837" xr:uid="{00000000-0005-0000-0000-00003C070000}"/>
    <cellStyle name="標準 94 4" xfId="1838" xr:uid="{00000000-0005-0000-0000-00003D070000}"/>
    <cellStyle name="標準 94 5" xfId="1839" xr:uid="{00000000-0005-0000-0000-00003E070000}"/>
    <cellStyle name="標準 94 6" xfId="1840" xr:uid="{00000000-0005-0000-0000-00003F070000}"/>
    <cellStyle name="標準 95" xfId="1841" xr:uid="{00000000-0005-0000-0000-000040070000}"/>
    <cellStyle name="標準 95 2" xfId="1842" xr:uid="{00000000-0005-0000-0000-000041070000}"/>
    <cellStyle name="標準 95 2 2" xfId="1843" xr:uid="{00000000-0005-0000-0000-000042070000}"/>
    <cellStyle name="標準 95 2 2 2" xfId="1844" xr:uid="{00000000-0005-0000-0000-000043070000}"/>
    <cellStyle name="標準 95 2 2 3" xfId="1845" xr:uid="{00000000-0005-0000-0000-000044070000}"/>
    <cellStyle name="標準 95 2 2 4" xfId="1846" xr:uid="{00000000-0005-0000-0000-000045070000}"/>
    <cellStyle name="標準 95 2 3" xfId="1847" xr:uid="{00000000-0005-0000-0000-000046070000}"/>
    <cellStyle name="標準 95 2 4" xfId="1848" xr:uid="{00000000-0005-0000-0000-000047070000}"/>
    <cellStyle name="標準 95 2 5" xfId="1849" xr:uid="{00000000-0005-0000-0000-000048070000}"/>
    <cellStyle name="標準 95 3" xfId="1850" xr:uid="{00000000-0005-0000-0000-000049070000}"/>
    <cellStyle name="標準 95 3 2" xfId="1851" xr:uid="{00000000-0005-0000-0000-00004A070000}"/>
    <cellStyle name="標準 95 3 3" xfId="1852" xr:uid="{00000000-0005-0000-0000-00004B070000}"/>
    <cellStyle name="標準 95 3 4" xfId="1853" xr:uid="{00000000-0005-0000-0000-00004C070000}"/>
    <cellStyle name="標準 95 4" xfId="1854" xr:uid="{00000000-0005-0000-0000-00004D070000}"/>
    <cellStyle name="標準 95 5" xfId="1855" xr:uid="{00000000-0005-0000-0000-00004E070000}"/>
    <cellStyle name="標準 95 6" xfId="1856" xr:uid="{00000000-0005-0000-0000-00004F070000}"/>
    <cellStyle name="標準 96" xfId="1857" xr:uid="{00000000-0005-0000-0000-000050070000}"/>
    <cellStyle name="標準 96 2" xfId="1858" xr:uid="{00000000-0005-0000-0000-000051070000}"/>
    <cellStyle name="標準 96 2 2" xfId="1859" xr:uid="{00000000-0005-0000-0000-000052070000}"/>
    <cellStyle name="標準 96 2 2 2" xfId="1860" xr:uid="{00000000-0005-0000-0000-000053070000}"/>
    <cellStyle name="標準 96 2 2 3" xfId="1861" xr:uid="{00000000-0005-0000-0000-000054070000}"/>
    <cellStyle name="標準 96 2 2 4" xfId="1862" xr:uid="{00000000-0005-0000-0000-000055070000}"/>
    <cellStyle name="標準 96 2 3" xfId="1863" xr:uid="{00000000-0005-0000-0000-000056070000}"/>
    <cellStyle name="標準 96 2 4" xfId="1864" xr:uid="{00000000-0005-0000-0000-000057070000}"/>
    <cellStyle name="標準 96 2 5" xfId="1865" xr:uid="{00000000-0005-0000-0000-000058070000}"/>
    <cellStyle name="標準 96 3" xfId="1866" xr:uid="{00000000-0005-0000-0000-000059070000}"/>
    <cellStyle name="標準 96 3 2" xfId="1867" xr:uid="{00000000-0005-0000-0000-00005A070000}"/>
    <cellStyle name="標準 96 3 3" xfId="1868" xr:uid="{00000000-0005-0000-0000-00005B070000}"/>
    <cellStyle name="標準 96 3 4" xfId="1869" xr:uid="{00000000-0005-0000-0000-00005C070000}"/>
    <cellStyle name="標準 96 4" xfId="1870" xr:uid="{00000000-0005-0000-0000-00005D070000}"/>
    <cellStyle name="標準 96 5" xfId="1871" xr:uid="{00000000-0005-0000-0000-00005E070000}"/>
    <cellStyle name="標準 96 6" xfId="1872" xr:uid="{00000000-0005-0000-0000-00005F070000}"/>
    <cellStyle name="標準 97" xfId="1873" xr:uid="{00000000-0005-0000-0000-000060070000}"/>
    <cellStyle name="標準 97 2" xfId="1874" xr:uid="{00000000-0005-0000-0000-000061070000}"/>
    <cellStyle name="標準 97 2 2" xfId="1875" xr:uid="{00000000-0005-0000-0000-000062070000}"/>
    <cellStyle name="標準 97 2 2 2" xfId="1876" xr:uid="{00000000-0005-0000-0000-000063070000}"/>
    <cellStyle name="標準 97 2 2 3" xfId="1877" xr:uid="{00000000-0005-0000-0000-000064070000}"/>
    <cellStyle name="標準 97 2 2 4" xfId="1878" xr:uid="{00000000-0005-0000-0000-000065070000}"/>
    <cellStyle name="標準 97 2 3" xfId="1879" xr:uid="{00000000-0005-0000-0000-000066070000}"/>
    <cellStyle name="標準 97 2 4" xfId="1880" xr:uid="{00000000-0005-0000-0000-000067070000}"/>
    <cellStyle name="標準 97 2 5" xfId="1881" xr:uid="{00000000-0005-0000-0000-000068070000}"/>
    <cellStyle name="標準 97 3" xfId="1882" xr:uid="{00000000-0005-0000-0000-000069070000}"/>
    <cellStyle name="標準 97 3 2" xfId="1883" xr:uid="{00000000-0005-0000-0000-00006A070000}"/>
    <cellStyle name="標準 97 3 3" xfId="1884" xr:uid="{00000000-0005-0000-0000-00006B070000}"/>
    <cellStyle name="標準 97 3 4" xfId="1885" xr:uid="{00000000-0005-0000-0000-00006C070000}"/>
    <cellStyle name="標準 97 4" xfId="1886" xr:uid="{00000000-0005-0000-0000-00006D070000}"/>
    <cellStyle name="標準 97 5" xfId="1887" xr:uid="{00000000-0005-0000-0000-00006E070000}"/>
    <cellStyle name="標準 97 6" xfId="1888" xr:uid="{00000000-0005-0000-0000-00006F070000}"/>
    <cellStyle name="標準 98" xfId="1889" xr:uid="{00000000-0005-0000-0000-000070070000}"/>
    <cellStyle name="標準 98 2" xfId="1890" xr:uid="{00000000-0005-0000-0000-000071070000}"/>
    <cellStyle name="標準 98 2 2" xfId="1891" xr:uid="{00000000-0005-0000-0000-000072070000}"/>
    <cellStyle name="標準 98 2 2 2" xfId="1892" xr:uid="{00000000-0005-0000-0000-000073070000}"/>
    <cellStyle name="標準 98 2 2 3" xfId="1893" xr:uid="{00000000-0005-0000-0000-000074070000}"/>
    <cellStyle name="標準 98 2 2 4" xfId="1894" xr:uid="{00000000-0005-0000-0000-000075070000}"/>
    <cellStyle name="標準 98 2 3" xfId="1895" xr:uid="{00000000-0005-0000-0000-000076070000}"/>
    <cellStyle name="標準 98 2 4" xfId="1896" xr:uid="{00000000-0005-0000-0000-000077070000}"/>
    <cellStyle name="標準 98 2 5" xfId="1897" xr:uid="{00000000-0005-0000-0000-000078070000}"/>
    <cellStyle name="標準 98 3" xfId="1898" xr:uid="{00000000-0005-0000-0000-000079070000}"/>
    <cellStyle name="標準 98 3 2" xfId="1899" xr:uid="{00000000-0005-0000-0000-00007A070000}"/>
    <cellStyle name="標準 98 3 3" xfId="1900" xr:uid="{00000000-0005-0000-0000-00007B070000}"/>
    <cellStyle name="標準 98 3 4" xfId="1901" xr:uid="{00000000-0005-0000-0000-00007C070000}"/>
    <cellStyle name="標準 98 4" xfId="1902" xr:uid="{00000000-0005-0000-0000-00007D070000}"/>
    <cellStyle name="標準 98 5" xfId="1903" xr:uid="{00000000-0005-0000-0000-00007E070000}"/>
    <cellStyle name="標準 98 6" xfId="1904" xr:uid="{00000000-0005-0000-0000-00007F070000}"/>
    <cellStyle name="標準 99" xfId="1905" xr:uid="{00000000-0005-0000-0000-000080070000}"/>
    <cellStyle name="標準 99 2" xfId="1906" xr:uid="{00000000-0005-0000-0000-000081070000}"/>
    <cellStyle name="標準 99 2 2" xfId="1907" xr:uid="{00000000-0005-0000-0000-000082070000}"/>
    <cellStyle name="標準 99 2 2 2" xfId="1908" xr:uid="{00000000-0005-0000-0000-000083070000}"/>
    <cellStyle name="標準 99 2 2 3" xfId="1909" xr:uid="{00000000-0005-0000-0000-000084070000}"/>
    <cellStyle name="標準 99 2 2 4" xfId="1910" xr:uid="{00000000-0005-0000-0000-000085070000}"/>
    <cellStyle name="標準 99 2 3" xfId="1911" xr:uid="{00000000-0005-0000-0000-000086070000}"/>
    <cellStyle name="標準 99 2 4" xfId="1912" xr:uid="{00000000-0005-0000-0000-000087070000}"/>
    <cellStyle name="標準 99 2 5" xfId="1913" xr:uid="{00000000-0005-0000-0000-000088070000}"/>
    <cellStyle name="標準 99 3" xfId="1914" xr:uid="{00000000-0005-0000-0000-000089070000}"/>
    <cellStyle name="標準 99 3 2" xfId="1915" xr:uid="{00000000-0005-0000-0000-00008A070000}"/>
    <cellStyle name="標準 99 3 3" xfId="1916" xr:uid="{00000000-0005-0000-0000-00008B070000}"/>
    <cellStyle name="標準 99 3 4" xfId="1917" xr:uid="{00000000-0005-0000-0000-00008C070000}"/>
    <cellStyle name="標準 99 4" xfId="1918" xr:uid="{00000000-0005-0000-0000-00008D070000}"/>
    <cellStyle name="標準 99 5" xfId="1919" xr:uid="{00000000-0005-0000-0000-00008E070000}"/>
    <cellStyle name="標準 99 6" xfId="1920" xr:uid="{00000000-0005-0000-0000-00008F070000}"/>
    <cellStyle name="標準１" xfId="1921" xr:uid="{00000000-0005-0000-0000-000090070000}"/>
    <cellStyle name="標準10" xfId="1922" xr:uid="{00000000-0005-0000-0000-000091070000}"/>
    <cellStyle name="標準12" xfId="1923" xr:uid="{00000000-0005-0000-0000-000092070000}"/>
    <cellStyle name="文字列" xfId="1924" xr:uid="{00000000-0005-0000-0000-000093070000}"/>
    <cellStyle name="未定義" xfId="12" xr:uid="{00000000-0005-0000-0000-000094070000}"/>
    <cellStyle name="未定義 2" xfId="1925" xr:uid="{00000000-0005-0000-0000-000095070000}"/>
    <cellStyle name="未定義 3" xfId="1926" xr:uid="{00000000-0005-0000-0000-000096070000}"/>
    <cellStyle name="未定義_030_上場有価証券総括表_詳細設計書_府令改正対応" xfId="1927" xr:uid="{00000000-0005-0000-0000-000097070000}"/>
    <cellStyle name="良い 2" xfId="1928" xr:uid="{00000000-0005-0000-0000-000098070000}"/>
    <cellStyle name="良い 3" xfId="1929" xr:uid="{00000000-0005-0000-0000-000099070000}"/>
    <cellStyle name="良い 4" xfId="1930" xr:uid="{00000000-0005-0000-0000-00009A070000}"/>
    <cellStyle name="良い 5" xfId="1931" xr:uid="{00000000-0005-0000-0000-00009B070000}"/>
    <cellStyle name="良い 6" xfId="1932" xr:uid="{00000000-0005-0000-0000-00009C070000}"/>
    <cellStyle name="良い 7" xfId="1933" xr:uid="{00000000-0005-0000-0000-00009D070000}"/>
    <cellStyle name="良い 8" xfId="1934" xr:uid="{00000000-0005-0000-0000-00009E070000}"/>
    <cellStyle name="良い 9" xfId="1935" xr:uid="{00000000-0005-0000-0000-00009F070000}"/>
    <cellStyle name="표준_4.3.1_取引処理（取引処理制御１－１）" xfId="1936" xr:uid="{00000000-0005-0000-0000-0000A0070000}"/>
  </cellStyles>
  <dxfs count="0"/>
  <tableStyles count="0" defaultTableStyle="TableStyleMedium2" defaultPivotStyle="PivotStyleLight16"/>
  <colors>
    <mruColors>
      <color rgb="FFFF00FF"/>
      <color rgb="FFFFEBFF"/>
      <color rgb="FFCCFFCC"/>
      <color rgb="FF99FF99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733425</xdr:colOff>
      <xdr:row>0</xdr:row>
      <xdr:rowOff>28575</xdr:rowOff>
    </xdr:from>
    <xdr:ext cx="9830920" cy="672353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5845CDA-DD77-4264-9402-267472E40A43}"/>
            </a:ext>
          </a:extLst>
        </xdr:cNvPr>
        <xdr:cNvSpPr/>
      </xdr:nvSpPr>
      <xdr:spPr>
        <a:xfrm>
          <a:off x="19011900" y="28575"/>
          <a:ext cx="9830920" cy="67235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t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month.The final position for Commodity futures (physically-delivered futures) means "Basic Delivery Volume".</a:t>
          </a:r>
          <a:endParaRPr kumimoji="1" lang="en-US" altLang="ja-JP" sz="1100" kern="0" spc="0" baseline="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金限日先物、白金限日先物の希望受渡高は、「早受渡・申告受渡高」に出力する。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※"Delivery on Request Volume" for Gold Rolling-Spot Futures and Platinum Rolling-Spot Futures is displayed on "Early Delivery, Declared Delivery Volume".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28576</xdr:colOff>
      <xdr:row>0</xdr:row>
      <xdr:rowOff>28575</xdr:rowOff>
    </xdr:from>
    <xdr:ext cx="9486900" cy="333376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5D15AC2-957B-416F-BF7F-92BE968ED9B3}"/>
            </a:ext>
          </a:extLst>
        </xdr:cNvPr>
        <xdr:cNvSpPr/>
      </xdr:nvSpPr>
      <xdr:spPr>
        <a:xfrm>
          <a:off x="20231101" y="28575"/>
          <a:ext cx="9486900" cy="33337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36000" tIns="0" rIns="0" bIns="0" rtlCol="0" anchor="ctr">
          <a:noAutofit/>
        </a:bodyPr>
        <a:lstStyle/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建玉現在高は月末現在。ただし、*印は限月到来銘柄の最終建玉高。商品先物（現物先物取引）の最終建玉高は「本受渡高」を意味する。</a:t>
          </a:r>
        </a:p>
        <a:p>
          <a:pPr algn="l"/>
          <a:r>
            <a:rPr kumimoji="1" lang="en-US" altLang="ja-JP" sz="800" kern="0" spc="0" baseline="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Open interest is as of end of month. * is a final position of the contract month. The final position for Commodity futures (physically-delivered futures) means "Basic Delivery Volume".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50000"/>
            </a:schemeClr>
          </a:solidFill>
        </a:ln>
      </a:spPr>
      <a:bodyPr vertOverflow="clip" horzOverflow="clip" rtlCol="0" anchor="t"/>
      <a:lstStyle>
        <a:defPPr algn="l">
          <a:defRPr kumimoji="1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C95"/>
  <sheetViews>
    <sheetView showGridLines="0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6" customWidth="1"/>
    <col min="2" max="2" width="25.75" style="16" bestFit="1" customWidth="1"/>
    <col min="3" max="3" width="34.5" style="16" bestFit="1" customWidth="1"/>
    <col min="4" max="6" width="10.25" style="16" bestFit="1" customWidth="1"/>
    <col min="7" max="7" width="5.25" style="16" customWidth="1"/>
    <col min="8" max="8" width="15.25" style="16" customWidth="1"/>
    <col min="9" max="9" width="5.25" style="16" customWidth="1"/>
    <col min="10" max="10" width="15.25" style="16" customWidth="1"/>
    <col min="11" max="11" width="5.25" style="16" customWidth="1"/>
    <col min="12" max="12" width="15.25" style="16" customWidth="1"/>
    <col min="13" max="13" width="5.25" style="16" customWidth="1"/>
    <col min="14" max="14" width="15.25" style="16" customWidth="1"/>
    <col min="15" max="15" width="5.25" style="16" customWidth="1"/>
    <col min="16" max="16" width="15.25" style="16" customWidth="1"/>
    <col min="17" max="17" width="5.25" style="16" customWidth="1"/>
    <col min="18" max="19" width="15.25" style="16" customWidth="1"/>
    <col min="20" max="22" width="15" style="16" customWidth="1"/>
    <col min="23" max="25" width="21.25" style="16" customWidth="1"/>
    <col min="26" max="26" width="2.375" style="16" bestFit="1" customWidth="1"/>
    <col min="27" max="27" width="15.25" style="16" customWidth="1"/>
    <col min="28" max="28" width="17.625" style="16" customWidth="1"/>
    <col min="29" max="29" width="7" style="16" bestFit="1" customWidth="1"/>
    <col min="30" max="16384" width="9" style="10"/>
  </cols>
  <sheetData>
    <row r="1" spans="1:29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11"/>
      <c r="L1" s="11"/>
      <c r="M1" s="11"/>
      <c r="N1" s="11"/>
      <c r="O1" s="11"/>
      <c r="P1" s="11"/>
      <c r="Q1" s="11"/>
      <c r="R1" s="11"/>
      <c r="S1" s="11"/>
      <c r="T1" s="11"/>
      <c r="U1" s="17"/>
      <c r="V1" s="17"/>
      <c r="W1" s="17"/>
      <c r="X1" s="18"/>
      <c r="Y1" s="18"/>
      <c r="Z1" s="18"/>
      <c r="AA1" s="18"/>
      <c r="AB1" s="18"/>
      <c r="AC1" s="19"/>
    </row>
    <row r="2" spans="1:29" ht="30" customHeight="1">
      <c r="A2" s="31" t="s">
        <v>27</v>
      </c>
      <c r="B2" s="32"/>
      <c r="C2" s="32"/>
      <c r="D2" s="25"/>
      <c r="E2" s="25"/>
      <c r="F2" s="25"/>
      <c r="G2" s="25"/>
      <c r="H2" s="25"/>
      <c r="I2" s="25"/>
      <c r="J2" s="25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3"/>
    </row>
    <row r="3" spans="1:29" ht="14.1" customHeight="1">
      <c r="A3" s="54" t="s">
        <v>0</v>
      </c>
      <c r="B3" s="49" t="s">
        <v>7</v>
      </c>
      <c r="C3" s="49" t="s">
        <v>25</v>
      </c>
      <c r="D3" s="40" t="s">
        <v>1</v>
      </c>
      <c r="E3" s="56" t="s">
        <v>5</v>
      </c>
      <c r="F3" s="57"/>
      <c r="G3" s="61" t="s">
        <v>24</v>
      </c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44" t="s">
        <v>39</v>
      </c>
      <c r="T3" s="51" t="s">
        <v>23</v>
      </c>
      <c r="U3" s="52"/>
      <c r="V3" s="53"/>
      <c r="W3" s="51" t="s">
        <v>22</v>
      </c>
      <c r="X3" s="52"/>
      <c r="Y3" s="53"/>
      <c r="Z3" s="46" t="s">
        <v>21</v>
      </c>
      <c r="AA3" s="47"/>
      <c r="AB3" s="49" t="s">
        <v>28</v>
      </c>
      <c r="AC3" s="33" t="s">
        <v>20</v>
      </c>
    </row>
    <row r="4" spans="1:29" ht="9" customHeight="1">
      <c r="A4" s="55"/>
      <c r="B4" s="50"/>
      <c r="C4" s="50"/>
      <c r="D4" s="43"/>
      <c r="E4" s="46"/>
      <c r="F4" s="47"/>
      <c r="G4" s="35" t="s">
        <v>6</v>
      </c>
      <c r="H4" s="37" t="s">
        <v>34</v>
      </c>
      <c r="I4" s="35" t="s">
        <v>6</v>
      </c>
      <c r="J4" s="41" t="s">
        <v>35</v>
      </c>
      <c r="K4" s="39" t="s">
        <v>2</v>
      </c>
      <c r="L4" s="39"/>
      <c r="M4" s="35" t="s">
        <v>6</v>
      </c>
      <c r="N4" s="41" t="s">
        <v>37</v>
      </c>
      <c r="O4" s="39" t="s">
        <v>2</v>
      </c>
      <c r="P4" s="39"/>
      <c r="Q4" s="35" t="s">
        <v>6</v>
      </c>
      <c r="R4" s="37" t="s">
        <v>38</v>
      </c>
      <c r="S4" s="45"/>
      <c r="T4" s="40" t="s">
        <v>3</v>
      </c>
      <c r="U4" s="43" t="s">
        <v>19</v>
      </c>
      <c r="V4" s="45" t="s">
        <v>30</v>
      </c>
      <c r="W4" s="40" t="s">
        <v>3</v>
      </c>
      <c r="X4" s="43" t="s">
        <v>18</v>
      </c>
      <c r="Y4" s="45" t="s">
        <v>32</v>
      </c>
      <c r="Z4" s="46"/>
      <c r="AA4" s="47"/>
      <c r="AB4" s="50"/>
      <c r="AC4" s="34"/>
    </row>
    <row r="5" spans="1:29" ht="27" customHeight="1">
      <c r="A5" s="55"/>
      <c r="B5" s="50"/>
      <c r="C5" s="50"/>
      <c r="D5" s="43"/>
      <c r="E5" s="58"/>
      <c r="F5" s="48"/>
      <c r="G5" s="36"/>
      <c r="H5" s="38"/>
      <c r="I5" s="36"/>
      <c r="J5" s="42"/>
      <c r="K5" s="14" t="s">
        <v>17</v>
      </c>
      <c r="L5" s="20" t="s">
        <v>36</v>
      </c>
      <c r="M5" s="36"/>
      <c r="N5" s="42"/>
      <c r="O5" s="14" t="s">
        <v>17</v>
      </c>
      <c r="P5" s="20" t="s">
        <v>36</v>
      </c>
      <c r="Q5" s="36"/>
      <c r="R5" s="38"/>
      <c r="S5" s="45"/>
      <c r="T5" s="40"/>
      <c r="U5" s="43"/>
      <c r="V5" s="45"/>
      <c r="W5" s="40"/>
      <c r="X5" s="43"/>
      <c r="Y5" s="45"/>
      <c r="Z5" s="46"/>
      <c r="AA5" s="48"/>
      <c r="AB5" s="40"/>
      <c r="AC5" s="34"/>
    </row>
    <row r="6" spans="1:29" ht="36" customHeight="1">
      <c r="A6" s="26" t="s">
        <v>16</v>
      </c>
      <c r="B6" s="40"/>
      <c r="C6" s="40"/>
      <c r="D6" s="23" t="s">
        <v>4</v>
      </c>
      <c r="E6" s="59" t="s">
        <v>15</v>
      </c>
      <c r="F6" s="60"/>
      <c r="G6" s="14" t="s">
        <v>14</v>
      </c>
      <c r="H6" s="21" t="s">
        <v>40</v>
      </c>
      <c r="I6" s="14" t="s">
        <v>14</v>
      </c>
      <c r="J6" s="20" t="s">
        <v>41</v>
      </c>
      <c r="K6" s="14" t="s">
        <v>14</v>
      </c>
      <c r="L6" s="20" t="s">
        <v>42</v>
      </c>
      <c r="M6" s="14" t="s">
        <v>14</v>
      </c>
      <c r="N6" s="20" t="s">
        <v>43</v>
      </c>
      <c r="O6" s="14" t="s">
        <v>14</v>
      </c>
      <c r="P6" s="20" t="s">
        <v>42</v>
      </c>
      <c r="Q6" s="14" t="s">
        <v>14</v>
      </c>
      <c r="R6" s="20" t="s">
        <v>44</v>
      </c>
      <c r="S6" s="24" t="s">
        <v>45</v>
      </c>
      <c r="T6" s="23" t="s">
        <v>13</v>
      </c>
      <c r="U6" s="23" t="s">
        <v>12</v>
      </c>
      <c r="V6" s="24" t="s">
        <v>31</v>
      </c>
      <c r="W6" s="23" t="s">
        <v>11</v>
      </c>
      <c r="X6" s="23" t="s">
        <v>10</v>
      </c>
      <c r="Y6" s="24" t="s">
        <v>33</v>
      </c>
      <c r="Z6" s="59" t="s">
        <v>9</v>
      </c>
      <c r="AA6" s="60"/>
      <c r="AB6" s="15" t="s">
        <v>29</v>
      </c>
      <c r="AC6" s="22" t="s">
        <v>8</v>
      </c>
    </row>
    <row r="7" spans="1:29">
      <c r="A7" s="9" t="s">
        <v>46</v>
      </c>
      <c r="B7" s="8" t="s">
        <v>47</v>
      </c>
      <c r="C7" s="8" t="s">
        <v>48</v>
      </c>
      <c r="D7" s="8" t="s">
        <v>49</v>
      </c>
      <c r="E7" s="7" t="s">
        <v>50</v>
      </c>
      <c r="F7" s="7" t="s">
        <v>51</v>
      </c>
      <c r="G7" s="3" t="s">
        <v>52</v>
      </c>
      <c r="H7" s="6" t="s">
        <v>53</v>
      </c>
      <c r="I7" s="3" t="s">
        <v>52</v>
      </c>
      <c r="J7" s="6" t="s">
        <v>54</v>
      </c>
      <c r="K7" s="3"/>
      <c r="L7" s="6"/>
      <c r="M7" s="3" t="s">
        <v>55</v>
      </c>
      <c r="N7" s="6" t="s">
        <v>56</v>
      </c>
      <c r="O7" s="3"/>
      <c r="P7" s="6"/>
      <c r="Q7" s="3" t="s">
        <v>57</v>
      </c>
      <c r="R7" s="6" t="s">
        <v>58</v>
      </c>
      <c r="S7" s="5">
        <f>7630.16</f>
        <v>7630.16</v>
      </c>
      <c r="T7" s="4">
        <f>1048</f>
        <v>1048</v>
      </c>
      <c r="U7" s="4"/>
      <c r="V7" s="4">
        <v>14</v>
      </c>
      <c r="W7" s="4">
        <f>8004518000</f>
        <v>8004518000</v>
      </c>
      <c r="X7" s="4"/>
      <c r="Y7" s="4">
        <v>106947000</v>
      </c>
      <c r="Z7" s="3"/>
      <c r="AA7" s="2">
        <f>489</f>
        <v>489</v>
      </c>
      <c r="AB7" s="2" t="str">
        <f t="shared" ref="AB7:AB38" si="0">"－"</f>
        <v>－</v>
      </c>
      <c r="AC7" s="1">
        <f>19</f>
        <v>19</v>
      </c>
    </row>
    <row r="8" spans="1:29">
      <c r="A8" s="9" t="s">
        <v>46</v>
      </c>
      <c r="B8" s="8" t="s">
        <v>47</v>
      </c>
      <c r="C8" s="8" t="s">
        <v>48</v>
      </c>
      <c r="D8" s="8" t="s">
        <v>59</v>
      </c>
      <c r="E8" s="7" t="s">
        <v>60</v>
      </c>
      <c r="F8" s="7" t="s">
        <v>61</v>
      </c>
      <c r="G8" s="3" t="s">
        <v>52</v>
      </c>
      <c r="H8" s="6" t="s">
        <v>62</v>
      </c>
      <c r="I8" s="3" t="s">
        <v>52</v>
      </c>
      <c r="J8" s="6" t="s">
        <v>63</v>
      </c>
      <c r="K8" s="3"/>
      <c r="L8" s="6"/>
      <c r="M8" s="3" t="s">
        <v>55</v>
      </c>
      <c r="N8" s="6" t="s">
        <v>64</v>
      </c>
      <c r="O8" s="3"/>
      <c r="P8" s="6"/>
      <c r="Q8" s="3" t="s">
        <v>57</v>
      </c>
      <c r="R8" s="6" t="s">
        <v>65</v>
      </c>
      <c r="S8" s="5">
        <f>7633.32</f>
        <v>7633.32</v>
      </c>
      <c r="T8" s="4">
        <f>2378</f>
        <v>2378</v>
      </c>
      <c r="U8" s="4"/>
      <c r="V8" s="4">
        <v>97</v>
      </c>
      <c r="W8" s="4">
        <f>18192791000</f>
        <v>18192791000</v>
      </c>
      <c r="X8" s="4"/>
      <c r="Y8" s="4">
        <v>739556000</v>
      </c>
      <c r="Z8" s="3"/>
      <c r="AA8" s="2">
        <f>2120</f>
        <v>2120</v>
      </c>
      <c r="AB8" s="2" t="str">
        <f t="shared" si="0"/>
        <v>－</v>
      </c>
      <c r="AC8" s="1">
        <f>19</f>
        <v>19</v>
      </c>
    </row>
    <row r="9" spans="1:29">
      <c r="A9" s="9" t="s">
        <v>46</v>
      </c>
      <c r="B9" s="8" t="s">
        <v>47</v>
      </c>
      <c r="C9" s="8" t="s">
        <v>48</v>
      </c>
      <c r="D9" s="8" t="s">
        <v>66</v>
      </c>
      <c r="E9" s="7" t="s">
        <v>67</v>
      </c>
      <c r="F9" s="7" t="s">
        <v>68</v>
      </c>
      <c r="G9" s="3" t="s">
        <v>52</v>
      </c>
      <c r="H9" s="6" t="s">
        <v>69</v>
      </c>
      <c r="I9" s="3" t="s">
        <v>52</v>
      </c>
      <c r="J9" s="6" t="s">
        <v>70</v>
      </c>
      <c r="K9" s="3"/>
      <c r="L9" s="6"/>
      <c r="M9" s="3" t="s">
        <v>55</v>
      </c>
      <c r="N9" s="6" t="s">
        <v>71</v>
      </c>
      <c r="O9" s="3"/>
      <c r="P9" s="6"/>
      <c r="Q9" s="3" t="s">
        <v>57</v>
      </c>
      <c r="R9" s="6" t="s">
        <v>72</v>
      </c>
      <c r="S9" s="5">
        <f>7628.89</f>
        <v>7628.89</v>
      </c>
      <c r="T9" s="4">
        <f>2224</f>
        <v>2224</v>
      </c>
      <c r="U9" s="4"/>
      <c r="V9" s="4">
        <v>171</v>
      </c>
      <c r="W9" s="4">
        <f>16931780000</f>
        <v>16931780000</v>
      </c>
      <c r="X9" s="4"/>
      <c r="Y9" s="4">
        <v>1304236000</v>
      </c>
      <c r="Z9" s="3"/>
      <c r="AA9" s="2">
        <f>2259</f>
        <v>2259</v>
      </c>
      <c r="AB9" s="2" t="str">
        <f t="shared" si="0"/>
        <v>－</v>
      </c>
      <c r="AC9" s="1">
        <f>19</f>
        <v>19</v>
      </c>
    </row>
    <row r="10" spans="1:29">
      <c r="A10" s="9" t="s">
        <v>46</v>
      </c>
      <c r="B10" s="8" t="s">
        <v>47</v>
      </c>
      <c r="C10" s="8" t="s">
        <v>48</v>
      </c>
      <c r="D10" s="8" t="s">
        <v>73</v>
      </c>
      <c r="E10" s="7" t="s">
        <v>74</v>
      </c>
      <c r="F10" s="7" t="s">
        <v>75</v>
      </c>
      <c r="G10" s="3" t="s">
        <v>52</v>
      </c>
      <c r="H10" s="6" t="s">
        <v>53</v>
      </c>
      <c r="I10" s="3" t="s">
        <v>52</v>
      </c>
      <c r="J10" s="6" t="s">
        <v>70</v>
      </c>
      <c r="K10" s="3"/>
      <c r="L10" s="6"/>
      <c r="M10" s="3" t="s">
        <v>55</v>
      </c>
      <c r="N10" s="6" t="s">
        <v>76</v>
      </c>
      <c r="O10" s="3"/>
      <c r="P10" s="6"/>
      <c r="Q10" s="3" t="s">
        <v>57</v>
      </c>
      <c r="R10" s="6" t="s">
        <v>77</v>
      </c>
      <c r="S10" s="5">
        <f>7623.16</f>
        <v>7623.16</v>
      </c>
      <c r="T10" s="4">
        <f>7437</f>
        <v>7437</v>
      </c>
      <c r="U10" s="4"/>
      <c r="V10" s="4">
        <v>1218</v>
      </c>
      <c r="W10" s="4">
        <f>56786350000</f>
        <v>56786350000</v>
      </c>
      <c r="X10" s="4"/>
      <c r="Y10" s="4">
        <v>9293563000</v>
      </c>
      <c r="Z10" s="3"/>
      <c r="AA10" s="2">
        <f>5374</f>
        <v>5374</v>
      </c>
      <c r="AB10" s="2" t="str">
        <f t="shared" si="0"/>
        <v>－</v>
      </c>
      <c r="AC10" s="1">
        <f>19</f>
        <v>19</v>
      </c>
    </row>
    <row r="11" spans="1:29">
      <c r="A11" s="9" t="s">
        <v>46</v>
      </c>
      <c r="B11" s="8" t="s">
        <v>47</v>
      </c>
      <c r="C11" s="8" t="s">
        <v>48</v>
      </c>
      <c r="D11" s="8" t="s">
        <v>78</v>
      </c>
      <c r="E11" s="7" t="s">
        <v>79</v>
      </c>
      <c r="F11" s="7" t="s">
        <v>80</v>
      </c>
      <c r="G11" s="3" t="s">
        <v>52</v>
      </c>
      <c r="H11" s="6" t="s">
        <v>81</v>
      </c>
      <c r="I11" s="3" t="s">
        <v>52</v>
      </c>
      <c r="J11" s="6" t="s">
        <v>82</v>
      </c>
      <c r="K11" s="3" t="s">
        <v>52</v>
      </c>
      <c r="L11" s="6" t="s">
        <v>83</v>
      </c>
      <c r="M11" s="3" t="s">
        <v>55</v>
      </c>
      <c r="N11" s="6" t="s">
        <v>84</v>
      </c>
      <c r="O11" s="3" t="s">
        <v>85</v>
      </c>
      <c r="P11" s="6" t="s">
        <v>86</v>
      </c>
      <c r="Q11" s="3" t="s">
        <v>57</v>
      </c>
      <c r="R11" s="6" t="s">
        <v>87</v>
      </c>
      <c r="S11" s="5">
        <f>7619.68</f>
        <v>7619.68</v>
      </c>
      <c r="T11" s="4">
        <f>55142</f>
        <v>55142</v>
      </c>
      <c r="U11" s="4">
        <v>4</v>
      </c>
      <c r="V11" s="4">
        <v>9774</v>
      </c>
      <c r="W11" s="4">
        <f>422073399000</f>
        <v>422073399000</v>
      </c>
      <c r="X11" s="4">
        <v>30433000</v>
      </c>
      <c r="Y11" s="4">
        <v>74450529000</v>
      </c>
      <c r="Z11" s="3"/>
      <c r="AA11" s="2">
        <f>11603</f>
        <v>11603</v>
      </c>
      <c r="AB11" s="2" t="str">
        <f t="shared" si="0"/>
        <v>－</v>
      </c>
      <c r="AC11" s="1">
        <f>19</f>
        <v>19</v>
      </c>
    </row>
    <row r="12" spans="1:29">
      <c r="A12" s="9" t="s">
        <v>46</v>
      </c>
      <c r="B12" s="8" t="s">
        <v>47</v>
      </c>
      <c r="C12" s="8" t="s">
        <v>48</v>
      </c>
      <c r="D12" s="8" t="s">
        <v>88</v>
      </c>
      <c r="E12" s="7" t="s">
        <v>89</v>
      </c>
      <c r="F12" s="7" t="s">
        <v>90</v>
      </c>
      <c r="G12" s="3" t="s">
        <v>52</v>
      </c>
      <c r="H12" s="6" t="s">
        <v>91</v>
      </c>
      <c r="I12" s="3" t="s">
        <v>52</v>
      </c>
      <c r="J12" s="6" t="s">
        <v>92</v>
      </c>
      <c r="K12" s="3" t="s">
        <v>93</v>
      </c>
      <c r="L12" s="6" t="s">
        <v>94</v>
      </c>
      <c r="M12" s="3" t="s">
        <v>55</v>
      </c>
      <c r="N12" s="6" t="s">
        <v>95</v>
      </c>
      <c r="O12" s="3" t="s">
        <v>96</v>
      </c>
      <c r="P12" s="6" t="s">
        <v>97</v>
      </c>
      <c r="Q12" s="3" t="s">
        <v>57</v>
      </c>
      <c r="R12" s="6" t="s">
        <v>98</v>
      </c>
      <c r="S12" s="5">
        <f>7620.63</f>
        <v>7620.63</v>
      </c>
      <c r="T12" s="4">
        <f>505872</f>
        <v>505872</v>
      </c>
      <c r="U12" s="4">
        <v>60</v>
      </c>
      <c r="V12" s="4">
        <v>8954</v>
      </c>
      <c r="W12" s="4">
        <f>3857148489000</f>
        <v>3857148489000</v>
      </c>
      <c r="X12" s="4">
        <v>460020000</v>
      </c>
      <c r="Y12" s="4">
        <v>68206782000</v>
      </c>
      <c r="Z12" s="3"/>
      <c r="AA12" s="2">
        <f>21051</f>
        <v>21051</v>
      </c>
      <c r="AB12" s="2" t="str">
        <f t="shared" si="0"/>
        <v>－</v>
      </c>
      <c r="AC12" s="1">
        <f>19</f>
        <v>19</v>
      </c>
    </row>
    <row r="13" spans="1:29">
      <c r="A13" s="9" t="s">
        <v>46</v>
      </c>
      <c r="B13" s="8" t="s">
        <v>99</v>
      </c>
      <c r="C13" s="8" t="s">
        <v>100</v>
      </c>
      <c r="D13" s="8" t="s">
        <v>49</v>
      </c>
      <c r="E13" s="7" t="s">
        <v>50</v>
      </c>
      <c r="F13" s="7" t="s">
        <v>101</v>
      </c>
      <c r="G13" s="3" t="s">
        <v>52</v>
      </c>
      <c r="H13" s="6" t="s">
        <v>102</v>
      </c>
      <c r="I13" s="3" t="s">
        <v>52</v>
      </c>
      <c r="J13" s="6" t="s">
        <v>103</v>
      </c>
      <c r="K13" s="3"/>
      <c r="L13" s="6"/>
      <c r="M13" s="3" t="s">
        <v>55</v>
      </c>
      <c r="N13" s="6" t="s">
        <v>104</v>
      </c>
      <c r="O13" s="3"/>
      <c r="P13" s="6"/>
      <c r="Q13" s="3" t="s">
        <v>57</v>
      </c>
      <c r="R13" s="6" t="s">
        <v>105</v>
      </c>
      <c r="S13" s="5">
        <f>7630.16</f>
        <v>7630.16</v>
      </c>
      <c r="T13" s="4">
        <f>715</f>
        <v>715</v>
      </c>
      <c r="U13" s="4"/>
      <c r="V13" s="4">
        <v>123</v>
      </c>
      <c r="W13" s="4">
        <f>542720100</f>
        <v>542720100</v>
      </c>
      <c r="X13" s="4"/>
      <c r="Y13" s="4">
        <v>93512000</v>
      </c>
      <c r="Z13" s="3"/>
      <c r="AA13" s="2">
        <f>465</f>
        <v>465</v>
      </c>
      <c r="AB13" s="2" t="str">
        <f t="shared" si="0"/>
        <v>－</v>
      </c>
      <c r="AC13" s="1">
        <f>16</f>
        <v>16</v>
      </c>
    </row>
    <row r="14" spans="1:29">
      <c r="A14" s="9" t="s">
        <v>46</v>
      </c>
      <c r="B14" s="8" t="s">
        <v>99</v>
      </c>
      <c r="C14" s="8" t="s">
        <v>100</v>
      </c>
      <c r="D14" s="8" t="s">
        <v>59</v>
      </c>
      <c r="E14" s="7" t="s">
        <v>60</v>
      </c>
      <c r="F14" s="7" t="s">
        <v>106</v>
      </c>
      <c r="G14" s="3" t="s">
        <v>52</v>
      </c>
      <c r="H14" s="6" t="s">
        <v>107</v>
      </c>
      <c r="I14" s="3" t="s">
        <v>52</v>
      </c>
      <c r="J14" s="6" t="s">
        <v>107</v>
      </c>
      <c r="K14" s="3"/>
      <c r="L14" s="6"/>
      <c r="M14" s="3" t="s">
        <v>55</v>
      </c>
      <c r="N14" s="6" t="s">
        <v>108</v>
      </c>
      <c r="O14" s="3"/>
      <c r="P14" s="6"/>
      <c r="Q14" s="3" t="s">
        <v>57</v>
      </c>
      <c r="R14" s="6" t="s">
        <v>109</v>
      </c>
      <c r="S14" s="5">
        <f>7633.32</f>
        <v>7633.32</v>
      </c>
      <c r="T14" s="4">
        <f>519</f>
        <v>519</v>
      </c>
      <c r="U14" s="4"/>
      <c r="V14" s="4">
        <v>175</v>
      </c>
      <c r="W14" s="4">
        <f>392269450</f>
        <v>392269450</v>
      </c>
      <c r="X14" s="4"/>
      <c r="Y14" s="4">
        <v>132931250</v>
      </c>
      <c r="Z14" s="3"/>
      <c r="AA14" s="2">
        <f>2178</f>
        <v>2178</v>
      </c>
      <c r="AB14" s="2" t="str">
        <f t="shared" si="0"/>
        <v>－</v>
      </c>
      <c r="AC14" s="1">
        <f>17</f>
        <v>17</v>
      </c>
    </row>
    <row r="15" spans="1:29">
      <c r="A15" s="9" t="s">
        <v>46</v>
      </c>
      <c r="B15" s="8" t="s">
        <v>99</v>
      </c>
      <c r="C15" s="8" t="s">
        <v>100</v>
      </c>
      <c r="D15" s="8" t="s">
        <v>66</v>
      </c>
      <c r="E15" s="7" t="s">
        <v>67</v>
      </c>
      <c r="F15" s="7" t="s">
        <v>110</v>
      </c>
      <c r="G15" s="3" t="s">
        <v>52</v>
      </c>
      <c r="H15" s="6" t="s">
        <v>111</v>
      </c>
      <c r="I15" s="3" t="s">
        <v>52</v>
      </c>
      <c r="J15" s="6" t="s">
        <v>111</v>
      </c>
      <c r="K15" s="3"/>
      <c r="L15" s="6"/>
      <c r="M15" s="3" t="s">
        <v>112</v>
      </c>
      <c r="N15" s="6" t="s">
        <v>108</v>
      </c>
      <c r="O15" s="3"/>
      <c r="P15" s="6"/>
      <c r="Q15" s="3" t="s">
        <v>57</v>
      </c>
      <c r="R15" s="6" t="s">
        <v>113</v>
      </c>
      <c r="S15" s="5">
        <f>7628.89</f>
        <v>7628.89</v>
      </c>
      <c r="T15" s="4">
        <f>425</f>
        <v>425</v>
      </c>
      <c r="U15" s="4"/>
      <c r="V15" s="4">
        <v>89</v>
      </c>
      <c r="W15" s="4">
        <f>321140050</f>
        <v>321140050</v>
      </c>
      <c r="X15" s="4"/>
      <c r="Y15" s="4">
        <v>67546950</v>
      </c>
      <c r="Z15" s="3"/>
      <c r="AA15" s="2">
        <f>533</f>
        <v>533</v>
      </c>
      <c r="AB15" s="2" t="str">
        <f t="shared" si="0"/>
        <v>－</v>
      </c>
      <c r="AC15" s="1">
        <f>18</f>
        <v>18</v>
      </c>
    </row>
    <row r="16" spans="1:29">
      <c r="A16" s="9" t="s">
        <v>46</v>
      </c>
      <c r="B16" s="8" t="s">
        <v>99</v>
      </c>
      <c r="C16" s="8" t="s">
        <v>100</v>
      </c>
      <c r="D16" s="8" t="s">
        <v>73</v>
      </c>
      <c r="E16" s="7" t="s">
        <v>74</v>
      </c>
      <c r="F16" s="7" t="s">
        <v>114</v>
      </c>
      <c r="G16" s="3" t="s">
        <v>52</v>
      </c>
      <c r="H16" s="6" t="s">
        <v>115</v>
      </c>
      <c r="I16" s="3" t="s">
        <v>52</v>
      </c>
      <c r="J16" s="6" t="s">
        <v>116</v>
      </c>
      <c r="K16" s="3"/>
      <c r="L16" s="6"/>
      <c r="M16" s="3" t="s">
        <v>55</v>
      </c>
      <c r="N16" s="6" t="s">
        <v>117</v>
      </c>
      <c r="O16" s="3"/>
      <c r="P16" s="6"/>
      <c r="Q16" s="3" t="s">
        <v>57</v>
      </c>
      <c r="R16" s="6" t="s">
        <v>118</v>
      </c>
      <c r="S16" s="5">
        <f>7623.16</f>
        <v>7623.16</v>
      </c>
      <c r="T16" s="4">
        <f>667</f>
        <v>667</v>
      </c>
      <c r="U16" s="4"/>
      <c r="V16" s="4"/>
      <c r="W16" s="4">
        <f>510012150</f>
        <v>510012150</v>
      </c>
      <c r="X16" s="4"/>
      <c r="Y16" s="4"/>
      <c r="Z16" s="3"/>
      <c r="AA16" s="2">
        <f>1221</f>
        <v>1221</v>
      </c>
      <c r="AB16" s="2" t="str">
        <f t="shared" si="0"/>
        <v>－</v>
      </c>
      <c r="AC16" s="1">
        <f>19</f>
        <v>19</v>
      </c>
    </row>
    <row r="17" spans="1:29">
      <c r="A17" s="9" t="s">
        <v>46</v>
      </c>
      <c r="B17" s="8" t="s">
        <v>99</v>
      </c>
      <c r="C17" s="8" t="s">
        <v>100</v>
      </c>
      <c r="D17" s="8" t="s">
        <v>78</v>
      </c>
      <c r="E17" s="7" t="s">
        <v>79</v>
      </c>
      <c r="F17" s="7" t="s">
        <v>119</v>
      </c>
      <c r="G17" s="3" t="s">
        <v>52</v>
      </c>
      <c r="H17" s="6" t="s">
        <v>120</v>
      </c>
      <c r="I17" s="3" t="s">
        <v>52</v>
      </c>
      <c r="J17" s="6" t="s">
        <v>121</v>
      </c>
      <c r="K17" s="3"/>
      <c r="L17" s="6"/>
      <c r="M17" s="3" t="s">
        <v>55</v>
      </c>
      <c r="N17" s="6" t="s">
        <v>122</v>
      </c>
      <c r="O17" s="3"/>
      <c r="P17" s="6"/>
      <c r="Q17" s="3" t="s">
        <v>57</v>
      </c>
      <c r="R17" s="6" t="s">
        <v>123</v>
      </c>
      <c r="S17" s="5">
        <f>7619.68</f>
        <v>7619.68</v>
      </c>
      <c r="T17" s="4">
        <f>18330</f>
        <v>18330</v>
      </c>
      <c r="U17" s="4"/>
      <c r="V17" s="4">
        <v>37</v>
      </c>
      <c r="W17" s="4">
        <f>14124952450</f>
        <v>14124952450</v>
      </c>
      <c r="X17" s="4"/>
      <c r="Y17" s="4">
        <v>28055250</v>
      </c>
      <c r="Z17" s="3"/>
      <c r="AA17" s="2">
        <f>2576</f>
        <v>2576</v>
      </c>
      <c r="AB17" s="2" t="str">
        <f t="shared" si="0"/>
        <v>－</v>
      </c>
      <c r="AC17" s="1">
        <f>19</f>
        <v>19</v>
      </c>
    </row>
    <row r="18" spans="1:29">
      <c r="A18" s="9" t="s">
        <v>46</v>
      </c>
      <c r="B18" s="8" t="s">
        <v>99</v>
      </c>
      <c r="C18" s="8" t="s">
        <v>100</v>
      </c>
      <c r="D18" s="8" t="s">
        <v>88</v>
      </c>
      <c r="E18" s="7" t="s">
        <v>89</v>
      </c>
      <c r="F18" s="7" t="s">
        <v>124</v>
      </c>
      <c r="G18" s="3" t="s">
        <v>52</v>
      </c>
      <c r="H18" s="6" t="s">
        <v>125</v>
      </c>
      <c r="I18" s="3" t="s">
        <v>52</v>
      </c>
      <c r="J18" s="6" t="s">
        <v>126</v>
      </c>
      <c r="K18" s="3"/>
      <c r="L18" s="6"/>
      <c r="M18" s="3" t="s">
        <v>55</v>
      </c>
      <c r="N18" s="6" t="s">
        <v>127</v>
      </c>
      <c r="O18" s="3"/>
      <c r="P18" s="6"/>
      <c r="Q18" s="3" t="s">
        <v>57</v>
      </c>
      <c r="R18" s="6" t="s">
        <v>128</v>
      </c>
      <c r="S18" s="5">
        <f>7620.63</f>
        <v>7620.63</v>
      </c>
      <c r="T18" s="4">
        <f>141512</f>
        <v>141512</v>
      </c>
      <c r="U18" s="4"/>
      <c r="V18" s="4"/>
      <c r="W18" s="4">
        <f>107803464000</f>
        <v>107803464000</v>
      </c>
      <c r="X18" s="4"/>
      <c r="Y18" s="4"/>
      <c r="Z18" s="3"/>
      <c r="AA18" s="2">
        <f>3518</f>
        <v>3518</v>
      </c>
      <c r="AB18" s="2" t="str">
        <f t="shared" si="0"/>
        <v>－</v>
      </c>
      <c r="AC18" s="1">
        <f>19</f>
        <v>19</v>
      </c>
    </row>
    <row r="19" spans="1:29">
      <c r="A19" s="9" t="s">
        <v>46</v>
      </c>
      <c r="B19" s="8" t="s">
        <v>129</v>
      </c>
      <c r="C19" s="8" t="s">
        <v>130</v>
      </c>
      <c r="D19" s="8" t="s">
        <v>131</v>
      </c>
      <c r="E19" s="7" t="s">
        <v>131</v>
      </c>
      <c r="F19" s="7" t="s">
        <v>131</v>
      </c>
      <c r="G19" s="3" t="s">
        <v>52</v>
      </c>
      <c r="H19" s="6" t="s">
        <v>132</v>
      </c>
      <c r="I19" s="3" t="s">
        <v>52</v>
      </c>
      <c r="J19" s="6" t="s">
        <v>133</v>
      </c>
      <c r="K19" s="3" t="s">
        <v>52</v>
      </c>
      <c r="L19" s="6" t="s">
        <v>134</v>
      </c>
      <c r="M19" s="3" t="s">
        <v>55</v>
      </c>
      <c r="N19" s="6" t="s">
        <v>135</v>
      </c>
      <c r="O19" s="3" t="s">
        <v>136</v>
      </c>
      <c r="P19" s="6" t="s">
        <v>137</v>
      </c>
      <c r="Q19" s="3" t="s">
        <v>57</v>
      </c>
      <c r="R19" s="6" t="s">
        <v>138</v>
      </c>
      <c r="S19" s="5">
        <f>7638.58</f>
        <v>7638.58</v>
      </c>
      <c r="T19" s="4">
        <f>83030</f>
        <v>83030</v>
      </c>
      <c r="U19" s="4">
        <v>28</v>
      </c>
      <c r="V19" s="4"/>
      <c r="W19" s="4">
        <f>63558002800</f>
        <v>63558002800</v>
      </c>
      <c r="X19" s="4">
        <v>21160300</v>
      </c>
      <c r="Y19" s="4"/>
      <c r="Z19" s="3"/>
      <c r="AA19" s="2">
        <f>57730</f>
        <v>57730</v>
      </c>
      <c r="AB19" s="2" t="str">
        <f t="shared" si="0"/>
        <v>－</v>
      </c>
      <c r="AC19" s="1">
        <f>19</f>
        <v>19</v>
      </c>
    </row>
    <row r="20" spans="1:29">
      <c r="A20" s="9" t="s">
        <v>46</v>
      </c>
      <c r="B20" s="8" t="s">
        <v>139</v>
      </c>
      <c r="C20" s="8" t="s">
        <v>140</v>
      </c>
      <c r="D20" s="8" t="s">
        <v>49</v>
      </c>
      <c r="E20" s="7" t="s">
        <v>50</v>
      </c>
      <c r="F20" s="7" t="s">
        <v>51</v>
      </c>
      <c r="G20" s="3" t="s">
        <v>52</v>
      </c>
      <c r="H20" s="6" t="s">
        <v>141</v>
      </c>
      <c r="I20" s="3" t="s">
        <v>52</v>
      </c>
      <c r="J20" s="6" t="s">
        <v>141</v>
      </c>
      <c r="K20" s="3"/>
      <c r="L20" s="6"/>
      <c r="M20" s="3" t="s">
        <v>57</v>
      </c>
      <c r="N20" s="6" t="s">
        <v>142</v>
      </c>
      <c r="O20" s="3"/>
      <c r="P20" s="6"/>
      <c r="Q20" s="3" t="s">
        <v>57</v>
      </c>
      <c r="R20" s="6" t="s">
        <v>142</v>
      </c>
      <c r="S20" s="5">
        <f>90.41</f>
        <v>90.41</v>
      </c>
      <c r="T20" s="4">
        <f>6</f>
        <v>6</v>
      </c>
      <c r="U20" s="4"/>
      <c r="V20" s="4"/>
      <c r="W20" s="4">
        <f>5329000</f>
        <v>5329000</v>
      </c>
      <c r="X20" s="4"/>
      <c r="Y20" s="4"/>
      <c r="Z20" s="3"/>
      <c r="AA20" s="2">
        <f>56</f>
        <v>56</v>
      </c>
      <c r="AB20" s="2" t="str">
        <f t="shared" si="0"/>
        <v>－</v>
      </c>
      <c r="AC20" s="1">
        <f>4</f>
        <v>4</v>
      </c>
    </row>
    <row r="21" spans="1:29">
      <c r="A21" s="9" t="s">
        <v>46</v>
      </c>
      <c r="B21" s="8" t="s">
        <v>139</v>
      </c>
      <c r="C21" s="8" t="s">
        <v>140</v>
      </c>
      <c r="D21" s="8" t="s">
        <v>59</v>
      </c>
      <c r="E21" s="7" t="s">
        <v>60</v>
      </c>
      <c r="F21" s="7" t="s">
        <v>61</v>
      </c>
      <c r="G21" s="3" t="s">
        <v>93</v>
      </c>
      <c r="H21" s="6" t="s">
        <v>143</v>
      </c>
      <c r="I21" s="3" t="s">
        <v>93</v>
      </c>
      <c r="J21" s="6" t="s">
        <v>144</v>
      </c>
      <c r="K21" s="3"/>
      <c r="L21" s="6"/>
      <c r="M21" s="3" t="s">
        <v>145</v>
      </c>
      <c r="N21" s="6" t="s">
        <v>146</v>
      </c>
      <c r="O21" s="3"/>
      <c r="P21" s="6"/>
      <c r="Q21" s="3" t="s">
        <v>147</v>
      </c>
      <c r="R21" s="6" t="s">
        <v>148</v>
      </c>
      <c r="S21" s="5">
        <f>89.89</f>
        <v>89.89</v>
      </c>
      <c r="T21" s="4">
        <f>45</f>
        <v>45</v>
      </c>
      <c r="U21" s="4"/>
      <c r="V21" s="4"/>
      <c r="W21" s="4">
        <f>40553000</f>
        <v>40553000</v>
      </c>
      <c r="X21" s="4"/>
      <c r="Y21" s="4"/>
      <c r="Z21" s="3"/>
      <c r="AA21" s="2">
        <f>88</f>
        <v>88</v>
      </c>
      <c r="AB21" s="2" t="str">
        <f t="shared" si="0"/>
        <v>－</v>
      </c>
      <c r="AC21" s="1">
        <f>10</f>
        <v>10</v>
      </c>
    </row>
    <row r="22" spans="1:29">
      <c r="A22" s="9" t="s">
        <v>46</v>
      </c>
      <c r="B22" s="8" t="s">
        <v>139</v>
      </c>
      <c r="C22" s="8" t="s">
        <v>140</v>
      </c>
      <c r="D22" s="8" t="s">
        <v>66</v>
      </c>
      <c r="E22" s="7" t="s">
        <v>67</v>
      </c>
      <c r="F22" s="7" t="s">
        <v>68</v>
      </c>
      <c r="G22" s="3" t="s">
        <v>52</v>
      </c>
      <c r="H22" s="6" t="s">
        <v>149</v>
      </c>
      <c r="I22" s="3" t="s">
        <v>52</v>
      </c>
      <c r="J22" s="6" t="s">
        <v>149</v>
      </c>
      <c r="K22" s="3"/>
      <c r="L22" s="6"/>
      <c r="M22" s="3" t="s">
        <v>145</v>
      </c>
      <c r="N22" s="6" t="s">
        <v>150</v>
      </c>
      <c r="O22" s="3"/>
      <c r="P22" s="6"/>
      <c r="Q22" s="3" t="s">
        <v>147</v>
      </c>
      <c r="R22" s="6" t="s">
        <v>151</v>
      </c>
      <c r="S22" s="5">
        <f>89.47</f>
        <v>89.47</v>
      </c>
      <c r="T22" s="4">
        <f>35</f>
        <v>35</v>
      </c>
      <c r="U22" s="4"/>
      <c r="V22" s="4">
        <v>1</v>
      </c>
      <c r="W22" s="4">
        <f>32155000</f>
        <v>32155000</v>
      </c>
      <c r="X22" s="4"/>
      <c r="Y22" s="4">
        <v>970000</v>
      </c>
      <c r="Z22" s="3"/>
      <c r="AA22" s="2">
        <f>219</f>
        <v>219</v>
      </c>
      <c r="AB22" s="2" t="str">
        <f t="shared" si="0"/>
        <v>－</v>
      </c>
      <c r="AC22" s="1">
        <f>9</f>
        <v>9</v>
      </c>
    </row>
    <row r="23" spans="1:29">
      <c r="A23" s="9" t="s">
        <v>46</v>
      </c>
      <c r="B23" s="8" t="s">
        <v>139</v>
      </c>
      <c r="C23" s="8" t="s">
        <v>140</v>
      </c>
      <c r="D23" s="8" t="s">
        <v>73</v>
      </c>
      <c r="E23" s="7" t="s">
        <v>74</v>
      </c>
      <c r="F23" s="7" t="s">
        <v>75</v>
      </c>
      <c r="G23" s="3" t="s">
        <v>52</v>
      </c>
      <c r="H23" s="6" t="s">
        <v>152</v>
      </c>
      <c r="I23" s="3" t="s">
        <v>52</v>
      </c>
      <c r="J23" s="6" t="s">
        <v>152</v>
      </c>
      <c r="K23" s="3"/>
      <c r="L23" s="6"/>
      <c r="M23" s="3" t="s">
        <v>145</v>
      </c>
      <c r="N23" s="6" t="s">
        <v>153</v>
      </c>
      <c r="O23" s="3"/>
      <c r="P23" s="6"/>
      <c r="Q23" s="3" t="s">
        <v>57</v>
      </c>
      <c r="R23" s="6" t="s">
        <v>154</v>
      </c>
      <c r="S23" s="5">
        <f>90.44</f>
        <v>90.44</v>
      </c>
      <c r="T23" s="4">
        <f>223</f>
        <v>223</v>
      </c>
      <c r="U23" s="4"/>
      <c r="V23" s="4">
        <v>7</v>
      </c>
      <c r="W23" s="4">
        <f>204505000</f>
        <v>204505000</v>
      </c>
      <c r="X23" s="4"/>
      <c r="Y23" s="4">
        <v>6826000</v>
      </c>
      <c r="Z23" s="3"/>
      <c r="AA23" s="2">
        <f>515</f>
        <v>515</v>
      </c>
      <c r="AB23" s="2" t="str">
        <f t="shared" si="0"/>
        <v>－</v>
      </c>
      <c r="AC23" s="1">
        <f>15</f>
        <v>15</v>
      </c>
    </row>
    <row r="24" spans="1:29">
      <c r="A24" s="9" t="s">
        <v>46</v>
      </c>
      <c r="B24" s="8" t="s">
        <v>139</v>
      </c>
      <c r="C24" s="8" t="s">
        <v>140</v>
      </c>
      <c r="D24" s="8" t="s">
        <v>78</v>
      </c>
      <c r="E24" s="7" t="s">
        <v>79</v>
      </c>
      <c r="F24" s="7" t="s">
        <v>80</v>
      </c>
      <c r="G24" s="3" t="s">
        <v>52</v>
      </c>
      <c r="H24" s="6" t="s">
        <v>155</v>
      </c>
      <c r="I24" s="3" t="s">
        <v>52</v>
      </c>
      <c r="J24" s="6" t="s">
        <v>156</v>
      </c>
      <c r="K24" s="3"/>
      <c r="L24" s="6"/>
      <c r="M24" s="3" t="s">
        <v>145</v>
      </c>
      <c r="N24" s="6" t="s">
        <v>157</v>
      </c>
      <c r="O24" s="3"/>
      <c r="P24" s="6"/>
      <c r="Q24" s="3" t="s">
        <v>57</v>
      </c>
      <c r="R24" s="6" t="s">
        <v>158</v>
      </c>
      <c r="S24" s="5">
        <f>90.59</f>
        <v>90.59</v>
      </c>
      <c r="T24" s="4">
        <f>771</f>
        <v>771</v>
      </c>
      <c r="U24" s="4"/>
      <c r="V24" s="4">
        <v>6</v>
      </c>
      <c r="W24" s="4">
        <f>704581000</f>
        <v>704581000</v>
      </c>
      <c r="X24" s="4"/>
      <c r="Y24" s="4">
        <v>5808000</v>
      </c>
      <c r="Z24" s="3"/>
      <c r="AA24" s="2">
        <f>798</f>
        <v>798</v>
      </c>
      <c r="AB24" s="2" t="str">
        <f t="shared" si="0"/>
        <v>－</v>
      </c>
      <c r="AC24" s="1">
        <f>19</f>
        <v>19</v>
      </c>
    </row>
    <row r="25" spans="1:29">
      <c r="A25" s="9" t="s">
        <v>46</v>
      </c>
      <c r="B25" s="8" t="s">
        <v>139</v>
      </c>
      <c r="C25" s="8" t="s">
        <v>140</v>
      </c>
      <c r="D25" s="8" t="s">
        <v>88</v>
      </c>
      <c r="E25" s="7" t="s">
        <v>89</v>
      </c>
      <c r="F25" s="7" t="s">
        <v>90</v>
      </c>
      <c r="G25" s="3" t="s">
        <v>52</v>
      </c>
      <c r="H25" s="6" t="s">
        <v>159</v>
      </c>
      <c r="I25" s="3" t="s">
        <v>52</v>
      </c>
      <c r="J25" s="6" t="s">
        <v>160</v>
      </c>
      <c r="K25" s="3"/>
      <c r="L25" s="6"/>
      <c r="M25" s="3" t="s">
        <v>145</v>
      </c>
      <c r="N25" s="6" t="s">
        <v>161</v>
      </c>
      <c r="O25" s="3"/>
      <c r="P25" s="6"/>
      <c r="Q25" s="3" t="s">
        <v>57</v>
      </c>
      <c r="R25" s="6" t="s">
        <v>162</v>
      </c>
      <c r="S25" s="5">
        <f>91.32</f>
        <v>91.32</v>
      </c>
      <c r="T25" s="4">
        <f>2607</f>
        <v>2607</v>
      </c>
      <c r="U25" s="4"/>
      <c r="V25" s="4"/>
      <c r="W25" s="4">
        <f>2389844000</f>
        <v>2389844000</v>
      </c>
      <c r="X25" s="4"/>
      <c r="Y25" s="4"/>
      <c r="Z25" s="3"/>
      <c r="AA25" s="2">
        <f>719</f>
        <v>719</v>
      </c>
      <c r="AB25" s="2" t="str">
        <f t="shared" si="0"/>
        <v>－</v>
      </c>
      <c r="AC25" s="1">
        <f>19</f>
        <v>19</v>
      </c>
    </row>
    <row r="26" spans="1:29">
      <c r="A26" s="9" t="s">
        <v>46</v>
      </c>
      <c r="B26" s="8" t="s">
        <v>163</v>
      </c>
      <c r="C26" s="8" t="s">
        <v>164</v>
      </c>
      <c r="D26" s="8" t="s">
        <v>49</v>
      </c>
      <c r="E26" s="7" t="s">
        <v>50</v>
      </c>
      <c r="F26" s="7" t="s">
        <v>51</v>
      </c>
      <c r="G26" s="3" t="s">
        <v>52</v>
      </c>
      <c r="H26" s="6" t="s">
        <v>165</v>
      </c>
      <c r="I26" s="3" t="s">
        <v>166</v>
      </c>
      <c r="J26" s="6" t="s">
        <v>167</v>
      </c>
      <c r="K26" s="3"/>
      <c r="L26" s="6"/>
      <c r="M26" s="3" t="s">
        <v>112</v>
      </c>
      <c r="N26" s="6" t="s">
        <v>168</v>
      </c>
      <c r="O26" s="3"/>
      <c r="P26" s="6"/>
      <c r="Q26" s="3" t="s">
        <v>57</v>
      </c>
      <c r="R26" s="6" t="s">
        <v>169</v>
      </c>
      <c r="S26" s="5">
        <f>3925.26</f>
        <v>3925.26</v>
      </c>
      <c r="T26" s="4">
        <f>796</f>
        <v>796</v>
      </c>
      <c r="U26" s="4"/>
      <c r="V26" s="4">
        <v>6</v>
      </c>
      <c r="W26" s="4">
        <f>1566489000</f>
        <v>1566489000</v>
      </c>
      <c r="X26" s="4"/>
      <c r="Y26" s="4">
        <v>11872000</v>
      </c>
      <c r="Z26" s="3"/>
      <c r="AA26" s="2">
        <f>512</f>
        <v>512</v>
      </c>
      <c r="AB26" s="2" t="str">
        <f t="shared" si="0"/>
        <v>－</v>
      </c>
      <c r="AC26" s="1">
        <f>19</f>
        <v>19</v>
      </c>
    </row>
    <row r="27" spans="1:29">
      <c r="A27" s="9" t="s">
        <v>46</v>
      </c>
      <c r="B27" s="8" t="s">
        <v>163</v>
      </c>
      <c r="C27" s="8" t="s">
        <v>164</v>
      </c>
      <c r="D27" s="8" t="s">
        <v>59</v>
      </c>
      <c r="E27" s="7" t="s">
        <v>60</v>
      </c>
      <c r="F27" s="7" t="s">
        <v>61</v>
      </c>
      <c r="G27" s="3" t="s">
        <v>52</v>
      </c>
      <c r="H27" s="6" t="s">
        <v>170</v>
      </c>
      <c r="I27" s="3" t="s">
        <v>171</v>
      </c>
      <c r="J27" s="6" t="s">
        <v>172</v>
      </c>
      <c r="K27" s="3"/>
      <c r="L27" s="6"/>
      <c r="M27" s="3" t="s">
        <v>136</v>
      </c>
      <c r="N27" s="6" t="s">
        <v>173</v>
      </c>
      <c r="O27" s="3"/>
      <c r="P27" s="6"/>
      <c r="Q27" s="3" t="s">
        <v>57</v>
      </c>
      <c r="R27" s="6" t="s">
        <v>174</v>
      </c>
      <c r="S27" s="5">
        <f>3891.53</f>
        <v>3891.53</v>
      </c>
      <c r="T27" s="4">
        <f>1267</f>
        <v>1267</v>
      </c>
      <c r="U27" s="4"/>
      <c r="V27" s="4">
        <v>43</v>
      </c>
      <c r="W27" s="4">
        <f>2467010000</f>
        <v>2467010000</v>
      </c>
      <c r="X27" s="4"/>
      <c r="Y27" s="4">
        <v>83779500</v>
      </c>
      <c r="Z27" s="3"/>
      <c r="AA27" s="2">
        <f>1573</f>
        <v>1573</v>
      </c>
      <c r="AB27" s="2" t="str">
        <f t="shared" si="0"/>
        <v>－</v>
      </c>
      <c r="AC27" s="1">
        <f>19</f>
        <v>19</v>
      </c>
    </row>
    <row r="28" spans="1:29">
      <c r="A28" s="9" t="s">
        <v>46</v>
      </c>
      <c r="B28" s="8" t="s">
        <v>163</v>
      </c>
      <c r="C28" s="8" t="s">
        <v>164</v>
      </c>
      <c r="D28" s="8" t="s">
        <v>66</v>
      </c>
      <c r="E28" s="7" t="s">
        <v>67</v>
      </c>
      <c r="F28" s="7" t="s">
        <v>68</v>
      </c>
      <c r="G28" s="3" t="s">
        <v>52</v>
      </c>
      <c r="H28" s="6" t="s">
        <v>175</v>
      </c>
      <c r="I28" s="3" t="s">
        <v>166</v>
      </c>
      <c r="J28" s="6" t="s">
        <v>176</v>
      </c>
      <c r="K28" s="3"/>
      <c r="L28" s="6"/>
      <c r="M28" s="3" t="s">
        <v>112</v>
      </c>
      <c r="N28" s="6" t="s">
        <v>177</v>
      </c>
      <c r="O28" s="3"/>
      <c r="P28" s="6"/>
      <c r="Q28" s="3" t="s">
        <v>57</v>
      </c>
      <c r="R28" s="6" t="s">
        <v>178</v>
      </c>
      <c r="S28" s="5">
        <f>3861.37</f>
        <v>3861.37</v>
      </c>
      <c r="T28" s="4">
        <f>1664</f>
        <v>1664</v>
      </c>
      <c r="U28" s="4"/>
      <c r="V28" s="4">
        <v>118</v>
      </c>
      <c r="W28" s="4">
        <f>3223152000</f>
        <v>3223152000</v>
      </c>
      <c r="X28" s="4"/>
      <c r="Y28" s="4">
        <v>228592500</v>
      </c>
      <c r="Z28" s="3"/>
      <c r="AA28" s="2">
        <f>2238</f>
        <v>2238</v>
      </c>
      <c r="AB28" s="2" t="str">
        <f t="shared" si="0"/>
        <v>－</v>
      </c>
      <c r="AC28" s="1">
        <f>19</f>
        <v>19</v>
      </c>
    </row>
    <row r="29" spans="1:29">
      <c r="A29" s="9" t="s">
        <v>46</v>
      </c>
      <c r="B29" s="8" t="s">
        <v>163</v>
      </c>
      <c r="C29" s="8" t="s">
        <v>164</v>
      </c>
      <c r="D29" s="8" t="s">
        <v>73</v>
      </c>
      <c r="E29" s="7" t="s">
        <v>74</v>
      </c>
      <c r="F29" s="7" t="s">
        <v>75</v>
      </c>
      <c r="G29" s="3" t="s">
        <v>52</v>
      </c>
      <c r="H29" s="6" t="s">
        <v>179</v>
      </c>
      <c r="I29" s="3" t="s">
        <v>166</v>
      </c>
      <c r="J29" s="6" t="s">
        <v>180</v>
      </c>
      <c r="K29" s="3"/>
      <c r="L29" s="6"/>
      <c r="M29" s="3" t="s">
        <v>112</v>
      </c>
      <c r="N29" s="6" t="s">
        <v>181</v>
      </c>
      <c r="O29" s="3"/>
      <c r="P29" s="6"/>
      <c r="Q29" s="3" t="s">
        <v>57</v>
      </c>
      <c r="R29" s="6" t="s">
        <v>182</v>
      </c>
      <c r="S29" s="5">
        <f>3865.58</f>
        <v>3865.58</v>
      </c>
      <c r="T29" s="4">
        <f>4055</f>
        <v>4055</v>
      </c>
      <c r="U29" s="4"/>
      <c r="V29" s="4">
        <v>539</v>
      </c>
      <c r="W29" s="4">
        <f>7849579500</f>
        <v>7849579500</v>
      </c>
      <c r="X29" s="4"/>
      <c r="Y29" s="4">
        <v>1042817000</v>
      </c>
      <c r="Z29" s="3"/>
      <c r="AA29" s="2">
        <f>2974</f>
        <v>2974</v>
      </c>
      <c r="AB29" s="2" t="str">
        <f t="shared" si="0"/>
        <v>－</v>
      </c>
      <c r="AC29" s="1">
        <f>19</f>
        <v>19</v>
      </c>
    </row>
    <row r="30" spans="1:29">
      <c r="A30" s="9" t="s">
        <v>46</v>
      </c>
      <c r="B30" s="8" t="s">
        <v>163</v>
      </c>
      <c r="C30" s="8" t="s">
        <v>164</v>
      </c>
      <c r="D30" s="8" t="s">
        <v>78</v>
      </c>
      <c r="E30" s="7" t="s">
        <v>79</v>
      </c>
      <c r="F30" s="7" t="s">
        <v>80</v>
      </c>
      <c r="G30" s="3" t="s">
        <v>52</v>
      </c>
      <c r="H30" s="6" t="s">
        <v>183</v>
      </c>
      <c r="I30" s="3" t="s">
        <v>166</v>
      </c>
      <c r="J30" s="6" t="s">
        <v>184</v>
      </c>
      <c r="K30" s="3"/>
      <c r="L30" s="6"/>
      <c r="M30" s="3" t="s">
        <v>112</v>
      </c>
      <c r="N30" s="6" t="s">
        <v>185</v>
      </c>
      <c r="O30" s="3"/>
      <c r="P30" s="6"/>
      <c r="Q30" s="3" t="s">
        <v>57</v>
      </c>
      <c r="R30" s="6" t="s">
        <v>186</v>
      </c>
      <c r="S30" s="5">
        <f>3867.95</f>
        <v>3867.95</v>
      </c>
      <c r="T30" s="4">
        <f>20098</f>
        <v>20098</v>
      </c>
      <c r="U30" s="4"/>
      <c r="V30" s="4">
        <v>4384</v>
      </c>
      <c r="W30" s="4">
        <f>38994088000</f>
        <v>38994088000</v>
      </c>
      <c r="X30" s="4"/>
      <c r="Y30" s="4">
        <v>8503469000</v>
      </c>
      <c r="Z30" s="3"/>
      <c r="AA30" s="2">
        <f>11205</f>
        <v>11205</v>
      </c>
      <c r="AB30" s="2" t="str">
        <f t="shared" si="0"/>
        <v>－</v>
      </c>
      <c r="AC30" s="1">
        <f>19</f>
        <v>19</v>
      </c>
    </row>
    <row r="31" spans="1:29">
      <c r="A31" s="9" t="s">
        <v>46</v>
      </c>
      <c r="B31" s="8" t="s">
        <v>163</v>
      </c>
      <c r="C31" s="8" t="s">
        <v>164</v>
      </c>
      <c r="D31" s="8" t="s">
        <v>88</v>
      </c>
      <c r="E31" s="7" t="s">
        <v>89</v>
      </c>
      <c r="F31" s="7" t="s">
        <v>90</v>
      </c>
      <c r="G31" s="3" t="s">
        <v>52</v>
      </c>
      <c r="H31" s="6" t="s">
        <v>187</v>
      </c>
      <c r="I31" s="3" t="s">
        <v>166</v>
      </c>
      <c r="J31" s="6" t="s">
        <v>188</v>
      </c>
      <c r="K31" s="3"/>
      <c r="L31" s="6"/>
      <c r="M31" s="3" t="s">
        <v>112</v>
      </c>
      <c r="N31" s="6" t="s">
        <v>189</v>
      </c>
      <c r="O31" s="3"/>
      <c r="P31" s="6"/>
      <c r="Q31" s="3" t="s">
        <v>57</v>
      </c>
      <c r="R31" s="6" t="s">
        <v>190</v>
      </c>
      <c r="S31" s="5">
        <f>3851.21</f>
        <v>3851.21</v>
      </c>
      <c r="T31" s="4">
        <f>178718</f>
        <v>178718</v>
      </c>
      <c r="U31" s="4"/>
      <c r="V31" s="4">
        <v>4002</v>
      </c>
      <c r="W31" s="4">
        <f>344129652500</f>
        <v>344129652500</v>
      </c>
      <c r="X31" s="4"/>
      <c r="Y31" s="4">
        <v>7729554500</v>
      </c>
      <c r="Z31" s="3"/>
      <c r="AA31" s="2">
        <f>11840</f>
        <v>11840</v>
      </c>
      <c r="AB31" s="2" t="str">
        <f t="shared" si="0"/>
        <v>－</v>
      </c>
      <c r="AC31" s="1">
        <f>19</f>
        <v>19</v>
      </c>
    </row>
    <row r="32" spans="1:29">
      <c r="A32" s="9" t="s">
        <v>46</v>
      </c>
      <c r="B32" s="8" t="s">
        <v>191</v>
      </c>
      <c r="C32" s="8" t="s">
        <v>192</v>
      </c>
      <c r="D32" s="8" t="s">
        <v>49</v>
      </c>
      <c r="E32" s="7" t="s">
        <v>50</v>
      </c>
      <c r="F32" s="7" t="s">
        <v>101</v>
      </c>
      <c r="G32" s="3" t="s">
        <v>52</v>
      </c>
      <c r="H32" s="6" t="s">
        <v>193</v>
      </c>
      <c r="I32" s="3" t="s">
        <v>166</v>
      </c>
      <c r="J32" s="6" t="s">
        <v>194</v>
      </c>
      <c r="K32" s="3"/>
      <c r="L32" s="6"/>
      <c r="M32" s="3" t="s">
        <v>52</v>
      </c>
      <c r="N32" s="6" t="s">
        <v>193</v>
      </c>
      <c r="O32" s="3"/>
      <c r="P32" s="6"/>
      <c r="Q32" s="3" t="s">
        <v>57</v>
      </c>
      <c r="R32" s="6" t="s">
        <v>195</v>
      </c>
      <c r="S32" s="5">
        <f>3925.26</f>
        <v>3925.26</v>
      </c>
      <c r="T32" s="4">
        <f>223</f>
        <v>223</v>
      </c>
      <c r="U32" s="4"/>
      <c r="V32" s="4">
        <v>23</v>
      </c>
      <c r="W32" s="4">
        <f>88538550</f>
        <v>88538550</v>
      </c>
      <c r="X32" s="4"/>
      <c r="Y32" s="4">
        <v>8983250</v>
      </c>
      <c r="Z32" s="3"/>
      <c r="AA32" s="2">
        <f>215</f>
        <v>215</v>
      </c>
      <c r="AB32" s="2" t="str">
        <f t="shared" si="0"/>
        <v>－</v>
      </c>
      <c r="AC32" s="1">
        <f>16</f>
        <v>16</v>
      </c>
    </row>
    <row r="33" spans="1:29">
      <c r="A33" s="9" t="s">
        <v>46</v>
      </c>
      <c r="B33" s="8" t="s">
        <v>191</v>
      </c>
      <c r="C33" s="8" t="s">
        <v>192</v>
      </c>
      <c r="D33" s="8" t="s">
        <v>59</v>
      </c>
      <c r="E33" s="7" t="s">
        <v>60</v>
      </c>
      <c r="F33" s="7" t="s">
        <v>106</v>
      </c>
      <c r="G33" s="3" t="s">
        <v>52</v>
      </c>
      <c r="H33" s="6" t="s">
        <v>196</v>
      </c>
      <c r="I33" s="3" t="s">
        <v>166</v>
      </c>
      <c r="J33" s="6" t="s">
        <v>197</v>
      </c>
      <c r="K33" s="3"/>
      <c r="L33" s="6"/>
      <c r="M33" s="3" t="s">
        <v>136</v>
      </c>
      <c r="N33" s="6" t="s">
        <v>198</v>
      </c>
      <c r="O33" s="3"/>
      <c r="P33" s="6"/>
      <c r="Q33" s="3" t="s">
        <v>199</v>
      </c>
      <c r="R33" s="6" t="s">
        <v>196</v>
      </c>
      <c r="S33" s="5">
        <f>3891.53</f>
        <v>3891.53</v>
      </c>
      <c r="T33" s="4">
        <f>107</f>
        <v>107</v>
      </c>
      <c r="U33" s="4"/>
      <c r="V33" s="4"/>
      <c r="W33" s="4">
        <f>41725000</f>
        <v>41725000</v>
      </c>
      <c r="X33" s="4"/>
      <c r="Y33" s="4"/>
      <c r="Z33" s="3"/>
      <c r="AA33" s="2">
        <f>81</f>
        <v>81</v>
      </c>
      <c r="AB33" s="2" t="str">
        <f t="shared" si="0"/>
        <v>－</v>
      </c>
      <c r="AC33" s="1">
        <f>12</f>
        <v>12</v>
      </c>
    </row>
    <row r="34" spans="1:29">
      <c r="A34" s="9" t="s">
        <v>46</v>
      </c>
      <c r="B34" s="8" t="s">
        <v>191</v>
      </c>
      <c r="C34" s="8" t="s">
        <v>192</v>
      </c>
      <c r="D34" s="8" t="s">
        <v>66</v>
      </c>
      <c r="E34" s="7" t="s">
        <v>67</v>
      </c>
      <c r="F34" s="7" t="s">
        <v>110</v>
      </c>
      <c r="G34" s="3" t="s">
        <v>52</v>
      </c>
      <c r="H34" s="6" t="s">
        <v>200</v>
      </c>
      <c r="I34" s="3" t="s">
        <v>166</v>
      </c>
      <c r="J34" s="6" t="s">
        <v>201</v>
      </c>
      <c r="K34" s="3"/>
      <c r="L34" s="6"/>
      <c r="M34" s="3" t="s">
        <v>52</v>
      </c>
      <c r="N34" s="6" t="s">
        <v>200</v>
      </c>
      <c r="O34" s="3"/>
      <c r="P34" s="6"/>
      <c r="Q34" s="3" t="s">
        <v>57</v>
      </c>
      <c r="R34" s="6" t="s">
        <v>202</v>
      </c>
      <c r="S34" s="5">
        <f>3861.37</f>
        <v>3861.37</v>
      </c>
      <c r="T34" s="4">
        <f>107</f>
        <v>107</v>
      </c>
      <c r="U34" s="4"/>
      <c r="V34" s="4"/>
      <c r="W34" s="4">
        <f>41550050</f>
        <v>41550050</v>
      </c>
      <c r="X34" s="4"/>
      <c r="Y34" s="4"/>
      <c r="Z34" s="3"/>
      <c r="AA34" s="2">
        <f>262</f>
        <v>262</v>
      </c>
      <c r="AB34" s="2" t="str">
        <f t="shared" si="0"/>
        <v>－</v>
      </c>
      <c r="AC34" s="1">
        <f>14</f>
        <v>14</v>
      </c>
    </row>
    <row r="35" spans="1:29">
      <c r="A35" s="9" t="s">
        <v>46</v>
      </c>
      <c r="B35" s="8" t="s">
        <v>191</v>
      </c>
      <c r="C35" s="8" t="s">
        <v>192</v>
      </c>
      <c r="D35" s="8" t="s">
        <v>73</v>
      </c>
      <c r="E35" s="7" t="s">
        <v>74</v>
      </c>
      <c r="F35" s="7" t="s">
        <v>114</v>
      </c>
      <c r="G35" s="3" t="s">
        <v>52</v>
      </c>
      <c r="H35" s="6" t="s">
        <v>203</v>
      </c>
      <c r="I35" s="3" t="s">
        <v>166</v>
      </c>
      <c r="J35" s="6" t="s">
        <v>204</v>
      </c>
      <c r="K35" s="3"/>
      <c r="L35" s="6"/>
      <c r="M35" s="3" t="s">
        <v>205</v>
      </c>
      <c r="N35" s="6" t="s">
        <v>206</v>
      </c>
      <c r="O35" s="3"/>
      <c r="P35" s="6"/>
      <c r="Q35" s="3" t="s">
        <v>205</v>
      </c>
      <c r="R35" s="6" t="s">
        <v>206</v>
      </c>
      <c r="S35" s="5">
        <f>3865.58</f>
        <v>3865.58</v>
      </c>
      <c r="T35" s="4">
        <f>130</f>
        <v>130</v>
      </c>
      <c r="U35" s="4"/>
      <c r="V35" s="4"/>
      <c r="W35" s="4">
        <f>50606750</f>
        <v>50606750</v>
      </c>
      <c r="X35" s="4"/>
      <c r="Y35" s="4"/>
      <c r="Z35" s="3"/>
      <c r="AA35" s="2">
        <f>240</f>
        <v>240</v>
      </c>
      <c r="AB35" s="2" t="str">
        <f t="shared" si="0"/>
        <v>－</v>
      </c>
      <c r="AC35" s="1">
        <f>16</f>
        <v>16</v>
      </c>
    </row>
    <row r="36" spans="1:29">
      <c r="A36" s="9" t="s">
        <v>46</v>
      </c>
      <c r="B36" s="8" t="s">
        <v>191</v>
      </c>
      <c r="C36" s="8" t="s">
        <v>192</v>
      </c>
      <c r="D36" s="8" t="s">
        <v>78</v>
      </c>
      <c r="E36" s="7" t="s">
        <v>79</v>
      </c>
      <c r="F36" s="7" t="s">
        <v>119</v>
      </c>
      <c r="G36" s="3" t="s">
        <v>52</v>
      </c>
      <c r="H36" s="6" t="s">
        <v>207</v>
      </c>
      <c r="I36" s="3" t="s">
        <v>166</v>
      </c>
      <c r="J36" s="6" t="s">
        <v>208</v>
      </c>
      <c r="K36" s="3"/>
      <c r="L36" s="6"/>
      <c r="M36" s="3" t="s">
        <v>112</v>
      </c>
      <c r="N36" s="6" t="s">
        <v>209</v>
      </c>
      <c r="O36" s="3"/>
      <c r="P36" s="6"/>
      <c r="Q36" s="3" t="s">
        <v>57</v>
      </c>
      <c r="R36" s="6" t="s">
        <v>202</v>
      </c>
      <c r="S36" s="5">
        <f>3867.95</f>
        <v>3867.95</v>
      </c>
      <c r="T36" s="4">
        <f>2539</f>
        <v>2539</v>
      </c>
      <c r="U36" s="4"/>
      <c r="V36" s="4">
        <v>18</v>
      </c>
      <c r="W36" s="4">
        <f>984471450</f>
        <v>984471450</v>
      </c>
      <c r="X36" s="4"/>
      <c r="Y36" s="4">
        <v>6961500</v>
      </c>
      <c r="Z36" s="3"/>
      <c r="AA36" s="2">
        <f>1177</f>
        <v>1177</v>
      </c>
      <c r="AB36" s="2" t="str">
        <f t="shared" si="0"/>
        <v>－</v>
      </c>
      <c r="AC36" s="1">
        <f>19</f>
        <v>19</v>
      </c>
    </row>
    <row r="37" spans="1:29">
      <c r="A37" s="9" t="s">
        <v>46</v>
      </c>
      <c r="B37" s="8" t="s">
        <v>191</v>
      </c>
      <c r="C37" s="8" t="s">
        <v>192</v>
      </c>
      <c r="D37" s="8" t="s">
        <v>88</v>
      </c>
      <c r="E37" s="7" t="s">
        <v>89</v>
      </c>
      <c r="F37" s="7" t="s">
        <v>124</v>
      </c>
      <c r="G37" s="3" t="s">
        <v>52</v>
      </c>
      <c r="H37" s="6" t="s">
        <v>206</v>
      </c>
      <c r="I37" s="3" t="s">
        <v>166</v>
      </c>
      <c r="J37" s="6" t="s">
        <v>210</v>
      </c>
      <c r="K37" s="3"/>
      <c r="L37" s="6"/>
      <c r="M37" s="3" t="s">
        <v>112</v>
      </c>
      <c r="N37" s="6" t="s">
        <v>211</v>
      </c>
      <c r="O37" s="3"/>
      <c r="P37" s="6"/>
      <c r="Q37" s="3" t="s">
        <v>57</v>
      </c>
      <c r="R37" s="6" t="s">
        <v>212</v>
      </c>
      <c r="S37" s="5">
        <f>3851.21</f>
        <v>3851.21</v>
      </c>
      <c r="T37" s="4">
        <f>29121</f>
        <v>29121</v>
      </c>
      <c r="U37" s="4"/>
      <c r="V37" s="4">
        <v>5</v>
      </c>
      <c r="W37" s="4">
        <f>11194956150</f>
        <v>11194956150</v>
      </c>
      <c r="X37" s="4"/>
      <c r="Y37" s="4">
        <v>1924750</v>
      </c>
      <c r="Z37" s="3"/>
      <c r="AA37" s="2">
        <f>1545</f>
        <v>1545</v>
      </c>
      <c r="AB37" s="2" t="str">
        <f t="shared" si="0"/>
        <v>－</v>
      </c>
      <c r="AC37" s="1">
        <f>19</f>
        <v>19</v>
      </c>
    </row>
    <row r="38" spans="1:29">
      <c r="A38" s="9" t="s">
        <v>46</v>
      </c>
      <c r="B38" s="8" t="s">
        <v>213</v>
      </c>
      <c r="C38" s="8" t="s">
        <v>214</v>
      </c>
      <c r="D38" s="8" t="s">
        <v>131</v>
      </c>
      <c r="E38" s="7" t="s">
        <v>131</v>
      </c>
      <c r="F38" s="7" t="s">
        <v>131</v>
      </c>
      <c r="G38" s="3" t="s">
        <v>52</v>
      </c>
      <c r="H38" s="6" t="s">
        <v>215</v>
      </c>
      <c r="I38" s="3" t="s">
        <v>166</v>
      </c>
      <c r="J38" s="6" t="s">
        <v>216</v>
      </c>
      <c r="K38" s="3"/>
      <c r="L38" s="6"/>
      <c r="M38" s="3" t="s">
        <v>112</v>
      </c>
      <c r="N38" s="6" t="s">
        <v>217</v>
      </c>
      <c r="O38" s="3"/>
      <c r="P38" s="6"/>
      <c r="Q38" s="3" t="s">
        <v>57</v>
      </c>
      <c r="R38" s="6" t="s">
        <v>218</v>
      </c>
      <c r="S38" s="5">
        <f>3908.21</f>
        <v>3908.21</v>
      </c>
      <c r="T38" s="4">
        <f>15892</f>
        <v>15892</v>
      </c>
      <c r="U38" s="4"/>
      <c r="V38" s="4"/>
      <c r="W38" s="4">
        <f>6264348500</f>
        <v>6264348500</v>
      </c>
      <c r="X38" s="4"/>
      <c r="Y38" s="4"/>
      <c r="Z38" s="3"/>
      <c r="AA38" s="2">
        <f>15651</f>
        <v>15651</v>
      </c>
      <c r="AB38" s="2" t="str">
        <f t="shared" si="0"/>
        <v>－</v>
      </c>
      <c r="AC38" s="1">
        <f>19</f>
        <v>19</v>
      </c>
    </row>
    <row r="39" spans="1:29">
      <c r="A39" s="9" t="s">
        <v>46</v>
      </c>
      <c r="B39" s="8" t="s">
        <v>219</v>
      </c>
      <c r="C39" s="8" t="s">
        <v>220</v>
      </c>
      <c r="D39" s="8" t="s">
        <v>49</v>
      </c>
      <c r="E39" s="7" t="s">
        <v>50</v>
      </c>
      <c r="F39" s="7" t="s">
        <v>51</v>
      </c>
      <c r="G39" s="3"/>
      <c r="H39" s="6" t="s">
        <v>131</v>
      </c>
      <c r="I39" s="3"/>
      <c r="J39" s="6" t="s">
        <v>131</v>
      </c>
      <c r="K39" s="3"/>
      <c r="L39" s="6"/>
      <c r="M39" s="3"/>
      <c r="N39" s="6" t="s">
        <v>131</v>
      </c>
      <c r="O39" s="3"/>
      <c r="P39" s="6"/>
      <c r="Q39" s="3"/>
      <c r="R39" s="6" t="s">
        <v>131</v>
      </c>
      <c r="S39" s="5">
        <f>8563.16</f>
        <v>8563.16</v>
      </c>
      <c r="T39" s="4" t="str">
        <f>"－"</f>
        <v>－</v>
      </c>
      <c r="U39" s="4"/>
      <c r="V39" s="4"/>
      <c r="W39" s="4" t="str">
        <f>"－"</f>
        <v>－</v>
      </c>
      <c r="X39" s="4"/>
      <c r="Y39" s="4"/>
      <c r="Z39" s="3"/>
      <c r="AA39" s="2">
        <f>5</f>
        <v>5</v>
      </c>
      <c r="AB39" s="2" t="str">
        <f t="shared" ref="AB39:AB70" si="1">"－"</f>
        <v>－</v>
      </c>
      <c r="AC39" s="1" t="str">
        <f>"－"</f>
        <v>－</v>
      </c>
    </row>
    <row r="40" spans="1:29">
      <c r="A40" s="9" t="s">
        <v>46</v>
      </c>
      <c r="B40" s="8" t="s">
        <v>219</v>
      </c>
      <c r="C40" s="8" t="s">
        <v>220</v>
      </c>
      <c r="D40" s="8" t="s">
        <v>59</v>
      </c>
      <c r="E40" s="7" t="s">
        <v>60</v>
      </c>
      <c r="F40" s="7" t="s">
        <v>61</v>
      </c>
      <c r="G40" s="3"/>
      <c r="H40" s="6" t="s">
        <v>131</v>
      </c>
      <c r="I40" s="3"/>
      <c r="J40" s="6" t="s">
        <v>131</v>
      </c>
      <c r="K40" s="3"/>
      <c r="L40" s="6"/>
      <c r="M40" s="3"/>
      <c r="N40" s="6" t="s">
        <v>131</v>
      </c>
      <c r="O40" s="3"/>
      <c r="P40" s="6"/>
      <c r="Q40" s="3"/>
      <c r="R40" s="6" t="s">
        <v>131</v>
      </c>
      <c r="S40" s="5">
        <f>8563.16</f>
        <v>8563.16</v>
      </c>
      <c r="T40" s="4" t="str">
        <f>"－"</f>
        <v>－</v>
      </c>
      <c r="U40" s="4"/>
      <c r="V40" s="4"/>
      <c r="W40" s="4" t="str">
        <f>"－"</f>
        <v>－</v>
      </c>
      <c r="X40" s="4"/>
      <c r="Y40" s="4"/>
      <c r="Z40" s="3"/>
      <c r="AA40" s="2">
        <f>5</f>
        <v>5</v>
      </c>
      <c r="AB40" s="2" t="str">
        <f t="shared" si="1"/>
        <v>－</v>
      </c>
      <c r="AC40" s="1" t="str">
        <f>"－"</f>
        <v>－</v>
      </c>
    </row>
    <row r="41" spans="1:29">
      <c r="A41" s="9" t="s">
        <v>46</v>
      </c>
      <c r="B41" s="8" t="s">
        <v>219</v>
      </c>
      <c r="C41" s="8" t="s">
        <v>220</v>
      </c>
      <c r="D41" s="8" t="s">
        <v>66</v>
      </c>
      <c r="E41" s="7" t="s">
        <v>67</v>
      </c>
      <c r="F41" s="7" t="s">
        <v>68</v>
      </c>
      <c r="G41" s="3" t="s">
        <v>145</v>
      </c>
      <c r="H41" s="6" t="s">
        <v>221</v>
      </c>
      <c r="I41" s="3" t="s">
        <v>145</v>
      </c>
      <c r="J41" s="6" t="s">
        <v>221</v>
      </c>
      <c r="K41" s="3"/>
      <c r="L41" s="6"/>
      <c r="M41" s="3" t="s">
        <v>55</v>
      </c>
      <c r="N41" s="6" t="s">
        <v>222</v>
      </c>
      <c r="O41" s="3"/>
      <c r="P41" s="6"/>
      <c r="Q41" s="3" t="s">
        <v>55</v>
      </c>
      <c r="R41" s="6" t="s">
        <v>222</v>
      </c>
      <c r="S41" s="5">
        <f>8534.21</f>
        <v>8534.2099999999991</v>
      </c>
      <c r="T41" s="4">
        <f>2</f>
        <v>2</v>
      </c>
      <c r="U41" s="4"/>
      <c r="V41" s="4"/>
      <c r="W41" s="4">
        <f>8375000</f>
        <v>8375000</v>
      </c>
      <c r="X41" s="4"/>
      <c r="Y41" s="4"/>
      <c r="Z41" s="3"/>
      <c r="AA41" s="2">
        <f>6</f>
        <v>6</v>
      </c>
      <c r="AB41" s="2" t="str">
        <f t="shared" si="1"/>
        <v>－</v>
      </c>
      <c r="AC41" s="1">
        <f>2</f>
        <v>2</v>
      </c>
    </row>
    <row r="42" spans="1:29">
      <c r="A42" s="9" t="s">
        <v>46</v>
      </c>
      <c r="B42" s="8" t="s">
        <v>219</v>
      </c>
      <c r="C42" s="8" t="s">
        <v>220</v>
      </c>
      <c r="D42" s="8" t="s">
        <v>73</v>
      </c>
      <c r="E42" s="7" t="s">
        <v>74</v>
      </c>
      <c r="F42" s="7" t="s">
        <v>75</v>
      </c>
      <c r="G42" s="3" t="s">
        <v>52</v>
      </c>
      <c r="H42" s="6" t="s">
        <v>223</v>
      </c>
      <c r="I42" s="3" t="s">
        <v>52</v>
      </c>
      <c r="J42" s="6" t="s">
        <v>223</v>
      </c>
      <c r="K42" s="3"/>
      <c r="L42" s="6"/>
      <c r="M42" s="3" t="s">
        <v>52</v>
      </c>
      <c r="N42" s="6" t="s">
        <v>223</v>
      </c>
      <c r="O42" s="3"/>
      <c r="P42" s="6"/>
      <c r="Q42" s="3" t="s">
        <v>52</v>
      </c>
      <c r="R42" s="6" t="s">
        <v>223</v>
      </c>
      <c r="S42" s="5">
        <f>8618.95</f>
        <v>8618.9500000000007</v>
      </c>
      <c r="T42" s="4">
        <f>1</f>
        <v>1</v>
      </c>
      <c r="U42" s="4"/>
      <c r="V42" s="4"/>
      <c r="W42" s="4">
        <f>5005000</f>
        <v>5005000</v>
      </c>
      <c r="X42" s="4"/>
      <c r="Y42" s="4"/>
      <c r="Z42" s="3"/>
      <c r="AA42" s="2">
        <f>11</f>
        <v>11</v>
      </c>
      <c r="AB42" s="2" t="str">
        <f t="shared" si="1"/>
        <v>－</v>
      </c>
      <c r="AC42" s="1">
        <f>1</f>
        <v>1</v>
      </c>
    </row>
    <row r="43" spans="1:29">
      <c r="A43" s="9" t="s">
        <v>46</v>
      </c>
      <c r="B43" s="8" t="s">
        <v>219</v>
      </c>
      <c r="C43" s="8" t="s">
        <v>220</v>
      </c>
      <c r="D43" s="8" t="s">
        <v>78</v>
      </c>
      <c r="E43" s="7" t="s">
        <v>79</v>
      </c>
      <c r="F43" s="7" t="s">
        <v>80</v>
      </c>
      <c r="G43" s="3" t="s">
        <v>224</v>
      </c>
      <c r="H43" s="6" t="s">
        <v>225</v>
      </c>
      <c r="I43" s="3" t="s">
        <v>224</v>
      </c>
      <c r="J43" s="6" t="s">
        <v>225</v>
      </c>
      <c r="K43" s="3"/>
      <c r="L43" s="6"/>
      <c r="M43" s="3" t="s">
        <v>224</v>
      </c>
      <c r="N43" s="6" t="s">
        <v>225</v>
      </c>
      <c r="O43" s="3"/>
      <c r="P43" s="6"/>
      <c r="Q43" s="3" t="s">
        <v>224</v>
      </c>
      <c r="R43" s="6" t="s">
        <v>225</v>
      </c>
      <c r="S43" s="5">
        <f>8547.47</f>
        <v>8547.4699999999993</v>
      </c>
      <c r="T43" s="4">
        <f>1</f>
        <v>1</v>
      </c>
      <c r="U43" s="4"/>
      <c r="V43" s="4"/>
      <c r="W43" s="4">
        <f>4300500</f>
        <v>4300500</v>
      </c>
      <c r="X43" s="4"/>
      <c r="Y43" s="4"/>
      <c r="Z43" s="3"/>
      <c r="AA43" s="2">
        <f>9</f>
        <v>9</v>
      </c>
      <c r="AB43" s="2" t="str">
        <f t="shared" si="1"/>
        <v>－</v>
      </c>
      <c r="AC43" s="1">
        <f>1</f>
        <v>1</v>
      </c>
    </row>
    <row r="44" spans="1:29">
      <c r="A44" s="9" t="s">
        <v>46</v>
      </c>
      <c r="B44" s="8" t="s">
        <v>219</v>
      </c>
      <c r="C44" s="8" t="s">
        <v>220</v>
      </c>
      <c r="D44" s="8" t="s">
        <v>88</v>
      </c>
      <c r="E44" s="7" t="s">
        <v>89</v>
      </c>
      <c r="F44" s="7" t="s">
        <v>90</v>
      </c>
      <c r="G44" s="3" t="s">
        <v>224</v>
      </c>
      <c r="H44" s="6" t="s">
        <v>226</v>
      </c>
      <c r="I44" s="3" t="s">
        <v>224</v>
      </c>
      <c r="J44" s="6" t="s">
        <v>226</v>
      </c>
      <c r="K44" s="3"/>
      <c r="L44" s="6"/>
      <c r="M44" s="3" t="s">
        <v>55</v>
      </c>
      <c r="N44" s="6" t="s">
        <v>227</v>
      </c>
      <c r="O44" s="3"/>
      <c r="P44" s="6"/>
      <c r="Q44" s="3" t="s">
        <v>55</v>
      </c>
      <c r="R44" s="6" t="s">
        <v>222</v>
      </c>
      <c r="S44" s="5">
        <f>8554.05</f>
        <v>8554.0499999999993</v>
      </c>
      <c r="T44" s="4">
        <f>5</f>
        <v>5</v>
      </c>
      <c r="U44" s="4"/>
      <c r="V44" s="4"/>
      <c r="W44" s="4">
        <f>21588000</f>
        <v>21588000</v>
      </c>
      <c r="X44" s="4"/>
      <c r="Y44" s="4"/>
      <c r="Z44" s="3"/>
      <c r="AA44" s="2">
        <f>1</f>
        <v>1</v>
      </c>
      <c r="AB44" s="2" t="str">
        <f t="shared" si="1"/>
        <v>－</v>
      </c>
      <c r="AC44" s="1">
        <f>3</f>
        <v>3</v>
      </c>
    </row>
    <row r="45" spans="1:29">
      <c r="A45" s="9" t="s">
        <v>46</v>
      </c>
      <c r="B45" s="8" t="s">
        <v>228</v>
      </c>
      <c r="C45" s="8" t="s">
        <v>229</v>
      </c>
      <c r="D45" s="8" t="s">
        <v>46</v>
      </c>
      <c r="E45" s="7" t="s">
        <v>230</v>
      </c>
      <c r="F45" s="7" t="s">
        <v>231</v>
      </c>
      <c r="G45" s="3"/>
      <c r="H45" s="6" t="s">
        <v>131</v>
      </c>
      <c r="I45" s="3"/>
      <c r="J45" s="6" t="s">
        <v>131</v>
      </c>
      <c r="K45" s="3"/>
      <c r="L45" s="6"/>
      <c r="M45" s="3"/>
      <c r="N45" s="6" t="s">
        <v>131</v>
      </c>
      <c r="O45" s="3"/>
      <c r="P45" s="6"/>
      <c r="Q45" s="3"/>
      <c r="R45" s="6" t="s">
        <v>131</v>
      </c>
      <c r="S45" s="5">
        <f>268.45</f>
        <v>268.45</v>
      </c>
      <c r="T45" s="4" t="str">
        <f>"－"</f>
        <v>－</v>
      </c>
      <c r="U45" s="4"/>
      <c r="V45" s="4"/>
      <c r="W45" s="4" t="str">
        <f>"－"</f>
        <v>－</v>
      </c>
      <c r="X45" s="4"/>
      <c r="Y45" s="4"/>
      <c r="Z45" s="3" t="s">
        <v>232</v>
      </c>
      <c r="AA45" s="2">
        <f>12</f>
        <v>12</v>
      </c>
      <c r="AB45" s="2" t="str">
        <f t="shared" si="1"/>
        <v>－</v>
      </c>
      <c r="AC45" s="1" t="str">
        <f>"－"</f>
        <v>－</v>
      </c>
    </row>
    <row r="46" spans="1:29">
      <c r="A46" s="9" t="s">
        <v>46</v>
      </c>
      <c r="B46" s="8" t="s">
        <v>228</v>
      </c>
      <c r="C46" s="8" t="s">
        <v>229</v>
      </c>
      <c r="D46" s="8" t="s">
        <v>49</v>
      </c>
      <c r="E46" s="7" t="s">
        <v>233</v>
      </c>
      <c r="F46" s="7" t="s">
        <v>234</v>
      </c>
      <c r="G46" s="3" t="s">
        <v>171</v>
      </c>
      <c r="H46" s="6" t="s">
        <v>235</v>
      </c>
      <c r="I46" s="3" t="s">
        <v>199</v>
      </c>
      <c r="J46" s="6" t="s">
        <v>236</v>
      </c>
      <c r="K46" s="3"/>
      <c r="L46" s="6"/>
      <c r="M46" s="3" t="s">
        <v>171</v>
      </c>
      <c r="N46" s="6" t="s">
        <v>235</v>
      </c>
      <c r="O46" s="3"/>
      <c r="P46" s="6"/>
      <c r="Q46" s="3" t="s">
        <v>199</v>
      </c>
      <c r="R46" s="6" t="s">
        <v>236</v>
      </c>
      <c r="S46" s="5">
        <f>274.15</f>
        <v>274.14999999999998</v>
      </c>
      <c r="T46" s="4">
        <f>47</f>
        <v>47</v>
      </c>
      <c r="U46" s="4"/>
      <c r="V46" s="4"/>
      <c r="W46" s="4">
        <f>128399000</f>
        <v>128399000</v>
      </c>
      <c r="X46" s="4"/>
      <c r="Y46" s="4"/>
      <c r="Z46" s="3"/>
      <c r="AA46" s="2">
        <f>10</f>
        <v>10</v>
      </c>
      <c r="AB46" s="2" t="str">
        <f t="shared" si="1"/>
        <v>－</v>
      </c>
      <c r="AC46" s="1">
        <f>5</f>
        <v>5</v>
      </c>
    </row>
    <row r="47" spans="1:29">
      <c r="A47" s="9" t="s">
        <v>46</v>
      </c>
      <c r="B47" s="8" t="s">
        <v>228</v>
      </c>
      <c r="C47" s="8" t="s">
        <v>229</v>
      </c>
      <c r="D47" s="8" t="s">
        <v>237</v>
      </c>
      <c r="E47" s="7" t="s">
        <v>238</v>
      </c>
      <c r="F47" s="7" t="s">
        <v>239</v>
      </c>
      <c r="G47" s="3" t="s">
        <v>171</v>
      </c>
      <c r="H47" s="6" t="s">
        <v>240</v>
      </c>
      <c r="I47" s="3" t="s">
        <v>199</v>
      </c>
      <c r="J47" s="6" t="s">
        <v>241</v>
      </c>
      <c r="K47" s="3"/>
      <c r="L47" s="6"/>
      <c r="M47" s="3" t="s">
        <v>171</v>
      </c>
      <c r="N47" s="6" t="s">
        <v>240</v>
      </c>
      <c r="O47" s="3"/>
      <c r="P47" s="6"/>
      <c r="Q47" s="3" t="s">
        <v>199</v>
      </c>
      <c r="R47" s="6" t="s">
        <v>241</v>
      </c>
      <c r="S47" s="5">
        <f>266.58</f>
        <v>266.58</v>
      </c>
      <c r="T47" s="4">
        <f>20</f>
        <v>20</v>
      </c>
      <c r="U47" s="4"/>
      <c r="V47" s="4"/>
      <c r="W47" s="4">
        <f>53648500</f>
        <v>53648500</v>
      </c>
      <c r="X47" s="4"/>
      <c r="Y47" s="4"/>
      <c r="Z47" s="3"/>
      <c r="AA47" s="2">
        <f>16</f>
        <v>16</v>
      </c>
      <c r="AB47" s="2" t="str">
        <f t="shared" si="1"/>
        <v>－</v>
      </c>
      <c r="AC47" s="1">
        <f>3</f>
        <v>3</v>
      </c>
    </row>
    <row r="48" spans="1:29">
      <c r="A48" s="9" t="s">
        <v>46</v>
      </c>
      <c r="B48" s="8" t="s">
        <v>228</v>
      </c>
      <c r="C48" s="8" t="s">
        <v>229</v>
      </c>
      <c r="D48" s="8" t="s">
        <v>59</v>
      </c>
      <c r="E48" s="7" t="s">
        <v>242</v>
      </c>
      <c r="F48" s="7" t="s">
        <v>243</v>
      </c>
      <c r="G48" s="3" t="s">
        <v>57</v>
      </c>
      <c r="H48" s="6" t="s">
        <v>244</v>
      </c>
      <c r="I48" s="3" t="s">
        <v>57</v>
      </c>
      <c r="J48" s="6" t="s">
        <v>244</v>
      </c>
      <c r="K48" s="3"/>
      <c r="L48" s="6"/>
      <c r="M48" s="3" t="s">
        <v>57</v>
      </c>
      <c r="N48" s="6" t="s">
        <v>244</v>
      </c>
      <c r="O48" s="3"/>
      <c r="P48" s="6"/>
      <c r="Q48" s="3" t="s">
        <v>57</v>
      </c>
      <c r="R48" s="6" t="s">
        <v>244</v>
      </c>
      <c r="S48" s="5">
        <f>259.91</f>
        <v>259.91000000000003</v>
      </c>
      <c r="T48" s="4">
        <f>1</f>
        <v>1</v>
      </c>
      <c r="U48" s="4"/>
      <c r="V48" s="4"/>
      <c r="W48" s="4">
        <f>2781000</f>
        <v>2781000</v>
      </c>
      <c r="X48" s="4"/>
      <c r="Y48" s="4"/>
      <c r="Z48" s="3"/>
      <c r="AA48" s="2">
        <f>10</f>
        <v>10</v>
      </c>
      <c r="AB48" s="2" t="str">
        <f t="shared" si="1"/>
        <v>－</v>
      </c>
      <c r="AC48" s="1">
        <f>1</f>
        <v>1</v>
      </c>
    </row>
    <row r="49" spans="1:29">
      <c r="A49" s="9" t="s">
        <v>46</v>
      </c>
      <c r="B49" s="8" t="s">
        <v>228</v>
      </c>
      <c r="C49" s="8" t="s">
        <v>229</v>
      </c>
      <c r="D49" s="8" t="s">
        <v>245</v>
      </c>
      <c r="E49" s="7" t="s">
        <v>246</v>
      </c>
      <c r="F49" s="7" t="s">
        <v>247</v>
      </c>
      <c r="G49" s="3" t="s">
        <v>96</v>
      </c>
      <c r="H49" s="6" t="s">
        <v>248</v>
      </c>
      <c r="I49" s="3" t="s">
        <v>57</v>
      </c>
      <c r="J49" s="6" t="s">
        <v>249</v>
      </c>
      <c r="K49" s="3"/>
      <c r="L49" s="6"/>
      <c r="M49" s="3" t="s">
        <v>96</v>
      </c>
      <c r="N49" s="6" t="s">
        <v>248</v>
      </c>
      <c r="O49" s="3"/>
      <c r="P49" s="6"/>
      <c r="Q49" s="3" t="s">
        <v>57</v>
      </c>
      <c r="R49" s="6" t="s">
        <v>249</v>
      </c>
      <c r="S49" s="5">
        <f>252.24</f>
        <v>252.24</v>
      </c>
      <c r="T49" s="4">
        <f>2</f>
        <v>2</v>
      </c>
      <c r="U49" s="4"/>
      <c r="V49" s="4"/>
      <c r="W49" s="4">
        <f>5109000</f>
        <v>5109000</v>
      </c>
      <c r="X49" s="4"/>
      <c r="Y49" s="4"/>
      <c r="Z49" s="3"/>
      <c r="AA49" s="2">
        <f>2</f>
        <v>2</v>
      </c>
      <c r="AB49" s="2" t="str">
        <f t="shared" si="1"/>
        <v>－</v>
      </c>
      <c r="AC49" s="1">
        <f>2</f>
        <v>2</v>
      </c>
    </row>
    <row r="50" spans="1:29">
      <c r="A50" s="9" t="s">
        <v>46</v>
      </c>
      <c r="B50" s="8" t="s">
        <v>228</v>
      </c>
      <c r="C50" s="8" t="s">
        <v>229</v>
      </c>
      <c r="D50" s="8" t="s">
        <v>66</v>
      </c>
      <c r="E50" s="7" t="s">
        <v>250</v>
      </c>
      <c r="F50" s="7" t="s">
        <v>251</v>
      </c>
      <c r="G50" s="3"/>
      <c r="H50" s="6" t="s">
        <v>131</v>
      </c>
      <c r="I50" s="3"/>
      <c r="J50" s="6" t="s">
        <v>131</v>
      </c>
      <c r="K50" s="3"/>
      <c r="L50" s="6"/>
      <c r="M50" s="3"/>
      <c r="N50" s="6" t="s">
        <v>131</v>
      </c>
      <c r="O50" s="3"/>
      <c r="P50" s="6"/>
      <c r="Q50" s="3"/>
      <c r="R50" s="6" t="s">
        <v>131</v>
      </c>
      <c r="S50" s="5">
        <f>246.92</f>
        <v>246.92</v>
      </c>
      <c r="T50" s="4" t="str">
        <f>"－"</f>
        <v>－</v>
      </c>
      <c r="U50" s="4"/>
      <c r="V50" s="4"/>
      <c r="W50" s="4" t="str">
        <f>"－"</f>
        <v>－</v>
      </c>
      <c r="X50" s="4"/>
      <c r="Y50" s="4"/>
      <c r="Z50" s="3"/>
      <c r="AA50" s="2" t="str">
        <f>"－"</f>
        <v>－</v>
      </c>
      <c r="AB50" s="2" t="str">
        <f t="shared" si="1"/>
        <v>－</v>
      </c>
      <c r="AC50" s="1" t="str">
        <f>"－"</f>
        <v>－</v>
      </c>
    </row>
    <row r="51" spans="1:29">
      <c r="A51" s="9" t="s">
        <v>46</v>
      </c>
      <c r="B51" s="8" t="s">
        <v>228</v>
      </c>
      <c r="C51" s="8" t="s">
        <v>229</v>
      </c>
      <c r="D51" s="8" t="s">
        <v>252</v>
      </c>
      <c r="E51" s="7" t="s">
        <v>253</v>
      </c>
      <c r="F51" s="7" t="s">
        <v>254</v>
      </c>
      <c r="G51" s="3"/>
      <c r="H51" s="6" t="s">
        <v>131</v>
      </c>
      <c r="I51" s="3"/>
      <c r="J51" s="6" t="s">
        <v>131</v>
      </c>
      <c r="K51" s="3"/>
      <c r="L51" s="6"/>
      <c r="M51" s="3"/>
      <c r="N51" s="6" t="s">
        <v>131</v>
      </c>
      <c r="O51" s="3"/>
      <c r="P51" s="6"/>
      <c r="Q51" s="3"/>
      <c r="R51" s="6" t="s">
        <v>131</v>
      </c>
      <c r="S51" s="5">
        <f>242.33</f>
        <v>242.33</v>
      </c>
      <c r="T51" s="4" t="str">
        <f>"－"</f>
        <v>－</v>
      </c>
      <c r="U51" s="4"/>
      <c r="V51" s="4"/>
      <c r="W51" s="4" t="str">
        <f>"－"</f>
        <v>－</v>
      </c>
      <c r="X51" s="4"/>
      <c r="Y51" s="4"/>
      <c r="Z51" s="3"/>
      <c r="AA51" s="2" t="str">
        <f>"－"</f>
        <v>－</v>
      </c>
      <c r="AB51" s="2" t="str">
        <f t="shared" si="1"/>
        <v>－</v>
      </c>
      <c r="AC51" s="1" t="str">
        <f>"－"</f>
        <v>－</v>
      </c>
    </row>
    <row r="52" spans="1:29">
      <c r="A52" s="9" t="s">
        <v>46</v>
      </c>
      <c r="B52" s="8" t="s">
        <v>255</v>
      </c>
      <c r="C52" s="8" t="s">
        <v>256</v>
      </c>
      <c r="D52" s="8" t="s">
        <v>46</v>
      </c>
      <c r="E52" s="7" t="s">
        <v>257</v>
      </c>
      <c r="F52" s="7" t="s">
        <v>258</v>
      </c>
      <c r="G52" s="3" t="s">
        <v>52</v>
      </c>
      <c r="H52" s="6" t="s">
        <v>259</v>
      </c>
      <c r="I52" s="3" t="s">
        <v>260</v>
      </c>
      <c r="J52" s="6" t="s">
        <v>261</v>
      </c>
      <c r="K52" s="3" t="s">
        <v>145</v>
      </c>
      <c r="L52" s="6" t="s">
        <v>262</v>
      </c>
      <c r="M52" s="3" t="s">
        <v>145</v>
      </c>
      <c r="N52" s="6" t="s">
        <v>263</v>
      </c>
      <c r="O52" s="3" t="s">
        <v>145</v>
      </c>
      <c r="P52" s="6" t="s">
        <v>262</v>
      </c>
      <c r="Q52" s="3" t="s">
        <v>260</v>
      </c>
      <c r="R52" s="6" t="s">
        <v>261</v>
      </c>
      <c r="S52" s="5">
        <f>245.39</f>
        <v>245.39</v>
      </c>
      <c r="T52" s="4">
        <f>485</f>
        <v>485</v>
      </c>
      <c r="U52" s="4">
        <v>9</v>
      </c>
      <c r="V52" s="4">
        <v>46</v>
      </c>
      <c r="W52" s="4">
        <f>588921500</f>
        <v>588921500</v>
      </c>
      <c r="X52" s="4">
        <v>10881000</v>
      </c>
      <c r="Y52" s="4">
        <v>55395500</v>
      </c>
      <c r="Z52" s="3" t="s">
        <v>232</v>
      </c>
      <c r="AA52" s="2">
        <f>259</f>
        <v>259</v>
      </c>
      <c r="AB52" s="2" t="str">
        <f t="shared" si="1"/>
        <v>－</v>
      </c>
      <c r="AC52" s="1">
        <f>15</f>
        <v>15</v>
      </c>
    </row>
    <row r="53" spans="1:29">
      <c r="A53" s="9" t="s">
        <v>46</v>
      </c>
      <c r="B53" s="8" t="s">
        <v>255</v>
      </c>
      <c r="C53" s="8" t="s">
        <v>256</v>
      </c>
      <c r="D53" s="8" t="s">
        <v>49</v>
      </c>
      <c r="E53" s="7" t="s">
        <v>257</v>
      </c>
      <c r="F53" s="7" t="s">
        <v>101</v>
      </c>
      <c r="G53" s="3" t="s">
        <v>52</v>
      </c>
      <c r="H53" s="6" t="s">
        <v>264</v>
      </c>
      <c r="I53" s="3" t="s">
        <v>57</v>
      </c>
      <c r="J53" s="6" t="s">
        <v>265</v>
      </c>
      <c r="K53" s="3" t="s">
        <v>199</v>
      </c>
      <c r="L53" s="6" t="s">
        <v>266</v>
      </c>
      <c r="M53" s="3" t="s">
        <v>96</v>
      </c>
      <c r="N53" s="6" t="s">
        <v>267</v>
      </c>
      <c r="O53" s="3" t="s">
        <v>260</v>
      </c>
      <c r="P53" s="6" t="s">
        <v>268</v>
      </c>
      <c r="Q53" s="3" t="s">
        <v>57</v>
      </c>
      <c r="R53" s="6" t="s">
        <v>265</v>
      </c>
      <c r="S53" s="5">
        <f>245.7</f>
        <v>245.7</v>
      </c>
      <c r="T53" s="4">
        <f>330</f>
        <v>330</v>
      </c>
      <c r="U53" s="4">
        <v>32</v>
      </c>
      <c r="V53" s="4">
        <v>77</v>
      </c>
      <c r="W53" s="4">
        <f>402840000</f>
        <v>402840000</v>
      </c>
      <c r="X53" s="4">
        <v>39612000</v>
      </c>
      <c r="Y53" s="4">
        <v>93727500</v>
      </c>
      <c r="Z53" s="3"/>
      <c r="AA53" s="2">
        <f>634</f>
        <v>634</v>
      </c>
      <c r="AB53" s="2" t="str">
        <f t="shared" si="1"/>
        <v>－</v>
      </c>
      <c r="AC53" s="1">
        <f>19</f>
        <v>19</v>
      </c>
    </row>
    <row r="54" spans="1:29">
      <c r="A54" s="9" t="s">
        <v>46</v>
      </c>
      <c r="B54" s="8" t="s">
        <v>255</v>
      </c>
      <c r="C54" s="8" t="s">
        <v>256</v>
      </c>
      <c r="D54" s="8" t="s">
        <v>237</v>
      </c>
      <c r="E54" s="7" t="s">
        <v>257</v>
      </c>
      <c r="F54" s="7" t="s">
        <v>269</v>
      </c>
      <c r="G54" s="3" t="s">
        <v>52</v>
      </c>
      <c r="H54" s="6" t="s">
        <v>270</v>
      </c>
      <c r="I54" s="3" t="s">
        <v>52</v>
      </c>
      <c r="J54" s="6" t="s">
        <v>271</v>
      </c>
      <c r="K54" s="3" t="s">
        <v>260</v>
      </c>
      <c r="L54" s="6" t="s">
        <v>262</v>
      </c>
      <c r="M54" s="3" t="s">
        <v>136</v>
      </c>
      <c r="N54" s="6" t="s">
        <v>272</v>
      </c>
      <c r="O54" s="3" t="s">
        <v>260</v>
      </c>
      <c r="P54" s="6" t="s">
        <v>262</v>
      </c>
      <c r="Q54" s="3" t="s">
        <v>57</v>
      </c>
      <c r="R54" s="6" t="s">
        <v>273</v>
      </c>
      <c r="S54" s="5">
        <f>242.93</f>
        <v>242.93</v>
      </c>
      <c r="T54" s="4">
        <f>565</f>
        <v>565</v>
      </c>
      <c r="U54" s="4">
        <v>20</v>
      </c>
      <c r="V54" s="4">
        <v>153</v>
      </c>
      <c r="W54" s="4">
        <f>684129000</f>
        <v>684129000</v>
      </c>
      <c r="X54" s="4">
        <v>24180000</v>
      </c>
      <c r="Y54" s="4">
        <v>185018000</v>
      </c>
      <c r="Z54" s="3"/>
      <c r="AA54" s="2">
        <f>822</f>
        <v>822</v>
      </c>
      <c r="AB54" s="2" t="str">
        <f t="shared" si="1"/>
        <v>－</v>
      </c>
      <c r="AC54" s="1">
        <f>19</f>
        <v>19</v>
      </c>
    </row>
    <row r="55" spans="1:29">
      <c r="A55" s="9" t="s">
        <v>46</v>
      </c>
      <c r="B55" s="8" t="s">
        <v>255</v>
      </c>
      <c r="C55" s="8" t="s">
        <v>256</v>
      </c>
      <c r="D55" s="8" t="s">
        <v>59</v>
      </c>
      <c r="E55" s="7" t="s">
        <v>257</v>
      </c>
      <c r="F55" s="7" t="s">
        <v>106</v>
      </c>
      <c r="G55" s="3" t="s">
        <v>52</v>
      </c>
      <c r="H55" s="6" t="s">
        <v>273</v>
      </c>
      <c r="I55" s="3" t="s">
        <v>52</v>
      </c>
      <c r="J55" s="6" t="s">
        <v>274</v>
      </c>
      <c r="K55" s="3"/>
      <c r="L55" s="6"/>
      <c r="M55" s="3" t="s">
        <v>136</v>
      </c>
      <c r="N55" s="6" t="s">
        <v>275</v>
      </c>
      <c r="O55" s="3"/>
      <c r="P55" s="6"/>
      <c r="Q55" s="3" t="s">
        <v>57</v>
      </c>
      <c r="R55" s="6" t="s">
        <v>259</v>
      </c>
      <c r="S55" s="5">
        <f>244.71</f>
        <v>244.71</v>
      </c>
      <c r="T55" s="4">
        <f>1190</f>
        <v>1190</v>
      </c>
      <c r="U55" s="4"/>
      <c r="V55" s="4">
        <v>330</v>
      </c>
      <c r="W55" s="4">
        <f>1455980000</f>
        <v>1455980000</v>
      </c>
      <c r="X55" s="4"/>
      <c r="Y55" s="4">
        <v>403651000</v>
      </c>
      <c r="Z55" s="3"/>
      <c r="AA55" s="2">
        <f>1040</f>
        <v>1040</v>
      </c>
      <c r="AB55" s="2" t="str">
        <f t="shared" si="1"/>
        <v>－</v>
      </c>
      <c r="AC55" s="1">
        <f>19</f>
        <v>19</v>
      </c>
    </row>
    <row r="56" spans="1:29">
      <c r="A56" s="9" t="s">
        <v>46</v>
      </c>
      <c r="B56" s="8" t="s">
        <v>255</v>
      </c>
      <c r="C56" s="8" t="s">
        <v>256</v>
      </c>
      <c r="D56" s="8" t="s">
        <v>245</v>
      </c>
      <c r="E56" s="7" t="s">
        <v>276</v>
      </c>
      <c r="F56" s="7" t="s">
        <v>277</v>
      </c>
      <c r="G56" s="3" t="s">
        <v>52</v>
      </c>
      <c r="H56" s="6" t="s">
        <v>278</v>
      </c>
      <c r="I56" s="3" t="s">
        <v>52</v>
      </c>
      <c r="J56" s="6" t="s">
        <v>279</v>
      </c>
      <c r="K56" s="3" t="s">
        <v>171</v>
      </c>
      <c r="L56" s="6" t="s">
        <v>280</v>
      </c>
      <c r="M56" s="3" t="s">
        <v>96</v>
      </c>
      <c r="N56" s="6" t="s">
        <v>281</v>
      </c>
      <c r="O56" s="3" t="s">
        <v>147</v>
      </c>
      <c r="P56" s="6" t="s">
        <v>282</v>
      </c>
      <c r="Q56" s="3" t="s">
        <v>57</v>
      </c>
      <c r="R56" s="6" t="s">
        <v>283</v>
      </c>
      <c r="S56" s="5">
        <f>245.91</f>
        <v>245.91</v>
      </c>
      <c r="T56" s="4">
        <f>9196</f>
        <v>9196</v>
      </c>
      <c r="U56" s="4">
        <v>131</v>
      </c>
      <c r="V56" s="4">
        <v>3870</v>
      </c>
      <c r="W56" s="4">
        <f>11384675500</f>
        <v>11384675500</v>
      </c>
      <c r="X56" s="4">
        <v>164492000</v>
      </c>
      <c r="Y56" s="4">
        <v>4812829000</v>
      </c>
      <c r="Z56" s="3"/>
      <c r="AA56" s="2">
        <f>1490</f>
        <v>1490</v>
      </c>
      <c r="AB56" s="2" t="str">
        <f t="shared" si="1"/>
        <v>－</v>
      </c>
      <c r="AC56" s="1">
        <f>19</f>
        <v>19</v>
      </c>
    </row>
    <row r="57" spans="1:29">
      <c r="A57" s="9" t="s">
        <v>46</v>
      </c>
      <c r="B57" s="8" t="s">
        <v>255</v>
      </c>
      <c r="C57" s="8" t="s">
        <v>256</v>
      </c>
      <c r="D57" s="8" t="s">
        <v>66</v>
      </c>
      <c r="E57" s="7" t="s">
        <v>284</v>
      </c>
      <c r="F57" s="7" t="s">
        <v>110</v>
      </c>
      <c r="G57" s="3" t="s">
        <v>52</v>
      </c>
      <c r="H57" s="6" t="s">
        <v>285</v>
      </c>
      <c r="I57" s="3" t="s">
        <v>171</v>
      </c>
      <c r="J57" s="6" t="s">
        <v>286</v>
      </c>
      <c r="K57" s="3" t="s">
        <v>287</v>
      </c>
      <c r="L57" s="6" t="s">
        <v>288</v>
      </c>
      <c r="M57" s="3" t="s">
        <v>96</v>
      </c>
      <c r="N57" s="6" t="s">
        <v>289</v>
      </c>
      <c r="O57" s="3" t="s">
        <v>287</v>
      </c>
      <c r="P57" s="6" t="s">
        <v>288</v>
      </c>
      <c r="Q57" s="3" t="s">
        <v>57</v>
      </c>
      <c r="R57" s="6" t="s">
        <v>290</v>
      </c>
      <c r="S57" s="5">
        <f>246.78</f>
        <v>246.78</v>
      </c>
      <c r="T57" s="4">
        <f>21586</f>
        <v>21586</v>
      </c>
      <c r="U57" s="4">
        <v>1</v>
      </c>
      <c r="V57" s="4">
        <v>4568</v>
      </c>
      <c r="W57" s="4">
        <f>26677167000</f>
        <v>26677167000</v>
      </c>
      <c r="X57" s="4">
        <v>1235500</v>
      </c>
      <c r="Y57" s="4">
        <v>5695481500</v>
      </c>
      <c r="Z57" s="3"/>
      <c r="AA57" s="2">
        <f>3987</f>
        <v>3987</v>
      </c>
      <c r="AB57" s="2" t="str">
        <f t="shared" si="1"/>
        <v>－</v>
      </c>
      <c r="AC57" s="1">
        <f>19</f>
        <v>19</v>
      </c>
    </row>
    <row r="58" spans="1:29">
      <c r="A58" s="9" t="s">
        <v>46</v>
      </c>
      <c r="B58" s="8" t="s">
        <v>255</v>
      </c>
      <c r="C58" s="8" t="s">
        <v>256</v>
      </c>
      <c r="D58" s="8" t="s">
        <v>252</v>
      </c>
      <c r="E58" s="7" t="s">
        <v>291</v>
      </c>
      <c r="F58" s="7" t="s">
        <v>292</v>
      </c>
      <c r="G58" s="3" t="s">
        <v>52</v>
      </c>
      <c r="H58" s="6" t="s">
        <v>293</v>
      </c>
      <c r="I58" s="3" t="s">
        <v>52</v>
      </c>
      <c r="J58" s="6" t="s">
        <v>293</v>
      </c>
      <c r="K58" s="3"/>
      <c r="L58" s="6"/>
      <c r="M58" s="3" t="s">
        <v>96</v>
      </c>
      <c r="N58" s="6" t="s">
        <v>294</v>
      </c>
      <c r="O58" s="3"/>
      <c r="P58" s="6"/>
      <c r="Q58" s="3" t="s">
        <v>57</v>
      </c>
      <c r="R58" s="6" t="s">
        <v>295</v>
      </c>
      <c r="S58" s="5">
        <f>247.53</f>
        <v>247.53</v>
      </c>
      <c r="T58" s="4">
        <f>1777</f>
        <v>1777</v>
      </c>
      <c r="U58" s="4"/>
      <c r="V58" s="4">
        <v>635</v>
      </c>
      <c r="W58" s="4">
        <f>2208812500</f>
        <v>2208812500</v>
      </c>
      <c r="X58" s="4"/>
      <c r="Y58" s="4">
        <v>789761000</v>
      </c>
      <c r="Z58" s="3"/>
      <c r="AA58" s="2">
        <f>662</f>
        <v>662</v>
      </c>
      <c r="AB58" s="2" t="str">
        <f t="shared" si="1"/>
        <v>－</v>
      </c>
      <c r="AC58" s="1">
        <f>18</f>
        <v>18</v>
      </c>
    </row>
    <row r="59" spans="1:29">
      <c r="A59" s="9" t="s">
        <v>46</v>
      </c>
      <c r="B59" s="8" t="s">
        <v>255</v>
      </c>
      <c r="C59" s="8" t="s">
        <v>256</v>
      </c>
      <c r="D59" s="8" t="s">
        <v>73</v>
      </c>
      <c r="E59" s="7" t="s">
        <v>296</v>
      </c>
      <c r="F59" s="7" t="s">
        <v>114</v>
      </c>
      <c r="G59" s="3" t="s">
        <v>52</v>
      </c>
      <c r="H59" s="6" t="s">
        <v>297</v>
      </c>
      <c r="I59" s="3" t="s">
        <v>52</v>
      </c>
      <c r="J59" s="6" t="s">
        <v>297</v>
      </c>
      <c r="K59" s="3"/>
      <c r="L59" s="6"/>
      <c r="M59" s="3" t="s">
        <v>96</v>
      </c>
      <c r="N59" s="6" t="s">
        <v>298</v>
      </c>
      <c r="O59" s="3"/>
      <c r="P59" s="6"/>
      <c r="Q59" s="3" t="s">
        <v>57</v>
      </c>
      <c r="R59" s="6" t="s">
        <v>299</v>
      </c>
      <c r="S59" s="5">
        <f>247.83</f>
        <v>247.83</v>
      </c>
      <c r="T59" s="4">
        <f>59</f>
        <v>59</v>
      </c>
      <c r="U59" s="4"/>
      <c r="V59" s="4">
        <v>7</v>
      </c>
      <c r="W59" s="4">
        <f>73369000</f>
        <v>73369000</v>
      </c>
      <c r="X59" s="4"/>
      <c r="Y59" s="4">
        <v>8703000</v>
      </c>
      <c r="Z59" s="3"/>
      <c r="AA59" s="2">
        <f>77</f>
        <v>77</v>
      </c>
      <c r="AB59" s="2" t="str">
        <f t="shared" si="1"/>
        <v>－</v>
      </c>
      <c r="AC59" s="1">
        <f>15</f>
        <v>15</v>
      </c>
    </row>
    <row r="60" spans="1:29">
      <c r="A60" s="9" t="s">
        <v>46</v>
      </c>
      <c r="B60" s="8" t="s">
        <v>255</v>
      </c>
      <c r="C60" s="8" t="s">
        <v>256</v>
      </c>
      <c r="D60" s="8" t="s">
        <v>300</v>
      </c>
      <c r="E60" s="7" t="s">
        <v>301</v>
      </c>
      <c r="F60" s="7" t="s">
        <v>302</v>
      </c>
      <c r="G60" s="3" t="s">
        <v>166</v>
      </c>
      <c r="H60" s="6" t="s">
        <v>303</v>
      </c>
      <c r="I60" s="3" t="s">
        <v>260</v>
      </c>
      <c r="J60" s="6" t="s">
        <v>304</v>
      </c>
      <c r="K60" s="3"/>
      <c r="L60" s="6"/>
      <c r="M60" s="3" t="s">
        <v>145</v>
      </c>
      <c r="N60" s="6" t="s">
        <v>278</v>
      </c>
      <c r="O60" s="3"/>
      <c r="P60" s="6"/>
      <c r="Q60" s="3" t="s">
        <v>260</v>
      </c>
      <c r="R60" s="6" t="s">
        <v>304</v>
      </c>
      <c r="S60" s="5">
        <f>251.36</f>
        <v>251.36</v>
      </c>
      <c r="T60" s="4">
        <f>6</f>
        <v>6</v>
      </c>
      <c r="U60" s="4"/>
      <c r="V60" s="4"/>
      <c r="W60" s="4">
        <f>7509000</f>
        <v>7509000</v>
      </c>
      <c r="X60" s="4"/>
      <c r="Y60" s="4"/>
      <c r="Z60" s="3"/>
      <c r="AA60" s="2">
        <f>31</f>
        <v>31</v>
      </c>
      <c r="AB60" s="2" t="str">
        <f t="shared" si="1"/>
        <v>－</v>
      </c>
      <c r="AC60" s="1">
        <f>3</f>
        <v>3</v>
      </c>
    </row>
    <row r="61" spans="1:29">
      <c r="A61" s="9" t="s">
        <v>46</v>
      </c>
      <c r="B61" s="8" t="s">
        <v>255</v>
      </c>
      <c r="C61" s="8" t="s">
        <v>256</v>
      </c>
      <c r="D61" s="8" t="s">
        <v>78</v>
      </c>
      <c r="E61" s="7" t="s">
        <v>305</v>
      </c>
      <c r="F61" s="7" t="s">
        <v>119</v>
      </c>
      <c r="G61" s="3" t="s">
        <v>52</v>
      </c>
      <c r="H61" s="6" t="s">
        <v>306</v>
      </c>
      <c r="I61" s="3" t="s">
        <v>52</v>
      </c>
      <c r="J61" s="6" t="s">
        <v>306</v>
      </c>
      <c r="K61" s="3"/>
      <c r="L61" s="6"/>
      <c r="M61" s="3" t="s">
        <v>145</v>
      </c>
      <c r="N61" s="6" t="s">
        <v>307</v>
      </c>
      <c r="O61" s="3"/>
      <c r="P61" s="6"/>
      <c r="Q61" s="3" t="s">
        <v>308</v>
      </c>
      <c r="R61" s="6" t="s">
        <v>309</v>
      </c>
      <c r="S61" s="5">
        <f>253.27</f>
        <v>253.27</v>
      </c>
      <c r="T61" s="4">
        <f>7</f>
        <v>7</v>
      </c>
      <c r="U61" s="4"/>
      <c r="V61" s="4"/>
      <c r="W61" s="4">
        <f>8770500</f>
        <v>8770500</v>
      </c>
      <c r="X61" s="4"/>
      <c r="Y61" s="4"/>
      <c r="Z61" s="3"/>
      <c r="AA61" s="2">
        <f>32</f>
        <v>32</v>
      </c>
      <c r="AB61" s="2" t="str">
        <f t="shared" si="1"/>
        <v>－</v>
      </c>
      <c r="AC61" s="1">
        <f>4</f>
        <v>4</v>
      </c>
    </row>
    <row r="62" spans="1:29">
      <c r="A62" s="9" t="s">
        <v>46</v>
      </c>
      <c r="B62" s="8" t="s">
        <v>255</v>
      </c>
      <c r="C62" s="8" t="s">
        <v>256</v>
      </c>
      <c r="D62" s="8" t="s">
        <v>310</v>
      </c>
      <c r="E62" s="7" t="s">
        <v>311</v>
      </c>
      <c r="F62" s="7" t="s">
        <v>312</v>
      </c>
      <c r="G62" s="3" t="s">
        <v>166</v>
      </c>
      <c r="H62" s="6" t="s">
        <v>313</v>
      </c>
      <c r="I62" s="3" t="s">
        <v>260</v>
      </c>
      <c r="J62" s="6" t="s">
        <v>309</v>
      </c>
      <c r="K62" s="3"/>
      <c r="L62" s="6"/>
      <c r="M62" s="3" t="s">
        <v>145</v>
      </c>
      <c r="N62" s="6" t="s">
        <v>314</v>
      </c>
      <c r="O62" s="3"/>
      <c r="P62" s="6"/>
      <c r="Q62" s="3" t="s">
        <v>260</v>
      </c>
      <c r="R62" s="6" t="s">
        <v>309</v>
      </c>
      <c r="S62" s="5">
        <f>251.97</f>
        <v>251.97</v>
      </c>
      <c r="T62" s="4">
        <f>4</f>
        <v>4</v>
      </c>
      <c r="U62" s="4"/>
      <c r="V62" s="4"/>
      <c r="W62" s="4">
        <f>4972500</f>
        <v>4972500</v>
      </c>
      <c r="X62" s="4"/>
      <c r="Y62" s="4"/>
      <c r="Z62" s="3"/>
      <c r="AA62" s="2">
        <f>6</f>
        <v>6</v>
      </c>
      <c r="AB62" s="2" t="str">
        <f t="shared" si="1"/>
        <v>－</v>
      </c>
      <c r="AC62" s="1">
        <f>3</f>
        <v>3</v>
      </c>
    </row>
    <row r="63" spans="1:29">
      <c r="A63" s="9" t="s">
        <v>46</v>
      </c>
      <c r="B63" s="8" t="s">
        <v>255</v>
      </c>
      <c r="C63" s="8" t="s">
        <v>256</v>
      </c>
      <c r="D63" s="8" t="s">
        <v>88</v>
      </c>
      <c r="E63" s="7" t="s">
        <v>315</v>
      </c>
      <c r="F63" s="7" t="s">
        <v>124</v>
      </c>
      <c r="G63" s="3" t="s">
        <v>52</v>
      </c>
      <c r="H63" s="6" t="s">
        <v>316</v>
      </c>
      <c r="I63" s="3" t="s">
        <v>52</v>
      </c>
      <c r="J63" s="6" t="s">
        <v>316</v>
      </c>
      <c r="K63" s="3"/>
      <c r="L63" s="6"/>
      <c r="M63" s="3" t="s">
        <v>136</v>
      </c>
      <c r="N63" s="6" t="s">
        <v>317</v>
      </c>
      <c r="O63" s="3"/>
      <c r="P63" s="6"/>
      <c r="Q63" s="3" t="s">
        <v>147</v>
      </c>
      <c r="R63" s="6" t="s">
        <v>318</v>
      </c>
      <c r="S63" s="5">
        <f>251.74</f>
        <v>251.74</v>
      </c>
      <c r="T63" s="4">
        <f>49</f>
        <v>49</v>
      </c>
      <c r="U63" s="4"/>
      <c r="V63" s="4"/>
      <c r="W63" s="4">
        <f>61578500</f>
        <v>61578500</v>
      </c>
      <c r="X63" s="4"/>
      <c r="Y63" s="4"/>
      <c r="Z63" s="3"/>
      <c r="AA63" s="2">
        <f>9</f>
        <v>9</v>
      </c>
      <c r="AB63" s="2" t="str">
        <f t="shared" si="1"/>
        <v>－</v>
      </c>
      <c r="AC63" s="1">
        <f>14</f>
        <v>14</v>
      </c>
    </row>
    <row r="64" spans="1:29">
      <c r="A64" s="9" t="s">
        <v>46</v>
      </c>
      <c r="B64" s="8" t="s">
        <v>255</v>
      </c>
      <c r="C64" s="8" t="s">
        <v>256</v>
      </c>
      <c r="D64" s="8" t="s">
        <v>319</v>
      </c>
      <c r="E64" s="7" t="s">
        <v>320</v>
      </c>
      <c r="F64" s="7" t="s">
        <v>321</v>
      </c>
      <c r="G64" s="3" t="s">
        <v>205</v>
      </c>
      <c r="H64" s="6" t="s">
        <v>322</v>
      </c>
      <c r="I64" s="3" t="s">
        <v>147</v>
      </c>
      <c r="J64" s="6" t="s">
        <v>323</v>
      </c>
      <c r="K64" s="3"/>
      <c r="L64" s="6"/>
      <c r="M64" s="3" t="s">
        <v>205</v>
      </c>
      <c r="N64" s="6" t="s">
        <v>322</v>
      </c>
      <c r="O64" s="3"/>
      <c r="P64" s="6"/>
      <c r="Q64" s="3" t="s">
        <v>57</v>
      </c>
      <c r="R64" s="6" t="s">
        <v>322</v>
      </c>
      <c r="S64" s="5">
        <f>252.08</f>
        <v>252.08</v>
      </c>
      <c r="T64" s="4">
        <f>6</f>
        <v>6</v>
      </c>
      <c r="U64" s="4"/>
      <c r="V64" s="4"/>
      <c r="W64" s="4">
        <f>7599000</f>
        <v>7599000</v>
      </c>
      <c r="X64" s="4"/>
      <c r="Y64" s="4"/>
      <c r="Z64" s="3"/>
      <c r="AA64" s="2">
        <f>2</f>
        <v>2</v>
      </c>
      <c r="AB64" s="2" t="str">
        <f t="shared" si="1"/>
        <v>－</v>
      </c>
      <c r="AC64" s="1">
        <f>3</f>
        <v>3</v>
      </c>
    </row>
    <row r="65" spans="1:29">
      <c r="A65" s="9" t="s">
        <v>46</v>
      </c>
      <c r="B65" s="8" t="s">
        <v>324</v>
      </c>
      <c r="C65" s="8" t="s">
        <v>325</v>
      </c>
      <c r="D65" s="8" t="s">
        <v>49</v>
      </c>
      <c r="E65" s="7" t="s">
        <v>257</v>
      </c>
      <c r="F65" s="7" t="s">
        <v>326</v>
      </c>
      <c r="G65" s="3"/>
      <c r="H65" s="6" t="s">
        <v>131</v>
      </c>
      <c r="I65" s="3"/>
      <c r="J65" s="6" t="s">
        <v>131</v>
      </c>
      <c r="K65" s="3"/>
      <c r="L65" s="6"/>
      <c r="M65" s="3"/>
      <c r="N65" s="6" t="s">
        <v>131</v>
      </c>
      <c r="O65" s="3"/>
      <c r="P65" s="6"/>
      <c r="Q65" s="3"/>
      <c r="R65" s="6" t="s">
        <v>131</v>
      </c>
      <c r="S65" s="5">
        <f>205.53</f>
        <v>205.53</v>
      </c>
      <c r="T65" s="4" t="str">
        <f>"－"</f>
        <v>－</v>
      </c>
      <c r="U65" s="4"/>
      <c r="V65" s="4"/>
      <c r="W65" s="4" t="str">
        <f>"－"</f>
        <v>－</v>
      </c>
      <c r="X65" s="4"/>
      <c r="Y65" s="4"/>
      <c r="Z65" s="3" t="s">
        <v>232</v>
      </c>
      <c r="AA65" s="2" t="str">
        <f t="shared" ref="AA65:AA76" si="2">"－"</f>
        <v>－</v>
      </c>
      <c r="AB65" s="2" t="str">
        <f t="shared" si="1"/>
        <v>－</v>
      </c>
      <c r="AC65" s="1" t="str">
        <f>"－"</f>
        <v>－</v>
      </c>
    </row>
    <row r="66" spans="1:29">
      <c r="A66" s="9" t="s">
        <v>46</v>
      </c>
      <c r="B66" s="8" t="s">
        <v>324</v>
      </c>
      <c r="C66" s="8" t="s">
        <v>325</v>
      </c>
      <c r="D66" s="8" t="s">
        <v>237</v>
      </c>
      <c r="E66" s="7" t="s">
        <v>257</v>
      </c>
      <c r="F66" s="7" t="s">
        <v>327</v>
      </c>
      <c r="G66" s="3"/>
      <c r="H66" s="6" t="s">
        <v>131</v>
      </c>
      <c r="I66" s="3"/>
      <c r="J66" s="6" t="s">
        <v>131</v>
      </c>
      <c r="K66" s="3"/>
      <c r="L66" s="6"/>
      <c r="M66" s="3"/>
      <c r="N66" s="6" t="s">
        <v>131</v>
      </c>
      <c r="O66" s="3"/>
      <c r="P66" s="6"/>
      <c r="Q66" s="3"/>
      <c r="R66" s="6" t="s">
        <v>131</v>
      </c>
      <c r="S66" s="5">
        <f>204.88</f>
        <v>204.88</v>
      </c>
      <c r="T66" s="4" t="str">
        <f>"－"</f>
        <v>－</v>
      </c>
      <c r="U66" s="4"/>
      <c r="V66" s="4"/>
      <c r="W66" s="4" t="str">
        <f>"－"</f>
        <v>－</v>
      </c>
      <c r="X66" s="4"/>
      <c r="Y66" s="4"/>
      <c r="Z66" s="3"/>
      <c r="AA66" s="2" t="str">
        <f t="shared" si="2"/>
        <v>－</v>
      </c>
      <c r="AB66" s="2" t="str">
        <f t="shared" si="1"/>
        <v>－</v>
      </c>
      <c r="AC66" s="1" t="str">
        <f>"－"</f>
        <v>－</v>
      </c>
    </row>
    <row r="67" spans="1:29">
      <c r="A67" s="9" t="s">
        <v>46</v>
      </c>
      <c r="B67" s="8" t="s">
        <v>324</v>
      </c>
      <c r="C67" s="8" t="s">
        <v>325</v>
      </c>
      <c r="D67" s="8" t="s">
        <v>59</v>
      </c>
      <c r="E67" s="7" t="s">
        <v>257</v>
      </c>
      <c r="F67" s="7" t="s">
        <v>328</v>
      </c>
      <c r="G67" s="3" t="s">
        <v>93</v>
      </c>
      <c r="H67" s="6" t="s">
        <v>329</v>
      </c>
      <c r="I67" s="3" t="s">
        <v>93</v>
      </c>
      <c r="J67" s="6" t="s">
        <v>330</v>
      </c>
      <c r="K67" s="3"/>
      <c r="L67" s="6"/>
      <c r="M67" s="3" t="s">
        <v>93</v>
      </c>
      <c r="N67" s="6" t="s">
        <v>329</v>
      </c>
      <c r="O67" s="3"/>
      <c r="P67" s="6"/>
      <c r="Q67" s="3" t="s">
        <v>85</v>
      </c>
      <c r="R67" s="6" t="s">
        <v>331</v>
      </c>
      <c r="S67" s="5">
        <f>206.16</f>
        <v>206.16</v>
      </c>
      <c r="T67" s="4">
        <f>18</f>
        <v>18</v>
      </c>
      <c r="U67" s="4"/>
      <c r="V67" s="4"/>
      <c r="W67" s="4">
        <f>18565500</f>
        <v>18565500</v>
      </c>
      <c r="X67" s="4"/>
      <c r="Y67" s="4"/>
      <c r="Z67" s="3"/>
      <c r="AA67" s="2" t="str">
        <f t="shared" si="2"/>
        <v>－</v>
      </c>
      <c r="AB67" s="2" t="str">
        <f t="shared" si="1"/>
        <v>－</v>
      </c>
      <c r="AC67" s="1">
        <f>2</f>
        <v>2</v>
      </c>
    </row>
    <row r="68" spans="1:29">
      <c r="A68" s="9" t="s">
        <v>46</v>
      </c>
      <c r="B68" s="8" t="s">
        <v>324</v>
      </c>
      <c r="C68" s="8" t="s">
        <v>325</v>
      </c>
      <c r="D68" s="8" t="s">
        <v>245</v>
      </c>
      <c r="E68" s="7" t="s">
        <v>257</v>
      </c>
      <c r="F68" s="7" t="s">
        <v>332</v>
      </c>
      <c r="G68" s="3" t="s">
        <v>171</v>
      </c>
      <c r="H68" s="6" t="s">
        <v>333</v>
      </c>
      <c r="I68" s="3" t="s">
        <v>147</v>
      </c>
      <c r="J68" s="6" t="s">
        <v>334</v>
      </c>
      <c r="K68" s="3"/>
      <c r="L68" s="6"/>
      <c r="M68" s="3" t="s">
        <v>171</v>
      </c>
      <c r="N68" s="6" t="s">
        <v>333</v>
      </c>
      <c r="O68" s="3"/>
      <c r="P68" s="6"/>
      <c r="Q68" s="3" t="s">
        <v>147</v>
      </c>
      <c r="R68" s="6" t="s">
        <v>334</v>
      </c>
      <c r="S68" s="5">
        <f>206.85</f>
        <v>206.85</v>
      </c>
      <c r="T68" s="4">
        <f>12</f>
        <v>12</v>
      </c>
      <c r="U68" s="4"/>
      <c r="V68" s="4"/>
      <c r="W68" s="4">
        <f>12586500</f>
        <v>12586500</v>
      </c>
      <c r="X68" s="4"/>
      <c r="Y68" s="4"/>
      <c r="Z68" s="3"/>
      <c r="AA68" s="2" t="str">
        <f t="shared" si="2"/>
        <v>－</v>
      </c>
      <c r="AB68" s="2" t="str">
        <f t="shared" si="1"/>
        <v>－</v>
      </c>
      <c r="AC68" s="1">
        <f>2</f>
        <v>2</v>
      </c>
    </row>
    <row r="69" spans="1:29">
      <c r="A69" s="9" t="s">
        <v>46</v>
      </c>
      <c r="B69" s="8" t="s">
        <v>324</v>
      </c>
      <c r="C69" s="8" t="s">
        <v>325</v>
      </c>
      <c r="D69" s="8" t="s">
        <v>66</v>
      </c>
      <c r="E69" s="7" t="s">
        <v>335</v>
      </c>
      <c r="F69" s="7" t="s">
        <v>336</v>
      </c>
      <c r="G69" s="3"/>
      <c r="H69" s="6" t="s">
        <v>131</v>
      </c>
      <c r="I69" s="3"/>
      <c r="J69" s="6" t="s">
        <v>131</v>
      </c>
      <c r="K69" s="3"/>
      <c r="L69" s="6"/>
      <c r="M69" s="3"/>
      <c r="N69" s="6" t="s">
        <v>131</v>
      </c>
      <c r="O69" s="3"/>
      <c r="P69" s="6"/>
      <c r="Q69" s="3"/>
      <c r="R69" s="6" t="s">
        <v>131</v>
      </c>
      <c r="S69" s="5">
        <f>206.68</f>
        <v>206.68</v>
      </c>
      <c r="T69" s="4" t="str">
        <f t="shared" ref="T69:T76" si="3">"－"</f>
        <v>－</v>
      </c>
      <c r="U69" s="4"/>
      <c r="V69" s="4"/>
      <c r="W69" s="4" t="str">
        <f t="shared" ref="W69:W76" si="4">"－"</f>
        <v>－</v>
      </c>
      <c r="X69" s="4"/>
      <c r="Y69" s="4"/>
      <c r="Z69" s="3"/>
      <c r="AA69" s="2" t="str">
        <f t="shared" si="2"/>
        <v>－</v>
      </c>
      <c r="AB69" s="2" t="str">
        <f t="shared" si="1"/>
        <v>－</v>
      </c>
      <c r="AC69" s="1" t="str">
        <f t="shared" ref="AC69:AC76" si="5">"－"</f>
        <v>－</v>
      </c>
    </row>
    <row r="70" spans="1:29">
      <c r="A70" s="9" t="s">
        <v>46</v>
      </c>
      <c r="B70" s="8" t="s">
        <v>324</v>
      </c>
      <c r="C70" s="8" t="s">
        <v>325</v>
      </c>
      <c r="D70" s="8" t="s">
        <v>252</v>
      </c>
      <c r="E70" s="7" t="s">
        <v>337</v>
      </c>
      <c r="F70" s="7" t="s">
        <v>338</v>
      </c>
      <c r="G70" s="3"/>
      <c r="H70" s="6" t="s">
        <v>131</v>
      </c>
      <c r="I70" s="3"/>
      <c r="J70" s="6" t="s">
        <v>131</v>
      </c>
      <c r="K70" s="3"/>
      <c r="L70" s="6"/>
      <c r="M70" s="3"/>
      <c r="N70" s="6" t="s">
        <v>131</v>
      </c>
      <c r="O70" s="3"/>
      <c r="P70" s="6"/>
      <c r="Q70" s="3"/>
      <c r="R70" s="6" t="s">
        <v>131</v>
      </c>
      <c r="S70" s="5">
        <f>207.84</f>
        <v>207.84</v>
      </c>
      <c r="T70" s="4" t="str">
        <f t="shared" si="3"/>
        <v>－</v>
      </c>
      <c r="U70" s="4"/>
      <c r="V70" s="4"/>
      <c r="W70" s="4" t="str">
        <f t="shared" si="4"/>
        <v>－</v>
      </c>
      <c r="X70" s="4"/>
      <c r="Y70" s="4"/>
      <c r="Z70" s="3"/>
      <c r="AA70" s="2" t="str">
        <f t="shared" si="2"/>
        <v>－</v>
      </c>
      <c r="AB70" s="2" t="str">
        <f t="shared" si="1"/>
        <v>－</v>
      </c>
      <c r="AC70" s="1" t="str">
        <f t="shared" si="5"/>
        <v>－</v>
      </c>
    </row>
    <row r="71" spans="1:29">
      <c r="A71" s="9" t="s">
        <v>46</v>
      </c>
      <c r="B71" s="8" t="s">
        <v>324</v>
      </c>
      <c r="C71" s="8" t="s">
        <v>325</v>
      </c>
      <c r="D71" s="8" t="s">
        <v>73</v>
      </c>
      <c r="E71" s="7" t="s">
        <v>339</v>
      </c>
      <c r="F71" s="7" t="s">
        <v>340</v>
      </c>
      <c r="G71" s="3"/>
      <c r="H71" s="6" t="s">
        <v>131</v>
      </c>
      <c r="I71" s="3"/>
      <c r="J71" s="6" t="s">
        <v>131</v>
      </c>
      <c r="K71" s="3"/>
      <c r="L71" s="6"/>
      <c r="M71" s="3"/>
      <c r="N71" s="6" t="s">
        <v>131</v>
      </c>
      <c r="O71" s="3"/>
      <c r="P71" s="6"/>
      <c r="Q71" s="3"/>
      <c r="R71" s="6" t="s">
        <v>131</v>
      </c>
      <c r="S71" s="5">
        <f>208.11</f>
        <v>208.11</v>
      </c>
      <c r="T71" s="4" t="str">
        <f t="shared" si="3"/>
        <v>－</v>
      </c>
      <c r="U71" s="4"/>
      <c r="V71" s="4"/>
      <c r="W71" s="4" t="str">
        <f t="shared" si="4"/>
        <v>－</v>
      </c>
      <c r="X71" s="4"/>
      <c r="Y71" s="4"/>
      <c r="Z71" s="3"/>
      <c r="AA71" s="2" t="str">
        <f t="shared" si="2"/>
        <v>－</v>
      </c>
      <c r="AB71" s="2" t="str">
        <f t="shared" ref="AB71:AB95" si="6">"－"</f>
        <v>－</v>
      </c>
      <c r="AC71" s="1" t="str">
        <f t="shared" si="5"/>
        <v>－</v>
      </c>
    </row>
    <row r="72" spans="1:29">
      <c r="A72" s="9" t="s">
        <v>46</v>
      </c>
      <c r="B72" s="8" t="s">
        <v>324</v>
      </c>
      <c r="C72" s="8" t="s">
        <v>325</v>
      </c>
      <c r="D72" s="8" t="s">
        <v>300</v>
      </c>
      <c r="E72" s="7" t="s">
        <v>341</v>
      </c>
      <c r="F72" s="7" t="s">
        <v>342</v>
      </c>
      <c r="G72" s="3"/>
      <c r="H72" s="6" t="s">
        <v>131</v>
      </c>
      <c r="I72" s="3"/>
      <c r="J72" s="6" t="s">
        <v>131</v>
      </c>
      <c r="K72" s="3"/>
      <c r="L72" s="6"/>
      <c r="M72" s="3"/>
      <c r="N72" s="6" t="s">
        <v>131</v>
      </c>
      <c r="O72" s="3"/>
      <c r="P72" s="6"/>
      <c r="Q72" s="3"/>
      <c r="R72" s="6" t="s">
        <v>131</v>
      </c>
      <c r="S72" s="5">
        <f>208.95</f>
        <v>208.95</v>
      </c>
      <c r="T72" s="4" t="str">
        <f t="shared" si="3"/>
        <v>－</v>
      </c>
      <c r="U72" s="4"/>
      <c r="V72" s="4"/>
      <c r="W72" s="4" t="str">
        <f t="shared" si="4"/>
        <v>－</v>
      </c>
      <c r="X72" s="4"/>
      <c r="Y72" s="4"/>
      <c r="Z72" s="3"/>
      <c r="AA72" s="2" t="str">
        <f t="shared" si="2"/>
        <v>－</v>
      </c>
      <c r="AB72" s="2" t="str">
        <f t="shared" si="6"/>
        <v>－</v>
      </c>
      <c r="AC72" s="1" t="str">
        <f t="shared" si="5"/>
        <v>－</v>
      </c>
    </row>
    <row r="73" spans="1:29">
      <c r="A73" s="9" t="s">
        <v>46</v>
      </c>
      <c r="B73" s="8" t="s">
        <v>324</v>
      </c>
      <c r="C73" s="8" t="s">
        <v>325</v>
      </c>
      <c r="D73" s="8" t="s">
        <v>78</v>
      </c>
      <c r="E73" s="7" t="s">
        <v>343</v>
      </c>
      <c r="F73" s="7" t="s">
        <v>344</v>
      </c>
      <c r="G73" s="3"/>
      <c r="H73" s="6" t="s">
        <v>131</v>
      </c>
      <c r="I73" s="3"/>
      <c r="J73" s="6" t="s">
        <v>131</v>
      </c>
      <c r="K73" s="3"/>
      <c r="L73" s="6"/>
      <c r="M73" s="3"/>
      <c r="N73" s="6" t="s">
        <v>131</v>
      </c>
      <c r="O73" s="3"/>
      <c r="P73" s="6"/>
      <c r="Q73" s="3"/>
      <c r="R73" s="6" t="s">
        <v>131</v>
      </c>
      <c r="S73" s="5">
        <f>208.95</f>
        <v>208.95</v>
      </c>
      <c r="T73" s="4" t="str">
        <f t="shared" si="3"/>
        <v>－</v>
      </c>
      <c r="U73" s="4"/>
      <c r="V73" s="4"/>
      <c r="W73" s="4" t="str">
        <f t="shared" si="4"/>
        <v>－</v>
      </c>
      <c r="X73" s="4"/>
      <c r="Y73" s="4"/>
      <c r="Z73" s="3"/>
      <c r="AA73" s="2" t="str">
        <f t="shared" si="2"/>
        <v>－</v>
      </c>
      <c r="AB73" s="2" t="str">
        <f t="shared" si="6"/>
        <v>－</v>
      </c>
      <c r="AC73" s="1" t="str">
        <f t="shared" si="5"/>
        <v>－</v>
      </c>
    </row>
    <row r="74" spans="1:29">
      <c r="A74" s="9" t="s">
        <v>46</v>
      </c>
      <c r="B74" s="8" t="s">
        <v>324</v>
      </c>
      <c r="C74" s="8" t="s">
        <v>325</v>
      </c>
      <c r="D74" s="8" t="s">
        <v>310</v>
      </c>
      <c r="E74" s="7" t="s">
        <v>345</v>
      </c>
      <c r="F74" s="7" t="s">
        <v>346</v>
      </c>
      <c r="G74" s="3"/>
      <c r="H74" s="6" t="s">
        <v>131</v>
      </c>
      <c r="I74" s="3"/>
      <c r="J74" s="6" t="s">
        <v>131</v>
      </c>
      <c r="K74" s="3"/>
      <c r="L74" s="6"/>
      <c r="M74" s="3"/>
      <c r="N74" s="6" t="s">
        <v>131</v>
      </c>
      <c r="O74" s="3"/>
      <c r="P74" s="6"/>
      <c r="Q74" s="3"/>
      <c r="R74" s="6" t="s">
        <v>131</v>
      </c>
      <c r="S74" s="5">
        <f>209.79</f>
        <v>209.79</v>
      </c>
      <c r="T74" s="4" t="str">
        <f t="shared" si="3"/>
        <v>－</v>
      </c>
      <c r="U74" s="4"/>
      <c r="V74" s="4"/>
      <c r="W74" s="4" t="str">
        <f t="shared" si="4"/>
        <v>－</v>
      </c>
      <c r="X74" s="4"/>
      <c r="Y74" s="4"/>
      <c r="Z74" s="3"/>
      <c r="AA74" s="2" t="str">
        <f t="shared" si="2"/>
        <v>－</v>
      </c>
      <c r="AB74" s="2" t="str">
        <f t="shared" si="6"/>
        <v>－</v>
      </c>
      <c r="AC74" s="1" t="str">
        <f t="shared" si="5"/>
        <v>－</v>
      </c>
    </row>
    <row r="75" spans="1:29">
      <c r="A75" s="9" t="s">
        <v>46</v>
      </c>
      <c r="B75" s="8" t="s">
        <v>324</v>
      </c>
      <c r="C75" s="8" t="s">
        <v>325</v>
      </c>
      <c r="D75" s="8" t="s">
        <v>88</v>
      </c>
      <c r="E75" s="7" t="s">
        <v>347</v>
      </c>
      <c r="F75" s="7" t="s">
        <v>348</v>
      </c>
      <c r="G75" s="3"/>
      <c r="H75" s="6" t="s">
        <v>131</v>
      </c>
      <c r="I75" s="3"/>
      <c r="J75" s="6" t="s">
        <v>131</v>
      </c>
      <c r="K75" s="3"/>
      <c r="L75" s="6"/>
      <c r="M75" s="3"/>
      <c r="N75" s="6" t="s">
        <v>131</v>
      </c>
      <c r="O75" s="3"/>
      <c r="P75" s="6"/>
      <c r="Q75" s="3"/>
      <c r="R75" s="6" t="s">
        <v>131</v>
      </c>
      <c r="S75" s="5">
        <f>209.79</f>
        <v>209.79</v>
      </c>
      <c r="T75" s="4" t="str">
        <f t="shared" si="3"/>
        <v>－</v>
      </c>
      <c r="U75" s="4"/>
      <c r="V75" s="4"/>
      <c r="W75" s="4" t="str">
        <f t="shared" si="4"/>
        <v>－</v>
      </c>
      <c r="X75" s="4"/>
      <c r="Y75" s="4"/>
      <c r="Z75" s="3"/>
      <c r="AA75" s="2" t="str">
        <f t="shared" si="2"/>
        <v>－</v>
      </c>
      <c r="AB75" s="2" t="str">
        <f t="shared" si="6"/>
        <v>－</v>
      </c>
      <c r="AC75" s="1" t="str">
        <f t="shared" si="5"/>
        <v>－</v>
      </c>
    </row>
    <row r="76" spans="1:29">
      <c r="A76" s="9" t="s">
        <v>46</v>
      </c>
      <c r="B76" s="8" t="s">
        <v>324</v>
      </c>
      <c r="C76" s="8" t="s">
        <v>325</v>
      </c>
      <c r="D76" s="8" t="s">
        <v>319</v>
      </c>
      <c r="E76" s="7" t="s">
        <v>231</v>
      </c>
      <c r="F76" s="7" t="s">
        <v>349</v>
      </c>
      <c r="G76" s="3"/>
      <c r="H76" s="6" t="s">
        <v>131</v>
      </c>
      <c r="I76" s="3"/>
      <c r="J76" s="6" t="s">
        <v>131</v>
      </c>
      <c r="K76" s="3"/>
      <c r="L76" s="6"/>
      <c r="M76" s="3"/>
      <c r="N76" s="6" t="s">
        <v>131</v>
      </c>
      <c r="O76" s="3"/>
      <c r="P76" s="6"/>
      <c r="Q76" s="3"/>
      <c r="R76" s="6" t="s">
        <v>131</v>
      </c>
      <c r="S76" s="5">
        <f>209.79</f>
        <v>209.79</v>
      </c>
      <c r="T76" s="4" t="str">
        <f t="shared" si="3"/>
        <v>－</v>
      </c>
      <c r="U76" s="4"/>
      <c r="V76" s="4"/>
      <c r="W76" s="4" t="str">
        <f t="shared" si="4"/>
        <v>－</v>
      </c>
      <c r="X76" s="4"/>
      <c r="Y76" s="4"/>
      <c r="Z76" s="3"/>
      <c r="AA76" s="2" t="str">
        <f t="shared" si="2"/>
        <v>－</v>
      </c>
      <c r="AB76" s="2" t="str">
        <f t="shared" si="6"/>
        <v>－</v>
      </c>
      <c r="AC76" s="1" t="str">
        <f t="shared" si="5"/>
        <v>－</v>
      </c>
    </row>
    <row r="77" spans="1:29">
      <c r="A77" s="9" t="s">
        <v>46</v>
      </c>
      <c r="B77" s="8" t="s">
        <v>350</v>
      </c>
      <c r="C77" s="8" t="s">
        <v>351</v>
      </c>
      <c r="D77" s="8" t="s">
        <v>237</v>
      </c>
      <c r="E77" s="7" t="s">
        <v>352</v>
      </c>
      <c r="F77" s="7" t="s">
        <v>353</v>
      </c>
      <c r="G77" s="3" t="s">
        <v>354</v>
      </c>
      <c r="H77" s="6" t="s">
        <v>355</v>
      </c>
      <c r="I77" s="3" t="s">
        <v>112</v>
      </c>
      <c r="J77" s="6" t="s">
        <v>356</v>
      </c>
      <c r="K77" s="3"/>
      <c r="L77" s="6"/>
      <c r="M77" s="3" t="s">
        <v>199</v>
      </c>
      <c r="N77" s="6" t="s">
        <v>357</v>
      </c>
      <c r="O77" s="3"/>
      <c r="P77" s="6"/>
      <c r="Q77" s="3" t="s">
        <v>57</v>
      </c>
      <c r="R77" s="6" t="s">
        <v>358</v>
      </c>
      <c r="S77" s="5">
        <f>55972.63</f>
        <v>55972.63</v>
      </c>
      <c r="T77" s="4">
        <f>54</f>
        <v>54</v>
      </c>
      <c r="U77" s="4"/>
      <c r="V77" s="4"/>
      <c r="W77" s="4">
        <f>146948000</f>
        <v>146948000</v>
      </c>
      <c r="X77" s="4"/>
      <c r="Y77" s="4"/>
      <c r="Z77" s="3"/>
      <c r="AA77" s="2">
        <f>24</f>
        <v>24</v>
      </c>
      <c r="AB77" s="2" t="str">
        <f t="shared" si="6"/>
        <v>－</v>
      </c>
      <c r="AC77" s="1">
        <f>13</f>
        <v>13</v>
      </c>
    </row>
    <row r="78" spans="1:29">
      <c r="A78" s="9" t="s">
        <v>46</v>
      </c>
      <c r="B78" s="8" t="s">
        <v>350</v>
      </c>
      <c r="C78" s="8" t="s">
        <v>351</v>
      </c>
      <c r="D78" s="8" t="s">
        <v>245</v>
      </c>
      <c r="E78" s="7" t="s">
        <v>359</v>
      </c>
      <c r="F78" s="7" t="s">
        <v>360</v>
      </c>
      <c r="G78" s="3" t="s">
        <v>52</v>
      </c>
      <c r="H78" s="6" t="s">
        <v>361</v>
      </c>
      <c r="I78" s="3" t="s">
        <v>52</v>
      </c>
      <c r="J78" s="6" t="s">
        <v>361</v>
      </c>
      <c r="K78" s="3" t="s">
        <v>354</v>
      </c>
      <c r="L78" s="6" t="s">
        <v>362</v>
      </c>
      <c r="M78" s="3" t="s">
        <v>199</v>
      </c>
      <c r="N78" s="6" t="s">
        <v>363</v>
      </c>
      <c r="O78" s="3" t="s">
        <v>354</v>
      </c>
      <c r="P78" s="6" t="s">
        <v>362</v>
      </c>
      <c r="Q78" s="3" t="s">
        <v>147</v>
      </c>
      <c r="R78" s="6" t="s">
        <v>364</v>
      </c>
      <c r="S78" s="5">
        <f>57337.89</f>
        <v>57337.89</v>
      </c>
      <c r="T78" s="4">
        <f>130</f>
        <v>130</v>
      </c>
      <c r="U78" s="4">
        <v>117</v>
      </c>
      <c r="V78" s="4"/>
      <c r="W78" s="4">
        <f>381548000</f>
        <v>381548000</v>
      </c>
      <c r="X78" s="4">
        <v>345150000</v>
      </c>
      <c r="Y78" s="4"/>
      <c r="Z78" s="3"/>
      <c r="AA78" s="2">
        <f>77</f>
        <v>77</v>
      </c>
      <c r="AB78" s="2" t="str">
        <f t="shared" si="6"/>
        <v>－</v>
      </c>
      <c r="AC78" s="1">
        <f>7</f>
        <v>7</v>
      </c>
    </row>
    <row r="79" spans="1:29">
      <c r="A79" s="9" t="s">
        <v>46</v>
      </c>
      <c r="B79" s="8" t="s">
        <v>350</v>
      </c>
      <c r="C79" s="8" t="s">
        <v>351</v>
      </c>
      <c r="D79" s="8" t="s">
        <v>252</v>
      </c>
      <c r="E79" s="7" t="s">
        <v>365</v>
      </c>
      <c r="F79" s="7" t="s">
        <v>366</v>
      </c>
      <c r="G79" s="3" t="s">
        <v>52</v>
      </c>
      <c r="H79" s="6" t="s">
        <v>367</v>
      </c>
      <c r="I79" s="3" t="s">
        <v>52</v>
      </c>
      <c r="J79" s="6" t="s">
        <v>368</v>
      </c>
      <c r="K79" s="3"/>
      <c r="L79" s="6"/>
      <c r="M79" s="3" t="s">
        <v>199</v>
      </c>
      <c r="N79" s="6" t="s">
        <v>369</v>
      </c>
      <c r="O79" s="3"/>
      <c r="P79" s="6"/>
      <c r="Q79" s="3" t="s">
        <v>57</v>
      </c>
      <c r="R79" s="6" t="s">
        <v>370</v>
      </c>
      <c r="S79" s="5">
        <f>53919.47</f>
        <v>53919.47</v>
      </c>
      <c r="T79" s="4">
        <f>87</f>
        <v>87</v>
      </c>
      <c r="U79" s="4"/>
      <c r="V79" s="4"/>
      <c r="W79" s="4">
        <f>229798000</f>
        <v>229798000</v>
      </c>
      <c r="X79" s="4"/>
      <c r="Y79" s="4"/>
      <c r="Z79" s="3"/>
      <c r="AA79" s="2">
        <f>449</f>
        <v>449</v>
      </c>
      <c r="AB79" s="2" t="str">
        <f t="shared" si="6"/>
        <v>－</v>
      </c>
      <c r="AC79" s="1">
        <f>17</f>
        <v>17</v>
      </c>
    </row>
    <row r="80" spans="1:29">
      <c r="A80" s="9" t="s">
        <v>46</v>
      </c>
      <c r="B80" s="8" t="s">
        <v>350</v>
      </c>
      <c r="C80" s="8" t="s">
        <v>351</v>
      </c>
      <c r="D80" s="8" t="s">
        <v>300</v>
      </c>
      <c r="E80" s="7" t="s">
        <v>371</v>
      </c>
      <c r="F80" s="7" t="s">
        <v>372</v>
      </c>
      <c r="G80" s="3" t="s">
        <v>52</v>
      </c>
      <c r="H80" s="6" t="s">
        <v>373</v>
      </c>
      <c r="I80" s="3" t="s">
        <v>52</v>
      </c>
      <c r="J80" s="6" t="s">
        <v>373</v>
      </c>
      <c r="K80" s="3"/>
      <c r="L80" s="6"/>
      <c r="M80" s="3" t="s">
        <v>199</v>
      </c>
      <c r="N80" s="6" t="s">
        <v>374</v>
      </c>
      <c r="O80" s="3"/>
      <c r="P80" s="6"/>
      <c r="Q80" s="3" t="s">
        <v>147</v>
      </c>
      <c r="R80" s="6" t="s">
        <v>375</v>
      </c>
      <c r="S80" s="5">
        <f>55208.42</f>
        <v>55208.42</v>
      </c>
      <c r="T80" s="4">
        <f>111</f>
        <v>111</v>
      </c>
      <c r="U80" s="4"/>
      <c r="V80" s="4"/>
      <c r="W80" s="4">
        <f>297158000</f>
        <v>297158000</v>
      </c>
      <c r="X80" s="4"/>
      <c r="Y80" s="4"/>
      <c r="Z80" s="3"/>
      <c r="AA80" s="2">
        <f>220</f>
        <v>220</v>
      </c>
      <c r="AB80" s="2" t="str">
        <f t="shared" si="6"/>
        <v>－</v>
      </c>
      <c r="AC80" s="1">
        <f>16</f>
        <v>16</v>
      </c>
    </row>
    <row r="81" spans="1:29">
      <c r="A81" s="9" t="s">
        <v>46</v>
      </c>
      <c r="B81" s="8" t="s">
        <v>350</v>
      </c>
      <c r="C81" s="8" t="s">
        <v>351</v>
      </c>
      <c r="D81" s="8" t="s">
        <v>310</v>
      </c>
      <c r="E81" s="7" t="s">
        <v>376</v>
      </c>
      <c r="F81" s="7" t="s">
        <v>377</v>
      </c>
      <c r="G81" s="3" t="s">
        <v>52</v>
      </c>
      <c r="H81" s="6" t="s">
        <v>378</v>
      </c>
      <c r="I81" s="3" t="s">
        <v>52</v>
      </c>
      <c r="J81" s="6" t="s">
        <v>379</v>
      </c>
      <c r="K81" s="3"/>
      <c r="L81" s="6"/>
      <c r="M81" s="3" t="s">
        <v>205</v>
      </c>
      <c r="N81" s="6" t="s">
        <v>380</v>
      </c>
      <c r="O81" s="3"/>
      <c r="P81" s="6"/>
      <c r="Q81" s="3" t="s">
        <v>57</v>
      </c>
      <c r="R81" s="6" t="s">
        <v>381</v>
      </c>
      <c r="S81" s="5">
        <f>55777.89</f>
        <v>55777.89</v>
      </c>
      <c r="T81" s="4">
        <f>497</f>
        <v>497</v>
      </c>
      <c r="U81" s="4"/>
      <c r="V81" s="4">
        <v>35</v>
      </c>
      <c r="W81" s="4">
        <f>1369078000</f>
        <v>1369078000</v>
      </c>
      <c r="X81" s="4"/>
      <c r="Y81" s="4">
        <v>99383500</v>
      </c>
      <c r="Z81" s="3"/>
      <c r="AA81" s="2">
        <f>388</f>
        <v>388</v>
      </c>
      <c r="AB81" s="2" t="str">
        <f t="shared" si="6"/>
        <v>－</v>
      </c>
      <c r="AC81" s="1">
        <f>19</f>
        <v>19</v>
      </c>
    </row>
    <row r="82" spans="1:29">
      <c r="A82" s="9" t="s">
        <v>46</v>
      </c>
      <c r="B82" s="8" t="s">
        <v>350</v>
      </c>
      <c r="C82" s="8" t="s">
        <v>351</v>
      </c>
      <c r="D82" s="8" t="s">
        <v>319</v>
      </c>
      <c r="E82" s="7" t="s">
        <v>382</v>
      </c>
      <c r="F82" s="7" t="s">
        <v>383</v>
      </c>
      <c r="G82" s="3" t="s">
        <v>52</v>
      </c>
      <c r="H82" s="6" t="s">
        <v>384</v>
      </c>
      <c r="I82" s="3" t="s">
        <v>52</v>
      </c>
      <c r="J82" s="6" t="s">
        <v>385</v>
      </c>
      <c r="K82" s="3"/>
      <c r="L82" s="6"/>
      <c r="M82" s="3" t="s">
        <v>205</v>
      </c>
      <c r="N82" s="6" t="s">
        <v>386</v>
      </c>
      <c r="O82" s="3"/>
      <c r="P82" s="6"/>
      <c r="Q82" s="3" t="s">
        <v>57</v>
      </c>
      <c r="R82" s="6" t="s">
        <v>387</v>
      </c>
      <c r="S82" s="5">
        <f>56588.95</f>
        <v>56588.95</v>
      </c>
      <c r="T82" s="4">
        <f>4003</f>
        <v>4003</v>
      </c>
      <c r="U82" s="4"/>
      <c r="V82" s="4">
        <v>35</v>
      </c>
      <c r="W82" s="4">
        <f>11223483500</f>
        <v>11223483500</v>
      </c>
      <c r="X82" s="4"/>
      <c r="Y82" s="4">
        <v>100721000</v>
      </c>
      <c r="Z82" s="3"/>
      <c r="AA82" s="2">
        <f>872</f>
        <v>872</v>
      </c>
      <c r="AB82" s="2" t="str">
        <f t="shared" si="6"/>
        <v>－</v>
      </c>
      <c r="AC82" s="1">
        <f>19</f>
        <v>19</v>
      </c>
    </row>
    <row r="83" spans="1:29">
      <c r="A83" s="9" t="s">
        <v>46</v>
      </c>
      <c r="B83" s="8" t="s">
        <v>388</v>
      </c>
      <c r="C83" s="8" t="s">
        <v>389</v>
      </c>
      <c r="D83" s="8" t="s">
        <v>49</v>
      </c>
      <c r="E83" s="7" t="s">
        <v>352</v>
      </c>
      <c r="F83" s="7" t="s">
        <v>353</v>
      </c>
      <c r="G83" s="3"/>
      <c r="H83" s="6" t="s">
        <v>131</v>
      </c>
      <c r="I83" s="3"/>
      <c r="J83" s="6" t="s">
        <v>131</v>
      </c>
      <c r="K83" s="3"/>
      <c r="L83" s="6"/>
      <c r="M83" s="3"/>
      <c r="N83" s="6" t="s">
        <v>131</v>
      </c>
      <c r="O83" s="3"/>
      <c r="P83" s="6"/>
      <c r="Q83" s="3"/>
      <c r="R83" s="6" t="s">
        <v>131</v>
      </c>
      <c r="S83" s="5">
        <f>64000</f>
        <v>64000</v>
      </c>
      <c r="T83" s="4" t="str">
        <f t="shared" ref="T83:T95" si="7">"－"</f>
        <v>－</v>
      </c>
      <c r="U83" s="4"/>
      <c r="V83" s="4"/>
      <c r="W83" s="4" t="str">
        <f t="shared" ref="W83:W95" si="8">"－"</f>
        <v>－</v>
      </c>
      <c r="X83" s="4"/>
      <c r="Y83" s="4"/>
      <c r="Z83" s="3"/>
      <c r="AA83" s="2" t="str">
        <f t="shared" ref="AA83:AA95" si="9">"－"</f>
        <v>－</v>
      </c>
      <c r="AB83" s="2" t="str">
        <f t="shared" si="6"/>
        <v>－</v>
      </c>
      <c r="AC83" s="1" t="str">
        <f t="shared" ref="AC83:AC95" si="10">"－"</f>
        <v>－</v>
      </c>
    </row>
    <row r="84" spans="1:29">
      <c r="A84" s="9" t="s">
        <v>46</v>
      </c>
      <c r="B84" s="8" t="s">
        <v>388</v>
      </c>
      <c r="C84" s="8" t="s">
        <v>389</v>
      </c>
      <c r="D84" s="8" t="s">
        <v>59</v>
      </c>
      <c r="E84" s="7" t="s">
        <v>359</v>
      </c>
      <c r="F84" s="7" t="s">
        <v>360</v>
      </c>
      <c r="G84" s="3"/>
      <c r="H84" s="6" t="s">
        <v>131</v>
      </c>
      <c r="I84" s="3"/>
      <c r="J84" s="6" t="s">
        <v>131</v>
      </c>
      <c r="K84" s="3"/>
      <c r="L84" s="6"/>
      <c r="M84" s="3"/>
      <c r="N84" s="6" t="s">
        <v>131</v>
      </c>
      <c r="O84" s="3"/>
      <c r="P84" s="6"/>
      <c r="Q84" s="3"/>
      <c r="R84" s="6" t="s">
        <v>131</v>
      </c>
      <c r="S84" s="5">
        <f>64000</f>
        <v>64000</v>
      </c>
      <c r="T84" s="4" t="str">
        <f t="shared" si="7"/>
        <v>－</v>
      </c>
      <c r="U84" s="4"/>
      <c r="V84" s="4"/>
      <c r="W84" s="4" t="str">
        <f t="shared" si="8"/>
        <v>－</v>
      </c>
      <c r="X84" s="4"/>
      <c r="Y84" s="4"/>
      <c r="Z84" s="3"/>
      <c r="AA84" s="2" t="str">
        <f t="shared" si="9"/>
        <v>－</v>
      </c>
      <c r="AB84" s="2" t="str">
        <f t="shared" si="6"/>
        <v>－</v>
      </c>
      <c r="AC84" s="1" t="str">
        <f t="shared" si="10"/>
        <v>－</v>
      </c>
    </row>
    <row r="85" spans="1:29">
      <c r="A85" s="9" t="s">
        <v>46</v>
      </c>
      <c r="B85" s="8" t="s">
        <v>388</v>
      </c>
      <c r="C85" s="8" t="s">
        <v>389</v>
      </c>
      <c r="D85" s="8" t="s">
        <v>66</v>
      </c>
      <c r="E85" s="7" t="s">
        <v>365</v>
      </c>
      <c r="F85" s="7" t="s">
        <v>366</v>
      </c>
      <c r="G85" s="3"/>
      <c r="H85" s="6" t="s">
        <v>131</v>
      </c>
      <c r="I85" s="3"/>
      <c r="J85" s="6" t="s">
        <v>131</v>
      </c>
      <c r="K85" s="3"/>
      <c r="L85" s="6"/>
      <c r="M85" s="3"/>
      <c r="N85" s="6" t="s">
        <v>131</v>
      </c>
      <c r="O85" s="3"/>
      <c r="P85" s="6"/>
      <c r="Q85" s="3"/>
      <c r="R85" s="6" t="s">
        <v>131</v>
      </c>
      <c r="S85" s="5">
        <f>64000</f>
        <v>64000</v>
      </c>
      <c r="T85" s="4" t="str">
        <f t="shared" si="7"/>
        <v>－</v>
      </c>
      <c r="U85" s="4"/>
      <c r="V85" s="4"/>
      <c r="W85" s="4" t="str">
        <f t="shared" si="8"/>
        <v>－</v>
      </c>
      <c r="X85" s="4"/>
      <c r="Y85" s="4"/>
      <c r="Z85" s="3"/>
      <c r="AA85" s="2" t="str">
        <f t="shared" si="9"/>
        <v>－</v>
      </c>
      <c r="AB85" s="2" t="str">
        <f t="shared" si="6"/>
        <v>－</v>
      </c>
      <c r="AC85" s="1" t="str">
        <f t="shared" si="10"/>
        <v>－</v>
      </c>
    </row>
    <row r="86" spans="1:29">
      <c r="A86" s="9" t="s">
        <v>46</v>
      </c>
      <c r="B86" s="8" t="s">
        <v>388</v>
      </c>
      <c r="C86" s="8" t="s">
        <v>389</v>
      </c>
      <c r="D86" s="8" t="s">
        <v>73</v>
      </c>
      <c r="E86" s="7" t="s">
        <v>371</v>
      </c>
      <c r="F86" s="7" t="s">
        <v>372</v>
      </c>
      <c r="G86" s="3"/>
      <c r="H86" s="6" t="s">
        <v>131</v>
      </c>
      <c r="I86" s="3"/>
      <c r="J86" s="6" t="s">
        <v>131</v>
      </c>
      <c r="K86" s="3"/>
      <c r="L86" s="6"/>
      <c r="M86" s="3"/>
      <c r="N86" s="6" t="s">
        <v>131</v>
      </c>
      <c r="O86" s="3"/>
      <c r="P86" s="6"/>
      <c r="Q86" s="3"/>
      <c r="R86" s="6" t="s">
        <v>131</v>
      </c>
      <c r="S86" s="5">
        <f>64000</f>
        <v>64000</v>
      </c>
      <c r="T86" s="4" t="str">
        <f t="shared" si="7"/>
        <v>－</v>
      </c>
      <c r="U86" s="4"/>
      <c r="V86" s="4"/>
      <c r="W86" s="4" t="str">
        <f t="shared" si="8"/>
        <v>－</v>
      </c>
      <c r="X86" s="4"/>
      <c r="Y86" s="4"/>
      <c r="Z86" s="3"/>
      <c r="AA86" s="2" t="str">
        <f t="shared" si="9"/>
        <v>－</v>
      </c>
      <c r="AB86" s="2" t="str">
        <f t="shared" si="6"/>
        <v>－</v>
      </c>
      <c r="AC86" s="1" t="str">
        <f t="shared" si="10"/>
        <v>－</v>
      </c>
    </row>
    <row r="87" spans="1:29">
      <c r="A87" s="9" t="s">
        <v>46</v>
      </c>
      <c r="B87" s="8" t="s">
        <v>388</v>
      </c>
      <c r="C87" s="8" t="s">
        <v>389</v>
      </c>
      <c r="D87" s="8" t="s">
        <v>78</v>
      </c>
      <c r="E87" s="7" t="s">
        <v>376</v>
      </c>
      <c r="F87" s="7" t="s">
        <v>377</v>
      </c>
      <c r="G87" s="3"/>
      <c r="H87" s="6" t="s">
        <v>131</v>
      </c>
      <c r="I87" s="3"/>
      <c r="J87" s="6" t="s">
        <v>131</v>
      </c>
      <c r="K87" s="3"/>
      <c r="L87" s="6"/>
      <c r="M87" s="3"/>
      <c r="N87" s="6" t="s">
        <v>131</v>
      </c>
      <c r="O87" s="3"/>
      <c r="P87" s="6"/>
      <c r="Q87" s="3"/>
      <c r="R87" s="6" t="s">
        <v>131</v>
      </c>
      <c r="S87" s="5">
        <f>64000</f>
        <v>64000</v>
      </c>
      <c r="T87" s="4" t="str">
        <f t="shared" si="7"/>
        <v>－</v>
      </c>
      <c r="U87" s="4"/>
      <c r="V87" s="4"/>
      <c r="W87" s="4" t="str">
        <f t="shared" si="8"/>
        <v>－</v>
      </c>
      <c r="X87" s="4"/>
      <c r="Y87" s="4"/>
      <c r="Z87" s="3"/>
      <c r="AA87" s="2" t="str">
        <f t="shared" si="9"/>
        <v>－</v>
      </c>
      <c r="AB87" s="2" t="str">
        <f t="shared" si="6"/>
        <v>－</v>
      </c>
      <c r="AC87" s="1" t="str">
        <f t="shared" si="10"/>
        <v>－</v>
      </c>
    </row>
    <row r="88" spans="1:29">
      <c r="A88" s="9" t="s">
        <v>46</v>
      </c>
      <c r="B88" s="8" t="s">
        <v>388</v>
      </c>
      <c r="C88" s="8" t="s">
        <v>389</v>
      </c>
      <c r="D88" s="8" t="s">
        <v>88</v>
      </c>
      <c r="E88" s="7" t="s">
        <v>382</v>
      </c>
      <c r="F88" s="7" t="s">
        <v>383</v>
      </c>
      <c r="G88" s="3"/>
      <c r="H88" s="6" t="s">
        <v>131</v>
      </c>
      <c r="I88" s="3"/>
      <c r="J88" s="6" t="s">
        <v>131</v>
      </c>
      <c r="K88" s="3"/>
      <c r="L88" s="6"/>
      <c r="M88" s="3"/>
      <c r="N88" s="6" t="s">
        <v>131</v>
      </c>
      <c r="O88" s="3"/>
      <c r="P88" s="6"/>
      <c r="Q88" s="3"/>
      <c r="R88" s="6" t="s">
        <v>131</v>
      </c>
      <c r="S88" s="5">
        <f>64000</f>
        <v>64000</v>
      </c>
      <c r="T88" s="4" t="str">
        <f t="shared" si="7"/>
        <v>－</v>
      </c>
      <c r="U88" s="4"/>
      <c r="V88" s="4"/>
      <c r="W88" s="4" t="str">
        <f t="shared" si="8"/>
        <v>－</v>
      </c>
      <c r="X88" s="4"/>
      <c r="Y88" s="4"/>
      <c r="Z88" s="3"/>
      <c r="AA88" s="2" t="str">
        <f t="shared" si="9"/>
        <v>－</v>
      </c>
      <c r="AB88" s="2" t="str">
        <f t="shared" si="6"/>
        <v>－</v>
      </c>
      <c r="AC88" s="1" t="str">
        <f t="shared" si="10"/>
        <v>－</v>
      </c>
    </row>
    <row r="89" spans="1:29">
      <c r="A89" s="9" t="s">
        <v>46</v>
      </c>
      <c r="B89" s="8" t="s">
        <v>390</v>
      </c>
      <c r="C89" s="8" t="s">
        <v>391</v>
      </c>
      <c r="D89" s="8" t="s">
        <v>46</v>
      </c>
      <c r="E89" s="7" t="s">
        <v>392</v>
      </c>
      <c r="F89" s="7" t="s">
        <v>320</v>
      </c>
      <c r="G89" s="3"/>
      <c r="H89" s="6" t="s">
        <v>131</v>
      </c>
      <c r="I89" s="3"/>
      <c r="J89" s="6" t="s">
        <v>131</v>
      </c>
      <c r="K89" s="3"/>
      <c r="L89" s="6"/>
      <c r="M89" s="3"/>
      <c r="N89" s="6" t="s">
        <v>131</v>
      </c>
      <c r="O89" s="3"/>
      <c r="P89" s="6"/>
      <c r="Q89" s="3"/>
      <c r="R89" s="6" t="s">
        <v>131</v>
      </c>
      <c r="S89" s="5">
        <f>12300</f>
        <v>12300</v>
      </c>
      <c r="T89" s="4" t="str">
        <f t="shared" si="7"/>
        <v>－</v>
      </c>
      <c r="U89" s="4"/>
      <c r="V89" s="4"/>
      <c r="W89" s="4" t="str">
        <f t="shared" si="8"/>
        <v>－</v>
      </c>
      <c r="X89" s="4"/>
      <c r="Y89" s="4"/>
      <c r="Z89" s="3" t="s">
        <v>232</v>
      </c>
      <c r="AA89" s="2" t="str">
        <f t="shared" si="9"/>
        <v>－</v>
      </c>
      <c r="AB89" s="2" t="str">
        <f t="shared" si="6"/>
        <v>－</v>
      </c>
      <c r="AC89" s="1" t="str">
        <f t="shared" si="10"/>
        <v>－</v>
      </c>
    </row>
    <row r="90" spans="1:29">
      <c r="A90" s="9" t="s">
        <v>46</v>
      </c>
      <c r="B90" s="8" t="s">
        <v>390</v>
      </c>
      <c r="C90" s="8" t="s">
        <v>391</v>
      </c>
      <c r="D90" s="8" t="s">
        <v>49</v>
      </c>
      <c r="E90" s="7" t="s">
        <v>296</v>
      </c>
      <c r="F90" s="7" t="s">
        <v>51</v>
      </c>
      <c r="G90" s="3"/>
      <c r="H90" s="6" t="s">
        <v>131</v>
      </c>
      <c r="I90" s="3"/>
      <c r="J90" s="6" t="s">
        <v>131</v>
      </c>
      <c r="K90" s="3"/>
      <c r="L90" s="6"/>
      <c r="M90" s="3"/>
      <c r="N90" s="6" t="s">
        <v>131</v>
      </c>
      <c r="O90" s="3"/>
      <c r="P90" s="6"/>
      <c r="Q90" s="3"/>
      <c r="R90" s="6" t="s">
        <v>131</v>
      </c>
      <c r="S90" s="5">
        <f>12300</f>
        <v>12300</v>
      </c>
      <c r="T90" s="4" t="str">
        <f t="shared" si="7"/>
        <v>－</v>
      </c>
      <c r="U90" s="4"/>
      <c r="V90" s="4"/>
      <c r="W90" s="4" t="str">
        <f t="shared" si="8"/>
        <v>－</v>
      </c>
      <c r="X90" s="4"/>
      <c r="Y90" s="4"/>
      <c r="Z90" s="3"/>
      <c r="AA90" s="2" t="str">
        <f t="shared" si="9"/>
        <v>－</v>
      </c>
      <c r="AB90" s="2" t="str">
        <f t="shared" si="6"/>
        <v>－</v>
      </c>
      <c r="AC90" s="1" t="str">
        <f t="shared" si="10"/>
        <v>－</v>
      </c>
    </row>
    <row r="91" spans="1:29">
      <c r="A91" s="9" t="s">
        <v>46</v>
      </c>
      <c r="B91" s="8" t="s">
        <v>390</v>
      </c>
      <c r="C91" s="8" t="s">
        <v>391</v>
      </c>
      <c r="D91" s="8" t="s">
        <v>237</v>
      </c>
      <c r="E91" s="7" t="s">
        <v>393</v>
      </c>
      <c r="F91" s="7" t="s">
        <v>394</v>
      </c>
      <c r="G91" s="3"/>
      <c r="H91" s="6" t="s">
        <v>131</v>
      </c>
      <c r="I91" s="3"/>
      <c r="J91" s="6" t="s">
        <v>131</v>
      </c>
      <c r="K91" s="3"/>
      <c r="L91" s="6"/>
      <c r="M91" s="3"/>
      <c r="N91" s="6" t="s">
        <v>131</v>
      </c>
      <c r="O91" s="3"/>
      <c r="P91" s="6"/>
      <c r="Q91" s="3"/>
      <c r="R91" s="6" t="s">
        <v>131</v>
      </c>
      <c r="S91" s="5">
        <f>12300</f>
        <v>12300</v>
      </c>
      <c r="T91" s="4" t="str">
        <f t="shared" si="7"/>
        <v>－</v>
      </c>
      <c r="U91" s="4"/>
      <c r="V91" s="4"/>
      <c r="W91" s="4" t="str">
        <f t="shared" si="8"/>
        <v>－</v>
      </c>
      <c r="X91" s="4"/>
      <c r="Y91" s="4"/>
      <c r="Z91" s="3"/>
      <c r="AA91" s="2" t="str">
        <f t="shared" si="9"/>
        <v>－</v>
      </c>
      <c r="AB91" s="2" t="str">
        <f t="shared" si="6"/>
        <v>－</v>
      </c>
      <c r="AC91" s="1" t="str">
        <f t="shared" si="10"/>
        <v>－</v>
      </c>
    </row>
    <row r="92" spans="1:29">
      <c r="A92" s="9" t="s">
        <v>46</v>
      </c>
      <c r="B92" s="8" t="s">
        <v>390</v>
      </c>
      <c r="C92" s="8" t="s">
        <v>391</v>
      </c>
      <c r="D92" s="8" t="s">
        <v>59</v>
      </c>
      <c r="E92" s="7" t="s">
        <v>79</v>
      </c>
      <c r="F92" s="7" t="s">
        <v>61</v>
      </c>
      <c r="G92" s="3"/>
      <c r="H92" s="6" t="s">
        <v>131</v>
      </c>
      <c r="I92" s="3"/>
      <c r="J92" s="6" t="s">
        <v>131</v>
      </c>
      <c r="K92" s="3"/>
      <c r="L92" s="6"/>
      <c r="M92" s="3"/>
      <c r="N92" s="6" t="s">
        <v>131</v>
      </c>
      <c r="O92" s="3"/>
      <c r="P92" s="6"/>
      <c r="Q92" s="3"/>
      <c r="R92" s="6" t="s">
        <v>131</v>
      </c>
      <c r="S92" s="5">
        <f>12300</f>
        <v>12300</v>
      </c>
      <c r="T92" s="4" t="str">
        <f t="shared" si="7"/>
        <v>－</v>
      </c>
      <c r="U92" s="4"/>
      <c r="V92" s="4"/>
      <c r="W92" s="4" t="str">
        <f t="shared" si="8"/>
        <v>－</v>
      </c>
      <c r="X92" s="4"/>
      <c r="Y92" s="4"/>
      <c r="Z92" s="3"/>
      <c r="AA92" s="2" t="str">
        <f t="shared" si="9"/>
        <v>－</v>
      </c>
      <c r="AB92" s="2" t="str">
        <f t="shared" si="6"/>
        <v>－</v>
      </c>
      <c r="AC92" s="1" t="str">
        <f t="shared" si="10"/>
        <v>－</v>
      </c>
    </row>
    <row r="93" spans="1:29">
      <c r="A93" s="9" t="s">
        <v>46</v>
      </c>
      <c r="B93" s="8" t="s">
        <v>390</v>
      </c>
      <c r="C93" s="8" t="s">
        <v>391</v>
      </c>
      <c r="D93" s="8" t="s">
        <v>245</v>
      </c>
      <c r="E93" s="7" t="s">
        <v>395</v>
      </c>
      <c r="F93" s="7" t="s">
        <v>396</v>
      </c>
      <c r="G93" s="3"/>
      <c r="H93" s="6" t="s">
        <v>131</v>
      </c>
      <c r="I93" s="3"/>
      <c r="J93" s="6" t="s">
        <v>131</v>
      </c>
      <c r="K93" s="3"/>
      <c r="L93" s="6"/>
      <c r="M93" s="3"/>
      <c r="N93" s="6" t="s">
        <v>131</v>
      </c>
      <c r="O93" s="3"/>
      <c r="P93" s="6"/>
      <c r="Q93" s="3"/>
      <c r="R93" s="6" t="s">
        <v>131</v>
      </c>
      <c r="S93" s="5">
        <f>12300</f>
        <v>12300</v>
      </c>
      <c r="T93" s="4" t="str">
        <f t="shared" si="7"/>
        <v>－</v>
      </c>
      <c r="U93" s="4"/>
      <c r="V93" s="4"/>
      <c r="W93" s="4" t="str">
        <f t="shared" si="8"/>
        <v>－</v>
      </c>
      <c r="X93" s="4"/>
      <c r="Y93" s="4"/>
      <c r="Z93" s="3"/>
      <c r="AA93" s="2" t="str">
        <f t="shared" si="9"/>
        <v>－</v>
      </c>
      <c r="AB93" s="2" t="str">
        <f t="shared" si="6"/>
        <v>－</v>
      </c>
      <c r="AC93" s="1" t="str">
        <f t="shared" si="10"/>
        <v>－</v>
      </c>
    </row>
    <row r="94" spans="1:29">
      <c r="A94" s="9" t="s">
        <v>46</v>
      </c>
      <c r="B94" s="8" t="s">
        <v>390</v>
      </c>
      <c r="C94" s="8" t="s">
        <v>391</v>
      </c>
      <c r="D94" s="8" t="s">
        <v>66</v>
      </c>
      <c r="E94" s="7" t="s">
        <v>89</v>
      </c>
      <c r="F94" s="7" t="s">
        <v>68</v>
      </c>
      <c r="G94" s="3"/>
      <c r="H94" s="6" t="s">
        <v>131</v>
      </c>
      <c r="I94" s="3"/>
      <c r="J94" s="6" t="s">
        <v>131</v>
      </c>
      <c r="K94" s="3"/>
      <c r="L94" s="6"/>
      <c r="M94" s="3"/>
      <c r="N94" s="6" t="s">
        <v>131</v>
      </c>
      <c r="O94" s="3"/>
      <c r="P94" s="6"/>
      <c r="Q94" s="3"/>
      <c r="R94" s="6" t="s">
        <v>131</v>
      </c>
      <c r="S94" s="5">
        <f>12300</f>
        <v>12300</v>
      </c>
      <c r="T94" s="4" t="str">
        <f t="shared" si="7"/>
        <v>－</v>
      </c>
      <c r="U94" s="4"/>
      <c r="V94" s="4"/>
      <c r="W94" s="4" t="str">
        <f t="shared" si="8"/>
        <v>－</v>
      </c>
      <c r="X94" s="4"/>
      <c r="Y94" s="4"/>
      <c r="Z94" s="3"/>
      <c r="AA94" s="2" t="str">
        <f t="shared" si="9"/>
        <v>－</v>
      </c>
      <c r="AB94" s="2" t="str">
        <f t="shared" si="6"/>
        <v>－</v>
      </c>
      <c r="AC94" s="1" t="str">
        <f t="shared" si="10"/>
        <v>－</v>
      </c>
    </row>
    <row r="95" spans="1:29">
      <c r="A95" s="9" t="s">
        <v>46</v>
      </c>
      <c r="B95" s="8" t="s">
        <v>390</v>
      </c>
      <c r="C95" s="8" t="s">
        <v>391</v>
      </c>
      <c r="D95" s="8" t="s">
        <v>252</v>
      </c>
      <c r="E95" s="7" t="s">
        <v>397</v>
      </c>
      <c r="F95" s="7" t="s">
        <v>398</v>
      </c>
      <c r="G95" s="3"/>
      <c r="H95" s="6" t="s">
        <v>131</v>
      </c>
      <c r="I95" s="3"/>
      <c r="J95" s="6" t="s">
        <v>131</v>
      </c>
      <c r="K95" s="3"/>
      <c r="L95" s="6"/>
      <c r="M95" s="3"/>
      <c r="N95" s="6" t="s">
        <v>131</v>
      </c>
      <c r="O95" s="3"/>
      <c r="P95" s="6"/>
      <c r="Q95" s="3"/>
      <c r="R95" s="6" t="s">
        <v>131</v>
      </c>
      <c r="S95" s="5">
        <f>12300</f>
        <v>12300</v>
      </c>
      <c r="T95" s="4" t="str">
        <f t="shared" si="7"/>
        <v>－</v>
      </c>
      <c r="U95" s="4"/>
      <c r="V95" s="4"/>
      <c r="W95" s="4" t="str">
        <f t="shared" si="8"/>
        <v>－</v>
      </c>
      <c r="X95" s="4"/>
      <c r="Y95" s="4"/>
      <c r="Z95" s="3"/>
      <c r="AA95" s="2" t="str">
        <f t="shared" si="9"/>
        <v>－</v>
      </c>
      <c r="AB95" s="2" t="str">
        <f t="shared" si="6"/>
        <v>－</v>
      </c>
      <c r="AC95" s="1" t="str">
        <f t="shared" si="10"/>
        <v>－</v>
      </c>
    </row>
  </sheetData>
  <mergeCells count="32">
    <mergeCell ref="Z6:AA6"/>
    <mergeCell ref="V4:V5"/>
    <mergeCell ref="Y4:Y5"/>
    <mergeCell ref="G3:R3"/>
    <mergeCell ref="X4:X5"/>
    <mergeCell ref="A3:A5"/>
    <mergeCell ref="B3:B6"/>
    <mergeCell ref="C3:C6"/>
    <mergeCell ref="D3:D5"/>
    <mergeCell ref="E3:F5"/>
    <mergeCell ref="E6:F6"/>
    <mergeCell ref="S3:S5"/>
    <mergeCell ref="Z3:AA5"/>
    <mergeCell ref="AB3:AB5"/>
    <mergeCell ref="T3:V3"/>
    <mergeCell ref="W3:Y3"/>
    <mergeCell ref="A1:J1"/>
    <mergeCell ref="A2:C2"/>
    <mergeCell ref="AC3:AC5"/>
    <mergeCell ref="G4:G5"/>
    <mergeCell ref="H4:H5"/>
    <mergeCell ref="K4:L4"/>
    <mergeCell ref="M4:M5"/>
    <mergeCell ref="W4:W5"/>
    <mergeCell ref="I4:I5"/>
    <mergeCell ref="J4:J5"/>
    <mergeCell ref="N4:N5"/>
    <mergeCell ref="O4:P4"/>
    <mergeCell ref="Q4:Q5"/>
    <mergeCell ref="R4:R5"/>
    <mergeCell ref="T4:T5"/>
    <mergeCell ref="U4:U5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5" fitToHeight="0" orientation="landscape" useFirstPageNumber="1" r:id="rId1"/>
  <headerFooter>
    <oddFooter>&amp;C&amp;P/&amp;N&amp;RCopyright (c) Japan Exchange Group, Inc. All Rights Reserved.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18FCF-F93B-4130-8635-75E42C40F3DE}">
  <sheetPr>
    <pageSetUpPr fitToPage="1"/>
  </sheetPr>
  <dimension ref="A1:AD172"/>
  <sheetViews>
    <sheetView showGridLines="0" tabSelected="1" view="pageBreakPreview" zoomScaleNormal="10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width="10.625" style="107" customWidth="1"/>
    <col min="2" max="2" width="25.75" style="107" bestFit="1" customWidth="1"/>
    <col min="3" max="3" width="34.5" style="107" bestFit="1" customWidth="1"/>
    <col min="4" max="4" width="10.25" style="107" bestFit="1" customWidth="1"/>
    <col min="5" max="5" width="10.25" style="107" customWidth="1"/>
    <col min="6" max="6" width="10.25" style="107" bestFit="1" customWidth="1"/>
    <col min="7" max="7" width="10.25" style="107" customWidth="1"/>
    <col min="8" max="8" width="5.25" style="107" customWidth="1"/>
    <col min="9" max="9" width="15.25" style="107" customWidth="1"/>
    <col min="10" max="10" width="5.25" style="107" customWidth="1"/>
    <col min="11" max="11" width="15.25" style="107" customWidth="1"/>
    <col min="12" max="12" width="5.25" style="107" customWidth="1"/>
    <col min="13" max="13" width="15.25" style="107" customWidth="1"/>
    <col min="14" max="14" width="5.25" style="107" customWidth="1"/>
    <col min="15" max="15" width="15.25" style="107" customWidth="1"/>
    <col min="16" max="16" width="5.25" style="107" customWidth="1"/>
    <col min="17" max="17" width="15.25" style="107" customWidth="1"/>
    <col min="18" max="18" width="5.25" style="107" customWidth="1"/>
    <col min="19" max="20" width="15.25" style="107" customWidth="1"/>
    <col min="21" max="23" width="15" style="107" customWidth="1"/>
    <col min="24" max="26" width="21.25" style="107" customWidth="1"/>
    <col min="27" max="27" width="2.375" style="107" bestFit="1" customWidth="1"/>
    <col min="28" max="28" width="15.25" style="107" customWidth="1"/>
    <col min="29" max="29" width="17.625" style="107" customWidth="1"/>
    <col min="30" max="30" width="7" style="107" bestFit="1" customWidth="1"/>
    <col min="31" max="16384" width="9" style="106"/>
  </cols>
  <sheetData>
    <row r="1" spans="1:30" s="10" customFormat="1" ht="30" customHeight="1">
      <c r="A1" s="29" t="s">
        <v>26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1"/>
      <c r="M1" s="11"/>
      <c r="N1" s="11"/>
      <c r="O1" s="11"/>
      <c r="P1" s="11"/>
      <c r="Q1" s="11"/>
      <c r="R1" s="11"/>
      <c r="S1" s="11"/>
      <c r="T1" s="11"/>
      <c r="U1" s="11"/>
      <c r="V1" s="17"/>
      <c r="W1" s="17"/>
      <c r="X1" s="17"/>
      <c r="Y1" s="18"/>
      <c r="Z1" s="18"/>
      <c r="AA1" s="18"/>
      <c r="AB1" s="18"/>
      <c r="AC1" s="18"/>
      <c r="AD1" s="19"/>
    </row>
    <row r="2" spans="1:30" s="10" customFormat="1" ht="30" customHeight="1">
      <c r="A2" s="31" t="s">
        <v>27</v>
      </c>
      <c r="B2" s="32"/>
      <c r="C2" s="32"/>
      <c r="D2" s="63"/>
      <c r="E2" s="64"/>
      <c r="F2" s="65"/>
      <c r="G2" s="64"/>
      <c r="H2" s="64"/>
      <c r="I2" s="64"/>
      <c r="J2" s="27"/>
      <c r="K2" s="2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65"/>
      <c r="Y2" s="66"/>
      <c r="Z2" s="67" t="s">
        <v>399</v>
      </c>
      <c r="AA2" s="68">
        <f>DATE(LEFT(A7,4),RIGHT(A7,2)+1,1)-1</f>
        <v>44712</v>
      </c>
      <c r="AB2" s="68"/>
      <c r="AC2" s="69"/>
      <c r="AD2" s="70" t="s">
        <v>400</v>
      </c>
    </row>
    <row r="3" spans="1:30" s="10" customFormat="1" ht="14.1" customHeight="1">
      <c r="A3" s="71" t="s">
        <v>0</v>
      </c>
      <c r="B3" s="72" t="s">
        <v>7</v>
      </c>
      <c r="C3" s="72" t="s">
        <v>25</v>
      </c>
      <c r="D3" s="44" t="s">
        <v>1</v>
      </c>
      <c r="E3" s="73" t="s">
        <v>5</v>
      </c>
      <c r="F3" s="74"/>
      <c r="G3" s="44" t="s">
        <v>401</v>
      </c>
      <c r="H3" s="75" t="s">
        <v>24</v>
      </c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44" t="s">
        <v>402</v>
      </c>
      <c r="U3" s="77" t="s">
        <v>23</v>
      </c>
      <c r="V3" s="78"/>
      <c r="W3" s="79"/>
      <c r="X3" s="77" t="s">
        <v>22</v>
      </c>
      <c r="Y3" s="78"/>
      <c r="Z3" s="79"/>
      <c r="AA3" s="80" t="s">
        <v>403</v>
      </c>
      <c r="AB3" s="81"/>
      <c r="AC3" s="72" t="s">
        <v>28</v>
      </c>
      <c r="AD3" s="82" t="s">
        <v>404</v>
      </c>
    </row>
    <row r="4" spans="1:30" s="10" customFormat="1" ht="9" customHeight="1">
      <c r="A4" s="83"/>
      <c r="B4" s="84"/>
      <c r="C4" s="84"/>
      <c r="D4" s="45"/>
      <c r="E4" s="80"/>
      <c r="F4" s="81"/>
      <c r="G4" s="45"/>
      <c r="H4" s="85" t="s">
        <v>6</v>
      </c>
      <c r="I4" s="37" t="s">
        <v>405</v>
      </c>
      <c r="J4" s="85" t="s">
        <v>6</v>
      </c>
      <c r="K4" s="41" t="s">
        <v>406</v>
      </c>
      <c r="L4" s="86" t="s">
        <v>2</v>
      </c>
      <c r="M4" s="86"/>
      <c r="N4" s="85" t="s">
        <v>6</v>
      </c>
      <c r="O4" s="41" t="s">
        <v>407</v>
      </c>
      <c r="P4" s="86" t="s">
        <v>2</v>
      </c>
      <c r="Q4" s="86"/>
      <c r="R4" s="85" t="s">
        <v>6</v>
      </c>
      <c r="S4" s="37" t="s">
        <v>408</v>
      </c>
      <c r="T4" s="45"/>
      <c r="U4" s="44" t="s">
        <v>3</v>
      </c>
      <c r="V4" s="45" t="s">
        <v>409</v>
      </c>
      <c r="W4" s="45" t="s">
        <v>30</v>
      </c>
      <c r="X4" s="44" t="s">
        <v>3</v>
      </c>
      <c r="Y4" s="45" t="s">
        <v>410</v>
      </c>
      <c r="Z4" s="45" t="s">
        <v>32</v>
      </c>
      <c r="AA4" s="80"/>
      <c r="AB4" s="81"/>
      <c r="AC4" s="84"/>
      <c r="AD4" s="87"/>
    </row>
    <row r="5" spans="1:30" s="10" customFormat="1" ht="27" customHeight="1">
      <c r="A5" s="83"/>
      <c r="B5" s="84"/>
      <c r="C5" s="84"/>
      <c r="D5" s="45"/>
      <c r="E5" s="88"/>
      <c r="F5" s="38"/>
      <c r="G5" s="45"/>
      <c r="H5" s="89"/>
      <c r="I5" s="38"/>
      <c r="J5" s="89"/>
      <c r="K5" s="42"/>
      <c r="L5" s="90" t="s">
        <v>17</v>
      </c>
      <c r="M5" s="20" t="s">
        <v>411</v>
      </c>
      <c r="N5" s="89"/>
      <c r="O5" s="42"/>
      <c r="P5" s="90" t="s">
        <v>17</v>
      </c>
      <c r="Q5" s="20" t="s">
        <v>411</v>
      </c>
      <c r="R5" s="89"/>
      <c r="S5" s="38"/>
      <c r="T5" s="45"/>
      <c r="U5" s="44"/>
      <c r="V5" s="45"/>
      <c r="W5" s="45"/>
      <c r="X5" s="44"/>
      <c r="Y5" s="45"/>
      <c r="Z5" s="45"/>
      <c r="AA5" s="80"/>
      <c r="AB5" s="38"/>
      <c r="AC5" s="44"/>
      <c r="AD5" s="87"/>
    </row>
    <row r="6" spans="1:30" s="10" customFormat="1" ht="36" customHeight="1">
      <c r="A6" s="91" t="s">
        <v>16</v>
      </c>
      <c r="B6" s="44"/>
      <c r="C6" s="44"/>
      <c r="D6" s="28" t="s">
        <v>4</v>
      </c>
      <c r="E6" s="92" t="s">
        <v>15</v>
      </c>
      <c r="F6" s="93"/>
      <c r="G6" s="28" t="s">
        <v>412</v>
      </c>
      <c r="H6" s="90" t="s">
        <v>14</v>
      </c>
      <c r="I6" s="21" t="s">
        <v>413</v>
      </c>
      <c r="J6" s="90" t="s">
        <v>14</v>
      </c>
      <c r="K6" s="20" t="s">
        <v>414</v>
      </c>
      <c r="L6" s="90" t="s">
        <v>14</v>
      </c>
      <c r="M6" s="20" t="s">
        <v>415</v>
      </c>
      <c r="N6" s="90" t="s">
        <v>14</v>
      </c>
      <c r="O6" s="20" t="s">
        <v>416</v>
      </c>
      <c r="P6" s="90" t="s">
        <v>14</v>
      </c>
      <c r="Q6" s="20" t="s">
        <v>415</v>
      </c>
      <c r="R6" s="90" t="s">
        <v>14</v>
      </c>
      <c r="S6" s="20" t="s">
        <v>417</v>
      </c>
      <c r="T6" s="28" t="s">
        <v>418</v>
      </c>
      <c r="U6" s="28" t="s">
        <v>13</v>
      </c>
      <c r="V6" s="28" t="s">
        <v>419</v>
      </c>
      <c r="W6" s="28" t="s">
        <v>31</v>
      </c>
      <c r="X6" s="28" t="s">
        <v>11</v>
      </c>
      <c r="Y6" s="28" t="s">
        <v>415</v>
      </c>
      <c r="Z6" s="28" t="s">
        <v>33</v>
      </c>
      <c r="AA6" s="92" t="s">
        <v>9</v>
      </c>
      <c r="AB6" s="93"/>
      <c r="AC6" s="20" t="s">
        <v>29</v>
      </c>
      <c r="AD6" s="94" t="s">
        <v>8</v>
      </c>
    </row>
    <row r="7" spans="1:30">
      <c r="A7" s="95" t="s">
        <v>46</v>
      </c>
      <c r="B7" s="96" t="s">
        <v>420</v>
      </c>
      <c r="C7" s="96" t="s">
        <v>421</v>
      </c>
      <c r="D7" s="96" t="s">
        <v>49</v>
      </c>
      <c r="E7" s="97" t="s">
        <v>392</v>
      </c>
      <c r="F7" s="97" t="s">
        <v>258</v>
      </c>
      <c r="G7" s="98">
        <v>50</v>
      </c>
      <c r="H7" s="99" t="s">
        <v>354</v>
      </c>
      <c r="I7" s="100" t="s">
        <v>422</v>
      </c>
      <c r="J7" s="99" t="s">
        <v>260</v>
      </c>
      <c r="K7" s="100" t="s">
        <v>423</v>
      </c>
      <c r="L7" s="99" t="s">
        <v>260</v>
      </c>
      <c r="M7" s="100" t="s">
        <v>424</v>
      </c>
      <c r="N7" s="99" t="s">
        <v>136</v>
      </c>
      <c r="O7" s="100" t="s">
        <v>425</v>
      </c>
      <c r="P7" s="99" t="s">
        <v>260</v>
      </c>
      <c r="Q7" s="100" t="s">
        <v>426</v>
      </c>
      <c r="R7" s="99" t="s">
        <v>260</v>
      </c>
      <c r="S7" s="100" t="s">
        <v>423</v>
      </c>
      <c r="T7" s="101">
        <f>73608.67</f>
        <v>73608.67</v>
      </c>
      <c r="U7" s="102">
        <f>39</f>
        <v>39</v>
      </c>
      <c r="V7" s="102">
        <v>22</v>
      </c>
      <c r="W7" s="102"/>
      <c r="X7" s="102">
        <f>145124500</f>
        <v>145124500</v>
      </c>
      <c r="Y7" s="102">
        <v>82460000</v>
      </c>
      <c r="Z7" s="103"/>
      <c r="AA7" s="99" t="s">
        <v>232</v>
      </c>
      <c r="AB7" s="104">
        <f>66</f>
        <v>66</v>
      </c>
      <c r="AC7" s="104" t="str">
        <f t="shared" ref="AC7:AD38" si="0">"－"</f>
        <v>－</v>
      </c>
      <c r="AD7" s="105">
        <f>7</f>
        <v>7</v>
      </c>
    </row>
    <row r="8" spans="1:30">
      <c r="A8" s="95" t="s">
        <v>46</v>
      </c>
      <c r="B8" s="96" t="s">
        <v>420</v>
      </c>
      <c r="C8" s="96" t="s">
        <v>421</v>
      </c>
      <c r="D8" s="96" t="s">
        <v>237</v>
      </c>
      <c r="E8" s="97" t="s">
        <v>427</v>
      </c>
      <c r="F8" s="97" t="s">
        <v>101</v>
      </c>
      <c r="G8" s="98">
        <v>50</v>
      </c>
      <c r="H8" s="99" t="s">
        <v>52</v>
      </c>
      <c r="I8" s="100" t="s">
        <v>422</v>
      </c>
      <c r="J8" s="99" t="s">
        <v>205</v>
      </c>
      <c r="K8" s="100" t="s">
        <v>428</v>
      </c>
      <c r="L8" s="99"/>
      <c r="M8" s="100"/>
      <c r="N8" s="99" t="s">
        <v>287</v>
      </c>
      <c r="O8" s="100" t="s">
        <v>429</v>
      </c>
      <c r="P8" s="99"/>
      <c r="Q8" s="100"/>
      <c r="R8" s="99" t="s">
        <v>205</v>
      </c>
      <c r="S8" s="100" t="s">
        <v>428</v>
      </c>
      <c r="T8" s="101">
        <f>74398.95</f>
        <v>74398.95</v>
      </c>
      <c r="U8" s="102">
        <f>17</f>
        <v>17</v>
      </c>
      <c r="V8" s="102"/>
      <c r="W8" s="102"/>
      <c r="X8" s="102">
        <f>63192000</f>
        <v>63192000</v>
      </c>
      <c r="Y8" s="102"/>
      <c r="Z8" s="103"/>
      <c r="AA8" s="99"/>
      <c r="AB8" s="104">
        <f>37</f>
        <v>37</v>
      </c>
      <c r="AC8" s="104" t="str">
        <f t="shared" si="0"/>
        <v>－</v>
      </c>
      <c r="AD8" s="105">
        <f>9</f>
        <v>9</v>
      </c>
    </row>
    <row r="9" spans="1:30">
      <c r="A9" s="95" t="s">
        <v>46</v>
      </c>
      <c r="B9" s="96" t="s">
        <v>420</v>
      </c>
      <c r="C9" s="96" t="s">
        <v>421</v>
      </c>
      <c r="D9" s="96" t="s">
        <v>59</v>
      </c>
      <c r="E9" s="97" t="s">
        <v>301</v>
      </c>
      <c r="F9" s="97" t="s">
        <v>269</v>
      </c>
      <c r="G9" s="98">
        <v>50</v>
      </c>
      <c r="H9" s="99" t="s">
        <v>52</v>
      </c>
      <c r="I9" s="100" t="s">
        <v>430</v>
      </c>
      <c r="J9" s="99" t="s">
        <v>199</v>
      </c>
      <c r="K9" s="100" t="s">
        <v>431</v>
      </c>
      <c r="L9" s="99"/>
      <c r="M9" s="100"/>
      <c r="N9" s="99" t="s">
        <v>52</v>
      </c>
      <c r="O9" s="100" t="s">
        <v>430</v>
      </c>
      <c r="P9" s="99"/>
      <c r="Q9" s="100"/>
      <c r="R9" s="99" t="s">
        <v>199</v>
      </c>
      <c r="S9" s="100" t="s">
        <v>431</v>
      </c>
      <c r="T9" s="101">
        <f>74547.37</f>
        <v>74547.37</v>
      </c>
      <c r="U9" s="102">
        <f>2</f>
        <v>2</v>
      </c>
      <c r="V9" s="102"/>
      <c r="W9" s="102"/>
      <c r="X9" s="102">
        <f>7480000</f>
        <v>7480000</v>
      </c>
      <c r="Y9" s="102"/>
      <c r="Z9" s="103"/>
      <c r="AA9" s="99"/>
      <c r="AB9" s="104">
        <f>21</f>
        <v>21</v>
      </c>
      <c r="AC9" s="104" t="str">
        <f t="shared" si="0"/>
        <v>－</v>
      </c>
      <c r="AD9" s="105">
        <f>2</f>
        <v>2</v>
      </c>
    </row>
    <row r="10" spans="1:30">
      <c r="A10" s="95" t="s">
        <v>46</v>
      </c>
      <c r="B10" s="96" t="s">
        <v>420</v>
      </c>
      <c r="C10" s="96" t="s">
        <v>421</v>
      </c>
      <c r="D10" s="96" t="s">
        <v>245</v>
      </c>
      <c r="E10" s="97" t="s">
        <v>432</v>
      </c>
      <c r="F10" s="97" t="s">
        <v>106</v>
      </c>
      <c r="G10" s="98">
        <v>50</v>
      </c>
      <c r="H10" s="99" t="s">
        <v>354</v>
      </c>
      <c r="I10" s="100" t="s">
        <v>433</v>
      </c>
      <c r="J10" s="99" t="s">
        <v>57</v>
      </c>
      <c r="K10" s="100" t="s">
        <v>434</v>
      </c>
      <c r="L10" s="99"/>
      <c r="M10" s="100"/>
      <c r="N10" s="99" t="s">
        <v>136</v>
      </c>
      <c r="O10" s="100" t="s">
        <v>435</v>
      </c>
      <c r="P10" s="99"/>
      <c r="Q10" s="100"/>
      <c r="R10" s="99" t="s">
        <v>57</v>
      </c>
      <c r="S10" s="100" t="s">
        <v>434</v>
      </c>
      <c r="T10" s="101">
        <f>74429.47</f>
        <v>74429.47</v>
      </c>
      <c r="U10" s="102">
        <f>5</f>
        <v>5</v>
      </c>
      <c r="V10" s="102"/>
      <c r="W10" s="102"/>
      <c r="X10" s="102">
        <f>18956000</f>
        <v>18956000</v>
      </c>
      <c r="Y10" s="102"/>
      <c r="Z10" s="103"/>
      <c r="AA10" s="99"/>
      <c r="AB10" s="104">
        <f>15</f>
        <v>15</v>
      </c>
      <c r="AC10" s="104" t="str">
        <f t="shared" si="0"/>
        <v>－</v>
      </c>
      <c r="AD10" s="105">
        <f>4</f>
        <v>4</v>
      </c>
    </row>
    <row r="11" spans="1:30">
      <c r="A11" s="95" t="s">
        <v>46</v>
      </c>
      <c r="B11" s="96" t="s">
        <v>420</v>
      </c>
      <c r="C11" s="96" t="s">
        <v>421</v>
      </c>
      <c r="D11" s="96" t="s">
        <v>66</v>
      </c>
      <c r="E11" s="97" t="s">
        <v>311</v>
      </c>
      <c r="F11" s="97" t="s">
        <v>436</v>
      </c>
      <c r="G11" s="98">
        <v>50</v>
      </c>
      <c r="H11" s="99" t="s">
        <v>287</v>
      </c>
      <c r="I11" s="100" t="s">
        <v>437</v>
      </c>
      <c r="J11" s="99" t="s">
        <v>57</v>
      </c>
      <c r="K11" s="100" t="s">
        <v>438</v>
      </c>
      <c r="L11" s="99"/>
      <c r="M11" s="100"/>
      <c r="N11" s="99" t="s">
        <v>287</v>
      </c>
      <c r="O11" s="100" t="s">
        <v>437</v>
      </c>
      <c r="P11" s="99"/>
      <c r="Q11" s="100"/>
      <c r="R11" s="99" t="s">
        <v>57</v>
      </c>
      <c r="S11" s="100" t="s">
        <v>438</v>
      </c>
      <c r="T11" s="101">
        <f>76501.58</f>
        <v>76501.58</v>
      </c>
      <c r="U11" s="102">
        <f>5</f>
        <v>5</v>
      </c>
      <c r="V11" s="102"/>
      <c r="W11" s="102"/>
      <c r="X11" s="102">
        <f>20302500</f>
        <v>20302500</v>
      </c>
      <c r="Y11" s="102"/>
      <c r="Z11" s="103"/>
      <c r="AA11" s="99"/>
      <c r="AB11" s="104">
        <f>6</f>
        <v>6</v>
      </c>
      <c r="AC11" s="104" t="str">
        <f t="shared" si="0"/>
        <v>－</v>
      </c>
      <c r="AD11" s="105">
        <f>3</f>
        <v>3</v>
      </c>
    </row>
    <row r="12" spans="1:30">
      <c r="A12" s="95" t="s">
        <v>46</v>
      </c>
      <c r="B12" s="96" t="s">
        <v>420</v>
      </c>
      <c r="C12" s="96" t="s">
        <v>421</v>
      </c>
      <c r="D12" s="96" t="s">
        <v>252</v>
      </c>
      <c r="E12" s="97" t="s">
        <v>89</v>
      </c>
      <c r="F12" s="97" t="s">
        <v>110</v>
      </c>
      <c r="G12" s="98">
        <v>50</v>
      </c>
      <c r="H12" s="99" t="s">
        <v>136</v>
      </c>
      <c r="I12" s="100" t="s">
        <v>439</v>
      </c>
      <c r="J12" s="99" t="s">
        <v>57</v>
      </c>
      <c r="K12" s="100" t="s">
        <v>440</v>
      </c>
      <c r="L12" s="99"/>
      <c r="M12" s="100"/>
      <c r="N12" s="99" t="s">
        <v>136</v>
      </c>
      <c r="O12" s="100" t="s">
        <v>439</v>
      </c>
      <c r="P12" s="99"/>
      <c r="Q12" s="100"/>
      <c r="R12" s="99" t="s">
        <v>57</v>
      </c>
      <c r="S12" s="100" t="s">
        <v>440</v>
      </c>
      <c r="T12" s="101">
        <f>76903.68</f>
        <v>76903.679999999993</v>
      </c>
      <c r="U12" s="102">
        <f>16</f>
        <v>16</v>
      </c>
      <c r="V12" s="102"/>
      <c r="W12" s="102"/>
      <c r="X12" s="102">
        <f>62728000</f>
        <v>62728000</v>
      </c>
      <c r="Y12" s="102"/>
      <c r="Z12" s="103"/>
      <c r="AA12" s="99"/>
      <c r="AB12" s="104">
        <f>9</f>
        <v>9</v>
      </c>
      <c r="AC12" s="104" t="str">
        <f t="shared" si="0"/>
        <v>－</v>
      </c>
      <c r="AD12" s="105">
        <f>5</f>
        <v>5</v>
      </c>
    </row>
    <row r="13" spans="1:30">
      <c r="A13" s="95" t="s">
        <v>46</v>
      </c>
      <c r="B13" s="96" t="s">
        <v>420</v>
      </c>
      <c r="C13" s="96" t="s">
        <v>421</v>
      </c>
      <c r="D13" s="96" t="s">
        <v>73</v>
      </c>
      <c r="E13" s="97" t="s">
        <v>320</v>
      </c>
      <c r="F13" s="97" t="s">
        <v>398</v>
      </c>
      <c r="G13" s="98">
        <v>50</v>
      </c>
      <c r="H13" s="99" t="s">
        <v>199</v>
      </c>
      <c r="I13" s="100" t="s">
        <v>441</v>
      </c>
      <c r="J13" s="99" t="s">
        <v>205</v>
      </c>
      <c r="K13" s="100" t="s">
        <v>442</v>
      </c>
      <c r="L13" s="99"/>
      <c r="M13" s="100"/>
      <c r="N13" s="99" t="s">
        <v>199</v>
      </c>
      <c r="O13" s="100" t="s">
        <v>441</v>
      </c>
      <c r="P13" s="99"/>
      <c r="Q13" s="100"/>
      <c r="R13" s="99" t="s">
        <v>57</v>
      </c>
      <c r="S13" s="100" t="s">
        <v>442</v>
      </c>
      <c r="T13" s="101">
        <f>78995</f>
        <v>78995</v>
      </c>
      <c r="U13" s="102">
        <f>6</f>
        <v>6</v>
      </c>
      <c r="V13" s="102"/>
      <c r="W13" s="102"/>
      <c r="X13" s="102">
        <f>23447000</f>
        <v>23447000</v>
      </c>
      <c r="Y13" s="102"/>
      <c r="Z13" s="103"/>
      <c r="AA13" s="99"/>
      <c r="AB13" s="104">
        <f>3</f>
        <v>3</v>
      </c>
      <c r="AC13" s="104" t="str">
        <f t="shared" si="0"/>
        <v>－</v>
      </c>
      <c r="AD13" s="105">
        <f>3</f>
        <v>3</v>
      </c>
    </row>
    <row r="14" spans="1:30">
      <c r="A14" s="95" t="s">
        <v>46</v>
      </c>
      <c r="B14" s="96" t="s">
        <v>443</v>
      </c>
      <c r="C14" s="96" t="s">
        <v>444</v>
      </c>
      <c r="D14" s="96" t="s">
        <v>49</v>
      </c>
      <c r="E14" s="97" t="s">
        <v>392</v>
      </c>
      <c r="F14" s="97" t="s">
        <v>258</v>
      </c>
      <c r="G14" s="98">
        <v>50</v>
      </c>
      <c r="H14" s="99" t="s">
        <v>96</v>
      </c>
      <c r="I14" s="100" t="s">
        <v>445</v>
      </c>
      <c r="J14" s="99" t="s">
        <v>96</v>
      </c>
      <c r="K14" s="100" t="s">
        <v>445</v>
      </c>
      <c r="L14" s="99" t="s">
        <v>96</v>
      </c>
      <c r="M14" s="100" t="s">
        <v>446</v>
      </c>
      <c r="N14" s="99" t="s">
        <v>136</v>
      </c>
      <c r="O14" s="100" t="s">
        <v>447</v>
      </c>
      <c r="P14" s="99" t="s">
        <v>260</v>
      </c>
      <c r="Q14" s="100" t="s">
        <v>448</v>
      </c>
      <c r="R14" s="99" t="s">
        <v>260</v>
      </c>
      <c r="S14" s="100" t="s">
        <v>449</v>
      </c>
      <c r="T14" s="101">
        <f>75208</f>
        <v>75208</v>
      </c>
      <c r="U14" s="102">
        <f>26</f>
        <v>26</v>
      </c>
      <c r="V14" s="102">
        <v>17</v>
      </c>
      <c r="W14" s="102"/>
      <c r="X14" s="102">
        <f>96875000</f>
        <v>96875000</v>
      </c>
      <c r="Y14" s="102">
        <v>63425000</v>
      </c>
      <c r="Z14" s="103"/>
      <c r="AA14" s="99" t="s">
        <v>232</v>
      </c>
      <c r="AB14" s="104">
        <f>38</f>
        <v>38</v>
      </c>
      <c r="AC14" s="104" t="str">
        <f t="shared" si="0"/>
        <v>－</v>
      </c>
      <c r="AD14" s="105">
        <f>5</f>
        <v>5</v>
      </c>
    </row>
    <row r="15" spans="1:30">
      <c r="A15" s="95" t="s">
        <v>46</v>
      </c>
      <c r="B15" s="96" t="s">
        <v>443</v>
      </c>
      <c r="C15" s="96" t="s">
        <v>444</v>
      </c>
      <c r="D15" s="96" t="s">
        <v>237</v>
      </c>
      <c r="E15" s="97" t="s">
        <v>427</v>
      </c>
      <c r="F15" s="97" t="s">
        <v>101</v>
      </c>
      <c r="G15" s="98">
        <v>50</v>
      </c>
      <c r="H15" s="99" t="s">
        <v>85</v>
      </c>
      <c r="I15" s="100" t="s">
        <v>450</v>
      </c>
      <c r="J15" s="99" t="s">
        <v>57</v>
      </c>
      <c r="K15" s="100" t="s">
        <v>451</v>
      </c>
      <c r="L15" s="99"/>
      <c r="M15" s="100"/>
      <c r="N15" s="99" t="s">
        <v>260</v>
      </c>
      <c r="O15" s="100" t="s">
        <v>452</v>
      </c>
      <c r="P15" s="99"/>
      <c r="Q15" s="100"/>
      <c r="R15" s="99" t="s">
        <v>57</v>
      </c>
      <c r="S15" s="100" t="s">
        <v>451</v>
      </c>
      <c r="T15" s="101">
        <f>75640</f>
        <v>75640</v>
      </c>
      <c r="U15" s="102">
        <f>6</f>
        <v>6</v>
      </c>
      <c r="V15" s="102"/>
      <c r="W15" s="102"/>
      <c r="X15" s="102">
        <f>22543500</f>
        <v>22543500</v>
      </c>
      <c r="Y15" s="102"/>
      <c r="Z15" s="103"/>
      <c r="AA15" s="99"/>
      <c r="AB15" s="104">
        <f>24</f>
        <v>24</v>
      </c>
      <c r="AC15" s="104" t="str">
        <f t="shared" si="0"/>
        <v>－</v>
      </c>
      <c r="AD15" s="105">
        <f>3</f>
        <v>3</v>
      </c>
    </row>
    <row r="16" spans="1:30">
      <c r="A16" s="95" t="s">
        <v>46</v>
      </c>
      <c r="B16" s="96" t="s">
        <v>443</v>
      </c>
      <c r="C16" s="96" t="s">
        <v>444</v>
      </c>
      <c r="D16" s="96" t="s">
        <v>59</v>
      </c>
      <c r="E16" s="97" t="s">
        <v>301</v>
      </c>
      <c r="F16" s="97" t="s">
        <v>269</v>
      </c>
      <c r="G16" s="98">
        <v>50</v>
      </c>
      <c r="H16" s="99" t="s">
        <v>57</v>
      </c>
      <c r="I16" s="100" t="s">
        <v>453</v>
      </c>
      <c r="J16" s="99" t="s">
        <v>57</v>
      </c>
      <c r="K16" s="100" t="s">
        <v>453</v>
      </c>
      <c r="L16" s="99"/>
      <c r="M16" s="100"/>
      <c r="N16" s="99" t="s">
        <v>57</v>
      </c>
      <c r="O16" s="100" t="s">
        <v>453</v>
      </c>
      <c r="P16" s="99"/>
      <c r="Q16" s="100"/>
      <c r="R16" s="99" t="s">
        <v>57</v>
      </c>
      <c r="S16" s="100" t="s">
        <v>453</v>
      </c>
      <c r="T16" s="101">
        <f>75182.63</f>
        <v>75182.63</v>
      </c>
      <c r="U16" s="102">
        <f>1</f>
        <v>1</v>
      </c>
      <c r="V16" s="102"/>
      <c r="W16" s="102"/>
      <c r="X16" s="102">
        <f>3806500</f>
        <v>3806500</v>
      </c>
      <c r="Y16" s="102"/>
      <c r="Z16" s="103"/>
      <c r="AA16" s="99"/>
      <c r="AB16" s="104">
        <f>2</f>
        <v>2</v>
      </c>
      <c r="AC16" s="104" t="str">
        <f t="shared" si="0"/>
        <v>－</v>
      </c>
      <c r="AD16" s="105">
        <f>1</f>
        <v>1</v>
      </c>
    </row>
    <row r="17" spans="1:30">
      <c r="A17" s="95" t="s">
        <v>46</v>
      </c>
      <c r="B17" s="96" t="s">
        <v>443</v>
      </c>
      <c r="C17" s="96" t="s">
        <v>444</v>
      </c>
      <c r="D17" s="96" t="s">
        <v>245</v>
      </c>
      <c r="E17" s="97" t="s">
        <v>432</v>
      </c>
      <c r="F17" s="97" t="s">
        <v>106</v>
      </c>
      <c r="G17" s="98">
        <v>50</v>
      </c>
      <c r="H17" s="99" t="s">
        <v>96</v>
      </c>
      <c r="I17" s="100" t="s">
        <v>445</v>
      </c>
      <c r="J17" s="99" t="s">
        <v>96</v>
      </c>
      <c r="K17" s="100" t="s">
        <v>445</v>
      </c>
      <c r="L17" s="99"/>
      <c r="M17" s="100"/>
      <c r="N17" s="99" t="s">
        <v>136</v>
      </c>
      <c r="O17" s="100" t="s">
        <v>439</v>
      </c>
      <c r="P17" s="99"/>
      <c r="Q17" s="100"/>
      <c r="R17" s="99" t="s">
        <v>136</v>
      </c>
      <c r="S17" s="100" t="s">
        <v>439</v>
      </c>
      <c r="T17" s="101">
        <f>75806.32</f>
        <v>75806.320000000007</v>
      </c>
      <c r="U17" s="102">
        <f>4</f>
        <v>4</v>
      </c>
      <c r="V17" s="102"/>
      <c r="W17" s="102"/>
      <c r="X17" s="102">
        <f>15250000</f>
        <v>15250000</v>
      </c>
      <c r="Y17" s="102"/>
      <c r="Z17" s="103"/>
      <c r="AA17" s="99"/>
      <c r="AB17" s="104">
        <f>4</f>
        <v>4</v>
      </c>
      <c r="AC17" s="104" t="str">
        <f t="shared" si="0"/>
        <v>－</v>
      </c>
      <c r="AD17" s="105">
        <f>3</f>
        <v>3</v>
      </c>
    </row>
    <row r="18" spans="1:30">
      <c r="A18" s="95" t="s">
        <v>46</v>
      </c>
      <c r="B18" s="96" t="s">
        <v>443</v>
      </c>
      <c r="C18" s="96" t="s">
        <v>444</v>
      </c>
      <c r="D18" s="96" t="s">
        <v>66</v>
      </c>
      <c r="E18" s="97" t="s">
        <v>311</v>
      </c>
      <c r="F18" s="97" t="s">
        <v>436</v>
      </c>
      <c r="G18" s="98">
        <v>50</v>
      </c>
      <c r="H18" s="99" t="s">
        <v>166</v>
      </c>
      <c r="I18" s="100" t="s">
        <v>454</v>
      </c>
      <c r="J18" s="99" t="s">
        <v>166</v>
      </c>
      <c r="K18" s="100" t="s">
        <v>454</v>
      </c>
      <c r="L18" s="99"/>
      <c r="M18" s="100"/>
      <c r="N18" s="99" t="s">
        <v>166</v>
      </c>
      <c r="O18" s="100" t="s">
        <v>455</v>
      </c>
      <c r="P18" s="99"/>
      <c r="Q18" s="100"/>
      <c r="R18" s="99" t="s">
        <v>166</v>
      </c>
      <c r="S18" s="100" t="s">
        <v>455</v>
      </c>
      <c r="T18" s="101">
        <f>78515.79</f>
        <v>78515.789999999994</v>
      </c>
      <c r="U18" s="102">
        <f>3</f>
        <v>3</v>
      </c>
      <c r="V18" s="102"/>
      <c r="W18" s="102"/>
      <c r="X18" s="102">
        <f>11744500</f>
        <v>11744500</v>
      </c>
      <c r="Y18" s="102"/>
      <c r="Z18" s="103"/>
      <c r="AA18" s="99"/>
      <c r="AB18" s="104">
        <f>2</f>
        <v>2</v>
      </c>
      <c r="AC18" s="104" t="str">
        <f t="shared" si="0"/>
        <v>－</v>
      </c>
      <c r="AD18" s="105">
        <f>1</f>
        <v>1</v>
      </c>
    </row>
    <row r="19" spans="1:30">
      <c r="A19" s="95" t="s">
        <v>46</v>
      </c>
      <c r="B19" s="96" t="s">
        <v>443</v>
      </c>
      <c r="C19" s="96" t="s">
        <v>444</v>
      </c>
      <c r="D19" s="96" t="s">
        <v>252</v>
      </c>
      <c r="E19" s="97" t="s">
        <v>89</v>
      </c>
      <c r="F19" s="97" t="s">
        <v>110</v>
      </c>
      <c r="G19" s="98">
        <v>50</v>
      </c>
      <c r="H19" s="99" t="s">
        <v>166</v>
      </c>
      <c r="I19" s="100" t="s">
        <v>456</v>
      </c>
      <c r="J19" s="99" t="s">
        <v>166</v>
      </c>
      <c r="K19" s="100" t="s">
        <v>457</v>
      </c>
      <c r="L19" s="99" t="s">
        <v>57</v>
      </c>
      <c r="M19" s="100" t="s">
        <v>458</v>
      </c>
      <c r="N19" s="99" t="s">
        <v>166</v>
      </c>
      <c r="O19" s="100" t="s">
        <v>456</v>
      </c>
      <c r="P19" s="99" t="s">
        <v>57</v>
      </c>
      <c r="Q19" s="100" t="s">
        <v>458</v>
      </c>
      <c r="R19" s="99" t="s">
        <v>260</v>
      </c>
      <c r="S19" s="100" t="s">
        <v>459</v>
      </c>
      <c r="T19" s="101">
        <f>81614.21</f>
        <v>81614.210000000006</v>
      </c>
      <c r="U19" s="102">
        <f>29</f>
        <v>29</v>
      </c>
      <c r="V19" s="102">
        <v>10</v>
      </c>
      <c r="W19" s="102"/>
      <c r="X19" s="102">
        <f>118879000</f>
        <v>118879000</v>
      </c>
      <c r="Y19" s="102">
        <v>40570000</v>
      </c>
      <c r="Z19" s="103"/>
      <c r="AA19" s="99"/>
      <c r="AB19" s="104">
        <f>16</f>
        <v>16</v>
      </c>
      <c r="AC19" s="104" t="str">
        <f t="shared" si="0"/>
        <v>－</v>
      </c>
      <c r="AD19" s="105">
        <f>4</f>
        <v>4</v>
      </c>
    </row>
    <row r="20" spans="1:30">
      <c r="A20" s="95" t="s">
        <v>46</v>
      </c>
      <c r="B20" s="96" t="s">
        <v>443</v>
      </c>
      <c r="C20" s="96" t="s">
        <v>444</v>
      </c>
      <c r="D20" s="96" t="s">
        <v>73</v>
      </c>
      <c r="E20" s="97" t="s">
        <v>320</v>
      </c>
      <c r="F20" s="97" t="s">
        <v>398</v>
      </c>
      <c r="G20" s="98">
        <v>50</v>
      </c>
      <c r="H20" s="99"/>
      <c r="I20" s="100" t="s">
        <v>131</v>
      </c>
      <c r="J20" s="99"/>
      <c r="K20" s="100" t="s">
        <v>131</v>
      </c>
      <c r="L20" s="99"/>
      <c r="M20" s="100"/>
      <c r="N20" s="99"/>
      <c r="O20" s="100" t="s">
        <v>131</v>
      </c>
      <c r="P20" s="99"/>
      <c r="Q20" s="100"/>
      <c r="R20" s="99"/>
      <c r="S20" s="100" t="s">
        <v>131</v>
      </c>
      <c r="T20" s="101">
        <f>81140</f>
        <v>81140</v>
      </c>
      <c r="U20" s="102" t="str">
        <f t="shared" ref="U20:U27" si="1">"－"</f>
        <v>－</v>
      </c>
      <c r="V20" s="102"/>
      <c r="W20" s="102"/>
      <c r="X20" s="102" t="str">
        <f t="shared" ref="X20:X27" si="2">"－"</f>
        <v>－</v>
      </c>
      <c r="Y20" s="102"/>
      <c r="Z20" s="103"/>
      <c r="AA20" s="99"/>
      <c r="AB20" s="104" t="str">
        <f t="shared" ref="AB20:AB27" si="3">"－"</f>
        <v>－</v>
      </c>
      <c r="AC20" s="104" t="str">
        <f t="shared" si="0"/>
        <v>－</v>
      </c>
      <c r="AD20" s="105" t="str">
        <f t="shared" si="0"/>
        <v>－</v>
      </c>
    </row>
    <row r="21" spans="1:30">
      <c r="A21" s="95" t="s">
        <v>46</v>
      </c>
      <c r="B21" s="96" t="s">
        <v>460</v>
      </c>
      <c r="C21" s="96" t="s">
        <v>461</v>
      </c>
      <c r="D21" s="96" t="s">
        <v>49</v>
      </c>
      <c r="E21" s="97" t="s">
        <v>392</v>
      </c>
      <c r="F21" s="97" t="s">
        <v>258</v>
      </c>
      <c r="G21" s="98">
        <v>50</v>
      </c>
      <c r="H21" s="99"/>
      <c r="I21" s="100" t="s">
        <v>131</v>
      </c>
      <c r="J21" s="99"/>
      <c r="K21" s="100" t="s">
        <v>131</v>
      </c>
      <c r="L21" s="99"/>
      <c r="M21" s="100"/>
      <c r="N21" s="99"/>
      <c r="O21" s="100" t="s">
        <v>131</v>
      </c>
      <c r="P21" s="99"/>
      <c r="Q21" s="100"/>
      <c r="R21" s="99"/>
      <c r="S21" s="100" t="s">
        <v>131</v>
      </c>
      <c r="T21" s="101">
        <f>89473.33</f>
        <v>89473.33</v>
      </c>
      <c r="U21" s="102" t="str">
        <f t="shared" si="1"/>
        <v>－</v>
      </c>
      <c r="V21" s="102"/>
      <c r="W21" s="102"/>
      <c r="X21" s="102" t="str">
        <f t="shared" si="2"/>
        <v>－</v>
      </c>
      <c r="Y21" s="102"/>
      <c r="Z21" s="103"/>
      <c r="AA21" s="99" t="s">
        <v>232</v>
      </c>
      <c r="AB21" s="104" t="str">
        <f t="shared" si="3"/>
        <v>－</v>
      </c>
      <c r="AC21" s="104" t="str">
        <f t="shared" si="0"/>
        <v>－</v>
      </c>
      <c r="AD21" s="105" t="str">
        <f t="shared" si="0"/>
        <v>－</v>
      </c>
    </row>
    <row r="22" spans="1:30">
      <c r="A22" s="95" t="s">
        <v>46</v>
      </c>
      <c r="B22" s="96" t="s">
        <v>460</v>
      </c>
      <c r="C22" s="96" t="s">
        <v>461</v>
      </c>
      <c r="D22" s="96" t="s">
        <v>237</v>
      </c>
      <c r="E22" s="97" t="s">
        <v>427</v>
      </c>
      <c r="F22" s="97" t="s">
        <v>101</v>
      </c>
      <c r="G22" s="98">
        <v>50</v>
      </c>
      <c r="H22" s="99"/>
      <c r="I22" s="100" t="s">
        <v>131</v>
      </c>
      <c r="J22" s="99"/>
      <c r="K22" s="100" t="s">
        <v>131</v>
      </c>
      <c r="L22" s="99"/>
      <c r="M22" s="100"/>
      <c r="N22" s="99"/>
      <c r="O22" s="100" t="s">
        <v>131</v>
      </c>
      <c r="P22" s="99"/>
      <c r="Q22" s="100"/>
      <c r="R22" s="99"/>
      <c r="S22" s="100" t="s">
        <v>131</v>
      </c>
      <c r="T22" s="101">
        <f>87978.95</f>
        <v>87978.95</v>
      </c>
      <c r="U22" s="102" t="str">
        <f t="shared" si="1"/>
        <v>－</v>
      </c>
      <c r="V22" s="102"/>
      <c r="W22" s="102"/>
      <c r="X22" s="102" t="str">
        <f t="shared" si="2"/>
        <v>－</v>
      </c>
      <c r="Y22" s="102"/>
      <c r="Z22" s="103"/>
      <c r="AA22" s="99"/>
      <c r="AB22" s="104" t="str">
        <f t="shared" si="3"/>
        <v>－</v>
      </c>
      <c r="AC22" s="104" t="str">
        <f t="shared" si="0"/>
        <v>－</v>
      </c>
      <c r="AD22" s="105" t="str">
        <f t="shared" si="0"/>
        <v>－</v>
      </c>
    </row>
    <row r="23" spans="1:30">
      <c r="A23" s="95" t="s">
        <v>46</v>
      </c>
      <c r="B23" s="96" t="s">
        <v>460</v>
      </c>
      <c r="C23" s="96" t="s">
        <v>461</v>
      </c>
      <c r="D23" s="96" t="s">
        <v>59</v>
      </c>
      <c r="E23" s="97" t="s">
        <v>301</v>
      </c>
      <c r="F23" s="97" t="s">
        <v>269</v>
      </c>
      <c r="G23" s="98">
        <v>50</v>
      </c>
      <c r="H23" s="99"/>
      <c r="I23" s="100" t="s">
        <v>131</v>
      </c>
      <c r="J23" s="99"/>
      <c r="K23" s="100" t="s">
        <v>131</v>
      </c>
      <c r="L23" s="99"/>
      <c r="M23" s="100"/>
      <c r="N23" s="99"/>
      <c r="O23" s="100" t="s">
        <v>131</v>
      </c>
      <c r="P23" s="99"/>
      <c r="Q23" s="100"/>
      <c r="R23" s="99"/>
      <c r="S23" s="100" t="s">
        <v>131</v>
      </c>
      <c r="T23" s="101">
        <f>86557.89</f>
        <v>86557.89</v>
      </c>
      <c r="U23" s="102" t="str">
        <f t="shared" si="1"/>
        <v>－</v>
      </c>
      <c r="V23" s="102"/>
      <c r="W23" s="102"/>
      <c r="X23" s="102" t="str">
        <f t="shared" si="2"/>
        <v>－</v>
      </c>
      <c r="Y23" s="102"/>
      <c r="Z23" s="103"/>
      <c r="AA23" s="99"/>
      <c r="AB23" s="104" t="str">
        <f t="shared" si="3"/>
        <v>－</v>
      </c>
      <c r="AC23" s="104" t="str">
        <f t="shared" si="0"/>
        <v>－</v>
      </c>
      <c r="AD23" s="105" t="str">
        <f t="shared" si="0"/>
        <v>－</v>
      </c>
    </row>
    <row r="24" spans="1:30">
      <c r="A24" s="95" t="s">
        <v>46</v>
      </c>
      <c r="B24" s="96" t="s">
        <v>460</v>
      </c>
      <c r="C24" s="96" t="s">
        <v>461</v>
      </c>
      <c r="D24" s="96" t="s">
        <v>245</v>
      </c>
      <c r="E24" s="97" t="s">
        <v>432</v>
      </c>
      <c r="F24" s="97" t="s">
        <v>106</v>
      </c>
      <c r="G24" s="98">
        <v>50</v>
      </c>
      <c r="H24" s="99"/>
      <c r="I24" s="100" t="s">
        <v>131</v>
      </c>
      <c r="J24" s="99"/>
      <c r="K24" s="100" t="s">
        <v>131</v>
      </c>
      <c r="L24" s="99"/>
      <c r="M24" s="100"/>
      <c r="N24" s="99"/>
      <c r="O24" s="100" t="s">
        <v>131</v>
      </c>
      <c r="P24" s="99"/>
      <c r="Q24" s="100"/>
      <c r="R24" s="99"/>
      <c r="S24" s="100" t="s">
        <v>131</v>
      </c>
      <c r="T24" s="101">
        <f>85157.89</f>
        <v>85157.89</v>
      </c>
      <c r="U24" s="102" t="str">
        <f t="shared" si="1"/>
        <v>－</v>
      </c>
      <c r="V24" s="102"/>
      <c r="W24" s="102"/>
      <c r="X24" s="102" t="str">
        <f t="shared" si="2"/>
        <v>－</v>
      </c>
      <c r="Y24" s="102"/>
      <c r="Z24" s="103"/>
      <c r="AA24" s="99"/>
      <c r="AB24" s="104" t="str">
        <f t="shared" si="3"/>
        <v>－</v>
      </c>
      <c r="AC24" s="104" t="str">
        <f t="shared" si="0"/>
        <v>－</v>
      </c>
      <c r="AD24" s="105" t="str">
        <f t="shared" si="0"/>
        <v>－</v>
      </c>
    </row>
    <row r="25" spans="1:30">
      <c r="A25" s="95" t="s">
        <v>46</v>
      </c>
      <c r="B25" s="96" t="s">
        <v>460</v>
      </c>
      <c r="C25" s="96" t="s">
        <v>461</v>
      </c>
      <c r="D25" s="96" t="s">
        <v>66</v>
      </c>
      <c r="E25" s="97" t="s">
        <v>311</v>
      </c>
      <c r="F25" s="97" t="s">
        <v>436</v>
      </c>
      <c r="G25" s="98">
        <v>50</v>
      </c>
      <c r="H25" s="99"/>
      <c r="I25" s="100" t="s">
        <v>131</v>
      </c>
      <c r="J25" s="99"/>
      <c r="K25" s="100" t="s">
        <v>131</v>
      </c>
      <c r="L25" s="99"/>
      <c r="M25" s="100"/>
      <c r="N25" s="99"/>
      <c r="O25" s="100" t="s">
        <v>131</v>
      </c>
      <c r="P25" s="99"/>
      <c r="Q25" s="100"/>
      <c r="R25" s="99"/>
      <c r="S25" s="100" t="s">
        <v>131</v>
      </c>
      <c r="T25" s="101">
        <f>84100</f>
        <v>84100</v>
      </c>
      <c r="U25" s="102" t="str">
        <f t="shared" si="1"/>
        <v>－</v>
      </c>
      <c r="V25" s="102"/>
      <c r="W25" s="102"/>
      <c r="X25" s="102" t="str">
        <f t="shared" si="2"/>
        <v>－</v>
      </c>
      <c r="Y25" s="102"/>
      <c r="Z25" s="103"/>
      <c r="AA25" s="99"/>
      <c r="AB25" s="104" t="str">
        <f t="shared" si="3"/>
        <v>－</v>
      </c>
      <c r="AC25" s="104" t="str">
        <f t="shared" si="0"/>
        <v>－</v>
      </c>
      <c r="AD25" s="105" t="str">
        <f t="shared" si="0"/>
        <v>－</v>
      </c>
    </row>
    <row r="26" spans="1:30">
      <c r="A26" s="95" t="s">
        <v>46</v>
      </c>
      <c r="B26" s="96" t="s">
        <v>460</v>
      </c>
      <c r="C26" s="96" t="s">
        <v>461</v>
      </c>
      <c r="D26" s="96" t="s">
        <v>252</v>
      </c>
      <c r="E26" s="97" t="s">
        <v>89</v>
      </c>
      <c r="F26" s="97" t="s">
        <v>110</v>
      </c>
      <c r="G26" s="98">
        <v>50</v>
      </c>
      <c r="H26" s="99"/>
      <c r="I26" s="100" t="s">
        <v>131</v>
      </c>
      <c r="J26" s="99"/>
      <c r="K26" s="100" t="s">
        <v>131</v>
      </c>
      <c r="L26" s="99"/>
      <c r="M26" s="100"/>
      <c r="N26" s="99"/>
      <c r="O26" s="100" t="s">
        <v>131</v>
      </c>
      <c r="P26" s="99"/>
      <c r="Q26" s="100"/>
      <c r="R26" s="99"/>
      <c r="S26" s="100" t="s">
        <v>131</v>
      </c>
      <c r="T26" s="101">
        <f>83342.11</f>
        <v>83342.11</v>
      </c>
      <c r="U26" s="102" t="str">
        <f t="shared" si="1"/>
        <v>－</v>
      </c>
      <c r="V26" s="102"/>
      <c r="W26" s="102"/>
      <c r="X26" s="102" t="str">
        <f t="shared" si="2"/>
        <v>－</v>
      </c>
      <c r="Y26" s="102"/>
      <c r="Z26" s="103"/>
      <c r="AA26" s="99"/>
      <c r="AB26" s="104" t="str">
        <f t="shared" si="3"/>
        <v>－</v>
      </c>
      <c r="AC26" s="104" t="str">
        <f t="shared" si="0"/>
        <v>－</v>
      </c>
      <c r="AD26" s="105" t="str">
        <f t="shared" si="0"/>
        <v>－</v>
      </c>
    </row>
    <row r="27" spans="1:30">
      <c r="A27" s="95" t="s">
        <v>46</v>
      </c>
      <c r="B27" s="96" t="s">
        <v>460</v>
      </c>
      <c r="C27" s="96" t="s">
        <v>461</v>
      </c>
      <c r="D27" s="96" t="s">
        <v>73</v>
      </c>
      <c r="E27" s="97" t="s">
        <v>320</v>
      </c>
      <c r="F27" s="97" t="s">
        <v>398</v>
      </c>
      <c r="G27" s="98">
        <v>50</v>
      </c>
      <c r="H27" s="99"/>
      <c r="I27" s="100" t="s">
        <v>131</v>
      </c>
      <c r="J27" s="99"/>
      <c r="K27" s="100" t="s">
        <v>131</v>
      </c>
      <c r="L27" s="99"/>
      <c r="M27" s="100"/>
      <c r="N27" s="99"/>
      <c r="O27" s="100" t="s">
        <v>131</v>
      </c>
      <c r="P27" s="99"/>
      <c r="Q27" s="100"/>
      <c r="R27" s="99"/>
      <c r="S27" s="100" t="s">
        <v>131</v>
      </c>
      <c r="T27" s="101">
        <f>83925</f>
        <v>83925</v>
      </c>
      <c r="U27" s="102" t="str">
        <f t="shared" si="1"/>
        <v>－</v>
      </c>
      <c r="V27" s="102"/>
      <c r="W27" s="102"/>
      <c r="X27" s="102" t="str">
        <f t="shared" si="2"/>
        <v>－</v>
      </c>
      <c r="Y27" s="102"/>
      <c r="Z27" s="103"/>
      <c r="AA27" s="99"/>
      <c r="AB27" s="104" t="str">
        <f t="shared" si="3"/>
        <v>－</v>
      </c>
      <c r="AC27" s="104" t="str">
        <f t="shared" si="0"/>
        <v>－</v>
      </c>
      <c r="AD27" s="105" t="str">
        <f t="shared" si="0"/>
        <v>－</v>
      </c>
    </row>
    <row r="28" spans="1:30">
      <c r="A28" s="95" t="s">
        <v>46</v>
      </c>
      <c r="B28" s="96" t="s">
        <v>462</v>
      </c>
      <c r="C28" s="96" t="s">
        <v>463</v>
      </c>
      <c r="D28" s="96" t="s">
        <v>46</v>
      </c>
      <c r="E28" s="97" t="s">
        <v>257</v>
      </c>
      <c r="F28" s="97" t="s">
        <v>326</v>
      </c>
      <c r="G28" s="98">
        <v>50</v>
      </c>
      <c r="H28" s="99" t="s">
        <v>52</v>
      </c>
      <c r="I28" s="100" t="s">
        <v>464</v>
      </c>
      <c r="J28" s="99" t="s">
        <v>93</v>
      </c>
      <c r="K28" s="100" t="s">
        <v>465</v>
      </c>
      <c r="L28" s="99" t="s">
        <v>147</v>
      </c>
      <c r="M28" s="100" t="s">
        <v>466</v>
      </c>
      <c r="N28" s="99" t="s">
        <v>224</v>
      </c>
      <c r="O28" s="100" t="s">
        <v>467</v>
      </c>
      <c r="P28" s="99" t="s">
        <v>52</v>
      </c>
      <c r="Q28" s="100" t="s">
        <v>468</v>
      </c>
      <c r="R28" s="99" t="s">
        <v>57</v>
      </c>
      <c r="S28" s="100" t="s">
        <v>469</v>
      </c>
      <c r="T28" s="101">
        <f>86730.53</f>
        <v>86730.53</v>
      </c>
      <c r="U28" s="102">
        <f>331</f>
        <v>331</v>
      </c>
      <c r="V28" s="102">
        <v>51</v>
      </c>
      <c r="W28" s="102">
        <v>11</v>
      </c>
      <c r="X28" s="102">
        <f>1432979500</f>
        <v>1432979500</v>
      </c>
      <c r="Y28" s="102">
        <v>222309500</v>
      </c>
      <c r="Z28" s="103">
        <v>47341500</v>
      </c>
      <c r="AA28" s="99" t="s">
        <v>232</v>
      </c>
      <c r="AB28" s="104">
        <f>1966</f>
        <v>1966</v>
      </c>
      <c r="AC28" s="104" t="str">
        <f t="shared" si="0"/>
        <v>－</v>
      </c>
      <c r="AD28" s="105">
        <f>18</f>
        <v>18</v>
      </c>
    </row>
    <row r="29" spans="1:30">
      <c r="A29" s="95" t="s">
        <v>46</v>
      </c>
      <c r="B29" s="96" t="s">
        <v>462</v>
      </c>
      <c r="C29" s="96" t="s">
        <v>463</v>
      </c>
      <c r="D29" s="96" t="s">
        <v>49</v>
      </c>
      <c r="E29" s="97" t="s">
        <v>257</v>
      </c>
      <c r="F29" s="97" t="s">
        <v>327</v>
      </c>
      <c r="G29" s="98">
        <v>50</v>
      </c>
      <c r="H29" s="99" t="s">
        <v>52</v>
      </c>
      <c r="I29" s="100" t="s">
        <v>470</v>
      </c>
      <c r="J29" s="99" t="s">
        <v>57</v>
      </c>
      <c r="K29" s="100" t="s">
        <v>471</v>
      </c>
      <c r="L29" s="99" t="s">
        <v>93</v>
      </c>
      <c r="M29" s="100" t="s">
        <v>472</v>
      </c>
      <c r="N29" s="99" t="s">
        <v>224</v>
      </c>
      <c r="O29" s="100" t="s">
        <v>473</v>
      </c>
      <c r="P29" s="99" t="s">
        <v>96</v>
      </c>
      <c r="Q29" s="100" t="s">
        <v>474</v>
      </c>
      <c r="R29" s="99" t="s">
        <v>57</v>
      </c>
      <c r="S29" s="100" t="s">
        <v>471</v>
      </c>
      <c r="T29" s="101">
        <f>85378.95</f>
        <v>85378.95</v>
      </c>
      <c r="U29" s="102">
        <f>2454</f>
        <v>2454</v>
      </c>
      <c r="V29" s="102">
        <v>444</v>
      </c>
      <c r="W29" s="102">
        <v>169</v>
      </c>
      <c r="X29" s="102">
        <f>10607194500</f>
        <v>10607194500</v>
      </c>
      <c r="Y29" s="102">
        <v>1966432000</v>
      </c>
      <c r="Z29" s="103">
        <v>716093500</v>
      </c>
      <c r="AA29" s="99"/>
      <c r="AB29" s="104">
        <f>4228</f>
        <v>4228</v>
      </c>
      <c r="AC29" s="104" t="str">
        <f t="shared" si="0"/>
        <v>－</v>
      </c>
      <c r="AD29" s="105">
        <f>19</f>
        <v>19</v>
      </c>
    </row>
    <row r="30" spans="1:30">
      <c r="A30" s="95" t="s">
        <v>46</v>
      </c>
      <c r="B30" s="96" t="s">
        <v>462</v>
      </c>
      <c r="C30" s="96" t="s">
        <v>463</v>
      </c>
      <c r="D30" s="96" t="s">
        <v>237</v>
      </c>
      <c r="E30" s="97" t="s">
        <v>257</v>
      </c>
      <c r="F30" s="97" t="s">
        <v>328</v>
      </c>
      <c r="G30" s="98">
        <v>50</v>
      </c>
      <c r="H30" s="99" t="s">
        <v>52</v>
      </c>
      <c r="I30" s="100" t="s">
        <v>475</v>
      </c>
      <c r="J30" s="99" t="s">
        <v>57</v>
      </c>
      <c r="K30" s="100" t="s">
        <v>476</v>
      </c>
      <c r="L30" s="99" t="s">
        <v>93</v>
      </c>
      <c r="M30" s="100" t="s">
        <v>477</v>
      </c>
      <c r="N30" s="99" t="s">
        <v>224</v>
      </c>
      <c r="O30" s="100" t="s">
        <v>478</v>
      </c>
      <c r="P30" s="99" t="s">
        <v>96</v>
      </c>
      <c r="Q30" s="100" t="s">
        <v>479</v>
      </c>
      <c r="R30" s="99" t="s">
        <v>57</v>
      </c>
      <c r="S30" s="100" t="s">
        <v>480</v>
      </c>
      <c r="T30" s="101">
        <f>83036.84</f>
        <v>83036.84</v>
      </c>
      <c r="U30" s="102">
        <f>2296</f>
        <v>2296</v>
      </c>
      <c r="V30" s="102">
        <v>814</v>
      </c>
      <c r="W30" s="102">
        <v>158</v>
      </c>
      <c r="X30" s="102">
        <f>9537945500</f>
        <v>9537945500</v>
      </c>
      <c r="Y30" s="102">
        <v>3369905500</v>
      </c>
      <c r="Z30" s="103">
        <v>645653000</v>
      </c>
      <c r="AA30" s="99"/>
      <c r="AB30" s="104">
        <f>4424</f>
        <v>4424</v>
      </c>
      <c r="AC30" s="104" t="str">
        <f t="shared" si="0"/>
        <v>－</v>
      </c>
      <c r="AD30" s="105">
        <f>19</f>
        <v>19</v>
      </c>
    </row>
    <row r="31" spans="1:30">
      <c r="A31" s="95" t="s">
        <v>46</v>
      </c>
      <c r="B31" s="96" t="s">
        <v>462</v>
      </c>
      <c r="C31" s="96" t="s">
        <v>463</v>
      </c>
      <c r="D31" s="96" t="s">
        <v>59</v>
      </c>
      <c r="E31" s="97" t="s">
        <v>257</v>
      </c>
      <c r="F31" s="97" t="s">
        <v>332</v>
      </c>
      <c r="G31" s="98">
        <v>50</v>
      </c>
      <c r="H31" s="99" t="s">
        <v>52</v>
      </c>
      <c r="I31" s="100" t="s">
        <v>481</v>
      </c>
      <c r="J31" s="99" t="s">
        <v>57</v>
      </c>
      <c r="K31" s="100" t="s">
        <v>482</v>
      </c>
      <c r="L31" s="99" t="s">
        <v>93</v>
      </c>
      <c r="M31" s="100" t="s">
        <v>483</v>
      </c>
      <c r="N31" s="99" t="s">
        <v>224</v>
      </c>
      <c r="O31" s="100" t="s">
        <v>484</v>
      </c>
      <c r="P31" s="99" t="s">
        <v>96</v>
      </c>
      <c r="Q31" s="100" t="s">
        <v>485</v>
      </c>
      <c r="R31" s="99" t="s">
        <v>57</v>
      </c>
      <c r="S31" s="100" t="s">
        <v>482</v>
      </c>
      <c r="T31" s="101">
        <f>81154.21</f>
        <v>81154.210000000006</v>
      </c>
      <c r="U31" s="102">
        <f>7410</f>
        <v>7410</v>
      </c>
      <c r="V31" s="102">
        <v>724</v>
      </c>
      <c r="W31" s="102">
        <v>1225</v>
      </c>
      <c r="X31" s="102">
        <f>29972556000</f>
        <v>29972556000</v>
      </c>
      <c r="Y31" s="102">
        <v>2956169500</v>
      </c>
      <c r="Z31" s="103">
        <v>4935566000</v>
      </c>
      <c r="AA31" s="99"/>
      <c r="AB31" s="104">
        <f>8487</f>
        <v>8487</v>
      </c>
      <c r="AC31" s="104" t="str">
        <f t="shared" si="0"/>
        <v>－</v>
      </c>
      <c r="AD31" s="105">
        <f>19</f>
        <v>19</v>
      </c>
    </row>
    <row r="32" spans="1:30">
      <c r="A32" s="95" t="s">
        <v>46</v>
      </c>
      <c r="B32" s="96" t="s">
        <v>462</v>
      </c>
      <c r="C32" s="96" t="s">
        <v>463</v>
      </c>
      <c r="D32" s="96" t="s">
        <v>245</v>
      </c>
      <c r="E32" s="97" t="s">
        <v>257</v>
      </c>
      <c r="F32" s="97" t="s">
        <v>336</v>
      </c>
      <c r="G32" s="98">
        <v>50</v>
      </c>
      <c r="H32" s="99" t="s">
        <v>52</v>
      </c>
      <c r="I32" s="100" t="s">
        <v>445</v>
      </c>
      <c r="J32" s="99" t="s">
        <v>57</v>
      </c>
      <c r="K32" s="100" t="s">
        <v>486</v>
      </c>
      <c r="L32" s="99" t="s">
        <v>93</v>
      </c>
      <c r="M32" s="100" t="s">
        <v>487</v>
      </c>
      <c r="N32" s="99" t="s">
        <v>224</v>
      </c>
      <c r="O32" s="100" t="s">
        <v>488</v>
      </c>
      <c r="P32" s="99" t="s">
        <v>354</v>
      </c>
      <c r="Q32" s="100" t="s">
        <v>489</v>
      </c>
      <c r="R32" s="99" t="s">
        <v>57</v>
      </c>
      <c r="S32" s="100" t="s">
        <v>490</v>
      </c>
      <c r="T32" s="101">
        <f>79433.68</f>
        <v>79433.679999999993</v>
      </c>
      <c r="U32" s="102">
        <f>91614</f>
        <v>91614</v>
      </c>
      <c r="V32" s="102">
        <v>1677</v>
      </c>
      <c r="W32" s="102">
        <v>16169</v>
      </c>
      <c r="X32" s="102">
        <f>360311803500</f>
        <v>360311803500</v>
      </c>
      <c r="Y32" s="102">
        <v>6724653000</v>
      </c>
      <c r="Z32" s="103">
        <v>63360490000</v>
      </c>
      <c r="AA32" s="99"/>
      <c r="AB32" s="104">
        <f>8335</f>
        <v>8335</v>
      </c>
      <c r="AC32" s="104" t="str">
        <f t="shared" si="0"/>
        <v>－</v>
      </c>
      <c r="AD32" s="105">
        <f>19</f>
        <v>19</v>
      </c>
    </row>
    <row r="33" spans="1:30">
      <c r="A33" s="95" t="s">
        <v>46</v>
      </c>
      <c r="B33" s="96" t="s">
        <v>462</v>
      </c>
      <c r="C33" s="96" t="s">
        <v>463</v>
      </c>
      <c r="D33" s="96" t="s">
        <v>66</v>
      </c>
      <c r="E33" s="97" t="s">
        <v>257</v>
      </c>
      <c r="F33" s="97" t="s">
        <v>338</v>
      </c>
      <c r="G33" s="98">
        <v>50</v>
      </c>
      <c r="H33" s="99" t="s">
        <v>52</v>
      </c>
      <c r="I33" s="100" t="s">
        <v>491</v>
      </c>
      <c r="J33" s="99" t="s">
        <v>57</v>
      </c>
      <c r="K33" s="100" t="s">
        <v>492</v>
      </c>
      <c r="L33" s="99" t="s">
        <v>57</v>
      </c>
      <c r="M33" s="100" t="s">
        <v>493</v>
      </c>
      <c r="N33" s="99" t="s">
        <v>224</v>
      </c>
      <c r="O33" s="100" t="s">
        <v>494</v>
      </c>
      <c r="P33" s="99" t="s">
        <v>112</v>
      </c>
      <c r="Q33" s="100" t="s">
        <v>495</v>
      </c>
      <c r="R33" s="99" t="s">
        <v>57</v>
      </c>
      <c r="S33" s="100" t="s">
        <v>496</v>
      </c>
      <c r="T33" s="101">
        <f>77916.84</f>
        <v>77916.84</v>
      </c>
      <c r="U33" s="102">
        <f>99117</f>
        <v>99117</v>
      </c>
      <c r="V33" s="102">
        <v>1314</v>
      </c>
      <c r="W33" s="102">
        <v>15260</v>
      </c>
      <c r="X33" s="102">
        <f>384927441500</f>
        <v>384927441500</v>
      </c>
      <c r="Y33" s="102">
        <v>5120451500</v>
      </c>
      <c r="Z33" s="103">
        <v>58725890500</v>
      </c>
      <c r="AA33" s="99"/>
      <c r="AB33" s="104">
        <f>40849</f>
        <v>40849</v>
      </c>
      <c r="AC33" s="104" t="str">
        <f t="shared" si="0"/>
        <v>－</v>
      </c>
      <c r="AD33" s="105">
        <f>19</f>
        <v>19</v>
      </c>
    </row>
    <row r="34" spans="1:30">
      <c r="A34" s="95" t="s">
        <v>46</v>
      </c>
      <c r="B34" s="96" t="s">
        <v>462</v>
      </c>
      <c r="C34" s="96" t="s">
        <v>463</v>
      </c>
      <c r="D34" s="96" t="s">
        <v>252</v>
      </c>
      <c r="E34" s="97" t="s">
        <v>257</v>
      </c>
      <c r="F34" s="97" t="s">
        <v>340</v>
      </c>
      <c r="G34" s="98">
        <v>50</v>
      </c>
      <c r="H34" s="99" t="s">
        <v>93</v>
      </c>
      <c r="I34" s="100" t="s">
        <v>497</v>
      </c>
      <c r="J34" s="99" t="s">
        <v>57</v>
      </c>
      <c r="K34" s="100" t="s">
        <v>498</v>
      </c>
      <c r="L34" s="99"/>
      <c r="M34" s="100"/>
      <c r="N34" s="99" t="s">
        <v>224</v>
      </c>
      <c r="O34" s="100" t="s">
        <v>499</v>
      </c>
      <c r="P34" s="99"/>
      <c r="Q34" s="100"/>
      <c r="R34" s="99" t="s">
        <v>57</v>
      </c>
      <c r="S34" s="100" t="s">
        <v>500</v>
      </c>
      <c r="T34" s="101">
        <f>76484.74</f>
        <v>76484.740000000005</v>
      </c>
      <c r="U34" s="102">
        <f>166</f>
        <v>166</v>
      </c>
      <c r="V34" s="102"/>
      <c r="W34" s="102">
        <v>28</v>
      </c>
      <c r="X34" s="102">
        <f>665466500</f>
        <v>665466500</v>
      </c>
      <c r="Y34" s="102"/>
      <c r="Z34" s="103">
        <v>113147500</v>
      </c>
      <c r="AA34" s="99"/>
      <c r="AB34" s="104">
        <f>180</f>
        <v>180</v>
      </c>
      <c r="AC34" s="104" t="str">
        <f t="shared" si="0"/>
        <v>－</v>
      </c>
      <c r="AD34" s="105">
        <f>5</f>
        <v>5</v>
      </c>
    </row>
    <row r="35" spans="1:30">
      <c r="A35" s="95" t="s">
        <v>46</v>
      </c>
      <c r="B35" s="96" t="s">
        <v>462</v>
      </c>
      <c r="C35" s="96" t="s">
        <v>463</v>
      </c>
      <c r="D35" s="96" t="s">
        <v>73</v>
      </c>
      <c r="E35" s="97" t="s">
        <v>335</v>
      </c>
      <c r="F35" s="97" t="s">
        <v>342</v>
      </c>
      <c r="G35" s="98">
        <v>50</v>
      </c>
      <c r="H35" s="99" t="s">
        <v>93</v>
      </c>
      <c r="I35" s="100" t="s">
        <v>501</v>
      </c>
      <c r="J35" s="99" t="s">
        <v>93</v>
      </c>
      <c r="K35" s="100" t="s">
        <v>502</v>
      </c>
      <c r="L35" s="99"/>
      <c r="M35" s="100"/>
      <c r="N35" s="99" t="s">
        <v>224</v>
      </c>
      <c r="O35" s="100" t="s">
        <v>503</v>
      </c>
      <c r="P35" s="99"/>
      <c r="Q35" s="100"/>
      <c r="R35" s="99" t="s">
        <v>308</v>
      </c>
      <c r="S35" s="100" t="s">
        <v>449</v>
      </c>
      <c r="T35" s="101">
        <f>74975.79</f>
        <v>74975.789999999994</v>
      </c>
      <c r="U35" s="102">
        <f>7</f>
        <v>7</v>
      </c>
      <c r="V35" s="102"/>
      <c r="W35" s="102">
        <v>1</v>
      </c>
      <c r="X35" s="102">
        <f>26110500</f>
        <v>26110500</v>
      </c>
      <c r="Y35" s="102"/>
      <c r="Z35" s="103">
        <v>3741500</v>
      </c>
      <c r="AA35" s="99"/>
      <c r="AB35" s="104">
        <f>88</f>
        <v>88</v>
      </c>
      <c r="AC35" s="104" t="str">
        <f t="shared" si="0"/>
        <v>－</v>
      </c>
      <c r="AD35" s="105">
        <f>5</f>
        <v>5</v>
      </c>
    </row>
    <row r="36" spans="1:30">
      <c r="A36" s="95" t="s">
        <v>46</v>
      </c>
      <c r="B36" s="96" t="s">
        <v>462</v>
      </c>
      <c r="C36" s="96" t="s">
        <v>463</v>
      </c>
      <c r="D36" s="96" t="s">
        <v>300</v>
      </c>
      <c r="E36" s="97" t="s">
        <v>337</v>
      </c>
      <c r="F36" s="97" t="s">
        <v>344</v>
      </c>
      <c r="G36" s="98">
        <v>50</v>
      </c>
      <c r="H36" s="99" t="s">
        <v>112</v>
      </c>
      <c r="I36" s="100" t="s">
        <v>504</v>
      </c>
      <c r="J36" s="99" t="s">
        <v>112</v>
      </c>
      <c r="K36" s="100" t="s">
        <v>504</v>
      </c>
      <c r="L36" s="99"/>
      <c r="M36" s="100"/>
      <c r="N36" s="99" t="s">
        <v>112</v>
      </c>
      <c r="O36" s="100" t="s">
        <v>504</v>
      </c>
      <c r="P36" s="99"/>
      <c r="Q36" s="100"/>
      <c r="R36" s="99" t="s">
        <v>112</v>
      </c>
      <c r="S36" s="100" t="s">
        <v>504</v>
      </c>
      <c r="T36" s="101">
        <f>73906.32</f>
        <v>73906.320000000007</v>
      </c>
      <c r="U36" s="102">
        <f>4</f>
        <v>4</v>
      </c>
      <c r="V36" s="102"/>
      <c r="W36" s="102">
        <v>2</v>
      </c>
      <c r="X36" s="102">
        <f>14624000</f>
        <v>14624000</v>
      </c>
      <c r="Y36" s="102"/>
      <c r="Z36" s="103">
        <v>7437000</v>
      </c>
      <c r="AA36" s="99"/>
      <c r="AB36" s="104">
        <f>56</f>
        <v>56</v>
      </c>
      <c r="AC36" s="104" t="str">
        <f t="shared" si="0"/>
        <v>－</v>
      </c>
      <c r="AD36" s="105">
        <f>3</f>
        <v>3</v>
      </c>
    </row>
    <row r="37" spans="1:30">
      <c r="A37" s="95" t="s">
        <v>46</v>
      </c>
      <c r="B37" s="96" t="s">
        <v>462</v>
      </c>
      <c r="C37" s="96" t="s">
        <v>463</v>
      </c>
      <c r="D37" s="96" t="s">
        <v>78</v>
      </c>
      <c r="E37" s="97" t="s">
        <v>339</v>
      </c>
      <c r="F37" s="97" t="s">
        <v>346</v>
      </c>
      <c r="G37" s="98">
        <v>50</v>
      </c>
      <c r="H37" s="99"/>
      <c r="I37" s="100" t="s">
        <v>131</v>
      </c>
      <c r="J37" s="99"/>
      <c r="K37" s="100" t="s">
        <v>131</v>
      </c>
      <c r="L37" s="99"/>
      <c r="M37" s="100"/>
      <c r="N37" s="99"/>
      <c r="O37" s="100" t="s">
        <v>131</v>
      </c>
      <c r="P37" s="99"/>
      <c r="Q37" s="100"/>
      <c r="R37" s="99"/>
      <c r="S37" s="100" t="s">
        <v>131</v>
      </c>
      <c r="T37" s="101">
        <f>72942.11</f>
        <v>72942.11</v>
      </c>
      <c r="U37" s="102">
        <f>2</f>
        <v>2</v>
      </c>
      <c r="V37" s="102"/>
      <c r="W37" s="102">
        <v>2</v>
      </c>
      <c r="X37" s="102">
        <f>7242000</f>
        <v>7242000</v>
      </c>
      <c r="Y37" s="102"/>
      <c r="Z37" s="103">
        <v>7242000</v>
      </c>
      <c r="AA37" s="99"/>
      <c r="AB37" s="104">
        <f>67</f>
        <v>67</v>
      </c>
      <c r="AC37" s="104" t="str">
        <f t="shared" si="0"/>
        <v>－</v>
      </c>
      <c r="AD37" s="105">
        <f>2</f>
        <v>2</v>
      </c>
    </row>
    <row r="38" spans="1:30">
      <c r="A38" s="95" t="s">
        <v>46</v>
      </c>
      <c r="B38" s="96" t="s">
        <v>462</v>
      </c>
      <c r="C38" s="96" t="s">
        <v>463</v>
      </c>
      <c r="D38" s="96" t="s">
        <v>310</v>
      </c>
      <c r="E38" s="97" t="s">
        <v>341</v>
      </c>
      <c r="F38" s="97" t="s">
        <v>348</v>
      </c>
      <c r="G38" s="98">
        <v>50</v>
      </c>
      <c r="H38" s="99" t="s">
        <v>52</v>
      </c>
      <c r="I38" s="100" t="s">
        <v>505</v>
      </c>
      <c r="J38" s="99" t="s">
        <v>57</v>
      </c>
      <c r="K38" s="100" t="s">
        <v>506</v>
      </c>
      <c r="L38" s="99"/>
      <c r="M38" s="100"/>
      <c r="N38" s="99" t="s">
        <v>354</v>
      </c>
      <c r="O38" s="100" t="s">
        <v>507</v>
      </c>
      <c r="P38" s="99"/>
      <c r="Q38" s="100"/>
      <c r="R38" s="99" t="s">
        <v>57</v>
      </c>
      <c r="S38" s="100" t="s">
        <v>506</v>
      </c>
      <c r="T38" s="101">
        <f>72048.42</f>
        <v>72048.42</v>
      </c>
      <c r="U38" s="102">
        <f>7</f>
        <v>7</v>
      </c>
      <c r="V38" s="102"/>
      <c r="W38" s="102">
        <v>1</v>
      </c>
      <c r="X38" s="102">
        <f>24837000</f>
        <v>24837000</v>
      </c>
      <c r="Y38" s="102"/>
      <c r="Z38" s="103">
        <v>3496000</v>
      </c>
      <c r="AA38" s="99"/>
      <c r="AB38" s="104">
        <f>81</f>
        <v>81</v>
      </c>
      <c r="AC38" s="104" t="str">
        <f t="shared" si="0"/>
        <v>－</v>
      </c>
      <c r="AD38" s="105">
        <f>4</f>
        <v>4</v>
      </c>
    </row>
    <row r="39" spans="1:30">
      <c r="A39" s="95" t="s">
        <v>46</v>
      </c>
      <c r="B39" s="96" t="s">
        <v>462</v>
      </c>
      <c r="C39" s="96" t="s">
        <v>463</v>
      </c>
      <c r="D39" s="96" t="s">
        <v>88</v>
      </c>
      <c r="E39" s="97" t="s">
        <v>343</v>
      </c>
      <c r="F39" s="97" t="s">
        <v>349</v>
      </c>
      <c r="G39" s="98">
        <v>50</v>
      </c>
      <c r="H39" s="99" t="s">
        <v>57</v>
      </c>
      <c r="I39" s="100" t="s">
        <v>508</v>
      </c>
      <c r="J39" s="99" t="s">
        <v>57</v>
      </c>
      <c r="K39" s="100" t="s">
        <v>508</v>
      </c>
      <c r="L39" s="99"/>
      <c r="M39" s="100"/>
      <c r="N39" s="99" t="s">
        <v>57</v>
      </c>
      <c r="O39" s="100" t="s">
        <v>508</v>
      </c>
      <c r="P39" s="99"/>
      <c r="Q39" s="100"/>
      <c r="R39" s="99" t="s">
        <v>57</v>
      </c>
      <c r="S39" s="100" t="s">
        <v>508</v>
      </c>
      <c r="T39" s="101">
        <f>71160.53</f>
        <v>71160.53</v>
      </c>
      <c r="U39" s="102">
        <f>1</f>
        <v>1</v>
      </c>
      <c r="V39" s="102"/>
      <c r="W39" s="102"/>
      <c r="X39" s="102">
        <f>3700500</f>
        <v>3700500</v>
      </c>
      <c r="Y39" s="102"/>
      <c r="Z39" s="103"/>
      <c r="AA39" s="99"/>
      <c r="AB39" s="104">
        <f>47</f>
        <v>47</v>
      </c>
      <c r="AC39" s="104" t="str">
        <f t="shared" ref="AC39:AD70" si="4">"－"</f>
        <v>－</v>
      </c>
      <c r="AD39" s="105">
        <f>1</f>
        <v>1</v>
      </c>
    </row>
    <row r="40" spans="1:30">
      <c r="A40" s="95" t="s">
        <v>46</v>
      </c>
      <c r="B40" s="96" t="s">
        <v>462</v>
      </c>
      <c r="C40" s="96" t="s">
        <v>463</v>
      </c>
      <c r="D40" s="96" t="s">
        <v>319</v>
      </c>
      <c r="E40" s="97" t="s">
        <v>345</v>
      </c>
      <c r="F40" s="97" t="s">
        <v>509</v>
      </c>
      <c r="G40" s="98">
        <v>50</v>
      </c>
      <c r="H40" s="99" t="s">
        <v>93</v>
      </c>
      <c r="I40" s="100" t="s">
        <v>510</v>
      </c>
      <c r="J40" s="99" t="s">
        <v>57</v>
      </c>
      <c r="K40" s="100" t="s">
        <v>511</v>
      </c>
      <c r="L40" s="99"/>
      <c r="M40" s="100"/>
      <c r="N40" s="99" t="s">
        <v>224</v>
      </c>
      <c r="O40" s="100" t="s">
        <v>512</v>
      </c>
      <c r="P40" s="99"/>
      <c r="Q40" s="100"/>
      <c r="R40" s="99" t="s">
        <v>57</v>
      </c>
      <c r="S40" s="100" t="s">
        <v>511</v>
      </c>
      <c r="T40" s="101">
        <f>70380.53</f>
        <v>70380.53</v>
      </c>
      <c r="U40" s="102">
        <f>10</f>
        <v>10</v>
      </c>
      <c r="V40" s="102"/>
      <c r="W40" s="102"/>
      <c r="X40" s="102">
        <f>35501000</f>
        <v>35501000</v>
      </c>
      <c r="Y40" s="102"/>
      <c r="Z40" s="103"/>
      <c r="AA40" s="99"/>
      <c r="AB40" s="104">
        <f>114</f>
        <v>114</v>
      </c>
      <c r="AC40" s="104" t="str">
        <f t="shared" si="4"/>
        <v>－</v>
      </c>
      <c r="AD40" s="105">
        <f>5</f>
        <v>5</v>
      </c>
    </row>
    <row r="41" spans="1:30">
      <c r="A41" s="95" t="s">
        <v>46</v>
      </c>
      <c r="B41" s="96" t="s">
        <v>462</v>
      </c>
      <c r="C41" s="96" t="s">
        <v>463</v>
      </c>
      <c r="D41" s="96" t="s">
        <v>513</v>
      </c>
      <c r="E41" s="97" t="s">
        <v>347</v>
      </c>
      <c r="F41" s="97" t="s">
        <v>514</v>
      </c>
      <c r="G41" s="98">
        <v>50</v>
      </c>
      <c r="H41" s="99" t="s">
        <v>52</v>
      </c>
      <c r="I41" s="100" t="s">
        <v>515</v>
      </c>
      <c r="J41" s="99" t="s">
        <v>93</v>
      </c>
      <c r="K41" s="100" t="s">
        <v>516</v>
      </c>
      <c r="L41" s="99"/>
      <c r="M41" s="100"/>
      <c r="N41" s="99" t="s">
        <v>96</v>
      </c>
      <c r="O41" s="100" t="s">
        <v>517</v>
      </c>
      <c r="P41" s="99"/>
      <c r="Q41" s="100"/>
      <c r="R41" s="99" t="s">
        <v>147</v>
      </c>
      <c r="S41" s="100" t="s">
        <v>518</v>
      </c>
      <c r="T41" s="101">
        <f>69885.79</f>
        <v>69885.789999999994</v>
      </c>
      <c r="U41" s="102">
        <f>32</f>
        <v>32</v>
      </c>
      <c r="V41" s="102"/>
      <c r="W41" s="102"/>
      <c r="X41" s="102">
        <f>112796500</f>
        <v>112796500</v>
      </c>
      <c r="Y41" s="102"/>
      <c r="Z41" s="103"/>
      <c r="AA41" s="99"/>
      <c r="AB41" s="104">
        <f>24</f>
        <v>24</v>
      </c>
      <c r="AC41" s="104" t="str">
        <f t="shared" si="4"/>
        <v>－</v>
      </c>
      <c r="AD41" s="105">
        <f>7</f>
        <v>7</v>
      </c>
    </row>
    <row r="42" spans="1:30">
      <c r="A42" s="95" t="s">
        <v>46</v>
      </c>
      <c r="B42" s="96" t="s">
        <v>462</v>
      </c>
      <c r="C42" s="96" t="s">
        <v>463</v>
      </c>
      <c r="D42" s="96" t="s">
        <v>519</v>
      </c>
      <c r="E42" s="97" t="s">
        <v>231</v>
      </c>
      <c r="F42" s="97" t="s">
        <v>520</v>
      </c>
      <c r="G42" s="98">
        <v>50</v>
      </c>
      <c r="H42" s="99" t="s">
        <v>93</v>
      </c>
      <c r="I42" s="100" t="s">
        <v>521</v>
      </c>
      <c r="J42" s="99" t="s">
        <v>57</v>
      </c>
      <c r="K42" s="100" t="s">
        <v>522</v>
      </c>
      <c r="L42" s="99"/>
      <c r="M42" s="100"/>
      <c r="N42" s="99" t="s">
        <v>136</v>
      </c>
      <c r="O42" s="100" t="s">
        <v>523</v>
      </c>
      <c r="P42" s="99"/>
      <c r="Q42" s="100"/>
      <c r="R42" s="99" t="s">
        <v>57</v>
      </c>
      <c r="S42" s="100" t="s">
        <v>524</v>
      </c>
      <c r="T42" s="101">
        <f>69007.37</f>
        <v>69007.37</v>
      </c>
      <c r="U42" s="102">
        <f>47</f>
        <v>47</v>
      </c>
      <c r="V42" s="102"/>
      <c r="W42" s="102"/>
      <c r="X42" s="102">
        <f>160601500</f>
        <v>160601500</v>
      </c>
      <c r="Y42" s="102"/>
      <c r="Z42" s="103"/>
      <c r="AA42" s="99"/>
      <c r="AB42" s="104">
        <f>23</f>
        <v>23</v>
      </c>
      <c r="AC42" s="104" t="str">
        <f t="shared" si="4"/>
        <v>－</v>
      </c>
      <c r="AD42" s="105">
        <f>7</f>
        <v>7</v>
      </c>
    </row>
    <row r="43" spans="1:30">
      <c r="A43" s="95" t="s">
        <v>46</v>
      </c>
      <c r="B43" s="96" t="s">
        <v>525</v>
      </c>
      <c r="C43" s="96" t="s">
        <v>526</v>
      </c>
      <c r="D43" s="96" t="s">
        <v>46</v>
      </c>
      <c r="E43" s="97" t="s">
        <v>527</v>
      </c>
      <c r="F43" s="97" t="s">
        <v>528</v>
      </c>
      <c r="G43" s="98">
        <v>74400</v>
      </c>
      <c r="H43" s="99"/>
      <c r="I43" s="100" t="s">
        <v>131</v>
      </c>
      <c r="J43" s="99"/>
      <c r="K43" s="100" t="s">
        <v>131</v>
      </c>
      <c r="L43" s="99"/>
      <c r="M43" s="100"/>
      <c r="N43" s="99"/>
      <c r="O43" s="100" t="s">
        <v>131</v>
      </c>
      <c r="P43" s="99"/>
      <c r="Q43" s="100"/>
      <c r="R43" s="99"/>
      <c r="S43" s="100" t="s">
        <v>131</v>
      </c>
      <c r="T43" s="101">
        <f>21.06</f>
        <v>21.06</v>
      </c>
      <c r="U43" s="102" t="str">
        <f>"－"</f>
        <v>－</v>
      </c>
      <c r="V43" s="102"/>
      <c r="W43" s="102"/>
      <c r="X43" s="102" t="str">
        <f>"－"</f>
        <v>－</v>
      </c>
      <c r="Y43" s="102"/>
      <c r="Z43" s="103"/>
      <c r="AA43" s="99" t="s">
        <v>232</v>
      </c>
      <c r="AB43" s="104">
        <f>130</f>
        <v>130</v>
      </c>
      <c r="AC43" s="104" t="str">
        <f t="shared" si="4"/>
        <v>－</v>
      </c>
      <c r="AD43" s="105" t="str">
        <f>"－"</f>
        <v>－</v>
      </c>
    </row>
    <row r="44" spans="1:30">
      <c r="A44" s="95" t="s">
        <v>46</v>
      </c>
      <c r="B44" s="96" t="s">
        <v>525</v>
      </c>
      <c r="C44" s="96" t="s">
        <v>526</v>
      </c>
      <c r="D44" s="96" t="s">
        <v>49</v>
      </c>
      <c r="E44" s="97" t="s">
        <v>529</v>
      </c>
      <c r="F44" s="97" t="s">
        <v>530</v>
      </c>
      <c r="G44" s="98">
        <v>72000</v>
      </c>
      <c r="H44" s="99" t="s">
        <v>145</v>
      </c>
      <c r="I44" s="100" t="s">
        <v>531</v>
      </c>
      <c r="J44" s="99" t="s">
        <v>145</v>
      </c>
      <c r="K44" s="100" t="s">
        <v>531</v>
      </c>
      <c r="L44" s="99"/>
      <c r="M44" s="100"/>
      <c r="N44" s="99" t="s">
        <v>145</v>
      </c>
      <c r="O44" s="100" t="s">
        <v>531</v>
      </c>
      <c r="P44" s="99"/>
      <c r="Q44" s="100"/>
      <c r="R44" s="99" t="s">
        <v>145</v>
      </c>
      <c r="S44" s="100" t="s">
        <v>531</v>
      </c>
      <c r="T44" s="101">
        <f>24.11</f>
        <v>24.11</v>
      </c>
      <c r="U44" s="102">
        <f>10</f>
        <v>10</v>
      </c>
      <c r="V44" s="102"/>
      <c r="W44" s="102"/>
      <c r="X44" s="102">
        <f>17640000</f>
        <v>17640000</v>
      </c>
      <c r="Y44" s="102"/>
      <c r="Z44" s="103"/>
      <c r="AA44" s="99"/>
      <c r="AB44" s="104">
        <f>155</f>
        <v>155</v>
      </c>
      <c r="AC44" s="104" t="str">
        <f t="shared" si="4"/>
        <v>－</v>
      </c>
      <c r="AD44" s="105">
        <f>1</f>
        <v>1</v>
      </c>
    </row>
    <row r="45" spans="1:30">
      <c r="A45" s="95" t="s">
        <v>46</v>
      </c>
      <c r="B45" s="96" t="s">
        <v>525</v>
      </c>
      <c r="C45" s="96" t="s">
        <v>526</v>
      </c>
      <c r="D45" s="96" t="s">
        <v>237</v>
      </c>
      <c r="E45" s="97" t="s">
        <v>532</v>
      </c>
      <c r="F45" s="97" t="s">
        <v>328</v>
      </c>
      <c r="G45" s="98">
        <v>74400</v>
      </c>
      <c r="H45" s="99" t="s">
        <v>224</v>
      </c>
      <c r="I45" s="100" t="s">
        <v>533</v>
      </c>
      <c r="J45" s="99" t="s">
        <v>96</v>
      </c>
      <c r="K45" s="100" t="s">
        <v>534</v>
      </c>
      <c r="L45" s="99" t="s">
        <v>96</v>
      </c>
      <c r="M45" s="100" t="s">
        <v>535</v>
      </c>
      <c r="N45" s="99" t="s">
        <v>224</v>
      </c>
      <c r="O45" s="100" t="s">
        <v>533</v>
      </c>
      <c r="P45" s="99" t="s">
        <v>287</v>
      </c>
      <c r="Q45" s="100" t="s">
        <v>536</v>
      </c>
      <c r="R45" s="99" t="s">
        <v>308</v>
      </c>
      <c r="S45" s="100" t="s">
        <v>537</v>
      </c>
      <c r="T45" s="101">
        <f>31.97</f>
        <v>31.97</v>
      </c>
      <c r="U45" s="102">
        <f>236</f>
        <v>236</v>
      </c>
      <c r="V45" s="102">
        <v>220</v>
      </c>
      <c r="W45" s="102"/>
      <c r="X45" s="102">
        <f>567931656</f>
        <v>567931656</v>
      </c>
      <c r="Y45" s="102">
        <v>529058400</v>
      </c>
      <c r="Z45" s="103"/>
      <c r="AA45" s="99"/>
      <c r="AB45" s="104">
        <f>290</f>
        <v>290</v>
      </c>
      <c r="AC45" s="104" t="str">
        <f t="shared" si="4"/>
        <v>－</v>
      </c>
      <c r="AD45" s="105">
        <f>4</f>
        <v>4</v>
      </c>
    </row>
    <row r="46" spans="1:30">
      <c r="A46" s="95" t="s">
        <v>46</v>
      </c>
      <c r="B46" s="96" t="s">
        <v>525</v>
      </c>
      <c r="C46" s="96" t="s">
        <v>526</v>
      </c>
      <c r="D46" s="96" t="s">
        <v>59</v>
      </c>
      <c r="E46" s="97" t="s">
        <v>538</v>
      </c>
      <c r="F46" s="97" t="s">
        <v>539</v>
      </c>
      <c r="G46" s="98">
        <v>74400</v>
      </c>
      <c r="H46" s="99" t="s">
        <v>224</v>
      </c>
      <c r="I46" s="100" t="s">
        <v>540</v>
      </c>
      <c r="J46" s="99" t="s">
        <v>136</v>
      </c>
      <c r="K46" s="100" t="s">
        <v>541</v>
      </c>
      <c r="L46" s="99" t="s">
        <v>96</v>
      </c>
      <c r="M46" s="100" t="s">
        <v>535</v>
      </c>
      <c r="N46" s="99" t="s">
        <v>224</v>
      </c>
      <c r="O46" s="100" t="s">
        <v>540</v>
      </c>
      <c r="P46" s="99" t="s">
        <v>96</v>
      </c>
      <c r="Q46" s="100" t="s">
        <v>542</v>
      </c>
      <c r="R46" s="99" t="s">
        <v>308</v>
      </c>
      <c r="S46" s="100" t="s">
        <v>541</v>
      </c>
      <c r="T46" s="101">
        <f>36.06</f>
        <v>36.06</v>
      </c>
      <c r="U46" s="102">
        <f>315</f>
        <v>315</v>
      </c>
      <c r="V46" s="102">
        <v>310</v>
      </c>
      <c r="W46" s="102"/>
      <c r="X46" s="102">
        <f>735295200</f>
        <v>735295200</v>
      </c>
      <c r="Y46" s="102">
        <v>721754400</v>
      </c>
      <c r="Z46" s="103"/>
      <c r="AA46" s="99"/>
      <c r="AB46" s="104">
        <f>440</f>
        <v>440</v>
      </c>
      <c r="AC46" s="104" t="str">
        <f t="shared" si="4"/>
        <v>－</v>
      </c>
      <c r="AD46" s="105">
        <f>5</f>
        <v>5</v>
      </c>
    </row>
    <row r="47" spans="1:30">
      <c r="A47" s="95" t="s">
        <v>46</v>
      </c>
      <c r="B47" s="96" t="s">
        <v>525</v>
      </c>
      <c r="C47" s="96" t="s">
        <v>526</v>
      </c>
      <c r="D47" s="96" t="s">
        <v>245</v>
      </c>
      <c r="E47" s="97" t="s">
        <v>543</v>
      </c>
      <c r="F47" s="97" t="s">
        <v>544</v>
      </c>
      <c r="G47" s="98">
        <v>72000</v>
      </c>
      <c r="H47" s="99" t="s">
        <v>224</v>
      </c>
      <c r="I47" s="100" t="s">
        <v>545</v>
      </c>
      <c r="J47" s="99" t="s">
        <v>96</v>
      </c>
      <c r="K47" s="100" t="s">
        <v>546</v>
      </c>
      <c r="L47" s="99" t="s">
        <v>96</v>
      </c>
      <c r="M47" s="100" t="s">
        <v>535</v>
      </c>
      <c r="N47" s="99" t="s">
        <v>224</v>
      </c>
      <c r="O47" s="100" t="s">
        <v>545</v>
      </c>
      <c r="P47" s="99" t="s">
        <v>287</v>
      </c>
      <c r="Q47" s="100" t="s">
        <v>536</v>
      </c>
      <c r="R47" s="99" t="s">
        <v>96</v>
      </c>
      <c r="S47" s="100" t="s">
        <v>546</v>
      </c>
      <c r="T47" s="101">
        <f>27.9</f>
        <v>27.9</v>
      </c>
      <c r="U47" s="102">
        <f>113</f>
        <v>113</v>
      </c>
      <c r="V47" s="102">
        <v>110</v>
      </c>
      <c r="W47" s="102"/>
      <c r="X47" s="102">
        <f>264168000</f>
        <v>264168000</v>
      </c>
      <c r="Y47" s="102">
        <v>258120000</v>
      </c>
      <c r="Z47" s="103"/>
      <c r="AA47" s="99"/>
      <c r="AB47" s="104">
        <f>240</f>
        <v>240</v>
      </c>
      <c r="AC47" s="104" t="str">
        <f t="shared" si="4"/>
        <v>－</v>
      </c>
      <c r="AD47" s="105">
        <f>3</f>
        <v>3</v>
      </c>
    </row>
    <row r="48" spans="1:30">
      <c r="A48" s="95" t="s">
        <v>46</v>
      </c>
      <c r="B48" s="96" t="s">
        <v>525</v>
      </c>
      <c r="C48" s="96" t="s">
        <v>526</v>
      </c>
      <c r="D48" s="96" t="s">
        <v>66</v>
      </c>
      <c r="E48" s="97" t="s">
        <v>547</v>
      </c>
      <c r="F48" s="97" t="s">
        <v>548</v>
      </c>
      <c r="G48" s="98">
        <v>74400</v>
      </c>
      <c r="H48" s="99" t="s">
        <v>96</v>
      </c>
      <c r="I48" s="100" t="s">
        <v>549</v>
      </c>
      <c r="J48" s="99" t="s">
        <v>57</v>
      </c>
      <c r="K48" s="100" t="s">
        <v>545</v>
      </c>
      <c r="L48" s="99"/>
      <c r="M48" s="100"/>
      <c r="N48" s="99" t="s">
        <v>96</v>
      </c>
      <c r="O48" s="100" t="s">
        <v>549</v>
      </c>
      <c r="P48" s="99"/>
      <c r="Q48" s="100"/>
      <c r="R48" s="99" t="s">
        <v>57</v>
      </c>
      <c r="S48" s="100" t="s">
        <v>545</v>
      </c>
      <c r="T48" s="101">
        <f>25.06</f>
        <v>25.06</v>
      </c>
      <c r="U48" s="102">
        <f>55</f>
        <v>55</v>
      </c>
      <c r="V48" s="102"/>
      <c r="W48" s="102"/>
      <c r="X48" s="102">
        <f>103230000</f>
        <v>103230000</v>
      </c>
      <c r="Y48" s="102"/>
      <c r="Z48" s="103"/>
      <c r="AA48" s="99"/>
      <c r="AB48" s="104">
        <f>225</f>
        <v>225</v>
      </c>
      <c r="AC48" s="104" t="str">
        <f t="shared" si="4"/>
        <v>－</v>
      </c>
      <c r="AD48" s="105">
        <f>2</f>
        <v>2</v>
      </c>
    </row>
    <row r="49" spans="1:30">
      <c r="A49" s="95" t="s">
        <v>46</v>
      </c>
      <c r="B49" s="96" t="s">
        <v>525</v>
      </c>
      <c r="C49" s="96" t="s">
        <v>526</v>
      </c>
      <c r="D49" s="96" t="s">
        <v>252</v>
      </c>
      <c r="E49" s="97" t="s">
        <v>550</v>
      </c>
      <c r="F49" s="97" t="s">
        <v>551</v>
      </c>
      <c r="G49" s="98">
        <v>72000</v>
      </c>
      <c r="H49" s="99" t="s">
        <v>166</v>
      </c>
      <c r="I49" s="100" t="s">
        <v>552</v>
      </c>
      <c r="J49" s="99" t="s">
        <v>166</v>
      </c>
      <c r="K49" s="100" t="s">
        <v>552</v>
      </c>
      <c r="L49" s="99"/>
      <c r="M49" s="100"/>
      <c r="N49" s="99" t="s">
        <v>166</v>
      </c>
      <c r="O49" s="100" t="s">
        <v>552</v>
      </c>
      <c r="P49" s="99"/>
      <c r="Q49" s="100"/>
      <c r="R49" s="99" t="s">
        <v>166</v>
      </c>
      <c r="S49" s="100" t="s">
        <v>552</v>
      </c>
      <c r="T49" s="101">
        <f>26.24</f>
        <v>26.24</v>
      </c>
      <c r="U49" s="102">
        <f>10</f>
        <v>10</v>
      </c>
      <c r="V49" s="102"/>
      <c r="W49" s="102"/>
      <c r="X49" s="102">
        <f>18720000</f>
        <v>18720000</v>
      </c>
      <c r="Y49" s="102"/>
      <c r="Z49" s="103"/>
      <c r="AA49" s="99"/>
      <c r="AB49" s="104">
        <f>150</f>
        <v>150</v>
      </c>
      <c r="AC49" s="104" t="str">
        <f t="shared" si="4"/>
        <v>－</v>
      </c>
      <c r="AD49" s="105">
        <f>1</f>
        <v>1</v>
      </c>
    </row>
    <row r="50" spans="1:30">
      <c r="A50" s="95" t="s">
        <v>46</v>
      </c>
      <c r="B50" s="96" t="s">
        <v>525</v>
      </c>
      <c r="C50" s="96" t="s">
        <v>526</v>
      </c>
      <c r="D50" s="96" t="s">
        <v>73</v>
      </c>
      <c r="E50" s="97" t="s">
        <v>553</v>
      </c>
      <c r="F50" s="97" t="s">
        <v>342</v>
      </c>
      <c r="G50" s="98">
        <v>74400</v>
      </c>
      <c r="H50" s="99"/>
      <c r="I50" s="100" t="s">
        <v>131</v>
      </c>
      <c r="J50" s="99"/>
      <c r="K50" s="100" t="s">
        <v>131</v>
      </c>
      <c r="L50" s="99" t="s">
        <v>96</v>
      </c>
      <c r="M50" s="100" t="s">
        <v>554</v>
      </c>
      <c r="N50" s="99"/>
      <c r="O50" s="100" t="s">
        <v>131</v>
      </c>
      <c r="P50" s="99" t="s">
        <v>96</v>
      </c>
      <c r="Q50" s="100" t="s">
        <v>555</v>
      </c>
      <c r="R50" s="99"/>
      <c r="S50" s="100" t="s">
        <v>131</v>
      </c>
      <c r="T50" s="101">
        <f>32</f>
        <v>32</v>
      </c>
      <c r="U50" s="102">
        <f>430</f>
        <v>430</v>
      </c>
      <c r="V50" s="102">
        <v>430</v>
      </c>
      <c r="W50" s="102"/>
      <c r="X50" s="102">
        <f>1067788800</f>
        <v>1067788800</v>
      </c>
      <c r="Y50" s="102">
        <v>1067788800</v>
      </c>
      <c r="Z50" s="103"/>
      <c r="AA50" s="99"/>
      <c r="AB50" s="104">
        <f>541</f>
        <v>541</v>
      </c>
      <c r="AC50" s="104" t="str">
        <f t="shared" si="4"/>
        <v>－</v>
      </c>
      <c r="AD50" s="105" t="str">
        <f>"－"</f>
        <v>－</v>
      </c>
    </row>
    <row r="51" spans="1:30">
      <c r="A51" s="95" t="s">
        <v>46</v>
      </c>
      <c r="B51" s="96" t="s">
        <v>525</v>
      </c>
      <c r="C51" s="96" t="s">
        <v>526</v>
      </c>
      <c r="D51" s="96" t="s">
        <v>300</v>
      </c>
      <c r="E51" s="97" t="s">
        <v>337</v>
      </c>
      <c r="F51" s="97" t="s">
        <v>556</v>
      </c>
      <c r="G51" s="98">
        <v>74400</v>
      </c>
      <c r="H51" s="99" t="s">
        <v>354</v>
      </c>
      <c r="I51" s="100" t="s">
        <v>534</v>
      </c>
      <c r="J51" s="99" t="s">
        <v>96</v>
      </c>
      <c r="K51" s="100" t="s">
        <v>541</v>
      </c>
      <c r="L51" s="99" t="s">
        <v>96</v>
      </c>
      <c r="M51" s="100" t="s">
        <v>554</v>
      </c>
      <c r="N51" s="99" t="s">
        <v>354</v>
      </c>
      <c r="O51" s="100" t="s">
        <v>534</v>
      </c>
      <c r="P51" s="99" t="s">
        <v>96</v>
      </c>
      <c r="Q51" s="100" t="s">
        <v>555</v>
      </c>
      <c r="R51" s="99" t="s">
        <v>96</v>
      </c>
      <c r="S51" s="100" t="s">
        <v>541</v>
      </c>
      <c r="T51" s="101">
        <f>36.27</f>
        <v>36.270000000000003</v>
      </c>
      <c r="U51" s="102">
        <f>716</f>
        <v>716</v>
      </c>
      <c r="V51" s="102">
        <v>713</v>
      </c>
      <c r="W51" s="102"/>
      <c r="X51" s="102">
        <f>1783561440</f>
        <v>1783561440</v>
      </c>
      <c r="Y51" s="102">
        <v>1775563440</v>
      </c>
      <c r="Z51" s="103"/>
      <c r="AA51" s="99"/>
      <c r="AB51" s="104">
        <f>573</f>
        <v>573</v>
      </c>
      <c r="AC51" s="104" t="str">
        <f t="shared" si="4"/>
        <v>－</v>
      </c>
      <c r="AD51" s="105">
        <f>3</f>
        <v>3</v>
      </c>
    </row>
    <row r="52" spans="1:30">
      <c r="A52" s="95" t="s">
        <v>46</v>
      </c>
      <c r="B52" s="96" t="s">
        <v>525</v>
      </c>
      <c r="C52" s="96" t="s">
        <v>526</v>
      </c>
      <c r="D52" s="96" t="s">
        <v>78</v>
      </c>
      <c r="E52" s="97" t="s">
        <v>557</v>
      </c>
      <c r="F52" s="97" t="s">
        <v>558</v>
      </c>
      <c r="G52" s="98">
        <v>67200</v>
      </c>
      <c r="H52" s="99" t="s">
        <v>354</v>
      </c>
      <c r="I52" s="100" t="s">
        <v>534</v>
      </c>
      <c r="J52" s="99" t="s">
        <v>96</v>
      </c>
      <c r="K52" s="100" t="s">
        <v>541</v>
      </c>
      <c r="L52" s="99" t="s">
        <v>96</v>
      </c>
      <c r="M52" s="100" t="s">
        <v>554</v>
      </c>
      <c r="N52" s="99" t="s">
        <v>354</v>
      </c>
      <c r="O52" s="100" t="s">
        <v>534</v>
      </c>
      <c r="P52" s="99" t="s">
        <v>96</v>
      </c>
      <c r="Q52" s="100" t="s">
        <v>559</v>
      </c>
      <c r="R52" s="99" t="s">
        <v>96</v>
      </c>
      <c r="S52" s="100" t="s">
        <v>541</v>
      </c>
      <c r="T52" s="101">
        <f>35.21</f>
        <v>35.21</v>
      </c>
      <c r="U52" s="102">
        <f>718</f>
        <v>718</v>
      </c>
      <c r="V52" s="102">
        <v>714</v>
      </c>
      <c r="W52" s="102"/>
      <c r="X52" s="102">
        <f>1631790720</f>
        <v>1631790720</v>
      </c>
      <c r="Y52" s="102">
        <v>1622281920</v>
      </c>
      <c r="Z52" s="103"/>
      <c r="AA52" s="99"/>
      <c r="AB52" s="104">
        <f>574</f>
        <v>574</v>
      </c>
      <c r="AC52" s="104" t="str">
        <f t="shared" si="4"/>
        <v>－</v>
      </c>
      <c r="AD52" s="105">
        <f>3</f>
        <v>3</v>
      </c>
    </row>
    <row r="53" spans="1:30">
      <c r="A53" s="95" t="s">
        <v>46</v>
      </c>
      <c r="B53" s="96" t="s">
        <v>525</v>
      </c>
      <c r="C53" s="96" t="s">
        <v>526</v>
      </c>
      <c r="D53" s="96" t="s">
        <v>310</v>
      </c>
      <c r="E53" s="97" t="s">
        <v>341</v>
      </c>
      <c r="F53" s="97" t="s">
        <v>560</v>
      </c>
      <c r="G53" s="98">
        <v>74400</v>
      </c>
      <c r="H53" s="99" t="s">
        <v>224</v>
      </c>
      <c r="I53" s="100" t="s">
        <v>561</v>
      </c>
      <c r="J53" s="99" t="s">
        <v>224</v>
      </c>
      <c r="K53" s="100" t="s">
        <v>561</v>
      </c>
      <c r="L53" s="99"/>
      <c r="M53" s="100"/>
      <c r="N53" s="99" t="s">
        <v>224</v>
      </c>
      <c r="O53" s="100" t="s">
        <v>561</v>
      </c>
      <c r="P53" s="99"/>
      <c r="Q53" s="100"/>
      <c r="R53" s="99" t="s">
        <v>224</v>
      </c>
      <c r="S53" s="100" t="s">
        <v>561</v>
      </c>
      <c r="T53" s="101">
        <f>27.5</f>
        <v>27.5</v>
      </c>
      <c r="U53" s="102">
        <f>1</f>
        <v>1</v>
      </c>
      <c r="V53" s="102"/>
      <c r="W53" s="102"/>
      <c r="X53" s="102">
        <f>2083200</f>
        <v>2083200</v>
      </c>
      <c r="Y53" s="102"/>
      <c r="Z53" s="103"/>
      <c r="AA53" s="99"/>
      <c r="AB53" s="104">
        <f>41</f>
        <v>41</v>
      </c>
      <c r="AC53" s="104" t="str">
        <f t="shared" si="4"/>
        <v>－</v>
      </c>
      <c r="AD53" s="105">
        <f>1</f>
        <v>1</v>
      </c>
    </row>
    <row r="54" spans="1:30">
      <c r="A54" s="95" t="s">
        <v>46</v>
      </c>
      <c r="B54" s="96" t="s">
        <v>525</v>
      </c>
      <c r="C54" s="96" t="s">
        <v>526</v>
      </c>
      <c r="D54" s="96" t="s">
        <v>88</v>
      </c>
      <c r="E54" s="97" t="s">
        <v>562</v>
      </c>
      <c r="F54" s="97" t="s">
        <v>349</v>
      </c>
      <c r="G54" s="98">
        <v>72000</v>
      </c>
      <c r="H54" s="99"/>
      <c r="I54" s="100" t="s">
        <v>131</v>
      </c>
      <c r="J54" s="99"/>
      <c r="K54" s="100" t="s">
        <v>131</v>
      </c>
      <c r="L54" s="99"/>
      <c r="M54" s="100"/>
      <c r="N54" s="99"/>
      <c r="O54" s="100" t="s">
        <v>131</v>
      </c>
      <c r="P54" s="99"/>
      <c r="Q54" s="100"/>
      <c r="R54" s="99"/>
      <c r="S54" s="100" t="s">
        <v>131</v>
      </c>
      <c r="T54" s="101">
        <f>17.63</f>
        <v>17.63</v>
      </c>
      <c r="U54" s="102" t="str">
        <f t="shared" ref="U54:U68" si="5">"－"</f>
        <v>－</v>
      </c>
      <c r="V54" s="102"/>
      <c r="W54" s="102"/>
      <c r="X54" s="102" t="str">
        <f t="shared" ref="X54:X68" si="6">"－"</f>
        <v>－</v>
      </c>
      <c r="Y54" s="102"/>
      <c r="Z54" s="103"/>
      <c r="AA54" s="99"/>
      <c r="AB54" s="104" t="str">
        <f t="shared" ref="AB54:AB67" si="7">"－"</f>
        <v>－</v>
      </c>
      <c r="AC54" s="104" t="str">
        <f t="shared" si="4"/>
        <v>－</v>
      </c>
      <c r="AD54" s="105" t="str">
        <f t="shared" si="4"/>
        <v>－</v>
      </c>
    </row>
    <row r="55" spans="1:30">
      <c r="A55" s="95" t="s">
        <v>46</v>
      </c>
      <c r="B55" s="96" t="s">
        <v>525</v>
      </c>
      <c r="C55" s="96" t="s">
        <v>526</v>
      </c>
      <c r="D55" s="96" t="s">
        <v>319</v>
      </c>
      <c r="E55" s="97" t="s">
        <v>432</v>
      </c>
      <c r="F55" s="97" t="s">
        <v>563</v>
      </c>
      <c r="G55" s="98">
        <v>74400</v>
      </c>
      <c r="H55" s="99"/>
      <c r="I55" s="100" t="s">
        <v>131</v>
      </c>
      <c r="J55" s="99"/>
      <c r="K55" s="100" t="s">
        <v>131</v>
      </c>
      <c r="L55" s="99"/>
      <c r="M55" s="100"/>
      <c r="N55" s="99"/>
      <c r="O55" s="100" t="s">
        <v>131</v>
      </c>
      <c r="P55" s="99"/>
      <c r="Q55" s="100"/>
      <c r="R55" s="99"/>
      <c r="S55" s="100" t="s">
        <v>131</v>
      </c>
      <c r="T55" s="101">
        <f>17.26</f>
        <v>17.260000000000002</v>
      </c>
      <c r="U55" s="102" t="str">
        <f t="shared" si="5"/>
        <v>－</v>
      </c>
      <c r="V55" s="102"/>
      <c r="W55" s="102"/>
      <c r="X55" s="102" t="str">
        <f t="shared" si="6"/>
        <v>－</v>
      </c>
      <c r="Y55" s="102"/>
      <c r="Z55" s="103"/>
      <c r="AA55" s="99"/>
      <c r="AB55" s="104" t="str">
        <f t="shared" si="7"/>
        <v>－</v>
      </c>
      <c r="AC55" s="104" t="str">
        <f t="shared" si="4"/>
        <v>－</v>
      </c>
      <c r="AD55" s="105" t="str">
        <f t="shared" si="4"/>
        <v>－</v>
      </c>
    </row>
    <row r="56" spans="1:30">
      <c r="A56" s="95" t="s">
        <v>46</v>
      </c>
      <c r="B56" s="96" t="s">
        <v>525</v>
      </c>
      <c r="C56" s="96" t="s">
        <v>526</v>
      </c>
      <c r="D56" s="96" t="s">
        <v>513</v>
      </c>
      <c r="E56" s="97" t="s">
        <v>564</v>
      </c>
      <c r="F56" s="97" t="s">
        <v>565</v>
      </c>
      <c r="G56" s="98">
        <v>72000</v>
      </c>
      <c r="H56" s="99"/>
      <c r="I56" s="100" t="s">
        <v>131</v>
      </c>
      <c r="J56" s="99"/>
      <c r="K56" s="100" t="s">
        <v>131</v>
      </c>
      <c r="L56" s="99"/>
      <c r="M56" s="100"/>
      <c r="N56" s="99"/>
      <c r="O56" s="100" t="s">
        <v>131</v>
      </c>
      <c r="P56" s="99"/>
      <c r="Q56" s="100"/>
      <c r="R56" s="99"/>
      <c r="S56" s="100" t="s">
        <v>131</v>
      </c>
      <c r="T56" s="101">
        <f>17.5</f>
        <v>17.5</v>
      </c>
      <c r="U56" s="102" t="str">
        <f t="shared" si="5"/>
        <v>－</v>
      </c>
      <c r="V56" s="102"/>
      <c r="W56" s="102"/>
      <c r="X56" s="102" t="str">
        <f t="shared" si="6"/>
        <v>－</v>
      </c>
      <c r="Y56" s="102"/>
      <c r="Z56" s="103"/>
      <c r="AA56" s="99"/>
      <c r="AB56" s="104" t="str">
        <f t="shared" si="7"/>
        <v>－</v>
      </c>
      <c r="AC56" s="104" t="str">
        <f t="shared" si="4"/>
        <v>－</v>
      </c>
      <c r="AD56" s="105" t="str">
        <f t="shared" si="4"/>
        <v>－</v>
      </c>
    </row>
    <row r="57" spans="1:30">
      <c r="A57" s="95" t="s">
        <v>46</v>
      </c>
      <c r="B57" s="96" t="s">
        <v>525</v>
      </c>
      <c r="C57" s="96" t="s">
        <v>526</v>
      </c>
      <c r="D57" s="96" t="s">
        <v>519</v>
      </c>
      <c r="E57" s="97" t="s">
        <v>250</v>
      </c>
      <c r="F57" s="97" t="s">
        <v>566</v>
      </c>
      <c r="G57" s="98">
        <v>74400</v>
      </c>
      <c r="H57" s="99"/>
      <c r="I57" s="100" t="s">
        <v>131</v>
      </c>
      <c r="J57" s="99"/>
      <c r="K57" s="100" t="s">
        <v>131</v>
      </c>
      <c r="L57" s="99"/>
      <c r="M57" s="100"/>
      <c r="N57" s="99"/>
      <c r="O57" s="100" t="s">
        <v>131</v>
      </c>
      <c r="P57" s="99"/>
      <c r="Q57" s="100"/>
      <c r="R57" s="99"/>
      <c r="S57" s="100" t="s">
        <v>131</v>
      </c>
      <c r="T57" s="101">
        <f>18.75</f>
        <v>18.75</v>
      </c>
      <c r="U57" s="102" t="str">
        <f t="shared" si="5"/>
        <v>－</v>
      </c>
      <c r="V57" s="102"/>
      <c r="W57" s="102"/>
      <c r="X57" s="102" t="str">
        <f t="shared" si="6"/>
        <v>－</v>
      </c>
      <c r="Y57" s="102"/>
      <c r="Z57" s="103"/>
      <c r="AA57" s="99"/>
      <c r="AB57" s="104" t="str">
        <f t="shared" si="7"/>
        <v>－</v>
      </c>
      <c r="AC57" s="104" t="str">
        <f t="shared" si="4"/>
        <v>－</v>
      </c>
      <c r="AD57" s="105" t="str">
        <f t="shared" si="4"/>
        <v>－</v>
      </c>
    </row>
    <row r="58" spans="1:30">
      <c r="A58" s="95" t="s">
        <v>46</v>
      </c>
      <c r="B58" s="96" t="s">
        <v>525</v>
      </c>
      <c r="C58" s="96" t="s">
        <v>526</v>
      </c>
      <c r="D58" s="96" t="s">
        <v>567</v>
      </c>
      <c r="E58" s="97" t="s">
        <v>250</v>
      </c>
      <c r="F58" s="97" t="s">
        <v>568</v>
      </c>
      <c r="G58" s="98">
        <v>74400</v>
      </c>
      <c r="H58" s="99"/>
      <c r="I58" s="100" t="s">
        <v>131</v>
      </c>
      <c r="J58" s="99"/>
      <c r="K58" s="100" t="s">
        <v>131</v>
      </c>
      <c r="L58" s="99"/>
      <c r="M58" s="100"/>
      <c r="N58" s="99"/>
      <c r="O58" s="100" t="s">
        <v>131</v>
      </c>
      <c r="P58" s="99"/>
      <c r="Q58" s="100"/>
      <c r="R58" s="99"/>
      <c r="S58" s="100" t="s">
        <v>131</v>
      </c>
      <c r="T58" s="101">
        <f>19.21</f>
        <v>19.21</v>
      </c>
      <c r="U58" s="102" t="str">
        <f t="shared" si="5"/>
        <v>－</v>
      </c>
      <c r="V58" s="102"/>
      <c r="W58" s="102"/>
      <c r="X58" s="102" t="str">
        <f t="shared" si="6"/>
        <v>－</v>
      </c>
      <c r="Y58" s="102"/>
      <c r="Z58" s="103"/>
      <c r="AA58" s="99"/>
      <c r="AB58" s="104" t="str">
        <f t="shared" si="7"/>
        <v>－</v>
      </c>
      <c r="AC58" s="104" t="str">
        <f t="shared" si="4"/>
        <v>－</v>
      </c>
      <c r="AD58" s="105" t="str">
        <f t="shared" si="4"/>
        <v>－</v>
      </c>
    </row>
    <row r="59" spans="1:30">
      <c r="A59" s="95" t="s">
        <v>46</v>
      </c>
      <c r="B59" s="96" t="s">
        <v>525</v>
      </c>
      <c r="C59" s="96" t="s">
        <v>526</v>
      </c>
      <c r="D59" s="96" t="s">
        <v>569</v>
      </c>
      <c r="E59" s="97" t="s">
        <v>250</v>
      </c>
      <c r="F59" s="97" t="s">
        <v>570</v>
      </c>
      <c r="G59" s="98">
        <v>72000</v>
      </c>
      <c r="H59" s="99"/>
      <c r="I59" s="100" t="s">
        <v>131</v>
      </c>
      <c r="J59" s="99"/>
      <c r="K59" s="100" t="s">
        <v>131</v>
      </c>
      <c r="L59" s="99"/>
      <c r="M59" s="100"/>
      <c r="N59" s="99"/>
      <c r="O59" s="100" t="s">
        <v>131</v>
      </c>
      <c r="P59" s="99"/>
      <c r="Q59" s="100"/>
      <c r="R59" s="99"/>
      <c r="S59" s="100" t="s">
        <v>131</v>
      </c>
      <c r="T59" s="101">
        <f>17.77</f>
        <v>17.77</v>
      </c>
      <c r="U59" s="102" t="str">
        <f t="shared" si="5"/>
        <v>－</v>
      </c>
      <c r="V59" s="102"/>
      <c r="W59" s="102"/>
      <c r="X59" s="102" t="str">
        <f t="shared" si="6"/>
        <v>－</v>
      </c>
      <c r="Y59" s="102"/>
      <c r="Z59" s="103"/>
      <c r="AA59" s="99"/>
      <c r="AB59" s="104" t="str">
        <f t="shared" si="7"/>
        <v>－</v>
      </c>
      <c r="AC59" s="104" t="str">
        <f t="shared" si="4"/>
        <v>－</v>
      </c>
      <c r="AD59" s="105" t="str">
        <f t="shared" si="4"/>
        <v>－</v>
      </c>
    </row>
    <row r="60" spans="1:30">
      <c r="A60" s="95" t="s">
        <v>46</v>
      </c>
      <c r="B60" s="96" t="s">
        <v>525</v>
      </c>
      <c r="C60" s="96" t="s">
        <v>526</v>
      </c>
      <c r="D60" s="96" t="s">
        <v>571</v>
      </c>
      <c r="E60" s="97" t="s">
        <v>250</v>
      </c>
      <c r="F60" s="97" t="s">
        <v>572</v>
      </c>
      <c r="G60" s="98">
        <v>74400</v>
      </c>
      <c r="H60" s="99"/>
      <c r="I60" s="100" t="s">
        <v>131</v>
      </c>
      <c r="J60" s="99"/>
      <c r="K60" s="100" t="s">
        <v>131</v>
      </c>
      <c r="L60" s="99"/>
      <c r="M60" s="100"/>
      <c r="N60" s="99"/>
      <c r="O60" s="100" t="s">
        <v>131</v>
      </c>
      <c r="P60" s="99"/>
      <c r="Q60" s="100"/>
      <c r="R60" s="99"/>
      <c r="S60" s="100" t="s">
        <v>131</v>
      </c>
      <c r="T60" s="101">
        <f>16.55</f>
        <v>16.55</v>
      </c>
      <c r="U60" s="102" t="str">
        <f t="shared" si="5"/>
        <v>－</v>
      </c>
      <c r="V60" s="102"/>
      <c r="W60" s="102"/>
      <c r="X60" s="102" t="str">
        <f t="shared" si="6"/>
        <v>－</v>
      </c>
      <c r="Y60" s="102"/>
      <c r="Z60" s="103"/>
      <c r="AA60" s="99"/>
      <c r="AB60" s="104" t="str">
        <f t="shared" si="7"/>
        <v>－</v>
      </c>
      <c r="AC60" s="104" t="str">
        <f t="shared" si="4"/>
        <v>－</v>
      </c>
      <c r="AD60" s="105" t="str">
        <f t="shared" si="4"/>
        <v>－</v>
      </c>
    </row>
    <row r="61" spans="1:30">
      <c r="A61" s="95" t="s">
        <v>46</v>
      </c>
      <c r="B61" s="96" t="s">
        <v>525</v>
      </c>
      <c r="C61" s="96" t="s">
        <v>526</v>
      </c>
      <c r="D61" s="96" t="s">
        <v>573</v>
      </c>
      <c r="E61" s="97" t="s">
        <v>250</v>
      </c>
      <c r="F61" s="97" t="s">
        <v>574</v>
      </c>
      <c r="G61" s="98">
        <v>72000</v>
      </c>
      <c r="H61" s="99"/>
      <c r="I61" s="100" t="s">
        <v>131</v>
      </c>
      <c r="J61" s="99"/>
      <c r="K61" s="100" t="s">
        <v>131</v>
      </c>
      <c r="L61" s="99"/>
      <c r="M61" s="100"/>
      <c r="N61" s="99"/>
      <c r="O61" s="100" t="s">
        <v>131</v>
      </c>
      <c r="P61" s="99"/>
      <c r="Q61" s="100"/>
      <c r="R61" s="99"/>
      <c r="S61" s="100" t="s">
        <v>131</v>
      </c>
      <c r="T61" s="101">
        <f>17.1</f>
        <v>17.100000000000001</v>
      </c>
      <c r="U61" s="102" t="str">
        <f t="shared" si="5"/>
        <v>－</v>
      </c>
      <c r="V61" s="102"/>
      <c r="W61" s="102"/>
      <c r="X61" s="102" t="str">
        <f t="shared" si="6"/>
        <v>－</v>
      </c>
      <c r="Y61" s="102"/>
      <c r="Z61" s="103"/>
      <c r="AA61" s="99"/>
      <c r="AB61" s="104" t="str">
        <f t="shared" si="7"/>
        <v>－</v>
      </c>
      <c r="AC61" s="104" t="str">
        <f t="shared" si="4"/>
        <v>－</v>
      </c>
      <c r="AD61" s="105" t="str">
        <f t="shared" si="4"/>
        <v>－</v>
      </c>
    </row>
    <row r="62" spans="1:30">
      <c r="A62" s="95" t="s">
        <v>46</v>
      </c>
      <c r="B62" s="96" t="s">
        <v>525</v>
      </c>
      <c r="C62" s="96" t="s">
        <v>526</v>
      </c>
      <c r="D62" s="96" t="s">
        <v>575</v>
      </c>
      <c r="E62" s="97" t="s">
        <v>250</v>
      </c>
      <c r="F62" s="97" t="s">
        <v>576</v>
      </c>
      <c r="G62" s="98">
        <v>74400</v>
      </c>
      <c r="H62" s="99"/>
      <c r="I62" s="100" t="s">
        <v>131</v>
      </c>
      <c r="J62" s="99"/>
      <c r="K62" s="100" t="s">
        <v>131</v>
      </c>
      <c r="L62" s="99"/>
      <c r="M62" s="100"/>
      <c r="N62" s="99"/>
      <c r="O62" s="100" t="s">
        <v>131</v>
      </c>
      <c r="P62" s="99"/>
      <c r="Q62" s="100"/>
      <c r="R62" s="99"/>
      <c r="S62" s="100" t="s">
        <v>131</v>
      </c>
      <c r="T62" s="101">
        <f>19.19</f>
        <v>19.190000000000001</v>
      </c>
      <c r="U62" s="102" t="str">
        <f t="shared" si="5"/>
        <v>－</v>
      </c>
      <c r="V62" s="102"/>
      <c r="W62" s="102"/>
      <c r="X62" s="102" t="str">
        <f t="shared" si="6"/>
        <v>－</v>
      </c>
      <c r="Y62" s="102"/>
      <c r="Z62" s="103"/>
      <c r="AA62" s="99"/>
      <c r="AB62" s="104" t="str">
        <f t="shared" si="7"/>
        <v>－</v>
      </c>
      <c r="AC62" s="104" t="str">
        <f t="shared" si="4"/>
        <v>－</v>
      </c>
      <c r="AD62" s="105" t="str">
        <f t="shared" si="4"/>
        <v>－</v>
      </c>
    </row>
    <row r="63" spans="1:30">
      <c r="A63" s="95" t="s">
        <v>46</v>
      </c>
      <c r="B63" s="96" t="s">
        <v>525</v>
      </c>
      <c r="C63" s="96" t="s">
        <v>526</v>
      </c>
      <c r="D63" s="96" t="s">
        <v>577</v>
      </c>
      <c r="E63" s="97" t="s">
        <v>250</v>
      </c>
      <c r="F63" s="97" t="s">
        <v>578</v>
      </c>
      <c r="G63" s="98">
        <v>74400</v>
      </c>
      <c r="H63" s="99"/>
      <c r="I63" s="100" t="s">
        <v>131</v>
      </c>
      <c r="J63" s="99"/>
      <c r="K63" s="100" t="s">
        <v>131</v>
      </c>
      <c r="L63" s="99"/>
      <c r="M63" s="100"/>
      <c r="N63" s="99"/>
      <c r="O63" s="100" t="s">
        <v>131</v>
      </c>
      <c r="P63" s="99"/>
      <c r="Q63" s="100"/>
      <c r="R63" s="99"/>
      <c r="S63" s="100" t="s">
        <v>131</v>
      </c>
      <c r="T63" s="101">
        <f>19.88</f>
        <v>19.88</v>
      </c>
      <c r="U63" s="102" t="str">
        <f t="shared" si="5"/>
        <v>－</v>
      </c>
      <c r="V63" s="102"/>
      <c r="W63" s="102"/>
      <c r="X63" s="102" t="str">
        <f t="shared" si="6"/>
        <v>－</v>
      </c>
      <c r="Y63" s="102"/>
      <c r="Z63" s="103"/>
      <c r="AA63" s="99"/>
      <c r="AB63" s="104" t="str">
        <f t="shared" si="7"/>
        <v>－</v>
      </c>
      <c r="AC63" s="104" t="str">
        <f t="shared" si="4"/>
        <v>－</v>
      </c>
      <c r="AD63" s="105" t="str">
        <f t="shared" si="4"/>
        <v>－</v>
      </c>
    </row>
    <row r="64" spans="1:30">
      <c r="A64" s="95" t="s">
        <v>46</v>
      </c>
      <c r="B64" s="96" t="s">
        <v>525</v>
      </c>
      <c r="C64" s="96" t="s">
        <v>526</v>
      </c>
      <c r="D64" s="96" t="s">
        <v>579</v>
      </c>
      <c r="E64" s="97" t="s">
        <v>250</v>
      </c>
      <c r="F64" s="97" t="s">
        <v>580</v>
      </c>
      <c r="G64" s="98">
        <v>69600</v>
      </c>
      <c r="H64" s="99"/>
      <c r="I64" s="100" t="s">
        <v>131</v>
      </c>
      <c r="J64" s="99"/>
      <c r="K64" s="100" t="s">
        <v>131</v>
      </c>
      <c r="L64" s="99"/>
      <c r="M64" s="100"/>
      <c r="N64" s="99"/>
      <c r="O64" s="100" t="s">
        <v>131</v>
      </c>
      <c r="P64" s="99"/>
      <c r="Q64" s="100"/>
      <c r="R64" s="99"/>
      <c r="S64" s="100" t="s">
        <v>131</v>
      </c>
      <c r="T64" s="101">
        <f>19.42</f>
        <v>19.420000000000002</v>
      </c>
      <c r="U64" s="102" t="str">
        <f t="shared" si="5"/>
        <v>－</v>
      </c>
      <c r="V64" s="102"/>
      <c r="W64" s="102"/>
      <c r="X64" s="102" t="str">
        <f t="shared" si="6"/>
        <v>－</v>
      </c>
      <c r="Y64" s="102"/>
      <c r="Z64" s="103"/>
      <c r="AA64" s="99"/>
      <c r="AB64" s="104" t="str">
        <f t="shared" si="7"/>
        <v>－</v>
      </c>
      <c r="AC64" s="104" t="str">
        <f t="shared" si="4"/>
        <v>－</v>
      </c>
      <c r="AD64" s="105" t="str">
        <f t="shared" si="4"/>
        <v>－</v>
      </c>
    </row>
    <row r="65" spans="1:30">
      <c r="A65" s="95" t="s">
        <v>46</v>
      </c>
      <c r="B65" s="96" t="s">
        <v>525</v>
      </c>
      <c r="C65" s="96" t="s">
        <v>526</v>
      </c>
      <c r="D65" s="96" t="s">
        <v>581</v>
      </c>
      <c r="E65" s="97" t="s">
        <v>250</v>
      </c>
      <c r="F65" s="97" t="s">
        <v>582</v>
      </c>
      <c r="G65" s="98">
        <v>74400</v>
      </c>
      <c r="H65" s="99"/>
      <c r="I65" s="100" t="s">
        <v>131</v>
      </c>
      <c r="J65" s="99"/>
      <c r="K65" s="100" t="s">
        <v>131</v>
      </c>
      <c r="L65" s="99"/>
      <c r="M65" s="100"/>
      <c r="N65" s="99"/>
      <c r="O65" s="100" t="s">
        <v>131</v>
      </c>
      <c r="P65" s="99"/>
      <c r="Q65" s="100"/>
      <c r="R65" s="99"/>
      <c r="S65" s="100" t="s">
        <v>131</v>
      </c>
      <c r="T65" s="101">
        <f>17.27</f>
        <v>17.27</v>
      </c>
      <c r="U65" s="102" t="str">
        <f t="shared" si="5"/>
        <v>－</v>
      </c>
      <c r="V65" s="102"/>
      <c r="W65" s="102"/>
      <c r="X65" s="102" t="str">
        <f t="shared" si="6"/>
        <v>－</v>
      </c>
      <c r="Y65" s="102"/>
      <c r="Z65" s="103"/>
      <c r="AA65" s="99"/>
      <c r="AB65" s="104" t="str">
        <f t="shared" si="7"/>
        <v>－</v>
      </c>
      <c r="AC65" s="104" t="str">
        <f t="shared" si="4"/>
        <v>－</v>
      </c>
      <c r="AD65" s="105" t="str">
        <f t="shared" si="4"/>
        <v>－</v>
      </c>
    </row>
    <row r="66" spans="1:30">
      <c r="A66" s="95" t="s">
        <v>46</v>
      </c>
      <c r="B66" s="96" t="s">
        <v>525</v>
      </c>
      <c r="C66" s="96" t="s">
        <v>526</v>
      </c>
      <c r="D66" s="96" t="s">
        <v>583</v>
      </c>
      <c r="E66" s="97" t="s">
        <v>231</v>
      </c>
      <c r="F66" s="97" t="s">
        <v>584</v>
      </c>
      <c r="G66" s="98">
        <v>72000</v>
      </c>
      <c r="H66" s="99"/>
      <c r="I66" s="100" t="s">
        <v>131</v>
      </c>
      <c r="J66" s="99"/>
      <c r="K66" s="100" t="s">
        <v>131</v>
      </c>
      <c r="L66" s="99"/>
      <c r="M66" s="100"/>
      <c r="N66" s="99"/>
      <c r="O66" s="100" t="s">
        <v>131</v>
      </c>
      <c r="P66" s="99"/>
      <c r="Q66" s="100"/>
      <c r="R66" s="99"/>
      <c r="S66" s="100" t="s">
        <v>131</v>
      </c>
      <c r="T66" s="101">
        <f>16.03</f>
        <v>16.03</v>
      </c>
      <c r="U66" s="102" t="str">
        <f t="shared" si="5"/>
        <v>－</v>
      </c>
      <c r="V66" s="102"/>
      <c r="W66" s="102"/>
      <c r="X66" s="102" t="str">
        <f t="shared" si="6"/>
        <v>－</v>
      </c>
      <c r="Y66" s="102"/>
      <c r="Z66" s="103"/>
      <c r="AA66" s="99"/>
      <c r="AB66" s="104" t="str">
        <f t="shared" si="7"/>
        <v>－</v>
      </c>
      <c r="AC66" s="104" t="str">
        <f t="shared" si="4"/>
        <v>－</v>
      </c>
      <c r="AD66" s="105" t="str">
        <f t="shared" si="4"/>
        <v>－</v>
      </c>
    </row>
    <row r="67" spans="1:30">
      <c r="A67" s="95" t="s">
        <v>46</v>
      </c>
      <c r="B67" s="96" t="s">
        <v>525</v>
      </c>
      <c r="C67" s="96" t="s">
        <v>526</v>
      </c>
      <c r="D67" s="96" t="s">
        <v>585</v>
      </c>
      <c r="E67" s="97" t="s">
        <v>326</v>
      </c>
      <c r="F67" s="97" t="s">
        <v>586</v>
      </c>
      <c r="G67" s="98">
        <v>74400</v>
      </c>
      <c r="H67" s="99"/>
      <c r="I67" s="100" t="s">
        <v>131</v>
      </c>
      <c r="J67" s="99"/>
      <c r="K67" s="100" t="s">
        <v>131</v>
      </c>
      <c r="L67" s="99"/>
      <c r="M67" s="100"/>
      <c r="N67" s="99"/>
      <c r="O67" s="100" t="s">
        <v>131</v>
      </c>
      <c r="P67" s="99"/>
      <c r="Q67" s="100"/>
      <c r="R67" s="99"/>
      <c r="S67" s="100" t="s">
        <v>131</v>
      </c>
      <c r="T67" s="101">
        <f>15.72</f>
        <v>15.72</v>
      </c>
      <c r="U67" s="102" t="str">
        <f t="shared" si="5"/>
        <v>－</v>
      </c>
      <c r="V67" s="102"/>
      <c r="W67" s="102"/>
      <c r="X67" s="102" t="str">
        <f t="shared" si="6"/>
        <v>－</v>
      </c>
      <c r="Y67" s="102"/>
      <c r="Z67" s="103"/>
      <c r="AA67" s="99"/>
      <c r="AB67" s="104" t="str">
        <f t="shared" si="7"/>
        <v>－</v>
      </c>
      <c r="AC67" s="104" t="str">
        <f t="shared" si="4"/>
        <v>－</v>
      </c>
      <c r="AD67" s="105" t="str">
        <f t="shared" si="4"/>
        <v>－</v>
      </c>
    </row>
    <row r="68" spans="1:30">
      <c r="A68" s="95" t="s">
        <v>46</v>
      </c>
      <c r="B68" s="96" t="s">
        <v>587</v>
      </c>
      <c r="C68" s="96" t="s">
        <v>588</v>
      </c>
      <c r="D68" s="96" t="s">
        <v>46</v>
      </c>
      <c r="E68" s="97" t="s">
        <v>527</v>
      </c>
      <c r="F68" s="97" t="s">
        <v>528</v>
      </c>
      <c r="G68" s="98">
        <v>74400</v>
      </c>
      <c r="H68" s="99"/>
      <c r="I68" s="100" t="s">
        <v>131</v>
      </c>
      <c r="J68" s="99"/>
      <c r="K68" s="100" t="s">
        <v>131</v>
      </c>
      <c r="L68" s="99"/>
      <c r="M68" s="100"/>
      <c r="N68" s="99"/>
      <c r="O68" s="100" t="s">
        <v>131</v>
      </c>
      <c r="P68" s="99"/>
      <c r="Q68" s="100"/>
      <c r="R68" s="99"/>
      <c r="S68" s="100" t="s">
        <v>131</v>
      </c>
      <c r="T68" s="101">
        <f>18.15</f>
        <v>18.149999999999999</v>
      </c>
      <c r="U68" s="102" t="str">
        <f t="shared" si="5"/>
        <v>－</v>
      </c>
      <c r="V68" s="102"/>
      <c r="W68" s="102"/>
      <c r="X68" s="102" t="str">
        <f t="shared" si="6"/>
        <v>－</v>
      </c>
      <c r="Y68" s="102"/>
      <c r="Z68" s="103"/>
      <c r="AA68" s="99" t="s">
        <v>232</v>
      </c>
      <c r="AB68" s="104">
        <f>51</f>
        <v>51</v>
      </c>
      <c r="AC68" s="104" t="str">
        <f t="shared" si="4"/>
        <v>－</v>
      </c>
      <c r="AD68" s="105" t="str">
        <f t="shared" si="4"/>
        <v>－</v>
      </c>
    </row>
    <row r="69" spans="1:30">
      <c r="A69" s="95" t="s">
        <v>46</v>
      </c>
      <c r="B69" s="96" t="s">
        <v>587</v>
      </c>
      <c r="C69" s="96" t="s">
        <v>588</v>
      </c>
      <c r="D69" s="96" t="s">
        <v>49</v>
      </c>
      <c r="E69" s="97" t="s">
        <v>529</v>
      </c>
      <c r="F69" s="97" t="s">
        <v>530</v>
      </c>
      <c r="G69" s="98">
        <v>72000</v>
      </c>
      <c r="H69" s="99" t="s">
        <v>55</v>
      </c>
      <c r="I69" s="100" t="s">
        <v>589</v>
      </c>
      <c r="J69" s="99" t="s">
        <v>55</v>
      </c>
      <c r="K69" s="100" t="s">
        <v>589</v>
      </c>
      <c r="L69" s="99" t="s">
        <v>260</v>
      </c>
      <c r="M69" s="100" t="s">
        <v>590</v>
      </c>
      <c r="N69" s="99" t="s">
        <v>55</v>
      </c>
      <c r="O69" s="100" t="s">
        <v>589</v>
      </c>
      <c r="P69" s="99" t="s">
        <v>260</v>
      </c>
      <c r="Q69" s="100" t="s">
        <v>590</v>
      </c>
      <c r="R69" s="99" t="s">
        <v>112</v>
      </c>
      <c r="S69" s="100" t="s">
        <v>589</v>
      </c>
      <c r="T69" s="101">
        <f>22.32</f>
        <v>22.32</v>
      </c>
      <c r="U69" s="102">
        <f>36</f>
        <v>36</v>
      </c>
      <c r="V69" s="102">
        <v>5</v>
      </c>
      <c r="W69" s="102"/>
      <c r="X69" s="102">
        <f>58248000</f>
        <v>58248000</v>
      </c>
      <c r="Y69" s="102">
        <v>8028000</v>
      </c>
      <c r="Z69" s="103"/>
      <c r="AA69" s="99"/>
      <c r="AB69" s="104">
        <f>207</f>
        <v>207</v>
      </c>
      <c r="AC69" s="104" t="str">
        <f t="shared" si="4"/>
        <v>－</v>
      </c>
      <c r="AD69" s="105">
        <f>2</f>
        <v>2</v>
      </c>
    </row>
    <row r="70" spans="1:30">
      <c r="A70" s="95" t="s">
        <v>46</v>
      </c>
      <c r="B70" s="96" t="s">
        <v>587</v>
      </c>
      <c r="C70" s="96" t="s">
        <v>588</v>
      </c>
      <c r="D70" s="96" t="s">
        <v>237</v>
      </c>
      <c r="E70" s="97" t="s">
        <v>532</v>
      </c>
      <c r="F70" s="97" t="s">
        <v>328</v>
      </c>
      <c r="G70" s="98">
        <v>74400</v>
      </c>
      <c r="H70" s="99"/>
      <c r="I70" s="100" t="s">
        <v>131</v>
      </c>
      <c r="J70" s="99"/>
      <c r="K70" s="100" t="s">
        <v>131</v>
      </c>
      <c r="L70" s="99" t="s">
        <v>287</v>
      </c>
      <c r="M70" s="100" t="s">
        <v>591</v>
      </c>
      <c r="N70" s="99"/>
      <c r="O70" s="100" t="s">
        <v>131</v>
      </c>
      <c r="P70" s="99" t="s">
        <v>287</v>
      </c>
      <c r="Q70" s="100" t="s">
        <v>591</v>
      </c>
      <c r="R70" s="99"/>
      <c r="S70" s="100" t="s">
        <v>131</v>
      </c>
      <c r="T70" s="101">
        <f>29.77</f>
        <v>29.77</v>
      </c>
      <c r="U70" s="102">
        <f>10</f>
        <v>10</v>
      </c>
      <c r="V70" s="102">
        <v>10</v>
      </c>
      <c r="W70" s="102"/>
      <c r="X70" s="102">
        <f>22692000</f>
        <v>22692000</v>
      </c>
      <c r="Y70" s="102">
        <v>22692000</v>
      </c>
      <c r="Z70" s="103"/>
      <c r="AA70" s="99"/>
      <c r="AB70" s="104">
        <f>130</f>
        <v>130</v>
      </c>
      <c r="AC70" s="104" t="str">
        <f t="shared" si="4"/>
        <v>－</v>
      </c>
      <c r="AD70" s="105" t="str">
        <f>"－"</f>
        <v>－</v>
      </c>
    </row>
    <row r="71" spans="1:30">
      <c r="A71" s="95" t="s">
        <v>46</v>
      </c>
      <c r="B71" s="96" t="s">
        <v>587</v>
      </c>
      <c r="C71" s="96" t="s">
        <v>588</v>
      </c>
      <c r="D71" s="96" t="s">
        <v>59</v>
      </c>
      <c r="E71" s="97" t="s">
        <v>538</v>
      </c>
      <c r="F71" s="97" t="s">
        <v>539</v>
      </c>
      <c r="G71" s="98">
        <v>74400</v>
      </c>
      <c r="H71" s="99"/>
      <c r="I71" s="100" t="s">
        <v>131</v>
      </c>
      <c r="J71" s="99"/>
      <c r="K71" s="100" t="s">
        <v>131</v>
      </c>
      <c r="L71" s="99"/>
      <c r="M71" s="100"/>
      <c r="N71" s="99"/>
      <c r="O71" s="100" t="s">
        <v>131</v>
      </c>
      <c r="P71" s="99"/>
      <c r="Q71" s="100"/>
      <c r="R71" s="99"/>
      <c r="S71" s="100" t="s">
        <v>131</v>
      </c>
      <c r="T71" s="101">
        <f>33.03</f>
        <v>33.03</v>
      </c>
      <c r="U71" s="102" t="str">
        <f>"－"</f>
        <v>－</v>
      </c>
      <c r="V71" s="102"/>
      <c r="W71" s="102"/>
      <c r="X71" s="102" t="str">
        <f>"－"</f>
        <v>－</v>
      </c>
      <c r="Y71" s="102"/>
      <c r="Z71" s="103"/>
      <c r="AA71" s="99"/>
      <c r="AB71" s="104">
        <f>120</f>
        <v>120</v>
      </c>
      <c r="AC71" s="104" t="str">
        <f t="shared" ref="AC71:AD102" si="8">"－"</f>
        <v>－</v>
      </c>
      <c r="AD71" s="105" t="str">
        <f>"－"</f>
        <v>－</v>
      </c>
    </row>
    <row r="72" spans="1:30">
      <c r="A72" s="95" t="s">
        <v>46</v>
      </c>
      <c r="B72" s="96" t="s">
        <v>587</v>
      </c>
      <c r="C72" s="96" t="s">
        <v>588</v>
      </c>
      <c r="D72" s="96" t="s">
        <v>245</v>
      </c>
      <c r="E72" s="97" t="s">
        <v>543</v>
      </c>
      <c r="F72" s="97" t="s">
        <v>544</v>
      </c>
      <c r="G72" s="98">
        <v>72000</v>
      </c>
      <c r="H72" s="99" t="s">
        <v>85</v>
      </c>
      <c r="I72" s="100" t="s">
        <v>592</v>
      </c>
      <c r="J72" s="99" t="s">
        <v>85</v>
      </c>
      <c r="K72" s="100" t="s">
        <v>592</v>
      </c>
      <c r="L72" s="99"/>
      <c r="M72" s="100"/>
      <c r="N72" s="99" t="s">
        <v>85</v>
      </c>
      <c r="O72" s="100" t="s">
        <v>592</v>
      </c>
      <c r="P72" s="99"/>
      <c r="Q72" s="100"/>
      <c r="R72" s="99" t="s">
        <v>85</v>
      </c>
      <c r="S72" s="100" t="s">
        <v>592</v>
      </c>
      <c r="T72" s="101">
        <f>26.85</f>
        <v>26.85</v>
      </c>
      <c r="U72" s="102">
        <f>1</f>
        <v>1</v>
      </c>
      <c r="V72" s="102"/>
      <c r="W72" s="102"/>
      <c r="X72" s="102">
        <f>1944000</f>
        <v>1944000</v>
      </c>
      <c r="Y72" s="102"/>
      <c r="Z72" s="103"/>
      <c r="AA72" s="99"/>
      <c r="AB72" s="104">
        <f>121</f>
        <v>121</v>
      </c>
      <c r="AC72" s="104" t="str">
        <f t="shared" si="8"/>
        <v>－</v>
      </c>
      <c r="AD72" s="105">
        <f>1</f>
        <v>1</v>
      </c>
    </row>
    <row r="73" spans="1:30">
      <c r="A73" s="95" t="s">
        <v>46</v>
      </c>
      <c r="B73" s="96" t="s">
        <v>587</v>
      </c>
      <c r="C73" s="96" t="s">
        <v>588</v>
      </c>
      <c r="D73" s="96" t="s">
        <v>66</v>
      </c>
      <c r="E73" s="97" t="s">
        <v>547</v>
      </c>
      <c r="F73" s="97" t="s">
        <v>548</v>
      </c>
      <c r="G73" s="98">
        <v>74400</v>
      </c>
      <c r="H73" s="99" t="s">
        <v>85</v>
      </c>
      <c r="I73" s="100" t="s">
        <v>589</v>
      </c>
      <c r="J73" s="99" t="s">
        <v>85</v>
      </c>
      <c r="K73" s="100" t="s">
        <v>589</v>
      </c>
      <c r="L73" s="99"/>
      <c r="M73" s="100"/>
      <c r="N73" s="99" t="s">
        <v>85</v>
      </c>
      <c r="O73" s="100" t="s">
        <v>589</v>
      </c>
      <c r="P73" s="99"/>
      <c r="Q73" s="100"/>
      <c r="R73" s="99" t="s">
        <v>85</v>
      </c>
      <c r="S73" s="100" t="s">
        <v>589</v>
      </c>
      <c r="T73" s="101">
        <f>21.96</f>
        <v>21.96</v>
      </c>
      <c r="U73" s="102">
        <f>1</f>
        <v>1</v>
      </c>
      <c r="V73" s="102"/>
      <c r="W73" s="102"/>
      <c r="X73" s="102">
        <f>1674000</f>
        <v>1674000</v>
      </c>
      <c r="Y73" s="102"/>
      <c r="Z73" s="103"/>
      <c r="AA73" s="99"/>
      <c r="AB73" s="104">
        <f>21</f>
        <v>21</v>
      </c>
      <c r="AC73" s="104" t="str">
        <f t="shared" si="8"/>
        <v>－</v>
      </c>
      <c r="AD73" s="105">
        <f>1</f>
        <v>1</v>
      </c>
    </row>
    <row r="74" spans="1:30">
      <c r="A74" s="95" t="s">
        <v>46</v>
      </c>
      <c r="B74" s="96" t="s">
        <v>587</v>
      </c>
      <c r="C74" s="96" t="s">
        <v>588</v>
      </c>
      <c r="D74" s="96" t="s">
        <v>252</v>
      </c>
      <c r="E74" s="97" t="s">
        <v>550</v>
      </c>
      <c r="F74" s="97" t="s">
        <v>551</v>
      </c>
      <c r="G74" s="98">
        <v>72000</v>
      </c>
      <c r="H74" s="99" t="s">
        <v>85</v>
      </c>
      <c r="I74" s="100" t="s">
        <v>593</v>
      </c>
      <c r="J74" s="99" t="s">
        <v>85</v>
      </c>
      <c r="K74" s="100" t="s">
        <v>593</v>
      </c>
      <c r="L74" s="99" t="s">
        <v>308</v>
      </c>
      <c r="M74" s="100" t="s">
        <v>594</v>
      </c>
      <c r="N74" s="99" t="s">
        <v>85</v>
      </c>
      <c r="O74" s="100" t="s">
        <v>593</v>
      </c>
      <c r="P74" s="99" t="s">
        <v>308</v>
      </c>
      <c r="Q74" s="100" t="s">
        <v>594</v>
      </c>
      <c r="R74" s="99" t="s">
        <v>85</v>
      </c>
      <c r="S74" s="100" t="s">
        <v>593</v>
      </c>
      <c r="T74" s="101">
        <f>23.66</f>
        <v>23.66</v>
      </c>
      <c r="U74" s="102">
        <f>51</f>
        <v>51</v>
      </c>
      <c r="V74" s="102">
        <v>50</v>
      </c>
      <c r="W74" s="102"/>
      <c r="X74" s="102">
        <f>91260000</f>
        <v>91260000</v>
      </c>
      <c r="Y74" s="102">
        <v>89532000</v>
      </c>
      <c r="Z74" s="103"/>
      <c r="AA74" s="99"/>
      <c r="AB74" s="104">
        <f>71</f>
        <v>71</v>
      </c>
      <c r="AC74" s="104" t="str">
        <f t="shared" si="8"/>
        <v>－</v>
      </c>
      <c r="AD74" s="105">
        <f>1</f>
        <v>1</v>
      </c>
    </row>
    <row r="75" spans="1:30">
      <c r="A75" s="95" t="s">
        <v>46</v>
      </c>
      <c r="B75" s="96" t="s">
        <v>587</v>
      </c>
      <c r="C75" s="96" t="s">
        <v>588</v>
      </c>
      <c r="D75" s="96" t="s">
        <v>73</v>
      </c>
      <c r="E75" s="97" t="s">
        <v>553</v>
      </c>
      <c r="F75" s="97" t="s">
        <v>342</v>
      </c>
      <c r="G75" s="98">
        <v>74400</v>
      </c>
      <c r="H75" s="99"/>
      <c r="I75" s="100" t="s">
        <v>131</v>
      </c>
      <c r="J75" s="99"/>
      <c r="K75" s="100" t="s">
        <v>131</v>
      </c>
      <c r="L75" s="99" t="s">
        <v>308</v>
      </c>
      <c r="M75" s="100" t="s">
        <v>595</v>
      </c>
      <c r="N75" s="99"/>
      <c r="O75" s="100" t="s">
        <v>131</v>
      </c>
      <c r="P75" s="99" t="s">
        <v>308</v>
      </c>
      <c r="Q75" s="100" t="s">
        <v>595</v>
      </c>
      <c r="R75" s="99"/>
      <c r="S75" s="100" t="s">
        <v>131</v>
      </c>
      <c r="T75" s="101">
        <f>29.86</f>
        <v>29.86</v>
      </c>
      <c r="U75" s="102">
        <f>50</f>
        <v>50</v>
      </c>
      <c r="V75" s="102">
        <v>50</v>
      </c>
      <c r="W75" s="102"/>
      <c r="X75" s="102">
        <f>112976400</f>
        <v>112976400</v>
      </c>
      <c r="Y75" s="102">
        <v>112976400</v>
      </c>
      <c r="Z75" s="103"/>
      <c r="AA75" s="99"/>
      <c r="AB75" s="104">
        <f>70</f>
        <v>70</v>
      </c>
      <c r="AC75" s="104" t="str">
        <f t="shared" si="8"/>
        <v>－</v>
      </c>
      <c r="AD75" s="105" t="str">
        <f t="shared" si="8"/>
        <v>－</v>
      </c>
    </row>
    <row r="76" spans="1:30">
      <c r="A76" s="95" t="s">
        <v>46</v>
      </c>
      <c r="B76" s="96" t="s">
        <v>587</v>
      </c>
      <c r="C76" s="96" t="s">
        <v>588</v>
      </c>
      <c r="D76" s="96" t="s">
        <v>300</v>
      </c>
      <c r="E76" s="97" t="s">
        <v>337</v>
      </c>
      <c r="F76" s="97" t="s">
        <v>556</v>
      </c>
      <c r="G76" s="98">
        <v>74400</v>
      </c>
      <c r="H76" s="99"/>
      <c r="I76" s="100" t="s">
        <v>131</v>
      </c>
      <c r="J76" s="99"/>
      <c r="K76" s="100" t="s">
        <v>131</v>
      </c>
      <c r="L76" s="99"/>
      <c r="M76" s="100"/>
      <c r="N76" s="99"/>
      <c r="O76" s="100" t="s">
        <v>131</v>
      </c>
      <c r="P76" s="99"/>
      <c r="Q76" s="100"/>
      <c r="R76" s="99"/>
      <c r="S76" s="100" t="s">
        <v>131</v>
      </c>
      <c r="T76" s="101">
        <f>33.11</f>
        <v>33.11</v>
      </c>
      <c r="U76" s="102" t="str">
        <f t="shared" ref="U76:U93" si="9">"－"</f>
        <v>－</v>
      </c>
      <c r="V76" s="102"/>
      <c r="W76" s="102"/>
      <c r="X76" s="102" t="str">
        <f t="shared" ref="X76:X93" si="10">"－"</f>
        <v>－</v>
      </c>
      <c r="Y76" s="102"/>
      <c r="Z76" s="103"/>
      <c r="AA76" s="99"/>
      <c r="AB76" s="104">
        <f>20</f>
        <v>20</v>
      </c>
      <c r="AC76" s="104" t="str">
        <f t="shared" si="8"/>
        <v>－</v>
      </c>
      <c r="AD76" s="105" t="str">
        <f t="shared" si="8"/>
        <v>－</v>
      </c>
    </row>
    <row r="77" spans="1:30">
      <c r="A77" s="95" t="s">
        <v>46</v>
      </c>
      <c r="B77" s="96" t="s">
        <v>587</v>
      </c>
      <c r="C77" s="96" t="s">
        <v>588</v>
      </c>
      <c r="D77" s="96" t="s">
        <v>78</v>
      </c>
      <c r="E77" s="97" t="s">
        <v>557</v>
      </c>
      <c r="F77" s="97" t="s">
        <v>558</v>
      </c>
      <c r="G77" s="98">
        <v>67200</v>
      </c>
      <c r="H77" s="99"/>
      <c r="I77" s="100" t="s">
        <v>131</v>
      </c>
      <c r="J77" s="99"/>
      <c r="K77" s="100" t="s">
        <v>131</v>
      </c>
      <c r="L77" s="99"/>
      <c r="M77" s="100"/>
      <c r="N77" s="99"/>
      <c r="O77" s="100" t="s">
        <v>131</v>
      </c>
      <c r="P77" s="99"/>
      <c r="Q77" s="100"/>
      <c r="R77" s="99"/>
      <c r="S77" s="100" t="s">
        <v>131</v>
      </c>
      <c r="T77" s="101">
        <f>33.07</f>
        <v>33.07</v>
      </c>
      <c r="U77" s="102" t="str">
        <f t="shared" si="9"/>
        <v>－</v>
      </c>
      <c r="V77" s="102"/>
      <c r="W77" s="102"/>
      <c r="X77" s="102" t="str">
        <f t="shared" si="10"/>
        <v>－</v>
      </c>
      <c r="Y77" s="102"/>
      <c r="Z77" s="103"/>
      <c r="AA77" s="99"/>
      <c r="AB77" s="104">
        <f>20</f>
        <v>20</v>
      </c>
      <c r="AC77" s="104" t="str">
        <f t="shared" si="8"/>
        <v>－</v>
      </c>
      <c r="AD77" s="105" t="str">
        <f t="shared" si="8"/>
        <v>－</v>
      </c>
    </row>
    <row r="78" spans="1:30">
      <c r="A78" s="95" t="s">
        <v>46</v>
      </c>
      <c r="B78" s="96" t="s">
        <v>587</v>
      </c>
      <c r="C78" s="96" t="s">
        <v>588</v>
      </c>
      <c r="D78" s="96" t="s">
        <v>310</v>
      </c>
      <c r="E78" s="97" t="s">
        <v>341</v>
      </c>
      <c r="F78" s="97" t="s">
        <v>560</v>
      </c>
      <c r="G78" s="98">
        <v>74400</v>
      </c>
      <c r="H78" s="99"/>
      <c r="I78" s="100" t="s">
        <v>131</v>
      </c>
      <c r="J78" s="99"/>
      <c r="K78" s="100" t="s">
        <v>131</v>
      </c>
      <c r="L78" s="99"/>
      <c r="M78" s="100"/>
      <c r="N78" s="99"/>
      <c r="O78" s="100" t="s">
        <v>131</v>
      </c>
      <c r="P78" s="99"/>
      <c r="Q78" s="100"/>
      <c r="R78" s="99"/>
      <c r="S78" s="100" t="s">
        <v>131</v>
      </c>
      <c r="T78" s="101">
        <f>26.06</f>
        <v>26.06</v>
      </c>
      <c r="U78" s="102" t="str">
        <f t="shared" si="9"/>
        <v>－</v>
      </c>
      <c r="V78" s="102"/>
      <c r="W78" s="102"/>
      <c r="X78" s="102" t="str">
        <f t="shared" si="10"/>
        <v>－</v>
      </c>
      <c r="Y78" s="102"/>
      <c r="Z78" s="103"/>
      <c r="AA78" s="99"/>
      <c r="AB78" s="104">
        <f>20</f>
        <v>20</v>
      </c>
      <c r="AC78" s="104" t="str">
        <f t="shared" si="8"/>
        <v>－</v>
      </c>
      <c r="AD78" s="105" t="str">
        <f t="shared" si="8"/>
        <v>－</v>
      </c>
    </row>
    <row r="79" spans="1:30">
      <c r="A79" s="95" t="s">
        <v>46</v>
      </c>
      <c r="B79" s="96" t="s">
        <v>587</v>
      </c>
      <c r="C79" s="96" t="s">
        <v>588</v>
      </c>
      <c r="D79" s="96" t="s">
        <v>88</v>
      </c>
      <c r="E79" s="97" t="s">
        <v>562</v>
      </c>
      <c r="F79" s="97" t="s">
        <v>349</v>
      </c>
      <c r="G79" s="98">
        <v>72000</v>
      </c>
      <c r="H79" s="99"/>
      <c r="I79" s="100" t="s">
        <v>131</v>
      </c>
      <c r="J79" s="99"/>
      <c r="K79" s="100" t="s">
        <v>131</v>
      </c>
      <c r="L79" s="99"/>
      <c r="M79" s="100"/>
      <c r="N79" s="99"/>
      <c r="O79" s="100" t="s">
        <v>131</v>
      </c>
      <c r="P79" s="99"/>
      <c r="Q79" s="100"/>
      <c r="R79" s="99"/>
      <c r="S79" s="100" t="s">
        <v>131</v>
      </c>
      <c r="T79" s="101">
        <f>16.37</f>
        <v>16.37</v>
      </c>
      <c r="U79" s="102" t="str">
        <f t="shared" si="9"/>
        <v>－</v>
      </c>
      <c r="V79" s="102"/>
      <c r="W79" s="102"/>
      <c r="X79" s="102" t="str">
        <f t="shared" si="10"/>
        <v>－</v>
      </c>
      <c r="Y79" s="102"/>
      <c r="Z79" s="103"/>
      <c r="AA79" s="99"/>
      <c r="AB79" s="104" t="str">
        <f t="shared" ref="AB79:AB92" si="11">"－"</f>
        <v>－</v>
      </c>
      <c r="AC79" s="104" t="str">
        <f t="shared" si="8"/>
        <v>－</v>
      </c>
      <c r="AD79" s="105" t="str">
        <f t="shared" si="8"/>
        <v>－</v>
      </c>
    </row>
    <row r="80" spans="1:30">
      <c r="A80" s="95" t="s">
        <v>46</v>
      </c>
      <c r="B80" s="96" t="s">
        <v>587</v>
      </c>
      <c r="C80" s="96" t="s">
        <v>588</v>
      </c>
      <c r="D80" s="96" t="s">
        <v>319</v>
      </c>
      <c r="E80" s="97" t="s">
        <v>432</v>
      </c>
      <c r="F80" s="97" t="s">
        <v>563</v>
      </c>
      <c r="G80" s="98">
        <v>74400</v>
      </c>
      <c r="H80" s="99"/>
      <c r="I80" s="100" t="s">
        <v>131</v>
      </c>
      <c r="J80" s="99"/>
      <c r="K80" s="100" t="s">
        <v>131</v>
      </c>
      <c r="L80" s="99"/>
      <c r="M80" s="100"/>
      <c r="N80" s="99"/>
      <c r="O80" s="100" t="s">
        <v>131</v>
      </c>
      <c r="P80" s="99"/>
      <c r="Q80" s="100"/>
      <c r="R80" s="99"/>
      <c r="S80" s="100" t="s">
        <v>131</v>
      </c>
      <c r="T80" s="101">
        <f>15.99</f>
        <v>15.99</v>
      </c>
      <c r="U80" s="102" t="str">
        <f t="shared" si="9"/>
        <v>－</v>
      </c>
      <c r="V80" s="102"/>
      <c r="W80" s="102"/>
      <c r="X80" s="102" t="str">
        <f t="shared" si="10"/>
        <v>－</v>
      </c>
      <c r="Y80" s="102"/>
      <c r="Z80" s="103"/>
      <c r="AA80" s="99"/>
      <c r="AB80" s="104" t="str">
        <f t="shared" si="11"/>
        <v>－</v>
      </c>
      <c r="AC80" s="104" t="str">
        <f t="shared" si="8"/>
        <v>－</v>
      </c>
      <c r="AD80" s="105" t="str">
        <f t="shared" si="8"/>
        <v>－</v>
      </c>
    </row>
    <row r="81" spans="1:30">
      <c r="A81" s="95" t="s">
        <v>46</v>
      </c>
      <c r="B81" s="96" t="s">
        <v>587</v>
      </c>
      <c r="C81" s="96" t="s">
        <v>588</v>
      </c>
      <c r="D81" s="96" t="s">
        <v>513</v>
      </c>
      <c r="E81" s="97" t="s">
        <v>564</v>
      </c>
      <c r="F81" s="97" t="s">
        <v>565</v>
      </c>
      <c r="G81" s="98">
        <v>72000</v>
      </c>
      <c r="H81" s="99"/>
      <c r="I81" s="100" t="s">
        <v>131</v>
      </c>
      <c r="J81" s="99"/>
      <c r="K81" s="100" t="s">
        <v>131</v>
      </c>
      <c r="L81" s="99"/>
      <c r="M81" s="100"/>
      <c r="N81" s="99"/>
      <c r="O81" s="100" t="s">
        <v>131</v>
      </c>
      <c r="P81" s="99"/>
      <c r="Q81" s="100"/>
      <c r="R81" s="99"/>
      <c r="S81" s="100" t="s">
        <v>131</v>
      </c>
      <c r="T81" s="101">
        <f>16.37</f>
        <v>16.37</v>
      </c>
      <c r="U81" s="102" t="str">
        <f t="shared" si="9"/>
        <v>－</v>
      </c>
      <c r="V81" s="102"/>
      <c r="W81" s="102"/>
      <c r="X81" s="102" t="str">
        <f t="shared" si="10"/>
        <v>－</v>
      </c>
      <c r="Y81" s="102"/>
      <c r="Z81" s="103"/>
      <c r="AA81" s="99"/>
      <c r="AB81" s="104" t="str">
        <f t="shared" si="11"/>
        <v>－</v>
      </c>
      <c r="AC81" s="104" t="str">
        <f t="shared" si="8"/>
        <v>－</v>
      </c>
      <c r="AD81" s="105" t="str">
        <f t="shared" si="8"/>
        <v>－</v>
      </c>
    </row>
    <row r="82" spans="1:30">
      <c r="A82" s="95" t="s">
        <v>46</v>
      </c>
      <c r="B82" s="96" t="s">
        <v>587</v>
      </c>
      <c r="C82" s="96" t="s">
        <v>588</v>
      </c>
      <c r="D82" s="96" t="s">
        <v>519</v>
      </c>
      <c r="E82" s="97" t="s">
        <v>250</v>
      </c>
      <c r="F82" s="97" t="s">
        <v>566</v>
      </c>
      <c r="G82" s="98">
        <v>74400</v>
      </c>
      <c r="H82" s="99"/>
      <c r="I82" s="100" t="s">
        <v>131</v>
      </c>
      <c r="J82" s="99"/>
      <c r="K82" s="100" t="s">
        <v>131</v>
      </c>
      <c r="L82" s="99"/>
      <c r="M82" s="100"/>
      <c r="N82" s="99"/>
      <c r="O82" s="100" t="s">
        <v>131</v>
      </c>
      <c r="P82" s="99"/>
      <c r="Q82" s="100"/>
      <c r="R82" s="99"/>
      <c r="S82" s="100" t="s">
        <v>131</v>
      </c>
      <c r="T82" s="101">
        <f>18.12</f>
        <v>18.12</v>
      </c>
      <c r="U82" s="102" t="str">
        <f t="shared" si="9"/>
        <v>－</v>
      </c>
      <c r="V82" s="102"/>
      <c r="W82" s="102"/>
      <c r="X82" s="102" t="str">
        <f t="shared" si="10"/>
        <v>－</v>
      </c>
      <c r="Y82" s="102"/>
      <c r="Z82" s="103"/>
      <c r="AA82" s="99"/>
      <c r="AB82" s="104" t="str">
        <f t="shared" si="11"/>
        <v>－</v>
      </c>
      <c r="AC82" s="104" t="str">
        <f t="shared" si="8"/>
        <v>－</v>
      </c>
      <c r="AD82" s="105" t="str">
        <f t="shared" si="8"/>
        <v>－</v>
      </c>
    </row>
    <row r="83" spans="1:30">
      <c r="A83" s="95" t="s">
        <v>46</v>
      </c>
      <c r="B83" s="96" t="s">
        <v>587</v>
      </c>
      <c r="C83" s="96" t="s">
        <v>588</v>
      </c>
      <c r="D83" s="96" t="s">
        <v>567</v>
      </c>
      <c r="E83" s="97" t="s">
        <v>250</v>
      </c>
      <c r="F83" s="97" t="s">
        <v>568</v>
      </c>
      <c r="G83" s="98">
        <v>74400</v>
      </c>
      <c r="H83" s="99"/>
      <c r="I83" s="100" t="s">
        <v>131</v>
      </c>
      <c r="J83" s="99"/>
      <c r="K83" s="100" t="s">
        <v>131</v>
      </c>
      <c r="L83" s="99"/>
      <c r="M83" s="100"/>
      <c r="N83" s="99"/>
      <c r="O83" s="100" t="s">
        <v>131</v>
      </c>
      <c r="P83" s="99"/>
      <c r="Q83" s="100"/>
      <c r="R83" s="99"/>
      <c r="S83" s="100" t="s">
        <v>131</v>
      </c>
      <c r="T83" s="101">
        <f>18.6</f>
        <v>18.600000000000001</v>
      </c>
      <c r="U83" s="102" t="str">
        <f t="shared" si="9"/>
        <v>－</v>
      </c>
      <c r="V83" s="102"/>
      <c r="W83" s="102"/>
      <c r="X83" s="102" t="str">
        <f t="shared" si="10"/>
        <v>－</v>
      </c>
      <c r="Y83" s="102"/>
      <c r="Z83" s="103"/>
      <c r="AA83" s="99"/>
      <c r="AB83" s="104" t="str">
        <f t="shared" si="11"/>
        <v>－</v>
      </c>
      <c r="AC83" s="104" t="str">
        <f t="shared" si="8"/>
        <v>－</v>
      </c>
      <c r="AD83" s="105" t="str">
        <f t="shared" si="8"/>
        <v>－</v>
      </c>
    </row>
    <row r="84" spans="1:30">
      <c r="A84" s="95" t="s">
        <v>46</v>
      </c>
      <c r="B84" s="96" t="s">
        <v>587</v>
      </c>
      <c r="C84" s="96" t="s">
        <v>588</v>
      </c>
      <c r="D84" s="96" t="s">
        <v>569</v>
      </c>
      <c r="E84" s="97" t="s">
        <v>250</v>
      </c>
      <c r="F84" s="97" t="s">
        <v>570</v>
      </c>
      <c r="G84" s="98">
        <v>72000</v>
      </c>
      <c r="H84" s="99"/>
      <c r="I84" s="100" t="s">
        <v>131</v>
      </c>
      <c r="J84" s="99"/>
      <c r="K84" s="100" t="s">
        <v>131</v>
      </c>
      <c r="L84" s="99"/>
      <c r="M84" s="100"/>
      <c r="N84" s="99"/>
      <c r="O84" s="100" t="s">
        <v>131</v>
      </c>
      <c r="P84" s="99"/>
      <c r="Q84" s="100"/>
      <c r="R84" s="99"/>
      <c r="S84" s="100" t="s">
        <v>131</v>
      </c>
      <c r="T84" s="101">
        <f>17.18</f>
        <v>17.18</v>
      </c>
      <c r="U84" s="102" t="str">
        <f t="shared" si="9"/>
        <v>－</v>
      </c>
      <c r="V84" s="102"/>
      <c r="W84" s="102"/>
      <c r="X84" s="102" t="str">
        <f t="shared" si="10"/>
        <v>－</v>
      </c>
      <c r="Y84" s="102"/>
      <c r="Z84" s="103"/>
      <c r="AA84" s="99"/>
      <c r="AB84" s="104" t="str">
        <f t="shared" si="11"/>
        <v>－</v>
      </c>
      <c r="AC84" s="104" t="str">
        <f t="shared" si="8"/>
        <v>－</v>
      </c>
      <c r="AD84" s="105" t="str">
        <f t="shared" si="8"/>
        <v>－</v>
      </c>
    </row>
    <row r="85" spans="1:30">
      <c r="A85" s="95" t="s">
        <v>46</v>
      </c>
      <c r="B85" s="96" t="s">
        <v>587</v>
      </c>
      <c r="C85" s="96" t="s">
        <v>588</v>
      </c>
      <c r="D85" s="96" t="s">
        <v>571</v>
      </c>
      <c r="E85" s="97" t="s">
        <v>250</v>
      </c>
      <c r="F85" s="97" t="s">
        <v>572</v>
      </c>
      <c r="G85" s="98">
        <v>74400</v>
      </c>
      <c r="H85" s="99"/>
      <c r="I85" s="100" t="s">
        <v>131</v>
      </c>
      <c r="J85" s="99"/>
      <c r="K85" s="100" t="s">
        <v>131</v>
      </c>
      <c r="L85" s="99"/>
      <c r="M85" s="100"/>
      <c r="N85" s="99"/>
      <c r="O85" s="100" t="s">
        <v>131</v>
      </c>
      <c r="P85" s="99"/>
      <c r="Q85" s="100"/>
      <c r="R85" s="99"/>
      <c r="S85" s="100" t="s">
        <v>131</v>
      </c>
      <c r="T85" s="101">
        <f>15.67</f>
        <v>15.67</v>
      </c>
      <c r="U85" s="102" t="str">
        <f t="shared" si="9"/>
        <v>－</v>
      </c>
      <c r="V85" s="102"/>
      <c r="W85" s="102"/>
      <c r="X85" s="102" t="str">
        <f t="shared" si="10"/>
        <v>－</v>
      </c>
      <c r="Y85" s="102"/>
      <c r="Z85" s="103"/>
      <c r="AA85" s="99"/>
      <c r="AB85" s="104" t="str">
        <f t="shared" si="11"/>
        <v>－</v>
      </c>
      <c r="AC85" s="104" t="str">
        <f t="shared" si="8"/>
        <v>－</v>
      </c>
      <c r="AD85" s="105" t="str">
        <f t="shared" si="8"/>
        <v>－</v>
      </c>
    </row>
    <row r="86" spans="1:30">
      <c r="A86" s="95" t="s">
        <v>46</v>
      </c>
      <c r="B86" s="96" t="s">
        <v>587</v>
      </c>
      <c r="C86" s="96" t="s">
        <v>588</v>
      </c>
      <c r="D86" s="96" t="s">
        <v>573</v>
      </c>
      <c r="E86" s="97" t="s">
        <v>250</v>
      </c>
      <c r="F86" s="97" t="s">
        <v>574</v>
      </c>
      <c r="G86" s="98">
        <v>72000</v>
      </c>
      <c r="H86" s="99"/>
      <c r="I86" s="100" t="s">
        <v>131</v>
      </c>
      <c r="J86" s="99"/>
      <c r="K86" s="100" t="s">
        <v>131</v>
      </c>
      <c r="L86" s="99"/>
      <c r="M86" s="100"/>
      <c r="N86" s="99"/>
      <c r="O86" s="100" t="s">
        <v>131</v>
      </c>
      <c r="P86" s="99"/>
      <c r="Q86" s="100"/>
      <c r="R86" s="99"/>
      <c r="S86" s="100" t="s">
        <v>131</v>
      </c>
      <c r="T86" s="101">
        <f>15.91</f>
        <v>15.91</v>
      </c>
      <c r="U86" s="102" t="str">
        <f t="shared" si="9"/>
        <v>－</v>
      </c>
      <c r="V86" s="102"/>
      <c r="W86" s="102"/>
      <c r="X86" s="102" t="str">
        <f t="shared" si="10"/>
        <v>－</v>
      </c>
      <c r="Y86" s="102"/>
      <c r="Z86" s="103"/>
      <c r="AA86" s="99"/>
      <c r="AB86" s="104" t="str">
        <f t="shared" si="11"/>
        <v>－</v>
      </c>
      <c r="AC86" s="104" t="str">
        <f t="shared" si="8"/>
        <v>－</v>
      </c>
      <c r="AD86" s="105" t="str">
        <f t="shared" si="8"/>
        <v>－</v>
      </c>
    </row>
    <row r="87" spans="1:30">
      <c r="A87" s="95" t="s">
        <v>46</v>
      </c>
      <c r="B87" s="96" t="s">
        <v>587</v>
      </c>
      <c r="C87" s="96" t="s">
        <v>588</v>
      </c>
      <c r="D87" s="96" t="s">
        <v>575</v>
      </c>
      <c r="E87" s="97" t="s">
        <v>250</v>
      </c>
      <c r="F87" s="97" t="s">
        <v>576</v>
      </c>
      <c r="G87" s="98">
        <v>74400</v>
      </c>
      <c r="H87" s="99"/>
      <c r="I87" s="100" t="s">
        <v>131</v>
      </c>
      <c r="J87" s="99"/>
      <c r="K87" s="100" t="s">
        <v>131</v>
      </c>
      <c r="L87" s="99"/>
      <c r="M87" s="100"/>
      <c r="N87" s="99"/>
      <c r="O87" s="100" t="s">
        <v>131</v>
      </c>
      <c r="P87" s="99"/>
      <c r="Q87" s="100"/>
      <c r="R87" s="99"/>
      <c r="S87" s="100" t="s">
        <v>131</v>
      </c>
      <c r="T87" s="101">
        <f>17.71</f>
        <v>17.71</v>
      </c>
      <c r="U87" s="102" t="str">
        <f t="shared" si="9"/>
        <v>－</v>
      </c>
      <c r="V87" s="102"/>
      <c r="W87" s="102"/>
      <c r="X87" s="102" t="str">
        <f t="shared" si="10"/>
        <v>－</v>
      </c>
      <c r="Y87" s="102"/>
      <c r="Z87" s="103"/>
      <c r="AA87" s="99"/>
      <c r="AB87" s="104" t="str">
        <f t="shared" si="11"/>
        <v>－</v>
      </c>
      <c r="AC87" s="104" t="str">
        <f t="shared" si="8"/>
        <v>－</v>
      </c>
      <c r="AD87" s="105" t="str">
        <f t="shared" si="8"/>
        <v>－</v>
      </c>
    </row>
    <row r="88" spans="1:30">
      <c r="A88" s="95" t="s">
        <v>46</v>
      </c>
      <c r="B88" s="96" t="s">
        <v>587</v>
      </c>
      <c r="C88" s="96" t="s">
        <v>588</v>
      </c>
      <c r="D88" s="96" t="s">
        <v>577</v>
      </c>
      <c r="E88" s="97" t="s">
        <v>250</v>
      </c>
      <c r="F88" s="97" t="s">
        <v>578</v>
      </c>
      <c r="G88" s="98">
        <v>74400</v>
      </c>
      <c r="H88" s="99"/>
      <c r="I88" s="100" t="s">
        <v>131</v>
      </c>
      <c r="J88" s="99"/>
      <c r="K88" s="100" t="s">
        <v>131</v>
      </c>
      <c r="L88" s="99"/>
      <c r="M88" s="100"/>
      <c r="N88" s="99"/>
      <c r="O88" s="100" t="s">
        <v>131</v>
      </c>
      <c r="P88" s="99"/>
      <c r="Q88" s="100"/>
      <c r="R88" s="99"/>
      <c r="S88" s="100" t="s">
        <v>131</v>
      </c>
      <c r="T88" s="101">
        <f>18.66</f>
        <v>18.66</v>
      </c>
      <c r="U88" s="102" t="str">
        <f t="shared" si="9"/>
        <v>－</v>
      </c>
      <c r="V88" s="102"/>
      <c r="W88" s="102"/>
      <c r="X88" s="102" t="str">
        <f t="shared" si="10"/>
        <v>－</v>
      </c>
      <c r="Y88" s="102"/>
      <c r="Z88" s="103"/>
      <c r="AA88" s="99"/>
      <c r="AB88" s="104" t="str">
        <f t="shared" si="11"/>
        <v>－</v>
      </c>
      <c r="AC88" s="104" t="str">
        <f t="shared" si="8"/>
        <v>－</v>
      </c>
      <c r="AD88" s="105" t="str">
        <f t="shared" si="8"/>
        <v>－</v>
      </c>
    </row>
    <row r="89" spans="1:30">
      <c r="A89" s="95" t="s">
        <v>46</v>
      </c>
      <c r="B89" s="96" t="s">
        <v>587</v>
      </c>
      <c r="C89" s="96" t="s">
        <v>588</v>
      </c>
      <c r="D89" s="96" t="s">
        <v>579</v>
      </c>
      <c r="E89" s="97" t="s">
        <v>250</v>
      </c>
      <c r="F89" s="97" t="s">
        <v>580</v>
      </c>
      <c r="G89" s="98">
        <v>69600</v>
      </c>
      <c r="H89" s="99"/>
      <c r="I89" s="100" t="s">
        <v>131</v>
      </c>
      <c r="J89" s="99"/>
      <c r="K89" s="100" t="s">
        <v>131</v>
      </c>
      <c r="L89" s="99"/>
      <c r="M89" s="100"/>
      <c r="N89" s="99"/>
      <c r="O89" s="100" t="s">
        <v>131</v>
      </c>
      <c r="P89" s="99"/>
      <c r="Q89" s="100"/>
      <c r="R89" s="99"/>
      <c r="S89" s="100" t="s">
        <v>131</v>
      </c>
      <c r="T89" s="101">
        <f>18.52</f>
        <v>18.52</v>
      </c>
      <c r="U89" s="102" t="str">
        <f t="shared" si="9"/>
        <v>－</v>
      </c>
      <c r="V89" s="102"/>
      <c r="W89" s="102"/>
      <c r="X89" s="102" t="str">
        <f t="shared" si="10"/>
        <v>－</v>
      </c>
      <c r="Y89" s="102"/>
      <c r="Z89" s="103"/>
      <c r="AA89" s="99"/>
      <c r="AB89" s="104" t="str">
        <f t="shared" si="11"/>
        <v>－</v>
      </c>
      <c r="AC89" s="104" t="str">
        <f t="shared" si="8"/>
        <v>－</v>
      </c>
      <c r="AD89" s="105" t="str">
        <f t="shared" si="8"/>
        <v>－</v>
      </c>
    </row>
    <row r="90" spans="1:30">
      <c r="A90" s="95" t="s">
        <v>46</v>
      </c>
      <c r="B90" s="96" t="s">
        <v>587</v>
      </c>
      <c r="C90" s="96" t="s">
        <v>588</v>
      </c>
      <c r="D90" s="96" t="s">
        <v>581</v>
      </c>
      <c r="E90" s="97" t="s">
        <v>250</v>
      </c>
      <c r="F90" s="97" t="s">
        <v>582</v>
      </c>
      <c r="G90" s="98">
        <v>74400</v>
      </c>
      <c r="H90" s="99"/>
      <c r="I90" s="100" t="s">
        <v>131</v>
      </c>
      <c r="J90" s="99"/>
      <c r="K90" s="100" t="s">
        <v>131</v>
      </c>
      <c r="L90" s="99"/>
      <c r="M90" s="100"/>
      <c r="N90" s="99"/>
      <c r="O90" s="100" t="s">
        <v>131</v>
      </c>
      <c r="P90" s="99"/>
      <c r="Q90" s="100"/>
      <c r="R90" s="99"/>
      <c r="S90" s="100" t="s">
        <v>131</v>
      </c>
      <c r="T90" s="101">
        <f>16.41</f>
        <v>16.41</v>
      </c>
      <c r="U90" s="102" t="str">
        <f t="shared" si="9"/>
        <v>－</v>
      </c>
      <c r="V90" s="102"/>
      <c r="W90" s="102"/>
      <c r="X90" s="102" t="str">
        <f t="shared" si="10"/>
        <v>－</v>
      </c>
      <c r="Y90" s="102"/>
      <c r="Z90" s="103"/>
      <c r="AA90" s="99"/>
      <c r="AB90" s="104" t="str">
        <f t="shared" si="11"/>
        <v>－</v>
      </c>
      <c r="AC90" s="104" t="str">
        <f t="shared" si="8"/>
        <v>－</v>
      </c>
      <c r="AD90" s="105" t="str">
        <f t="shared" si="8"/>
        <v>－</v>
      </c>
    </row>
    <row r="91" spans="1:30">
      <c r="A91" s="95" t="s">
        <v>46</v>
      </c>
      <c r="B91" s="96" t="s">
        <v>587</v>
      </c>
      <c r="C91" s="96" t="s">
        <v>588</v>
      </c>
      <c r="D91" s="96" t="s">
        <v>583</v>
      </c>
      <c r="E91" s="97" t="s">
        <v>231</v>
      </c>
      <c r="F91" s="97" t="s">
        <v>584</v>
      </c>
      <c r="G91" s="98">
        <v>72000</v>
      </c>
      <c r="H91" s="99"/>
      <c r="I91" s="100" t="s">
        <v>131</v>
      </c>
      <c r="J91" s="99"/>
      <c r="K91" s="100" t="s">
        <v>131</v>
      </c>
      <c r="L91" s="99"/>
      <c r="M91" s="100"/>
      <c r="N91" s="99"/>
      <c r="O91" s="100" t="s">
        <v>131</v>
      </c>
      <c r="P91" s="99"/>
      <c r="Q91" s="100"/>
      <c r="R91" s="99"/>
      <c r="S91" s="100" t="s">
        <v>131</v>
      </c>
      <c r="T91" s="101">
        <f>14.94</f>
        <v>14.94</v>
      </c>
      <c r="U91" s="102" t="str">
        <f t="shared" si="9"/>
        <v>－</v>
      </c>
      <c r="V91" s="102"/>
      <c r="W91" s="102"/>
      <c r="X91" s="102" t="str">
        <f t="shared" si="10"/>
        <v>－</v>
      </c>
      <c r="Y91" s="102"/>
      <c r="Z91" s="103"/>
      <c r="AA91" s="99"/>
      <c r="AB91" s="104" t="str">
        <f t="shared" si="11"/>
        <v>－</v>
      </c>
      <c r="AC91" s="104" t="str">
        <f t="shared" si="8"/>
        <v>－</v>
      </c>
      <c r="AD91" s="105" t="str">
        <f t="shared" si="8"/>
        <v>－</v>
      </c>
    </row>
    <row r="92" spans="1:30">
      <c r="A92" s="95" t="s">
        <v>46</v>
      </c>
      <c r="B92" s="96" t="s">
        <v>587</v>
      </c>
      <c r="C92" s="96" t="s">
        <v>588</v>
      </c>
      <c r="D92" s="96" t="s">
        <v>585</v>
      </c>
      <c r="E92" s="97" t="s">
        <v>326</v>
      </c>
      <c r="F92" s="97" t="s">
        <v>586</v>
      </c>
      <c r="G92" s="98">
        <v>74400</v>
      </c>
      <c r="H92" s="99"/>
      <c r="I92" s="100" t="s">
        <v>131</v>
      </c>
      <c r="J92" s="99"/>
      <c r="K92" s="100" t="s">
        <v>131</v>
      </c>
      <c r="L92" s="99"/>
      <c r="M92" s="100"/>
      <c r="N92" s="99"/>
      <c r="O92" s="100" t="s">
        <v>131</v>
      </c>
      <c r="P92" s="99"/>
      <c r="Q92" s="100"/>
      <c r="R92" s="99"/>
      <c r="S92" s="100" t="s">
        <v>131</v>
      </c>
      <c r="T92" s="101">
        <f>15.04</f>
        <v>15.04</v>
      </c>
      <c r="U92" s="102" t="str">
        <f t="shared" si="9"/>
        <v>－</v>
      </c>
      <c r="V92" s="102"/>
      <c r="W92" s="102"/>
      <c r="X92" s="102" t="str">
        <f t="shared" si="10"/>
        <v>－</v>
      </c>
      <c r="Y92" s="102"/>
      <c r="Z92" s="103"/>
      <c r="AA92" s="99"/>
      <c r="AB92" s="104" t="str">
        <f t="shared" si="11"/>
        <v>－</v>
      </c>
      <c r="AC92" s="104" t="str">
        <f t="shared" si="8"/>
        <v>－</v>
      </c>
      <c r="AD92" s="105" t="str">
        <f t="shared" si="8"/>
        <v>－</v>
      </c>
    </row>
    <row r="93" spans="1:30">
      <c r="A93" s="95" t="s">
        <v>46</v>
      </c>
      <c r="B93" s="96" t="s">
        <v>596</v>
      </c>
      <c r="C93" s="96" t="s">
        <v>597</v>
      </c>
      <c r="D93" s="96" t="s">
        <v>46</v>
      </c>
      <c r="E93" s="97" t="s">
        <v>598</v>
      </c>
      <c r="F93" s="97" t="s">
        <v>528</v>
      </c>
      <c r="G93" s="98">
        <v>21600</v>
      </c>
      <c r="H93" s="99"/>
      <c r="I93" s="100" t="s">
        <v>131</v>
      </c>
      <c r="J93" s="99"/>
      <c r="K93" s="100" t="s">
        <v>131</v>
      </c>
      <c r="L93" s="99"/>
      <c r="M93" s="100"/>
      <c r="N93" s="99"/>
      <c r="O93" s="100" t="s">
        <v>131</v>
      </c>
      <c r="P93" s="99"/>
      <c r="Q93" s="100"/>
      <c r="R93" s="99"/>
      <c r="S93" s="100" t="s">
        <v>131</v>
      </c>
      <c r="T93" s="101">
        <f>23.14</f>
        <v>23.14</v>
      </c>
      <c r="U93" s="102" t="str">
        <f t="shared" si="9"/>
        <v>－</v>
      </c>
      <c r="V93" s="102"/>
      <c r="W93" s="102"/>
      <c r="X93" s="102" t="str">
        <f t="shared" si="10"/>
        <v>－</v>
      </c>
      <c r="Y93" s="102"/>
      <c r="Z93" s="103"/>
      <c r="AA93" s="99" t="s">
        <v>232</v>
      </c>
      <c r="AB93" s="104">
        <f>10</f>
        <v>10</v>
      </c>
      <c r="AC93" s="104" t="str">
        <f t="shared" si="8"/>
        <v>－</v>
      </c>
      <c r="AD93" s="105" t="str">
        <f t="shared" si="8"/>
        <v>－</v>
      </c>
    </row>
    <row r="94" spans="1:30">
      <c r="A94" s="95" t="s">
        <v>46</v>
      </c>
      <c r="B94" s="96" t="s">
        <v>596</v>
      </c>
      <c r="C94" s="96" t="s">
        <v>597</v>
      </c>
      <c r="D94" s="96" t="s">
        <v>49</v>
      </c>
      <c r="E94" s="97" t="s">
        <v>529</v>
      </c>
      <c r="F94" s="97" t="s">
        <v>530</v>
      </c>
      <c r="G94" s="98">
        <v>26400</v>
      </c>
      <c r="H94" s="99" t="s">
        <v>93</v>
      </c>
      <c r="I94" s="100" t="s">
        <v>599</v>
      </c>
      <c r="J94" s="99" t="s">
        <v>55</v>
      </c>
      <c r="K94" s="100" t="s">
        <v>561</v>
      </c>
      <c r="L94" s="99" t="s">
        <v>136</v>
      </c>
      <c r="M94" s="100" t="s">
        <v>600</v>
      </c>
      <c r="N94" s="99" t="s">
        <v>93</v>
      </c>
      <c r="O94" s="100" t="s">
        <v>599</v>
      </c>
      <c r="P94" s="99" t="s">
        <v>136</v>
      </c>
      <c r="Q94" s="100" t="s">
        <v>600</v>
      </c>
      <c r="R94" s="99" t="s">
        <v>55</v>
      </c>
      <c r="S94" s="100" t="s">
        <v>561</v>
      </c>
      <c r="T94" s="101">
        <f>26.45</f>
        <v>26.45</v>
      </c>
      <c r="U94" s="102">
        <f>53</f>
        <v>53</v>
      </c>
      <c r="V94" s="102">
        <v>50</v>
      </c>
      <c r="W94" s="102"/>
      <c r="X94" s="102">
        <f>37986960</f>
        <v>37986960</v>
      </c>
      <c r="Y94" s="102">
        <v>35904000</v>
      </c>
      <c r="Z94" s="103"/>
      <c r="AA94" s="99"/>
      <c r="AB94" s="104">
        <f>51</f>
        <v>51</v>
      </c>
      <c r="AC94" s="104" t="str">
        <f t="shared" si="8"/>
        <v>－</v>
      </c>
      <c r="AD94" s="105">
        <f>2</f>
        <v>2</v>
      </c>
    </row>
    <row r="95" spans="1:30">
      <c r="A95" s="95" t="s">
        <v>46</v>
      </c>
      <c r="B95" s="96" t="s">
        <v>596</v>
      </c>
      <c r="C95" s="96" t="s">
        <v>597</v>
      </c>
      <c r="D95" s="96" t="s">
        <v>237</v>
      </c>
      <c r="E95" s="97" t="s">
        <v>532</v>
      </c>
      <c r="F95" s="97" t="s">
        <v>601</v>
      </c>
      <c r="G95" s="98">
        <v>24000</v>
      </c>
      <c r="H95" s="99"/>
      <c r="I95" s="100" t="s">
        <v>131</v>
      </c>
      <c r="J95" s="99"/>
      <c r="K95" s="100" t="s">
        <v>131</v>
      </c>
      <c r="L95" s="99" t="s">
        <v>287</v>
      </c>
      <c r="M95" s="100" t="s">
        <v>602</v>
      </c>
      <c r="N95" s="99"/>
      <c r="O95" s="100" t="s">
        <v>131</v>
      </c>
      <c r="P95" s="99" t="s">
        <v>308</v>
      </c>
      <c r="Q95" s="100" t="s">
        <v>603</v>
      </c>
      <c r="R95" s="99"/>
      <c r="S95" s="100" t="s">
        <v>131</v>
      </c>
      <c r="T95" s="101">
        <f>36.12</f>
        <v>36.119999999999997</v>
      </c>
      <c r="U95" s="102">
        <f>120</f>
        <v>120</v>
      </c>
      <c r="V95" s="102">
        <v>120</v>
      </c>
      <c r="W95" s="102"/>
      <c r="X95" s="102">
        <f>107136000</f>
        <v>107136000</v>
      </c>
      <c r="Y95" s="102">
        <v>107136000</v>
      </c>
      <c r="Z95" s="103"/>
      <c r="AA95" s="99"/>
      <c r="AB95" s="104">
        <f>200</f>
        <v>200</v>
      </c>
      <c r="AC95" s="104" t="str">
        <f t="shared" si="8"/>
        <v>－</v>
      </c>
      <c r="AD95" s="105" t="str">
        <f t="shared" si="8"/>
        <v>－</v>
      </c>
    </row>
    <row r="96" spans="1:30">
      <c r="A96" s="95" t="s">
        <v>46</v>
      </c>
      <c r="B96" s="96" t="s">
        <v>596</v>
      </c>
      <c r="C96" s="96" t="s">
        <v>597</v>
      </c>
      <c r="D96" s="96" t="s">
        <v>59</v>
      </c>
      <c r="E96" s="97" t="s">
        <v>538</v>
      </c>
      <c r="F96" s="97" t="s">
        <v>539</v>
      </c>
      <c r="G96" s="98">
        <v>26400</v>
      </c>
      <c r="H96" s="99"/>
      <c r="I96" s="100" t="s">
        <v>131</v>
      </c>
      <c r="J96" s="99"/>
      <c r="K96" s="100" t="s">
        <v>131</v>
      </c>
      <c r="L96" s="99" t="s">
        <v>308</v>
      </c>
      <c r="M96" s="100" t="s">
        <v>603</v>
      </c>
      <c r="N96" s="99"/>
      <c r="O96" s="100" t="s">
        <v>131</v>
      </c>
      <c r="P96" s="99" t="s">
        <v>96</v>
      </c>
      <c r="Q96" s="100" t="s">
        <v>604</v>
      </c>
      <c r="R96" s="99"/>
      <c r="S96" s="100" t="s">
        <v>131</v>
      </c>
      <c r="T96" s="101">
        <f>41.13</f>
        <v>41.13</v>
      </c>
      <c r="U96" s="102">
        <f>300</f>
        <v>300</v>
      </c>
      <c r="V96" s="102">
        <v>300</v>
      </c>
      <c r="W96" s="102"/>
      <c r="X96" s="102">
        <f>283905600</f>
        <v>283905600</v>
      </c>
      <c r="Y96" s="102">
        <v>283905600</v>
      </c>
      <c r="Z96" s="103"/>
      <c r="AA96" s="99"/>
      <c r="AB96" s="104">
        <f>400</f>
        <v>400</v>
      </c>
      <c r="AC96" s="104" t="str">
        <f t="shared" si="8"/>
        <v>－</v>
      </c>
      <c r="AD96" s="105" t="str">
        <f t="shared" si="8"/>
        <v>－</v>
      </c>
    </row>
    <row r="97" spans="1:30">
      <c r="A97" s="95" t="s">
        <v>46</v>
      </c>
      <c r="B97" s="96" t="s">
        <v>596</v>
      </c>
      <c r="C97" s="96" t="s">
        <v>597</v>
      </c>
      <c r="D97" s="96" t="s">
        <v>245</v>
      </c>
      <c r="E97" s="97" t="s">
        <v>543</v>
      </c>
      <c r="F97" s="97" t="s">
        <v>544</v>
      </c>
      <c r="G97" s="98">
        <v>24000</v>
      </c>
      <c r="H97" s="99"/>
      <c r="I97" s="100" t="s">
        <v>131</v>
      </c>
      <c r="J97" s="99"/>
      <c r="K97" s="100" t="s">
        <v>131</v>
      </c>
      <c r="L97" s="99" t="s">
        <v>308</v>
      </c>
      <c r="M97" s="100" t="s">
        <v>603</v>
      </c>
      <c r="N97" s="99"/>
      <c r="O97" s="100" t="s">
        <v>131</v>
      </c>
      <c r="P97" s="99" t="s">
        <v>136</v>
      </c>
      <c r="Q97" s="100" t="s">
        <v>605</v>
      </c>
      <c r="R97" s="99"/>
      <c r="S97" s="100" t="s">
        <v>131</v>
      </c>
      <c r="T97" s="101">
        <f>31.93</f>
        <v>31.93</v>
      </c>
      <c r="U97" s="102">
        <f>220</f>
        <v>220</v>
      </c>
      <c r="V97" s="102">
        <v>220</v>
      </c>
      <c r="W97" s="102"/>
      <c r="X97" s="102">
        <f>181920000</f>
        <v>181920000</v>
      </c>
      <c r="Y97" s="102">
        <v>181920000</v>
      </c>
      <c r="Z97" s="103"/>
      <c r="AA97" s="99"/>
      <c r="AB97" s="104">
        <f>280</f>
        <v>280</v>
      </c>
      <c r="AC97" s="104" t="str">
        <f t="shared" si="8"/>
        <v>－</v>
      </c>
      <c r="AD97" s="105" t="str">
        <f t="shared" si="8"/>
        <v>－</v>
      </c>
    </row>
    <row r="98" spans="1:30">
      <c r="A98" s="95" t="s">
        <v>46</v>
      </c>
      <c r="B98" s="96" t="s">
        <v>596</v>
      </c>
      <c r="C98" s="96" t="s">
        <v>597</v>
      </c>
      <c r="D98" s="96" t="s">
        <v>66</v>
      </c>
      <c r="E98" s="97" t="s">
        <v>606</v>
      </c>
      <c r="F98" s="97" t="s">
        <v>548</v>
      </c>
      <c r="G98" s="98">
        <v>24000</v>
      </c>
      <c r="H98" s="99"/>
      <c r="I98" s="100" t="s">
        <v>131</v>
      </c>
      <c r="J98" s="99"/>
      <c r="K98" s="100" t="s">
        <v>131</v>
      </c>
      <c r="L98" s="99"/>
      <c r="M98" s="100"/>
      <c r="N98" s="99"/>
      <c r="O98" s="100" t="s">
        <v>131</v>
      </c>
      <c r="P98" s="99"/>
      <c r="Q98" s="100"/>
      <c r="R98" s="99"/>
      <c r="S98" s="100" t="s">
        <v>131</v>
      </c>
      <c r="T98" s="101">
        <f>27.29</f>
        <v>27.29</v>
      </c>
      <c r="U98" s="102" t="str">
        <f>"－"</f>
        <v>－</v>
      </c>
      <c r="V98" s="102"/>
      <c r="W98" s="102"/>
      <c r="X98" s="102" t="str">
        <f>"－"</f>
        <v>－</v>
      </c>
      <c r="Y98" s="102"/>
      <c r="Z98" s="103"/>
      <c r="AA98" s="99"/>
      <c r="AB98" s="104" t="str">
        <f>"－"</f>
        <v>－</v>
      </c>
      <c r="AC98" s="104" t="str">
        <f t="shared" si="8"/>
        <v>－</v>
      </c>
      <c r="AD98" s="105" t="str">
        <f t="shared" si="8"/>
        <v>－</v>
      </c>
    </row>
    <row r="99" spans="1:30">
      <c r="A99" s="95" t="s">
        <v>46</v>
      </c>
      <c r="B99" s="96" t="s">
        <v>596</v>
      </c>
      <c r="C99" s="96" t="s">
        <v>597</v>
      </c>
      <c r="D99" s="96" t="s">
        <v>252</v>
      </c>
      <c r="E99" s="97" t="s">
        <v>550</v>
      </c>
      <c r="F99" s="97" t="s">
        <v>551</v>
      </c>
      <c r="G99" s="98">
        <v>24000</v>
      </c>
      <c r="H99" s="99"/>
      <c r="I99" s="100" t="s">
        <v>131</v>
      </c>
      <c r="J99" s="99"/>
      <c r="K99" s="100" t="s">
        <v>131</v>
      </c>
      <c r="L99" s="99"/>
      <c r="M99" s="100"/>
      <c r="N99" s="99"/>
      <c r="O99" s="100" t="s">
        <v>131</v>
      </c>
      <c r="P99" s="99"/>
      <c r="Q99" s="100"/>
      <c r="R99" s="99"/>
      <c r="S99" s="100" t="s">
        <v>131</v>
      </c>
      <c r="T99" s="101">
        <f>28.51</f>
        <v>28.51</v>
      </c>
      <c r="U99" s="102" t="str">
        <f>"－"</f>
        <v>－</v>
      </c>
      <c r="V99" s="102"/>
      <c r="W99" s="102"/>
      <c r="X99" s="102" t="str">
        <f>"－"</f>
        <v>－</v>
      </c>
      <c r="Y99" s="102"/>
      <c r="Z99" s="103"/>
      <c r="AA99" s="99"/>
      <c r="AB99" s="104" t="str">
        <f>"－"</f>
        <v>－</v>
      </c>
      <c r="AC99" s="104" t="str">
        <f t="shared" si="8"/>
        <v>－</v>
      </c>
      <c r="AD99" s="105" t="str">
        <f t="shared" si="8"/>
        <v>－</v>
      </c>
    </row>
    <row r="100" spans="1:30">
      <c r="A100" s="95" t="s">
        <v>46</v>
      </c>
      <c r="B100" s="96" t="s">
        <v>596</v>
      </c>
      <c r="C100" s="96" t="s">
        <v>597</v>
      </c>
      <c r="D100" s="96" t="s">
        <v>73</v>
      </c>
      <c r="E100" s="97" t="s">
        <v>553</v>
      </c>
      <c r="F100" s="97" t="s">
        <v>607</v>
      </c>
      <c r="G100" s="98">
        <v>25200</v>
      </c>
      <c r="H100" s="99"/>
      <c r="I100" s="100" t="s">
        <v>131</v>
      </c>
      <c r="J100" s="99"/>
      <c r="K100" s="100" t="s">
        <v>131</v>
      </c>
      <c r="L100" s="99" t="s">
        <v>308</v>
      </c>
      <c r="M100" s="100" t="s">
        <v>608</v>
      </c>
      <c r="N100" s="99"/>
      <c r="O100" s="100" t="s">
        <v>131</v>
      </c>
      <c r="P100" s="99" t="s">
        <v>96</v>
      </c>
      <c r="Q100" s="100" t="s">
        <v>609</v>
      </c>
      <c r="R100" s="99"/>
      <c r="S100" s="100" t="s">
        <v>131</v>
      </c>
      <c r="T100" s="101">
        <f>36.24</f>
        <v>36.24</v>
      </c>
      <c r="U100" s="102">
        <f>260</f>
        <v>260</v>
      </c>
      <c r="V100" s="102">
        <v>260</v>
      </c>
      <c r="W100" s="102"/>
      <c r="X100" s="102">
        <f>241421040</f>
        <v>241421040</v>
      </c>
      <c r="Y100" s="102">
        <v>241421040</v>
      </c>
      <c r="Z100" s="103"/>
      <c r="AA100" s="99"/>
      <c r="AB100" s="104">
        <f>160</f>
        <v>160</v>
      </c>
      <c r="AC100" s="104" t="str">
        <f t="shared" si="8"/>
        <v>－</v>
      </c>
      <c r="AD100" s="105" t="str">
        <f t="shared" si="8"/>
        <v>－</v>
      </c>
    </row>
    <row r="101" spans="1:30">
      <c r="A101" s="95" t="s">
        <v>46</v>
      </c>
      <c r="B101" s="96" t="s">
        <v>596</v>
      </c>
      <c r="C101" s="96" t="s">
        <v>597</v>
      </c>
      <c r="D101" s="96" t="s">
        <v>300</v>
      </c>
      <c r="E101" s="97" t="s">
        <v>610</v>
      </c>
      <c r="F101" s="97" t="s">
        <v>556</v>
      </c>
      <c r="G101" s="98">
        <v>22800</v>
      </c>
      <c r="H101" s="99"/>
      <c r="I101" s="100" t="s">
        <v>131</v>
      </c>
      <c r="J101" s="99"/>
      <c r="K101" s="100" t="s">
        <v>131</v>
      </c>
      <c r="L101" s="99" t="s">
        <v>96</v>
      </c>
      <c r="M101" s="100" t="s">
        <v>611</v>
      </c>
      <c r="N101" s="99"/>
      <c r="O101" s="100" t="s">
        <v>131</v>
      </c>
      <c r="P101" s="99" t="s">
        <v>96</v>
      </c>
      <c r="Q101" s="100" t="s">
        <v>612</v>
      </c>
      <c r="R101" s="99"/>
      <c r="S101" s="100" t="s">
        <v>131</v>
      </c>
      <c r="T101" s="101">
        <f>40.97</f>
        <v>40.97</v>
      </c>
      <c r="U101" s="102">
        <f>543</f>
        <v>543</v>
      </c>
      <c r="V101" s="102">
        <v>543</v>
      </c>
      <c r="W101" s="102"/>
      <c r="X101" s="102">
        <f>518547924</f>
        <v>518547924</v>
      </c>
      <c r="Y101" s="102">
        <v>518547924</v>
      </c>
      <c r="Z101" s="103"/>
      <c r="AA101" s="99"/>
      <c r="AB101" s="104">
        <f>343</f>
        <v>343</v>
      </c>
      <c r="AC101" s="104" t="str">
        <f t="shared" si="8"/>
        <v>－</v>
      </c>
      <c r="AD101" s="105" t="str">
        <f t="shared" si="8"/>
        <v>－</v>
      </c>
    </row>
    <row r="102" spans="1:30">
      <c r="A102" s="95" t="s">
        <v>46</v>
      </c>
      <c r="B102" s="96" t="s">
        <v>596</v>
      </c>
      <c r="C102" s="96" t="s">
        <v>597</v>
      </c>
      <c r="D102" s="96" t="s">
        <v>78</v>
      </c>
      <c r="E102" s="97" t="s">
        <v>557</v>
      </c>
      <c r="F102" s="97" t="s">
        <v>558</v>
      </c>
      <c r="G102" s="98">
        <v>22800</v>
      </c>
      <c r="H102" s="99"/>
      <c r="I102" s="100" t="s">
        <v>131</v>
      </c>
      <c r="J102" s="99"/>
      <c r="K102" s="100" t="s">
        <v>131</v>
      </c>
      <c r="L102" s="99" t="s">
        <v>96</v>
      </c>
      <c r="M102" s="100" t="s">
        <v>613</v>
      </c>
      <c r="N102" s="99"/>
      <c r="O102" s="100" t="s">
        <v>131</v>
      </c>
      <c r="P102" s="99" t="s">
        <v>96</v>
      </c>
      <c r="Q102" s="100" t="s">
        <v>614</v>
      </c>
      <c r="R102" s="99"/>
      <c r="S102" s="100" t="s">
        <v>131</v>
      </c>
      <c r="T102" s="101">
        <f>39.71</f>
        <v>39.71</v>
      </c>
      <c r="U102" s="102">
        <f>544</f>
        <v>544</v>
      </c>
      <c r="V102" s="102">
        <v>544</v>
      </c>
      <c r="W102" s="102"/>
      <c r="X102" s="102">
        <f>523228992</f>
        <v>523228992</v>
      </c>
      <c r="Y102" s="102">
        <v>523228992</v>
      </c>
      <c r="Z102" s="103"/>
      <c r="AA102" s="99"/>
      <c r="AB102" s="104">
        <f>344</f>
        <v>344</v>
      </c>
      <c r="AC102" s="104" t="str">
        <f t="shared" si="8"/>
        <v>－</v>
      </c>
      <c r="AD102" s="105" t="str">
        <f t="shared" si="8"/>
        <v>－</v>
      </c>
    </row>
    <row r="103" spans="1:30">
      <c r="A103" s="95" t="s">
        <v>46</v>
      </c>
      <c r="B103" s="96" t="s">
        <v>596</v>
      </c>
      <c r="C103" s="96" t="s">
        <v>597</v>
      </c>
      <c r="D103" s="96" t="s">
        <v>310</v>
      </c>
      <c r="E103" s="97" t="s">
        <v>615</v>
      </c>
      <c r="F103" s="97" t="s">
        <v>560</v>
      </c>
      <c r="G103" s="98">
        <v>26400</v>
      </c>
      <c r="H103" s="99"/>
      <c r="I103" s="100" t="s">
        <v>131</v>
      </c>
      <c r="J103" s="99"/>
      <c r="K103" s="100" t="s">
        <v>131</v>
      </c>
      <c r="L103" s="99"/>
      <c r="M103" s="100"/>
      <c r="N103" s="99"/>
      <c r="O103" s="100" t="s">
        <v>131</v>
      </c>
      <c r="P103" s="99"/>
      <c r="Q103" s="100"/>
      <c r="R103" s="99"/>
      <c r="S103" s="100" t="s">
        <v>131</v>
      </c>
      <c r="T103" s="101">
        <f>31.75</f>
        <v>31.75</v>
      </c>
      <c r="U103" s="102" t="str">
        <f t="shared" ref="U103:U119" si="12">"－"</f>
        <v>－</v>
      </c>
      <c r="V103" s="102"/>
      <c r="W103" s="102"/>
      <c r="X103" s="102" t="str">
        <f t="shared" ref="X103:X119" si="13">"－"</f>
        <v>－</v>
      </c>
      <c r="Y103" s="102"/>
      <c r="Z103" s="103"/>
      <c r="AA103" s="99"/>
      <c r="AB103" s="104" t="str">
        <f t="shared" ref="AB103:AD118" si="14">"－"</f>
        <v>－</v>
      </c>
      <c r="AC103" s="104" t="str">
        <f t="shared" si="14"/>
        <v>－</v>
      </c>
      <c r="AD103" s="105" t="str">
        <f t="shared" si="14"/>
        <v>－</v>
      </c>
    </row>
    <row r="104" spans="1:30">
      <c r="A104" s="95" t="s">
        <v>46</v>
      </c>
      <c r="B104" s="96" t="s">
        <v>596</v>
      </c>
      <c r="C104" s="96" t="s">
        <v>597</v>
      </c>
      <c r="D104" s="96" t="s">
        <v>88</v>
      </c>
      <c r="E104" s="97" t="s">
        <v>562</v>
      </c>
      <c r="F104" s="97" t="s">
        <v>616</v>
      </c>
      <c r="G104" s="98">
        <v>24000</v>
      </c>
      <c r="H104" s="99"/>
      <c r="I104" s="100" t="s">
        <v>131</v>
      </c>
      <c r="J104" s="99"/>
      <c r="K104" s="100" t="s">
        <v>131</v>
      </c>
      <c r="L104" s="99"/>
      <c r="M104" s="100"/>
      <c r="N104" s="99"/>
      <c r="O104" s="100" t="s">
        <v>131</v>
      </c>
      <c r="P104" s="99"/>
      <c r="Q104" s="100"/>
      <c r="R104" s="99"/>
      <c r="S104" s="100" t="s">
        <v>131</v>
      </c>
      <c r="T104" s="101">
        <f>18.02</f>
        <v>18.02</v>
      </c>
      <c r="U104" s="102" t="str">
        <f t="shared" si="12"/>
        <v>－</v>
      </c>
      <c r="V104" s="102"/>
      <c r="W104" s="102"/>
      <c r="X104" s="102" t="str">
        <f t="shared" si="13"/>
        <v>－</v>
      </c>
      <c r="Y104" s="102"/>
      <c r="Z104" s="103"/>
      <c r="AA104" s="99"/>
      <c r="AB104" s="104" t="str">
        <f t="shared" si="14"/>
        <v>－</v>
      </c>
      <c r="AC104" s="104" t="str">
        <f t="shared" si="14"/>
        <v>－</v>
      </c>
      <c r="AD104" s="105" t="str">
        <f t="shared" si="14"/>
        <v>－</v>
      </c>
    </row>
    <row r="105" spans="1:30">
      <c r="A105" s="95" t="s">
        <v>46</v>
      </c>
      <c r="B105" s="96" t="s">
        <v>596</v>
      </c>
      <c r="C105" s="96" t="s">
        <v>597</v>
      </c>
      <c r="D105" s="96" t="s">
        <v>319</v>
      </c>
      <c r="E105" s="97" t="s">
        <v>432</v>
      </c>
      <c r="F105" s="97" t="s">
        <v>563</v>
      </c>
      <c r="G105" s="98">
        <v>21600</v>
      </c>
      <c r="H105" s="99"/>
      <c r="I105" s="100" t="s">
        <v>131</v>
      </c>
      <c r="J105" s="99"/>
      <c r="K105" s="100" t="s">
        <v>131</v>
      </c>
      <c r="L105" s="99"/>
      <c r="M105" s="100"/>
      <c r="N105" s="99"/>
      <c r="O105" s="100" t="s">
        <v>131</v>
      </c>
      <c r="P105" s="99"/>
      <c r="Q105" s="100"/>
      <c r="R105" s="99"/>
      <c r="S105" s="100" t="s">
        <v>131</v>
      </c>
      <c r="T105" s="101">
        <f>18.31</f>
        <v>18.309999999999999</v>
      </c>
      <c r="U105" s="102" t="str">
        <f t="shared" si="12"/>
        <v>－</v>
      </c>
      <c r="V105" s="102"/>
      <c r="W105" s="102"/>
      <c r="X105" s="102" t="str">
        <f t="shared" si="13"/>
        <v>－</v>
      </c>
      <c r="Y105" s="102"/>
      <c r="Z105" s="103"/>
      <c r="AA105" s="99"/>
      <c r="AB105" s="104" t="str">
        <f t="shared" si="14"/>
        <v>－</v>
      </c>
      <c r="AC105" s="104" t="str">
        <f t="shared" si="14"/>
        <v>－</v>
      </c>
      <c r="AD105" s="105" t="str">
        <f t="shared" si="14"/>
        <v>－</v>
      </c>
    </row>
    <row r="106" spans="1:30">
      <c r="A106" s="95" t="s">
        <v>46</v>
      </c>
      <c r="B106" s="96" t="s">
        <v>596</v>
      </c>
      <c r="C106" s="96" t="s">
        <v>597</v>
      </c>
      <c r="D106" s="96" t="s">
        <v>513</v>
      </c>
      <c r="E106" s="97" t="s">
        <v>564</v>
      </c>
      <c r="F106" s="97" t="s">
        <v>565</v>
      </c>
      <c r="G106" s="98">
        <v>26400</v>
      </c>
      <c r="H106" s="99"/>
      <c r="I106" s="100" t="s">
        <v>131</v>
      </c>
      <c r="J106" s="99"/>
      <c r="K106" s="100" t="s">
        <v>131</v>
      </c>
      <c r="L106" s="99"/>
      <c r="M106" s="100"/>
      <c r="N106" s="99"/>
      <c r="O106" s="100" t="s">
        <v>131</v>
      </c>
      <c r="P106" s="99"/>
      <c r="Q106" s="100"/>
      <c r="R106" s="99"/>
      <c r="S106" s="100" t="s">
        <v>131</v>
      </c>
      <c r="T106" s="101">
        <f>18.77</f>
        <v>18.77</v>
      </c>
      <c r="U106" s="102" t="str">
        <f t="shared" si="12"/>
        <v>－</v>
      </c>
      <c r="V106" s="102"/>
      <c r="W106" s="102"/>
      <c r="X106" s="102" t="str">
        <f t="shared" si="13"/>
        <v>－</v>
      </c>
      <c r="Y106" s="102"/>
      <c r="Z106" s="103"/>
      <c r="AA106" s="99"/>
      <c r="AB106" s="104" t="str">
        <f t="shared" si="14"/>
        <v>－</v>
      </c>
      <c r="AC106" s="104" t="str">
        <f t="shared" si="14"/>
        <v>－</v>
      </c>
      <c r="AD106" s="105" t="str">
        <f t="shared" si="14"/>
        <v>－</v>
      </c>
    </row>
    <row r="107" spans="1:30">
      <c r="A107" s="95" t="s">
        <v>46</v>
      </c>
      <c r="B107" s="96" t="s">
        <v>596</v>
      </c>
      <c r="C107" s="96" t="s">
        <v>597</v>
      </c>
      <c r="D107" s="96" t="s">
        <v>519</v>
      </c>
      <c r="E107" s="97" t="s">
        <v>250</v>
      </c>
      <c r="F107" s="97" t="s">
        <v>566</v>
      </c>
      <c r="G107" s="98">
        <v>24000</v>
      </c>
      <c r="H107" s="99"/>
      <c r="I107" s="100" t="s">
        <v>131</v>
      </c>
      <c r="J107" s="99"/>
      <c r="K107" s="100" t="s">
        <v>131</v>
      </c>
      <c r="L107" s="99"/>
      <c r="M107" s="100"/>
      <c r="N107" s="99"/>
      <c r="O107" s="100" t="s">
        <v>131</v>
      </c>
      <c r="P107" s="99"/>
      <c r="Q107" s="100"/>
      <c r="R107" s="99"/>
      <c r="S107" s="100" t="s">
        <v>131</v>
      </c>
      <c r="T107" s="101">
        <f>22.16</f>
        <v>22.16</v>
      </c>
      <c r="U107" s="102" t="str">
        <f t="shared" si="12"/>
        <v>－</v>
      </c>
      <c r="V107" s="102"/>
      <c r="W107" s="102"/>
      <c r="X107" s="102" t="str">
        <f t="shared" si="13"/>
        <v>－</v>
      </c>
      <c r="Y107" s="102"/>
      <c r="Z107" s="103"/>
      <c r="AA107" s="99"/>
      <c r="AB107" s="104" t="str">
        <f t="shared" si="14"/>
        <v>－</v>
      </c>
      <c r="AC107" s="104" t="str">
        <f t="shared" si="14"/>
        <v>－</v>
      </c>
      <c r="AD107" s="105" t="str">
        <f t="shared" si="14"/>
        <v>－</v>
      </c>
    </row>
    <row r="108" spans="1:30">
      <c r="A108" s="95" t="s">
        <v>46</v>
      </c>
      <c r="B108" s="96" t="s">
        <v>596</v>
      </c>
      <c r="C108" s="96" t="s">
        <v>597</v>
      </c>
      <c r="D108" s="96" t="s">
        <v>567</v>
      </c>
      <c r="E108" s="97" t="s">
        <v>250</v>
      </c>
      <c r="F108" s="97" t="s">
        <v>568</v>
      </c>
      <c r="G108" s="98">
        <v>26400</v>
      </c>
      <c r="H108" s="99"/>
      <c r="I108" s="100" t="s">
        <v>131</v>
      </c>
      <c r="J108" s="99"/>
      <c r="K108" s="100" t="s">
        <v>131</v>
      </c>
      <c r="L108" s="99"/>
      <c r="M108" s="100"/>
      <c r="N108" s="99"/>
      <c r="O108" s="100" t="s">
        <v>131</v>
      </c>
      <c r="P108" s="99"/>
      <c r="Q108" s="100"/>
      <c r="R108" s="99"/>
      <c r="S108" s="100" t="s">
        <v>131</v>
      </c>
      <c r="T108" s="101">
        <f>22.56</f>
        <v>22.56</v>
      </c>
      <c r="U108" s="102" t="str">
        <f t="shared" si="12"/>
        <v>－</v>
      </c>
      <c r="V108" s="102"/>
      <c r="W108" s="102"/>
      <c r="X108" s="102" t="str">
        <f t="shared" si="13"/>
        <v>－</v>
      </c>
      <c r="Y108" s="102"/>
      <c r="Z108" s="103"/>
      <c r="AA108" s="99"/>
      <c r="AB108" s="104" t="str">
        <f t="shared" si="14"/>
        <v>－</v>
      </c>
      <c r="AC108" s="104" t="str">
        <f t="shared" si="14"/>
        <v>－</v>
      </c>
      <c r="AD108" s="105" t="str">
        <f t="shared" si="14"/>
        <v>－</v>
      </c>
    </row>
    <row r="109" spans="1:30">
      <c r="A109" s="95" t="s">
        <v>46</v>
      </c>
      <c r="B109" s="96" t="s">
        <v>596</v>
      </c>
      <c r="C109" s="96" t="s">
        <v>597</v>
      </c>
      <c r="D109" s="96" t="s">
        <v>569</v>
      </c>
      <c r="E109" s="97" t="s">
        <v>250</v>
      </c>
      <c r="F109" s="97" t="s">
        <v>617</v>
      </c>
      <c r="G109" s="98">
        <v>24000</v>
      </c>
      <c r="H109" s="99"/>
      <c r="I109" s="100" t="s">
        <v>131</v>
      </c>
      <c r="J109" s="99"/>
      <c r="K109" s="100" t="s">
        <v>131</v>
      </c>
      <c r="L109" s="99"/>
      <c r="M109" s="100"/>
      <c r="N109" s="99"/>
      <c r="O109" s="100" t="s">
        <v>131</v>
      </c>
      <c r="P109" s="99"/>
      <c r="Q109" s="100"/>
      <c r="R109" s="99"/>
      <c r="S109" s="100" t="s">
        <v>131</v>
      </c>
      <c r="T109" s="101">
        <f>20.24</f>
        <v>20.239999999999998</v>
      </c>
      <c r="U109" s="102" t="str">
        <f t="shared" si="12"/>
        <v>－</v>
      </c>
      <c r="V109" s="102"/>
      <c r="W109" s="102"/>
      <c r="X109" s="102" t="str">
        <f t="shared" si="13"/>
        <v>－</v>
      </c>
      <c r="Y109" s="102"/>
      <c r="Z109" s="103"/>
      <c r="AA109" s="99"/>
      <c r="AB109" s="104" t="str">
        <f t="shared" si="14"/>
        <v>－</v>
      </c>
      <c r="AC109" s="104" t="str">
        <f t="shared" si="14"/>
        <v>－</v>
      </c>
      <c r="AD109" s="105" t="str">
        <f t="shared" si="14"/>
        <v>－</v>
      </c>
    </row>
    <row r="110" spans="1:30">
      <c r="A110" s="95" t="s">
        <v>46</v>
      </c>
      <c r="B110" s="96" t="s">
        <v>596</v>
      </c>
      <c r="C110" s="96" t="s">
        <v>597</v>
      </c>
      <c r="D110" s="96" t="s">
        <v>571</v>
      </c>
      <c r="E110" s="97" t="s">
        <v>250</v>
      </c>
      <c r="F110" s="97" t="s">
        <v>572</v>
      </c>
      <c r="G110" s="98">
        <v>25200</v>
      </c>
      <c r="H110" s="99"/>
      <c r="I110" s="100" t="s">
        <v>131</v>
      </c>
      <c r="J110" s="99"/>
      <c r="K110" s="100" t="s">
        <v>131</v>
      </c>
      <c r="L110" s="99"/>
      <c r="M110" s="100"/>
      <c r="N110" s="99"/>
      <c r="O110" s="100" t="s">
        <v>131</v>
      </c>
      <c r="P110" s="99"/>
      <c r="Q110" s="100"/>
      <c r="R110" s="99"/>
      <c r="S110" s="100" t="s">
        <v>131</v>
      </c>
      <c r="T110" s="101">
        <f>17.5</f>
        <v>17.5</v>
      </c>
      <c r="U110" s="102" t="str">
        <f t="shared" si="12"/>
        <v>－</v>
      </c>
      <c r="V110" s="102"/>
      <c r="W110" s="102"/>
      <c r="X110" s="102" t="str">
        <f t="shared" si="13"/>
        <v>－</v>
      </c>
      <c r="Y110" s="102"/>
      <c r="Z110" s="103"/>
      <c r="AA110" s="99"/>
      <c r="AB110" s="104" t="str">
        <f t="shared" si="14"/>
        <v>－</v>
      </c>
      <c r="AC110" s="104" t="str">
        <f t="shared" si="14"/>
        <v>－</v>
      </c>
      <c r="AD110" s="105" t="str">
        <f t="shared" si="14"/>
        <v>－</v>
      </c>
    </row>
    <row r="111" spans="1:30">
      <c r="A111" s="95" t="s">
        <v>46</v>
      </c>
      <c r="B111" s="96" t="s">
        <v>596</v>
      </c>
      <c r="C111" s="96" t="s">
        <v>597</v>
      </c>
      <c r="D111" s="96" t="s">
        <v>573</v>
      </c>
      <c r="E111" s="97" t="s">
        <v>250</v>
      </c>
      <c r="F111" s="97" t="s">
        <v>574</v>
      </c>
      <c r="G111" s="98">
        <v>24000</v>
      </c>
      <c r="H111" s="99"/>
      <c r="I111" s="100" t="s">
        <v>131</v>
      </c>
      <c r="J111" s="99"/>
      <c r="K111" s="100" t="s">
        <v>131</v>
      </c>
      <c r="L111" s="99"/>
      <c r="M111" s="100"/>
      <c r="N111" s="99"/>
      <c r="O111" s="100" t="s">
        <v>131</v>
      </c>
      <c r="P111" s="99"/>
      <c r="Q111" s="100"/>
      <c r="R111" s="99"/>
      <c r="S111" s="100" t="s">
        <v>131</v>
      </c>
      <c r="T111" s="101">
        <f>17.84</f>
        <v>17.84</v>
      </c>
      <c r="U111" s="102" t="str">
        <f t="shared" si="12"/>
        <v>－</v>
      </c>
      <c r="V111" s="102"/>
      <c r="W111" s="102"/>
      <c r="X111" s="102" t="str">
        <f t="shared" si="13"/>
        <v>－</v>
      </c>
      <c r="Y111" s="102"/>
      <c r="Z111" s="103"/>
      <c r="AA111" s="99"/>
      <c r="AB111" s="104" t="str">
        <f t="shared" si="14"/>
        <v>－</v>
      </c>
      <c r="AC111" s="104" t="str">
        <f t="shared" si="14"/>
        <v>－</v>
      </c>
      <c r="AD111" s="105" t="str">
        <f t="shared" si="14"/>
        <v>－</v>
      </c>
    </row>
    <row r="112" spans="1:30">
      <c r="A112" s="95" t="s">
        <v>46</v>
      </c>
      <c r="B112" s="96" t="s">
        <v>596</v>
      </c>
      <c r="C112" s="96" t="s">
        <v>597</v>
      </c>
      <c r="D112" s="96" t="s">
        <v>575</v>
      </c>
      <c r="E112" s="97" t="s">
        <v>250</v>
      </c>
      <c r="F112" s="97" t="s">
        <v>618</v>
      </c>
      <c r="G112" s="98">
        <v>25200</v>
      </c>
      <c r="H112" s="99"/>
      <c r="I112" s="100" t="s">
        <v>131</v>
      </c>
      <c r="J112" s="99"/>
      <c r="K112" s="100" t="s">
        <v>131</v>
      </c>
      <c r="L112" s="99"/>
      <c r="M112" s="100"/>
      <c r="N112" s="99"/>
      <c r="O112" s="100" t="s">
        <v>131</v>
      </c>
      <c r="P112" s="99"/>
      <c r="Q112" s="100"/>
      <c r="R112" s="99"/>
      <c r="S112" s="100" t="s">
        <v>131</v>
      </c>
      <c r="T112" s="101">
        <f>21</f>
        <v>21</v>
      </c>
      <c r="U112" s="102" t="str">
        <f t="shared" si="12"/>
        <v>－</v>
      </c>
      <c r="V112" s="102"/>
      <c r="W112" s="102"/>
      <c r="X112" s="102" t="str">
        <f t="shared" si="13"/>
        <v>－</v>
      </c>
      <c r="Y112" s="102"/>
      <c r="Z112" s="103"/>
      <c r="AA112" s="99"/>
      <c r="AB112" s="104" t="str">
        <f t="shared" si="14"/>
        <v>－</v>
      </c>
      <c r="AC112" s="104" t="str">
        <f t="shared" si="14"/>
        <v>－</v>
      </c>
      <c r="AD112" s="105" t="str">
        <f t="shared" si="14"/>
        <v>－</v>
      </c>
    </row>
    <row r="113" spans="1:30">
      <c r="A113" s="95" t="s">
        <v>46</v>
      </c>
      <c r="B113" s="96" t="s">
        <v>596</v>
      </c>
      <c r="C113" s="96" t="s">
        <v>597</v>
      </c>
      <c r="D113" s="96" t="s">
        <v>577</v>
      </c>
      <c r="E113" s="97" t="s">
        <v>250</v>
      </c>
      <c r="F113" s="97" t="s">
        <v>578</v>
      </c>
      <c r="G113" s="98">
        <v>22800</v>
      </c>
      <c r="H113" s="99"/>
      <c r="I113" s="100" t="s">
        <v>131</v>
      </c>
      <c r="J113" s="99"/>
      <c r="K113" s="100" t="s">
        <v>131</v>
      </c>
      <c r="L113" s="99"/>
      <c r="M113" s="100"/>
      <c r="N113" s="99"/>
      <c r="O113" s="100" t="s">
        <v>131</v>
      </c>
      <c r="P113" s="99"/>
      <c r="Q113" s="100"/>
      <c r="R113" s="99"/>
      <c r="S113" s="100" t="s">
        <v>131</v>
      </c>
      <c r="T113" s="101">
        <f>23.06</f>
        <v>23.06</v>
      </c>
      <c r="U113" s="102" t="str">
        <f t="shared" si="12"/>
        <v>－</v>
      </c>
      <c r="V113" s="102"/>
      <c r="W113" s="102"/>
      <c r="X113" s="102" t="str">
        <f t="shared" si="13"/>
        <v>－</v>
      </c>
      <c r="Y113" s="102"/>
      <c r="Z113" s="103"/>
      <c r="AA113" s="99"/>
      <c r="AB113" s="104" t="str">
        <f t="shared" si="14"/>
        <v>－</v>
      </c>
      <c r="AC113" s="104" t="str">
        <f t="shared" si="14"/>
        <v>－</v>
      </c>
      <c r="AD113" s="105" t="str">
        <f t="shared" si="14"/>
        <v>－</v>
      </c>
    </row>
    <row r="114" spans="1:30">
      <c r="A114" s="95" t="s">
        <v>46</v>
      </c>
      <c r="B114" s="96" t="s">
        <v>596</v>
      </c>
      <c r="C114" s="96" t="s">
        <v>597</v>
      </c>
      <c r="D114" s="96" t="s">
        <v>579</v>
      </c>
      <c r="E114" s="97" t="s">
        <v>250</v>
      </c>
      <c r="F114" s="97" t="s">
        <v>580</v>
      </c>
      <c r="G114" s="98">
        <v>22800</v>
      </c>
      <c r="H114" s="99"/>
      <c r="I114" s="100" t="s">
        <v>131</v>
      </c>
      <c r="J114" s="99"/>
      <c r="K114" s="100" t="s">
        <v>131</v>
      </c>
      <c r="L114" s="99"/>
      <c r="M114" s="100"/>
      <c r="N114" s="99"/>
      <c r="O114" s="100" t="s">
        <v>131</v>
      </c>
      <c r="P114" s="99"/>
      <c r="Q114" s="100"/>
      <c r="R114" s="99"/>
      <c r="S114" s="100" t="s">
        <v>131</v>
      </c>
      <c r="T114" s="101">
        <f>21.66</f>
        <v>21.66</v>
      </c>
      <c r="U114" s="102" t="str">
        <f t="shared" si="12"/>
        <v>－</v>
      </c>
      <c r="V114" s="102"/>
      <c r="W114" s="102"/>
      <c r="X114" s="102" t="str">
        <f t="shared" si="13"/>
        <v>－</v>
      </c>
      <c r="Y114" s="102"/>
      <c r="Z114" s="103"/>
      <c r="AA114" s="99"/>
      <c r="AB114" s="104" t="str">
        <f t="shared" si="14"/>
        <v>－</v>
      </c>
      <c r="AC114" s="104" t="str">
        <f t="shared" si="14"/>
        <v>－</v>
      </c>
      <c r="AD114" s="105" t="str">
        <f t="shared" si="14"/>
        <v>－</v>
      </c>
    </row>
    <row r="115" spans="1:30">
      <c r="A115" s="95" t="s">
        <v>46</v>
      </c>
      <c r="B115" s="96" t="s">
        <v>596</v>
      </c>
      <c r="C115" s="96" t="s">
        <v>597</v>
      </c>
      <c r="D115" s="96" t="s">
        <v>581</v>
      </c>
      <c r="E115" s="97" t="s">
        <v>250</v>
      </c>
      <c r="F115" s="97" t="s">
        <v>619</v>
      </c>
      <c r="G115" s="98">
        <v>24000</v>
      </c>
      <c r="H115" s="99"/>
      <c r="I115" s="100" t="s">
        <v>131</v>
      </c>
      <c r="J115" s="99"/>
      <c r="K115" s="100" t="s">
        <v>131</v>
      </c>
      <c r="L115" s="99"/>
      <c r="M115" s="100"/>
      <c r="N115" s="99"/>
      <c r="O115" s="100" t="s">
        <v>131</v>
      </c>
      <c r="P115" s="99"/>
      <c r="Q115" s="100"/>
      <c r="R115" s="99"/>
      <c r="S115" s="100" t="s">
        <v>131</v>
      </c>
      <c r="T115" s="101">
        <f>18.4</f>
        <v>18.399999999999999</v>
      </c>
      <c r="U115" s="102" t="str">
        <f t="shared" si="12"/>
        <v>－</v>
      </c>
      <c r="V115" s="102"/>
      <c r="W115" s="102"/>
      <c r="X115" s="102" t="str">
        <f t="shared" si="13"/>
        <v>－</v>
      </c>
      <c r="Y115" s="102"/>
      <c r="Z115" s="103"/>
      <c r="AA115" s="99"/>
      <c r="AB115" s="104" t="str">
        <f t="shared" si="14"/>
        <v>－</v>
      </c>
      <c r="AC115" s="104" t="str">
        <f t="shared" si="14"/>
        <v>－</v>
      </c>
      <c r="AD115" s="105" t="str">
        <f t="shared" si="14"/>
        <v>－</v>
      </c>
    </row>
    <row r="116" spans="1:30">
      <c r="A116" s="95" t="s">
        <v>46</v>
      </c>
      <c r="B116" s="96" t="s">
        <v>596</v>
      </c>
      <c r="C116" s="96" t="s">
        <v>597</v>
      </c>
      <c r="D116" s="96" t="s">
        <v>583</v>
      </c>
      <c r="E116" s="97" t="s">
        <v>620</v>
      </c>
      <c r="F116" s="97" t="s">
        <v>584</v>
      </c>
      <c r="G116" s="98">
        <v>25200</v>
      </c>
      <c r="H116" s="99"/>
      <c r="I116" s="100" t="s">
        <v>131</v>
      </c>
      <c r="J116" s="99"/>
      <c r="K116" s="100" t="s">
        <v>131</v>
      </c>
      <c r="L116" s="99"/>
      <c r="M116" s="100"/>
      <c r="N116" s="99"/>
      <c r="O116" s="100" t="s">
        <v>131</v>
      </c>
      <c r="P116" s="99"/>
      <c r="Q116" s="100"/>
      <c r="R116" s="99"/>
      <c r="S116" s="100" t="s">
        <v>131</v>
      </c>
      <c r="T116" s="101">
        <f>16.62</f>
        <v>16.62</v>
      </c>
      <c r="U116" s="102" t="str">
        <f t="shared" si="12"/>
        <v>－</v>
      </c>
      <c r="V116" s="102"/>
      <c r="W116" s="102"/>
      <c r="X116" s="102" t="str">
        <f t="shared" si="13"/>
        <v>－</v>
      </c>
      <c r="Y116" s="102"/>
      <c r="Z116" s="103"/>
      <c r="AA116" s="99"/>
      <c r="AB116" s="104" t="str">
        <f t="shared" si="14"/>
        <v>－</v>
      </c>
      <c r="AC116" s="104" t="str">
        <f t="shared" si="14"/>
        <v>－</v>
      </c>
      <c r="AD116" s="105" t="str">
        <f t="shared" si="14"/>
        <v>－</v>
      </c>
    </row>
    <row r="117" spans="1:30">
      <c r="A117" s="95" t="s">
        <v>46</v>
      </c>
      <c r="B117" s="96" t="s">
        <v>596</v>
      </c>
      <c r="C117" s="96" t="s">
        <v>597</v>
      </c>
      <c r="D117" s="96" t="s">
        <v>585</v>
      </c>
      <c r="E117" s="97" t="s">
        <v>326</v>
      </c>
      <c r="F117" s="97" t="s">
        <v>586</v>
      </c>
      <c r="G117" s="98">
        <v>22800</v>
      </c>
      <c r="H117" s="99"/>
      <c r="I117" s="100" t="s">
        <v>131</v>
      </c>
      <c r="J117" s="99"/>
      <c r="K117" s="100" t="s">
        <v>131</v>
      </c>
      <c r="L117" s="99"/>
      <c r="M117" s="100"/>
      <c r="N117" s="99"/>
      <c r="O117" s="100" t="s">
        <v>131</v>
      </c>
      <c r="P117" s="99"/>
      <c r="Q117" s="100"/>
      <c r="R117" s="99"/>
      <c r="S117" s="100" t="s">
        <v>131</v>
      </c>
      <c r="T117" s="101">
        <f>16.97</f>
        <v>16.97</v>
      </c>
      <c r="U117" s="102" t="str">
        <f t="shared" si="12"/>
        <v>－</v>
      </c>
      <c r="V117" s="102"/>
      <c r="W117" s="102"/>
      <c r="X117" s="102" t="str">
        <f t="shared" si="13"/>
        <v>－</v>
      </c>
      <c r="Y117" s="102"/>
      <c r="Z117" s="103"/>
      <c r="AA117" s="99"/>
      <c r="AB117" s="104" t="str">
        <f t="shared" si="14"/>
        <v>－</v>
      </c>
      <c r="AC117" s="104" t="str">
        <f t="shared" si="14"/>
        <v>－</v>
      </c>
      <c r="AD117" s="105" t="str">
        <f t="shared" si="14"/>
        <v>－</v>
      </c>
    </row>
    <row r="118" spans="1:30">
      <c r="A118" s="95" t="s">
        <v>46</v>
      </c>
      <c r="B118" s="96" t="s">
        <v>621</v>
      </c>
      <c r="C118" s="96" t="s">
        <v>622</v>
      </c>
      <c r="D118" s="96" t="s">
        <v>46</v>
      </c>
      <c r="E118" s="97" t="s">
        <v>598</v>
      </c>
      <c r="F118" s="97" t="s">
        <v>528</v>
      </c>
      <c r="G118" s="98">
        <v>21600</v>
      </c>
      <c r="H118" s="99"/>
      <c r="I118" s="100" t="s">
        <v>131</v>
      </c>
      <c r="J118" s="99"/>
      <c r="K118" s="100" t="s">
        <v>131</v>
      </c>
      <c r="L118" s="99"/>
      <c r="M118" s="100"/>
      <c r="N118" s="99"/>
      <c r="O118" s="100" t="s">
        <v>131</v>
      </c>
      <c r="P118" s="99"/>
      <c r="Q118" s="100"/>
      <c r="R118" s="99"/>
      <c r="S118" s="100" t="s">
        <v>131</v>
      </c>
      <c r="T118" s="101">
        <f>19.88</f>
        <v>19.88</v>
      </c>
      <c r="U118" s="102" t="str">
        <f t="shared" si="12"/>
        <v>－</v>
      </c>
      <c r="V118" s="102"/>
      <c r="W118" s="102"/>
      <c r="X118" s="102" t="str">
        <f t="shared" si="13"/>
        <v>－</v>
      </c>
      <c r="Y118" s="102"/>
      <c r="Z118" s="103"/>
      <c r="AA118" s="99" t="s">
        <v>232</v>
      </c>
      <c r="AB118" s="104" t="str">
        <f t="shared" si="14"/>
        <v>－</v>
      </c>
      <c r="AC118" s="104" t="str">
        <f t="shared" si="14"/>
        <v>－</v>
      </c>
      <c r="AD118" s="105" t="str">
        <f t="shared" si="14"/>
        <v>－</v>
      </c>
    </row>
    <row r="119" spans="1:30">
      <c r="A119" s="95" t="s">
        <v>46</v>
      </c>
      <c r="B119" s="96" t="s">
        <v>621</v>
      </c>
      <c r="C119" s="96" t="s">
        <v>622</v>
      </c>
      <c r="D119" s="96" t="s">
        <v>49</v>
      </c>
      <c r="E119" s="97" t="s">
        <v>529</v>
      </c>
      <c r="F119" s="97" t="s">
        <v>530</v>
      </c>
      <c r="G119" s="98">
        <v>26400</v>
      </c>
      <c r="H119" s="99"/>
      <c r="I119" s="100" t="s">
        <v>131</v>
      </c>
      <c r="J119" s="99"/>
      <c r="K119" s="100" t="s">
        <v>131</v>
      </c>
      <c r="L119" s="99"/>
      <c r="M119" s="100"/>
      <c r="N119" s="99"/>
      <c r="O119" s="100" t="s">
        <v>131</v>
      </c>
      <c r="P119" s="99"/>
      <c r="Q119" s="100"/>
      <c r="R119" s="99"/>
      <c r="S119" s="100" t="s">
        <v>131</v>
      </c>
      <c r="T119" s="101">
        <f>24.47</f>
        <v>24.47</v>
      </c>
      <c r="U119" s="102" t="str">
        <f t="shared" si="12"/>
        <v>－</v>
      </c>
      <c r="V119" s="102"/>
      <c r="W119" s="102"/>
      <c r="X119" s="102" t="str">
        <f t="shared" si="13"/>
        <v>－</v>
      </c>
      <c r="Y119" s="102"/>
      <c r="Z119" s="103"/>
      <c r="AA119" s="99"/>
      <c r="AB119" s="104">
        <f>300</f>
        <v>300</v>
      </c>
      <c r="AC119" s="104" t="str">
        <f t="shared" ref="AC119:AD150" si="15">"－"</f>
        <v>－</v>
      </c>
      <c r="AD119" s="105" t="str">
        <f t="shared" si="15"/>
        <v>－</v>
      </c>
    </row>
    <row r="120" spans="1:30">
      <c r="A120" s="95" t="s">
        <v>46</v>
      </c>
      <c r="B120" s="96" t="s">
        <v>621</v>
      </c>
      <c r="C120" s="96" t="s">
        <v>622</v>
      </c>
      <c r="D120" s="96" t="s">
        <v>237</v>
      </c>
      <c r="E120" s="97" t="s">
        <v>532</v>
      </c>
      <c r="F120" s="97" t="s">
        <v>601</v>
      </c>
      <c r="G120" s="98">
        <v>24000</v>
      </c>
      <c r="H120" s="99"/>
      <c r="I120" s="100" t="s">
        <v>131</v>
      </c>
      <c r="J120" s="99"/>
      <c r="K120" s="100" t="s">
        <v>131</v>
      </c>
      <c r="L120" s="99" t="s">
        <v>147</v>
      </c>
      <c r="M120" s="100" t="s">
        <v>623</v>
      </c>
      <c r="N120" s="99"/>
      <c r="O120" s="100" t="s">
        <v>131</v>
      </c>
      <c r="P120" s="99" t="s">
        <v>147</v>
      </c>
      <c r="Q120" s="100" t="s">
        <v>623</v>
      </c>
      <c r="R120" s="99"/>
      <c r="S120" s="100" t="s">
        <v>131</v>
      </c>
      <c r="T120" s="101">
        <f>33.16</f>
        <v>33.159999999999997</v>
      </c>
      <c r="U120" s="102">
        <f>10</f>
        <v>10</v>
      </c>
      <c r="V120" s="102">
        <v>10</v>
      </c>
      <c r="W120" s="102"/>
      <c r="X120" s="102">
        <f>8940000</f>
        <v>8940000</v>
      </c>
      <c r="Y120" s="102">
        <v>8940000</v>
      </c>
      <c r="Z120" s="103"/>
      <c r="AA120" s="99"/>
      <c r="AB120" s="104">
        <f>810</f>
        <v>810</v>
      </c>
      <c r="AC120" s="104" t="str">
        <f t="shared" si="15"/>
        <v>－</v>
      </c>
      <c r="AD120" s="105" t="str">
        <f t="shared" si="15"/>
        <v>－</v>
      </c>
    </row>
    <row r="121" spans="1:30">
      <c r="A121" s="95" t="s">
        <v>46</v>
      </c>
      <c r="B121" s="96" t="s">
        <v>621</v>
      </c>
      <c r="C121" s="96" t="s">
        <v>622</v>
      </c>
      <c r="D121" s="96" t="s">
        <v>59</v>
      </c>
      <c r="E121" s="97" t="s">
        <v>538</v>
      </c>
      <c r="F121" s="97" t="s">
        <v>539</v>
      </c>
      <c r="G121" s="98">
        <v>26400</v>
      </c>
      <c r="H121" s="99"/>
      <c r="I121" s="100" t="s">
        <v>131</v>
      </c>
      <c r="J121" s="99"/>
      <c r="K121" s="100" t="s">
        <v>131</v>
      </c>
      <c r="L121" s="99" t="s">
        <v>147</v>
      </c>
      <c r="M121" s="100" t="s">
        <v>623</v>
      </c>
      <c r="N121" s="99"/>
      <c r="O121" s="100" t="s">
        <v>131</v>
      </c>
      <c r="P121" s="99" t="s">
        <v>147</v>
      </c>
      <c r="Q121" s="100" t="s">
        <v>623</v>
      </c>
      <c r="R121" s="99"/>
      <c r="S121" s="100" t="s">
        <v>131</v>
      </c>
      <c r="T121" s="101">
        <f>36.82</f>
        <v>36.82</v>
      </c>
      <c r="U121" s="102">
        <f>10</f>
        <v>10</v>
      </c>
      <c r="V121" s="102">
        <v>10</v>
      </c>
      <c r="W121" s="102"/>
      <c r="X121" s="102">
        <f>9834000</f>
        <v>9834000</v>
      </c>
      <c r="Y121" s="102">
        <v>9834000</v>
      </c>
      <c r="Z121" s="103"/>
      <c r="AA121" s="99"/>
      <c r="AB121" s="104">
        <f>830</f>
        <v>830</v>
      </c>
      <c r="AC121" s="104" t="str">
        <f t="shared" si="15"/>
        <v>－</v>
      </c>
      <c r="AD121" s="105" t="str">
        <f t="shared" si="15"/>
        <v>－</v>
      </c>
    </row>
    <row r="122" spans="1:30">
      <c r="A122" s="95" t="s">
        <v>46</v>
      </c>
      <c r="B122" s="96" t="s">
        <v>621</v>
      </c>
      <c r="C122" s="96" t="s">
        <v>622</v>
      </c>
      <c r="D122" s="96" t="s">
        <v>245</v>
      </c>
      <c r="E122" s="97" t="s">
        <v>543</v>
      </c>
      <c r="F122" s="97" t="s">
        <v>544</v>
      </c>
      <c r="G122" s="98">
        <v>24000</v>
      </c>
      <c r="H122" s="99"/>
      <c r="I122" s="100" t="s">
        <v>131</v>
      </c>
      <c r="J122" s="99"/>
      <c r="K122" s="100" t="s">
        <v>131</v>
      </c>
      <c r="L122" s="99" t="s">
        <v>147</v>
      </c>
      <c r="M122" s="100" t="s">
        <v>623</v>
      </c>
      <c r="N122" s="99"/>
      <c r="O122" s="100" t="s">
        <v>131</v>
      </c>
      <c r="P122" s="99" t="s">
        <v>147</v>
      </c>
      <c r="Q122" s="100" t="s">
        <v>623</v>
      </c>
      <c r="R122" s="99"/>
      <c r="S122" s="100" t="s">
        <v>131</v>
      </c>
      <c r="T122" s="101">
        <f>29.53</f>
        <v>29.53</v>
      </c>
      <c r="U122" s="102">
        <f>10</f>
        <v>10</v>
      </c>
      <c r="V122" s="102">
        <v>10</v>
      </c>
      <c r="W122" s="102"/>
      <c r="X122" s="102">
        <f>8940000</f>
        <v>8940000</v>
      </c>
      <c r="Y122" s="102">
        <v>8940000</v>
      </c>
      <c r="Z122" s="103"/>
      <c r="AA122" s="99"/>
      <c r="AB122" s="104">
        <f>10</f>
        <v>10</v>
      </c>
      <c r="AC122" s="104" t="str">
        <f t="shared" si="15"/>
        <v>－</v>
      </c>
      <c r="AD122" s="105" t="str">
        <f t="shared" si="15"/>
        <v>－</v>
      </c>
    </row>
    <row r="123" spans="1:30">
      <c r="A123" s="95" t="s">
        <v>46</v>
      </c>
      <c r="B123" s="96" t="s">
        <v>621</v>
      </c>
      <c r="C123" s="96" t="s">
        <v>622</v>
      </c>
      <c r="D123" s="96" t="s">
        <v>66</v>
      </c>
      <c r="E123" s="97" t="s">
        <v>606</v>
      </c>
      <c r="F123" s="97" t="s">
        <v>548</v>
      </c>
      <c r="G123" s="98">
        <v>24000</v>
      </c>
      <c r="H123" s="99"/>
      <c r="I123" s="100" t="s">
        <v>131</v>
      </c>
      <c r="J123" s="99"/>
      <c r="K123" s="100" t="s">
        <v>131</v>
      </c>
      <c r="L123" s="99"/>
      <c r="M123" s="100"/>
      <c r="N123" s="99"/>
      <c r="O123" s="100" t="s">
        <v>131</v>
      </c>
      <c r="P123" s="99"/>
      <c r="Q123" s="100"/>
      <c r="R123" s="99"/>
      <c r="S123" s="100" t="s">
        <v>131</v>
      </c>
      <c r="T123" s="101">
        <f>23.93</f>
        <v>23.93</v>
      </c>
      <c r="U123" s="102" t="str">
        <f>"－"</f>
        <v>－</v>
      </c>
      <c r="V123" s="102"/>
      <c r="W123" s="102"/>
      <c r="X123" s="102" t="str">
        <f>"－"</f>
        <v>－</v>
      </c>
      <c r="Y123" s="102"/>
      <c r="Z123" s="103"/>
      <c r="AA123" s="99"/>
      <c r="AB123" s="104" t="str">
        <f>"－"</f>
        <v>－</v>
      </c>
      <c r="AC123" s="104" t="str">
        <f t="shared" si="15"/>
        <v>－</v>
      </c>
      <c r="AD123" s="105" t="str">
        <f t="shared" si="15"/>
        <v>－</v>
      </c>
    </row>
    <row r="124" spans="1:30">
      <c r="A124" s="95" t="s">
        <v>46</v>
      </c>
      <c r="B124" s="96" t="s">
        <v>621</v>
      </c>
      <c r="C124" s="96" t="s">
        <v>622</v>
      </c>
      <c r="D124" s="96" t="s">
        <v>252</v>
      </c>
      <c r="E124" s="97" t="s">
        <v>550</v>
      </c>
      <c r="F124" s="97" t="s">
        <v>551</v>
      </c>
      <c r="G124" s="98">
        <v>24000</v>
      </c>
      <c r="H124" s="99"/>
      <c r="I124" s="100" t="s">
        <v>131</v>
      </c>
      <c r="J124" s="99"/>
      <c r="K124" s="100" t="s">
        <v>131</v>
      </c>
      <c r="L124" s="99"/>
      <c r="M124" s="100"/>
      <c r="N124" s="99"/>
      <c r="O124" s="100" t="s">
        <v>131</v>
      </c>
      <c r="P124" s="99"/>
      <c r="Q124" s="100"/>
      <c r="R124" s="99"/>
      <c r="S124" s="100" t="s">
        <v>131</v>
      </c>
      <c r="T124" s="101">
        <f>26.06</f>
        <v>26.06</v>
      </c>
      <c r="U124" s="102" t="str">
        <f>"－"</f>
        <v>－</v>
      </c>
      <c r="V124" s="102"/>
      <c r="W124" s="102"/>
      <c r="X124" s="102" t="str">
        <f>"－"</f>
        <v>－</v>
      </c>
      <c r="Y124" s="102"/>
      <c r="Z124" s="103"/>
      <c r="AA124" s="99"/>
      <c r="AB124" s="104" t="str">
        <f>"－"</f>
        <v>－</v>
      </c>
      <c r="AC124" s="104" t="str">
        <f t="shared" si="15"/>
        <v>－</v>
      </c>
      <c r="AD124" s="105" t="str">
        <f t="shared" si="15"/>
        <v>－</v>
      </c>
    </row>
    <row r="125" spans="1:30">
      <c r="A125" s="95" t="s">
        <v>46</v>
      </c>
      <c r="B125" s="96" t="s">
        <v>621</v>
      </c>
      <c r="C125" s="96" t="s">
        <v>622</v>
      </c>
      <c r="D125" s="96" t="s">
        <v>73</v>
      </c>
      <c r="E125" s="97" t="s">
        <v>553</v>
      </c>
      <c r="F125" s="97" t="s">
        <v>607</v>
      </c>
      <c r="G125" s="98">
        <v>25200</v>
      </c>
      <c r="H125" s="99"/>
      <c r="I125" s="100" t="s">
        <v>131</v>
      </c>
      <c r="J125" s="99"/>
      <c r="K125" s="100" t="s">
        <v>131</v>
      </c>
      <c r="L125" s="99" t="s">
        <v>147</v>
      </c>
      <c r="M125" s="100" t="s">
        <v>624</v>
      </c>
      <c r="N125" s="99"/>
      <c r="O125" s="100" t="s">
        <v>131</v>
      </c>
      <c r="P125" s="99" t="s">
        <v>147</v>
      </c>
      <c r="Q125" s="100" t="s">
        <v>624</v>
      </c>
      <c r="R125" s="99"/>
      <c r="S125" s="100" t="s">
        <v>131</v>
      </c>
      <c r="T125" s="101">
        <f>33.63</f>
        <v>33.630000000000003</v>
      </c>
      <c r="U125" s="102">
        <f>10</f>
        <v>10</v>
      </c>
      <c r="V125" s="102">
        <v>10</v>
      </c>
      <c r="W125" s="102"/>
      <c r="X125" s="102">
        <f>9009000</f>
        <v>9009000</v>
      </c>
      <c r="Y125" s="102">
        <v>9009000</v>
      </c>
      <c r="Z125" s="103"/>
      <c r="AA125" s="99"/>
      <c r="AB125" s="104">
        <f>10</f>
        <v>10</v>
      </c>
      <c r="AC125" s="104" t="str">
        <f t="shared" si="15"/>
        <v>－</v>
      </c>
      <c r="AD125" s="105" t="str">
        <f t="shared" si="15"/>
        <v>－</v>
      </c>
    </row>
    <row r="126" spans="1:30">
      <c r="A126" s="95" t="s">
        <v>46</v>
      </c>
      <c r="B126" s="96" t="s">
        <v>621</v>
      </c>
      <c r="C126" s="96" t="s">
        <v>622</v>
      </c>
      <c r="D126" s="96" t="s">
        <v>300</v>
      </c>
      <c r="E126" s="97" t="s">
        <v>610</v>
      </c>
      <c r="F126" s="97" t="s">
        <v>556</v>
      </c>
      <c r="G126" s="98">
        <v>22800</v>
      </c>
      <c r="H126" s="99"/>
      <c r="I126" s="100" t="s">
        <v>131</v>
      </c>
      <c r="J126" s="99"/>
      <c r="K126" s="100" t="s">
        <v>131</v>
      </c>
      <c r="L126" s="99" t="s">
        <v>147</v>
      </c>
      <c r="M126" s="100" t="s">
        <v>624</v>
      </c>
      <c r="N126" s="99"/>
      <c r="O126" s="100" t="s">
        <v>131</v>
      </c>
      <c r="P126" s="99" t="s">
        <v>147</v>
      </c>
      <c r="Q126" s="100" t="s">
        <v>624</v>
      </c>
      <c r="R126" s="99"/>
      <c r="S126" s="100" t="s">
        <v>131</v>
      </c>
      <c r="T126" s="101">
        <f>37.03</f>
        <v>37.03</v>
      </c>
      <c r="U126" s="102">
        <f>10</f>
        <v>10</v>
      </c>
      <c r="V126" s="102">
        <v>10</v>
      </c>
      <c r="W126" s="102"/>
      <c r="X126" s="102">
        <f>8151000</f>
        <v>8151000</v>
      </c>
      <c r="Y126" s="102">
        <v>8151000</v>
      </c>
      <c r="Z126" s="103"/>
      <c r="AA126" s="99"/>
      <c r="AB126" s="104">
        <f>10</f>
        <v>10</v>
      </c>
      <c r="AC126" s="104" t="str">
        <f t="shared" si="15"/>
        <v>－</v>
      </c>
      <c r="AD126" s="105" t="str">
        <f t="shared" si="15"/>
        <v>－</v>
      </c>
    </row>
    <row r="127" spans="1:30">
      <c r="A127" s="95" t="s">
        <v>46</v>
      </c>
      <c r="B127" s="96" t="s">
        <v>621</v>
      </c>
      <c r="C127" s="96" t="s">
        <v>622</v>
      </c>
      <c r="D127" s="96" t="s">
        <v>78</v>
      </c>
      <c r="E127" s="97" t="s">
        <v>557</v>
      </c>
      <c r="F127" s="97" t="s">
        <v>558</v>
      </c>
      <c r="G127" s="98">
        <v>22800</v>
      </c>
      <c r="H127" s="99"/>
      <c r="I127" s="100" t="s">
        <v>131</v>
      </c>
      <c r="J127" s="99"/>
      <c r="K127" s="100" t="s">
        <v>131</v>
      </c>
      <c r="L127" s="99" t="s">
        <v>147</v>
      </c>
      <c r="M127" s="100" t="s">
        <v>624</v>
      </c>
      <c r="N127" s="99"/>
      <c r="O127" s="100" t="s">
        <v>131</v>
      </c>
      <c r="P127" s="99" t="s">
        <v>147</v>
      </c>
      <c r="Q127" s="100" t="s">
        <v>624</v>
      </c>
      <c r="R127" s="99"/>
      <c r="S127" s="100" t="s">
        <v>131</v>
      </c>
      <c r="T127" s="101">
        <f>36.89</f>
        <v>36.89</v>
      </c>
      <c r="U127" s="102">
        <f>10</f>
        <v>10</v>
      </c>
      <c r="V127" s="102">
        <v>10</v>
      </c>
      <c r="W127" s="102"/>
      <c r="X127" s="102">
        <f>8151000</f>
        <v>8151000</v>
      </c>
      <c r="Y127" s="102">
        <v>8151000</v>
      </c>
      <c r="Z127" s="103"/>
      <c r="AA127" s="99"/>
      <c r="AB127" s="104">
        <f>10</f>
        <v>10</v>
      </c>
      <c r="AC127" s="104" t="str">
        <f t="shared" si="15"/>
        <v>－</v>
      </c>
      <c r="AD127" s="105" t="str">
        <f t="shared" si="15"/>
        <v>－</v>
      </c>
    </row>
    <row r="128" spans="1:30">
      <c r="A128" s="95" t="s">
        <v>46</v>
      </c>
      <c r="B128" s="96" t="s">
        <v>621</v>
      </c>
      <c r="C128" s="96" t="s">
        <v>622</v>
      </c>
      <c r="D128" s="96" t="s">
        <v>310</v>
      </c>
      <c r="E128" s="97" t="s">
        <v>615</v>
      </c>
      <c r="F128" s="97" t="s">
        <v>560</v>
      </c>
      <c r="G128" s="98">
        <v>26400</v>
      </c>
      <c r="H128" s="99"/>
      <c r="I128" s="100" t="s">
        <v>131</v>
      </c>
      <c r="J128" s="99"/>
      <c r="K128" s="100" t="s">
        <v>131</v>
      </c>
      <c r="L128" s="99"/>
      <c r="M128" s="100"/>
      <c r="N128" s="99"/>
      <c r="O128" s="100" t="s">
        <v>131</v>
      </c>
      <c r="P128" s="99"/>
      <c r="Q128" s="100"/>
      <c r="R128" s="99"/>
      <c r="S128" s="100" t="s">
        <v>131</v>
      </c>
      <c r="T128" s="101">
        <f>29.11</f>
        <v>29.11</v>
      </c>
      <c r="U128" s="102" t="str">
        <f t="shared" ref="U128:U158" si="16">"－"</f>
        <v>－</v>
      </c>
      <c r="V128" s="102"/>
      <c r="W128" s="102"/>
      <c r="X128" s="102" t="str">
        <f t="shared" ref="X128:X158" si="17">"－"</f>
        <v>－</v>
      </c>
      <c r="Y128" s="102"/>
      <c r="Z128" s="103"/>
      <c r="AA128" s="99"/>
      <c r="AB128" s="104" t="str">
        <f t="shared" ref="AB128:AB142" si="18">"－"</f>
        <v>－</v>
      </c>
      <c r="AC128" s="104" t="str">
        <f t="shared" si="15"/>
        <v>－</v>
      </c>
      <c r="AD128" s="105" t="str">
        <f t="shared" si="15"/>
        <v>－</v>
      </c>
    </row>
    <row r="129" spans="1:30">
      <c r="A129" s="95" t="s">
        <v>46</v>
      </c>
      <c r="B129" s="96" t="s">
        <v>621</v>
      </c>
      <c r="C129" s="96" t="s">
        <v>622</v>
      </c>
      <c r="D129" s="96" t="s">
        <v>88</v>
      </c>
      <c r="E129" s="97" t="s">
        <v>562</v>
      </c>
      <c r="F129" s="97" t="s">
        <v>616</v>
      </c>
      <c r="G129" s="98">
        <v>24000</v>
      </c>
      <c r="H129" s="99"/>
      <c r="I129" s="100" t="s">
        <v>131</v>
      </c>
      <c r="J129" s="99"/>
      <c r="K129" s="100" t="s">
        <v>131</v>
      </c>
      <c r="L129" s="99"/>
      <c r="M129" s="100"/>
      <c r="N129" s="99"/>
      <c r="O129" s="100" t="s">
        <v>131</v>
      </c>
      <c r="P129" s="99"/>
      <c r="Q129" s="100"/>
      <c r="R129" s="99"/>
      <c r="S129" s="100" t="s">
        <v>131</v>
      </c>
      <c r="T129" s="101">
        <f>16.07</f>
        <v>16.07</v>
      </c>
      <c r="U129" s="102" t="str">
        <f t="shared" si="16"/>
        <v>－</v>
      </c>
      <c r="V129" s="102"/>
      <c r="W129" s="102"/>
      <c r="X129" s="102" t="str">
        <f t="shared" si="17"/>
        <v>－</v>
      </c>
      <c r="Y129" s="102"/>
      <c r="Z129" s="103"/>
      <c r="AA129" s="99"/>
      <c r="AB129" s="104" t="str">
        <f t="shared" si="18"/>
        <v>－</v>
      </c>
      <c r="AC129" s="104" t="str">
        <f t="shared" si="15"/>
        <v>－</v>
      </c>
      <c r="AD129" s="105" t="str">
        <f t="shared" si="15"/>
        <v>－</v>
      </c>
    </row>
    <row r="130" spans="1:30">
      <c r="A130" s="95" t="s">
        <v>46</v>
      </c>
      <c r="B130" s="96" t="s">
        <v>621</v>
      </c>
      <c r="C130" s="96" t="s">
        <v>622</v>
      </c>
      <c r="D130" s="96" t="s">
        <v>319</v>
      </c>
      <c r="E130" s="97" t="s">
        <v>432</v>
      </c>
      <c r="F130" s="97" t="s">
        <v>563</v>
      </c>
      <c r="G130" s="98">
        <v>21600</v>
      </c>
      <c r="H130" s="99"/>
      <c r="I130" s="100" t="s">
        <v>131</v>
      </c>
      <c r="J130" s="99"/>
      <c r="K130" s="100" t="s">
        <v>131</v>
      </c>
      <c r="L130" s="99"/>
      <c r="M130" s="100"/>
      <c r="N130" s="99"/>
      <c r="O130" s="100" t="s">
        <v>131</v>
      </c>
      <c r="P130" s="99"/>
      <c r="Q130" s="100"/>
      <c r="R130" s="99"/>
      <c r="S130" s="100" t="s">
        <v>131</v>
      </c>
      <c r="T130" s="101">
        <f>16.14</f>
        <v>16.14</v>
      </c>
      <c r="U130" s="102" t="str">
        <f t="shared" si="16"/>
        <v>－</v>
      </c>
      <c r="V130" s="102"/>
      <c r="W130" s="102"/>
      <c r="X130" s="102" t="str">
        <f t="shared" si="17"/>
        <v>－</v>
      </c>
      <c r="Y130" s="102"/>
      <c r="Z130" s="103"/>
      <c r="AA130" s="99"/>
      <c r="AB130" s="104" t="str">
        <f t="shared" si="18"/>
        <v>－</v>
      </c>
      <c r="AC130" s="104" t="str">
        <f t="shared" si="15"/>
        <v>－</v>
      </c>
      <c r="AD130" s="105" t="str">
        <f t="shared" si="15"/>
        <v>－</v>
      </c>
    </row>
    <row r="131" spans="1:30">
      <c r="A131" s="95" t="s">
        <v>46</v>
      </c>
      <c r="B131" s="96" t="s">
        <v>621</v>
      </c>
      <c r="C131" s="96" t="s">
        <v>622</v>
      </c>
      <c r="D131" s="96" t="s">
        <v>513</v>
      </c>
      <c r="E131" s="97" t="s">
        <v>564</v>
      </c>
      <c r="F131" s="97" t="s">
        <v>565</v>
      </c>
      <c r="G131" s="98">
        <v>26400</v>
      </c>
      <c r="H131" s="99"/>
      <c r="I131" s="100" t="s">
        <v>131</v>
      </c>
      <c r="J131" s="99"/>
      <c r="K131" s="100" t="s">
        <v>131</v>
      </c>
      <c r="L131" s="99"/>
      <c r="M131" s="100"/>
      <c r="N131" s="99"/>
      <c r="O131" s="100" t="s">
        <v>131</v>
      </c>
      <c r="P131" s="99"/>
      <c r="Q131" s="100"/>
      <c r="R131" s="99"/>
      <c r="S131" s="100" t="s">
        <v>131</v>
      </c>
      <c r="T131" s="101">
        <f>17.09</f>
        <v>17.09</v>
      </c>
      <c r="U131" s="102" t="str">
        <f t="shared" si="16"/>
        <v>－</v>
      </c>
      <c r="V131" s="102"/>
      <c r="W131" s="102"/>
      <c r="X131" s="102" t="str">
        <f t="shared" si="17"/>
        <v>－</v>
      </c>
      <c r="Y131" s="102"/>
      <c r="Z131" s="103"/>
      <c r="AA131" s="99"/>
      <c r="AB131" s="104" t="str">
        <f t="shared" si="18"/>
        <v>－</v>
      </c>
      <c r="AC131" s="104" t="str">
        <f t="shared" si="15"/>
        <v>－</v>
      </c>
      <c r="AD131" s="105" t="str">
        <f t="shared" si="15"/>
        <v>－</v>
      </c>
    </row>
    <row r="132" spans="1:30">
      <c r="A132" s="95" t="s">
        <v>46</v>
      </c>
      <c r="B132" s="96" t="s">
        <v>621</v>
      </c>
      <c r="C132" s="96" t="s">
        <v>622</v>
      </c>
      <c r="D132" s="96" t="s">
        <v>519</v>
      </c>
      <c r="E132" s="97" t="s">
        <v>250</v>
      </c>
      <c r="F132" s="97" t="s">
        <v>566</v>
      </c>
      <c r="G132" s="98">
        <v>24000</v>
      </c>
      <c r="H132" s="99"/>
      <c r="I132" s="100" t="s">
        <v>131</v>
      </c>
      <c r="J132" s="99"/>
      <c r="K132" s="100" t="s">
        <v>131</v>
      </c>
      <c r="L132" s="99"/>
      <c r="M132" s="100"/>
      <c r="N132" s="99"/>
      <c r="O132" s="100" t="s">
        <v>131</v>
      </c>
      <c r="P132" s="99"/>
      <c r="Q132" s="100"/>
      <c r="R132" s="99"/>
      <c r="S132" s="100" t="s">
        <v>131</v>
      </c>
      <c r="T132" s="101">
        <f>21.23</f>
        <v>21.23</v>
      </c>
      <c r="U132" s="102" t="str">
        <f t="shared" si="16"/>
        <v>－</v>
      </c>
      <c r="V132" s="102"/>
      <c r="W132" s="102"/>
      <c r="X132" s="102" t="str">
        <f t="shared" si="17"/>
        <v>－</v>
      </c>
      <c r="Y132" s="102"/>
      <c r="Z132" s="103"/>
      <c r="AA132" s="99"/>
      <c r="AB132" s="104" t="str">
        <f t="shared" si="18"/>
        <v>－</v>
      </c>
      <c r="AC132" s="104" t="str">
        <f t="shared" si="15"/>
        <v>－</v>
      </c>
      <c r="AD132" s="105" t="str">
        <f t="shared" si="15"/>
        <v>－</v>
      </c>
    </row>
    <row r="133" spans="1:30">
      <c r="A133" s="95" t="s">
        <v>46</v>
      </c>
      <c r="B133" s="96" t="s">
        <v>621</v>
      </c>
      <c r="C133" s="96" t="s">
        <v>622</v>
      </c>
      <c r="D133" s="96" t="s">
        <v>567</v>
      </c>
      <c r="E133" s="97" t="s">
        <v>250</v>
      </c>
      <c r="F133" s="97" t="s">
        <v>568</v>
      </c>
      <c r="G133" s="98">
        <v>26400</v>
      </c>
      <c r="H133" s="99"/>
      <c r="I133" s="100" t="s">
        <v>131</v>
      </c>
      <c r="J133" s="99"/>
      <c r="K133" s="100" t="s">
        <v>131</v>
      </c>
      <c r="L133" s="99"/>
      <c r="M133" s="100"/>
      <c r="N133" s="99"/>
      <c r="O133" s="100" t="s">
        <v>131</v>
      </c>
      <c r="P133" s="99"/>
      <c r="Q133" s="100"/>
      <c r="R133" s="99"/>
      <c r="S133" s="100" t="s">
        <v>131</v>
      </c>
      <c r="T133" s="101">
        <f>21.66</f>
        <v>21.66</v>
      </c>
      <c r="U133" s="102" t="str">
        <f t="shared" si="16"/>
        <v>－</v>
      </c>
      <c r="V133" s="102"/>
      <c r="W133" s="102"/>
      <c r="X133" s="102" t="str">
        <f t="shared" si="17"/>
        <v>－</v>
      </c>
      <c r="Y133" s="102"/>
      <c r="Z133" s="103"/>
      <c r="AA133" s="99"/>
      <c r="AB133" s="104" t="str">
        <f t="shared" si="18"/>
        <v>－</v>
      </c>
      <c r="AC133" s="104" t="str">
        <f t="shared" si="15"/>
        <v>－</v>
      </c>
      <c r="AD133" s="105" t="str">
        <f t="shared" si="15"/>
        <v>－</v>
      </c>
    </row>
    <row r="134" spans="1:30">
      <c r="A134" s="95" t="s">
        <v>46</v>
      </c>
      <c r="B134" s="96" t="s">
        <v>621</v>
      </c>
      <c r="C134" s="96" t="s">
        <v>622</v>
      </c>
      <c r="D134" s="96" t="s">
        <v>569</v>
      </c>
      <c r="E134" s="97" t="s">
        <v>250</v>
      </c>
      <c r="F134" s="97" t="s">
        <v>617</v>
      </c>
      <c r="G134" s="98">
        <v>24000</v>
      </c>
      <c r="H134" s="99"/>
      <c r="I134" s="100" t="s">
        <v>131</v>
      </c>
      <c r="J134" s="99"/>
      <c r="K134" s="100" t="s">
        <v>131</v>
      </c>
      <c r="L134" s="99"/>
      <c r="M134" s="100"/>
      <c r="N134" s="99"/>
      <c r="O134" s="100" t="s">
        <v>131</v>
      </c>
      <c r="P134" s="99"/>
      <c r="Q134" s="100"/>
      <c r="R134" s="99"/>
      <c r="S134" s="100" t="s">
        <v>131</v>
      </c>
      <c r="T134" s="101">
        <f>19.51</f>
        <v>19.510000000000002</v>
      </c>
      <c r="U134" s="102" t="str">
        <f t="shared" si="16"/>
        <v>－</v>
      </c>
      <c r="V134" s="102"/>
      <c r="W134" s="102"/>
      <c r="X134" s="102" t="str">
        <f t="shared" si="17"/>
        <v>－</v>
      </c>
      <c r="Y134" s="102"/>
      <c r="Z134" s="103"/>
      <c r="AA134" s="99"/>
      <c r="AB134" s="104" t="str">
        <f t="shared" si="18"/>
        <v>－</v>
      </c>
      <c r="AC134" s="104" t="str">
        <f t="shared" si="15"/>
        <v>－</v>
      </c>
      <c r="AD134" s="105" t="str">
        <f t="shared" si="15"/>
        <v>－</v>
      </c>
    </row>
    <row r="135" spans="1:30">
      <c r="A135" s="95" t="s">
        <v>46</v>
      </c>
      <c r="B135" s="96" t="s">
        <v>621</v>
      </c>
      <c r="C135" s="96" t="s">
        <v>622</v>
      </c>
      <c r="D135" s="96" t="s">
        <v>571</v>
      </c>
      <c r="E135" s="97" t="s">
        <v>250</v>
      </c>
      <c r="F135" s="97" t="s">
        <v>572</v>
      </c>
      <c r="G135" s="98">
        <v>25200</v>
      </c>
      <c r="H135" s="99"/>
      <c r="I135" s="100" t="s">
        <v>131</v>
      </c>
      <c r="J135" s="99"/>
      <c r="K135" s="100" t="s">
        <v>131</v>
      </c>
      <c r="L135" s="99"/>
      <c r="M135" s="100"/>
      <c r="N135" s="99"/>
      <c r="O135" s="100" t="s">
        <v>131</v>
      </c>
      <c r="P135" s="99"/>
      <c r="Q135" s="100"/>
      <c r="R135" s="99"/>
      <c r="S135" s="100" t="s">
        <v>131</v>
      </c>
      <c r="T135" s="101">
        <f>16.15</f>
        <v>16.149999999999999</v>
      </c>
      <c r="U135" s="102" t="str">
        <f t="shared" si="16"/>
        <v>－</v>
      </c>
      <c r="V135" s="102"/>
      <c r="W135" s="102"/>
      <c r="X135" s="102" t="str">
        <f t="shared" si="17"/>
        <v>－</v>
      </c>
      <c r="Y135" s="102"/>
      <c r="Z135" s="103"/>
      <c r="AA135" s="99"/>
      <c r="AB135" s="104" t="str">
        <f t="shared" si="18"/>
        <v>－</v>
      </c>
      <c r="AC135" s="104" t="str">
        <f t="shared" si="15"/>
        <v>－</v>
      </c>
      <c r="AD135" s="105" t="str">
        <f t="shared" si="15"/>
        <v>－</v>
      </c>
    </row>
    <row r="136" spans="1:30">
      <c r="A136" s="95" t="s">
        <v>46</v>
      </c>
      <c r="B136" s="96" t="s">
        <v>621</v>
      </c>
      <c r="C136" s="96" t="s">
        <v>622</v>
      </c>
      <c r="D136" s="96" t="s">
        <v>573</v>
      </c>
      <c r="E136" s="97" t="s">
        <v>250</v>
      </c>
      <c r="F136" s="97" t="s">
        <v>574</v>
      </c>
      <c r="G136" s="98">
        <v>24000</v>
      </c>
      <c r="H136" s="99"/>
      <c r="I136" s="100" t="s">
        <v>131</v>
      </c>
      <c r="J136" s="99"/>
      <c r="K136" s="100" t="s">
        <v>131</v>
      </c>
      <c r="L136" s="99"/>
      <c r="M136" s="100"/>
      <c r="N136" s="99"/>
      <c r="O136" s="100" t="s">
        <v>131</v>
      </c>
      <c r="P136" s="99"/>
      <c r="Q136" s="100"/>
      <c r="R136" s="99"/>
      <c r="S136" s="100" t="s">
        <v>131</v>
      </c>
      <c r="T136" s="101">
        <f>16.16</f>
        <v>16.16</v>
      </c>
      <c r="U136" s="102" t="str">
        <f t="shared" si="16"/>
        <v>－</v>
      </c>
      <c r="V136" s="102"/>
      <c r="W136" s="102"/>
      <c r="X136" s="102" t="str">
        <f t="shared" si="17"/>
        <v>－</v>
      </c>
      <c r="Y136" s="102"/>
      <c r="Z136" s="103"/>
      <c r="AA136" s="99"/>
      <c r="AB136" s="104" t="str">
        <f t="shared" si="18"/>
        <v>－</v>
      </c>
      <c r="AC136" s="104" t="str">
        <f t="shared" si="15"/>
        <v>－</v>
      </c>
      <c r="AD136" s="105" t="str">
        <f t="shared" si="15"/>
        <v>－</v>
      </c>
    </row>
    <row r="137" spans="1:30">
      <c r="A137" s="95" t="s">
        <v>46</v>
      </c>
      <c r="B137" s="96" t="s">
        <v>621</v>
      </c>
      <c r="C137" s="96" t="s">
        <v>622</v>
      </c>
      <c r="D137" s="96" t="s">
        <v>575</v>
      </c>
      <c r="E137" s="97" t="s">
        <v>250</v>
      </c>
      <c r="F137" s="97" t="s">
        <v>618</v>
      </c>
      <c r="G137" s="98">
        <v>25200</v>
      </c>
      <c r="H137" s="99"/>
      <c r="I137" s="100" t="s">
        <v>131</v>
      </c>
      <c r="J137" s="99"/>
      <c r="K137" s="100" t="s">
        <v>131</v>
      </c>
      <c r="L137" s="99"/>
      <c r="M137" s="100"/>
      <c r="N137" s="99"/>
      <c r="O137" s="100" t="s">
        <v>131</v>
      </c>
      <c r="P137" s="99"/>
      <c r="Q137" s="100"/>
      <c r="R137" s="99"/>
      <c r="S137" s="100" t="s">
        <v>131</v>
      </c>
      <c r="T137" s="101">
        <f>18.86</f>
        <v>18.86</v>
      </c>
      <c r="U137" s="102" t="str">
        <f t="shared" si="16"/>
        <v>－</v>
      </c>
      <c r="V137" s="102"/>
      <c r="W137" s="102"/>
      <c r="X137" s="102" t="str">
        <f t="shared" si="17"/>
        <v>－</v>
      </c>
      <c r="Y137" s="102"/>
      <c r="Z137" s="103"/>
      <c r="AA137" s="99"/>
      <c r="AB137" s="104" t="str">
        <f t="shared" si="18"/>
        <v>－</v>
      </c>
      <c r="AC137" s="104" t="str">
        <f t="shared" si="15"/>
        <v>－</v>
      </c>
      <c r="AD137" s="105" t="str">
        <f t="shared" si="15"/>
        <v>－</v>
      </c>
    </row>
    <row r="138" spans="1:30">
      <c r="A138" s="95" t="s">
        <v>46</v>
      </c>
      <c r="B138" s="96" t="s">
        <v>621</v>
      </c>
      <c r="C138" s="96" t="s">
        <v>622</v>
      </c>
      <c r="D138" s="96" t="s">
        <v>577</v>
      </c>
      <c r="E138" s="97" t="s">
        <v>250</v>
      </c>
      <c r="F138" s="97" t="s">
        <v>578</v>
      </c>
      <c r="G138" s="98">
        <v>22800</v>
      </c>
      <c r="H138" s="99"/>
      <c r="I138" s="100" t="s">
        <v>131</v>
      </c>
      <c r="J138" s="99"/>
      <c r="K138" s="100" t="s">
        <v>131</v>
      </c>
      <c r="L138" s="99"/>
      <c r="M138" s="100"/>
      <c r="N138" s="99"/>
      <c r="O138" s="100" t="s">
        <v>131</v>
      </c>
      <c r="P138" s="99"/>
      <c r="Q138" s="100"/>
      <c r="R138" s="99"/>
      <c r="S138" s="100" t="s">
        <v>131</v>
      </c>
      <c r="T138" s="101">
        <f>20.97</f>
        <v>20.97</v>
      </c>
      <c r="U138" s="102" t="str">
        <f t="shared" si="16"/>
        <v>－</v>
      </c>
      <c r="V138" s="102"/>
      <c r="W138" s="102"/>
      <c r="X138" s="102" t="str">
        <f t="shared" si="17"/>
        <v>－</v>
      </c>
      <c r="Y138" s="102"/>
      <c r="Z138" s="103"/>
      <c r="AA138" s="99"/>
      <c r="AB138" s="104" t="str">
        <f t="shared" si="18"/>
        <v>－</v>
      </c>
      <c r="AC138" s="104" t="str">
        <f t="shared" si="15"/>
        <v>－</v>
      </c>
      <c r="AD138" s="105" t="str">
        <f t="shared" si="15"/>
        <v>－</v>
      </c>
    </row>
    <row r="139" spans="1:30">
      <c r="A139" s="95" t="s">
        <v>46</v>
      </c>
      <c r="B139" s="96" t="s">
        <v>621</v>
      </c>
      <c r="C139" s="96" t="s">
        <v>622</v>
      </c>
      <c r="D139" s="96" t="s">
        <v>579</v>
      </c>
      <c r="E139" s="97" t="s">
        <v>250</v>
      </c>
      <c r="F139" s="97" t="s">
        <v>580</v>
      </c>
      <c r="G139" s="98">
        <v>22800</v>
      </c>
      <c r="H139" s="99"/>
      <c r="I139" s="100" t="s">
        <v>131</v>
      </c>
      <c r="J139" s="99"/>
      <c r="K139" s="100" t="s">
        <v>131</v>
      </c>
      <c r="L139" s="99"/>
      <c r="M139" s="100"/>
      <c r="N139" s="99"/>
      <c r="O139" s="100" t="s">
        <v>131</v>
      </c>
      <c r="P139" s="99"/>
      <c r="Q139" s="100"/>
      <c r="R139" s="99"/>
      <c r="S139" s="100" t="s">
        <v>131</v>
      </c>
      <c r="T139" s="101">
        <f>19.95</f>
        <v>19.95</v>
      </c>
      <c r="U139" s="102" t="str">
        <f t="shared" si="16"/>
        <v>－</v>
      </c>
      <c r="V139" s="102"/>
      <c r="W139" s="102"/>
      <c r="X139" s="102" t="str">
        <f t="shared" si="17"/>
        <v>－</v>
      </c>
      <c r="Y139" s="102"/>
      <c r="Z139" s="103"/>
      <c r="AA139" s="99"/>
      <c r="AB139" s="104" t="str">
        <f t="shared" si="18"/>
        <v>－</v>
      </c>
      <c r="AC139" s="104" t="str">
        <f t="shared" si="15"/>
        <v>－</v>
      </c>
      <c r="AD139" s="105" t="str">
        <f t="shared" si="15"/>
        <v>－</v>
      </c>
    </row>
    <row r="140" spans="1:30">
      <c r="A140" s="95" t="s">
        <v>46</v>
      </c>
      <c r="B140" s="96" t="s">
        <v>621</v>
      </c>
      <c r="C140" s="96" t="s">
        <v>622</v>
      </c>
      <c r="D140" s="96" t="s">
        <v>581</v>
      </c>
      <c r="E140" s="97" t="s">
        <v>250</v>
      </c>
      <c r="F140" s="97" t="s">
        <v>619</v>
      </c>
      <c r="G140" s="98">
        <v>24000</v>
      </c>
      <c r="H140" s="99"/>
      <c r="I140" s="100" t="s">
        <v>131</v>
      </c>
      <c r="J140" s="99"/>
      <c r="K140" s="100" t="s">
        <v>131</v>
      </c>
      <c r="L140" s="99"/>
      <c r="M140" s="100"/>
      <c r="N140" s="99"/>
      <c r="O140" s="100" t="s">
        <v>131</v>
      </c>
      <c r="P140" s="99"/>
      <c r="Q140" s="100"/>
      <c r="R140" s="99"/>
      <c r="S140" s="100" t="s">
        <v>131</v>
      </c>
      <c r="T140" s="101">
        <f>16.92</f>
        <v>16.920000000000002</v>
      </c>
      <c r="U140" s="102" t="str">
        <f t="shared" si="16"/>
        <v>－</v>
      </c>
      <c r="V140" s="102"/>
      <c r="W140" s="102"/>
      <c r="X140" s="102" t="str">
        <f t="shared" si="17"/>
        <v>－</v>
      </c>
      <c r="Y140" s="102"/>
      <c r="Z140" s="103"/>
      <c r="AA140" s="99"/>
      <c r="AB140" s="104" t="str">
        <f t="shared" si="18"/>
        <v>－</v>
      </c>
      <c r="AC140" s="104" t="str">
        <f t="shared" si="15"/>
        <v>－</v>
      </c>
      <c r="AD140" s="105" t="str">
        <f t="shared" si="15"/>
        <v>－</v>
      </c>
    </row>
    <row r="141" spans="1:30">
      <c r="A141" s="95" t="s">
        <v>46</v>
      </c>
      <c r="B141" s="96" t="s">
        <v>621</v>
      </c>
      <c r="C141" s="96" t="s">
        <v>622</v>
      </c>
      <c r="D141" s="96" t="s">
        <v>583</v>
      </c>
      <c r="E141" s="97" t="s">
        <v>620</v>
      </c>
      <c r="F141" s="97" t="s">
        <v>584</v>
      </c>
      <c r="G141" s="98">
        <v>25200</v>
      </c>
      <c r="H141" s="99"/>
      <c r="I141" s="100" t="s">
        <v>131</v>
      </c>
      <c r="J141" s="99"/>
      <c r="K141" s="100" t="s">
        <v>131</v>
      </c>
      <c r="L141" s="99"/>
      <c r="M141" s="100"/>
      <c r="N141" s="99"/>
      <c r="O141" s="100" t="s">
        <v>131</v>
      </c>
      <c r="P141" s="99"/>
      <c r="Q141" s="100"/>
      <c r="R141" s="99"/>
      <c r="S141" s="100" t="s">
        <v>131</v>
      </c>
      <c r="T141" s="101">
        <f>15.02</f>
        <v>15.02</v>
      </c>
      <c r="U141" s="102" t="str">
        <f t="shared" si="16"/>
        <v>－</v>
      </c>
      <c r="V141" s="102"/>
      <c r="W141" s="102"/>
      <c r="X141" s="102" t="str">
        <f t="shared" si="17"/>
        <v>－</v>
      </c>
      <c r="Y141" s="102"/>
      <c r="Z141" s="103"/>
      <c r="AA141" s="99"/>
      <c r="AB141" s="104" t="str">
        <f t="shared" si="18"/>
        <v>－</v>
      </c>
      <c r="AC141" s="104" t="str">
        <f t="shared" si="15"/>
        <v>－</v>
      </c>
      <c r="AD141" s="105" t="str">
        <f t="shared" si="15"/>
        <v>－</v>
      </c>
    </row>
    <row r="142" spans="1:30">
      <c r="A142" s="95" t="s">
        <v>46</v>
      </c>
      <c r="B142" s="96" t="s">
        <v>621</v>
      </c>
      <c r="C142" s="96" t="s">
        <v>622</v>
      </c>
      <c r="D142" s="96" t="s">
        <v>585</v>
      </c>
      <c r="E142" s="97" t="s">
        <v>326</v>
      </c>
      <c r="F142" s="97" t="s">
        <v>586</v>
      </c>
      <c r="G142" s="98">
        <v>22800</v>
      </c>
      <c r="H142" s="99"/>
      <c r="I142" s="100" t="s">
        <v>131</v>
      </c>
      <c r="J142" s="99"/>
      <c r="K142" s="100" t="s">
        <v>131</v>
      </c>
      <c r="L142" s="99"/>
      <c r="M142" s="100"/>
      <c r="N142" s="99"/>
      <c r="O142" s="100" t="s">
        <v>131</v>
      </c>
      <c r="P142" s="99"/>
      <c r="Q142" s="100"/>
      <c r="R142" s="99"/>
      <c r="S142" s="100" t="s">
        <v>131</v>
      </c>
      <c r="T142" s="101">
        <f>15.58</f>
        <v>15.58</v>
      </c>
      <c r="U142" s="102" t="str">
        <f t="shared" si="16"/>
        <v>－</v>
      </c>
      <c r="V142" s="102"/>
      <c r="W142" s="102"/>
      <c r="X142" s="102" t="str">
        <f t="shared" si="17"/>
        <v>－</v>
      </c>
      <c r="Y142" s="102"/>
      <c r="Z142" s="103"/>
      <c r="AA142" s="99"/>
      <c r="AB142" s="104" t="str">
        <f t="shared" si="18"/>
        <v>－</v>
      </c>
      <c r="AC142" s="104" t="str">
        <f t="shared" si="15"/>
        <v>－</v>
      </c>
      <c r="AD142" s="105" t="str">
        <f t="shared" si="15"/>
        <v>－</v>
      </c>
    </row>
    <row r="143" spans="1:30">
      <c r="A143" s="95" t="s">
        <v>46</v>
      </c>
      <c r="B143" s="96" t="s">
        <v>625</v>
      </c>
      <c r="C143" s="96" t="s">
        <v>626</v>
      </c>
      <c r="D143" s="96" t="s">
        <v>49</v>
      </c>
      <c r="E143" s="97" t="s">
        <v>250</v>
      </c>
      <c r="F143" s="97" t="s">
        <v>627</v>
      </c>
      <c r="G143" s="98">
        <v>1000</v>
      </c>
      <c r="H143" s="99"/>
      <c r="I143" s="100" t="s">
        <v>131</v>
      </c>
      <c r="J143" s="99"/>
      <c r="K143" s="100" t="s">
        <v>131</v>
      </c>
      <c r="L143" s="99"/>
      <c r="M143" s="100"/>
      <c r="N143" s="99"/>
      <c r="O143" s="100" t="s">
        <v>131</v>
      </c>
      <c r="P143" s="99"/>
      <c r="Q143" s="100"/>
      <c r="R143" s="99"/>
      <c r="S143" s="100" t="s">
        <v>131</v>
      </c>
      <c r="T143" s="101">
        <f>3276.8</f>
        <v>3276.8</v>
      </c>
      <c r="U143" s="102" t="str">
        <f t="shared" si="16"/>
        <v>－</v>
      </c>
      <c r="V143" s="102"/>
      <c r="W143" s="102"/>
      <c r="X143" s="102" t="str">
        <f t="shared" si="17"/>
        <v>－</v>
      </c>
      <c r="Y143" s="102"/>
      <c r="Z143" s="103"/>
      <c r="AA143" s="99" t="s">
        <v>232</v>
      </c>
      <c r="AB143" s="104">
        <f>1</f>
        <v>1</v>
      </c>
      <c r="AC143" s="104" t="str">
        <f t="shared" si="15"/>
        <v>－</v>
      </c>
      <c r="AD143" s="105" t="str">
        <f t="shared" si="15"/>
        <v>－</v>
      </c>
    </row>
    <row r="144" spans="1:30">
      <c r="A144" s="95" t="s">
        <v>46</v>
      </c>
      <c r="B144" s="96" t="s">
        <v>625</v>
      </c>
      <c r="C144" s="96" t="s">
        <v>626</v>
      </c>
      <c r="D144" s="96" t="s">
        <v>237</v>
      </c>
      <c r="E144" s="97" t="s">
        <v>250</v>
      </c>
      <c r="F144" s="97" t="s">
        <v>353</v>
      </c>
      <c r="G144" s="98">
        <v>1000</v>
      </c>
      <c r="H144" s="99"/>
      <c r="I144" s="100" t="s">
        <v>131</v>
      </c>
      <c r="J144" s="99"/>
      <c r="K144" s="100" t="s">
        <v>131</v>
      </c>
      <c r="L144" s="99"/>
      <c r="M144" s="100"/>
      <c r="N144" s="99"/>
      <c r="O144" s="100" t="s">
        <v>131</v>
      </c>
      <c r="P144" s="99"/>
      <c r="Q144" s="100"/>
      <c r="R144" s="99"/>
      <c r="S144" s="100" t="s">
        <v>131</v>
      </c>
      <c r="T144" s="101">
        <f>2896.79</f>
        <v>2896.79</v>
      </c>
      <c r="U144" s="102" t="str">
        <f t="shared" si="16"/>
        <v>－</v>
      </c>
      <c r="V144" s="102"/>
      <c r="W144" s="102"/>
      <c r="X144" s="102" t="str">
        <f t="shared" si="17"/>
        <v>－</v>
      </c>
      <c r="Y144" s="102"/>
      <c r="Z144" s="103"/>
      <c r="AA144" s="99"/>
      <c r="AB144" s="104" t="str">
        <f t="shared" ref="AB144:AD159" si="19">"－"</f>
        <v>－</v>
      </c>
      <c r="AC144" s="104" t="str">
        <f t="shared" si="15"/>
        <v>－</v>
      </c>
      <c r="AD144" s="105" t="str">
        <f t="shared" si="15"/>
        <v>－</v>
      </c>
    </row>
    <row r="145" spans="1:30">
      <c r="A145" s="95" t="s">
        <v>46</v>
      </c>
      <c r="B145" s="96" t="s">
        <v>625</v>
      </c>
      <c r="C145" s="96" t="s">
        <v>626</v>
      </c>
      <c r="D145" s="96" t="s">
        <v>59</v>
      </c>
      <c r="E145" s="97" t="s">
        <v>250</v>
      </c>
      <c r="F145" s="97" t="s">
        <v>628</v>
      </c>
      <c r="G145" s="98">
        <v>1000</v>
      </c>
      <c r="H145" s="99"/>
      <c r="I145" s="100" t="s">
        <v>131</v>
      </c>
      <c r="J145" s="99"/>
      <c r="K145" s="100" t="s">
        <v>131</v>
      </c>
      <c r="L145" s="99"/>
      <c r="M145" s="100"/>
      <c r="N145" s="99"/>
      <c r="O145" s="100" t="s">
        <v>131</v>
      </c>
      <c r="P145" s="99"/>
      <c r="Q145" s="100"/>
      <c r="R145" s="99"/>
      <c r="S145" s="100" t="s">
        <v>131</v>
      </c>
      <c r="T145" s="101">
        <f>2973.32</f>
        <v>2973.32</v>
      </c>
      <c r="U145" s="102" t="str">
        <f t="shared" si="16"/>
        <v>－</v>
      </c>
      <c r="V145" s="102"/>
      <c r="W145" s="102"/>
      <c r="X145" s="102" t="str">
        <f t="shared" si="17"/>
        <v>－</v>
      </c>
      <c r="Y145" s="102"/>
      <c r="Z145" s="103"/>
      <c r="AA145" s="99"/>
      <c r="AB145" s="104" t="str">
        <f t="shared" si="19"/>
        <v>－</v>
      </c>
      <c r="AC145" s="104" t="str">
        <f t="shared" si="15"/>
        <v>－</v>
      </c>
      <c r="AD145" s="105" t="str">
        <f t="shared" si="15"/>
        <v>－</v>
      </c>
    </row>
    <row r="146" spans="1:30">
      <c r="A146" s="95" t="s">
        <v>46</v>
      </c>
      <c r="B146" s="96" t="s">
        <v>625</v>
      </c>
      <c r="C146" s="96" t="s">
        <v>626</v>
      </c>
      <c r="D146" s="96" t="s">
        <v>245</v>
      </c>
      <c r="E146" s="97" t="s">
        <v>250</v>
      </c>
      <c r="F146" s="97" t="s">
        <v>360</v>
      </c>
      <c r="G146" s="98">
        <v>1000</v>
      </c>
      <c r="H146" s="99"/>
      <c r="I146" s="100" t="s">
        <v>131</v>
      </c>
      <c r="J146" s="99"/>
      <c r="K146" s="100" t="s">
        <v>131</v>
      </c>
      <c r="L146" s="99"/>
      <c r="M146" s="100"/>
      <c r="N146" s="99"/>
      <c r="O146" s="100" t="s">
        <v>131</v>
      </c>
      <c r="P146" s="99"/>
      <c r="Q146" s="100"/>
      <c r="R146" s="99"/>
      <c r="S146" s="100" t="s">
        <v>131</v>
      </c>
      <c r="T146" s="101">
        <f>3128.43</f>
        <v>3128.43</v>
      </c>
      <c r="U146" s="102" t="str">
        <f t="shared" si="16"/>
        <v>－</v>
      </c>
      <c r="V146" s="102"/>
      <c r="W146" s="102"/>
      <c r="X146" s="102" t="str">
        <f t="shared" si="17"/>
        <v>－</v>
      </c>
      <c r="Y146" s="102"/>
      <c r="Z146" s="103"/>
      <c r="AA146" s="99"/>
      <c r="AB146" s="104" t="str">
        <f t="shared" si="19"/>
        <v>－</v>
      </c>
      <c r="AC146" s="104" t="str">
        <f t="shared" si="15"/>
        <v>－</v>
      </c>
      <c r="AD146" s="105" t="str">
        <f t="shared" si="15"/>
        <v>－</v>
      </c>
    </row>
    <row r="147" spans="1:30">
      <c r="A147" s="95" t="s">
        <v>46</v>
      </c>
      <c r="B147" s="96" t="s">
        <v>625</v>
      </c>
      <c r="C147" s="96" t="s">
        <v>626</v>
      </c>
      <c r="D147" s="96" t="s">
        <v>66</v>
      </c>
      <c r="E147" s="97" t="s">
        <v>250</v>
      </c>
      <c r="F147" s="97" t="s">
        <v>629</v>
      </c>
      <c r="G147" s="98">
        <v>1000</v>
      </c>
      <c r="H147" s="99"/>
      <c r="I147" s="100" t="s">
        <v>131</v>
      </c>
      <c r="J147" s="99"/>
      <c r="K147" s="100" t="s">
        <v>131</v>
      </c>
      <c r="L147" s="99"/>
      <c r="M147" s="100"/>
      <c r="N147" s="99"/>
      <c r="O147" s="100" t="s">
        <v>131</v>
      </c>
      <c r="P147" s="99"/>
      <c r="Q147" s="100"/>
      <c r="R147" s="99"/>
      <c r="S147" s="100" t="s">
        <v>131</v>
      </c>
      <c r="T147" s="101">
        <f>3252.99</f>
        <v>3252.99</v>
      </c>
      <c r="U147" s="102" t="str">
        <f t="shared" si="16"/>
        <v>－</v>
      </c>
      <c r="V147" s="102"/>
      <c r="W147" s="102"/>
      <c r="X147" s="102" t="str">
        <f t="shared" si="17"/>
        <v>－</v>
      </c>
      <c r="Y147" s="102"/>
      <c r="Z147" s="103"/>
      <c r="AA147" s="99"/>
      <c r="AB147" s="104" t="str">
        <f t="shared" si="19"/>
        <v>－</v>
      </c>
      <c r="AC147" s="104" t="str">
        <f t="shared" si="15"/>
        <v>－</v>
      </c>
      <c r="AD147" s="105" t="str">
        <f t="shared" si="15"/>
        <v>－</v>
      </c>
    </row>
    <row r="148" spans="1:30">
      <c r="A148" s="95" t="s">
        <v>46</v>
      </c>
      <c r="B148" s="96" t="s">
        <v>625</v>
      </c>
      <c r="C148" s="96" t="s">
        <v>626</v>
      </c>
      <c r="D148" s="96" t="s">
        <v>252</v>
      </c>
      <c r="E148" s="97" t="s">
        <v>250</v>
      </c>
      <c r="F148" s="97" t="s">
        <v>366</v>
      </c>
      <c r="G148" s="98">
        <v>1000</v>
      </c>
      <c r="H148" s="99"/>
      <c r="I148" s="100" t="s">
        <v>131</v>
      </c>
      <c r="J148" s="99"/>
      <c r="K148" s="100" t="s">
        <v>131</v>
      </c>
      <c r="L148" s="99"/>
      <c r="M148" s="100"/>
      <c r="N148" s="99"/>
      <c r="O148" s="100" t="s">
        <v>131</v>
      </c>
      <c r="P148" s="99"/>
      <c r="Q148" s="100"/>
      <c r="R148" s="99"/>
      <c r="S148" s="100" t="s">
        <v>131</v>
      </c>
      <c r="T148" s="101">
        <f>3568.21</f>
        <v>3568.21</v>
      </c>
      <c r="U148" s="102" t="str">
        <f t="shared" si="16"/>
        <v>－</v>
      </c>
      <c r="V148" s="102"/>
      <c r="W148" s="102"/>
      <c r="X148" s="102" t="str">
        <f t="shared" si="17"/>
        <v>－</v>
      </c>
      <c r="Y148" s="102"/>
      <c r="Z148" s="103"/>
      <c r="AA148" s="99"/>
      <c r="AB148" s="104" t="str">
        <f t="shared" si="19"/>
        <v>－</v>
      </c>
      <c r="AC148" s="104" t="str">
        <f t="shared" si="15"/>
        <v>－</v>
      </c>
      <c r="AD148" s="105" t="str">
        <f t="shared" si="15"/>
        <v>－</v>
      </c>
    </row>
    <row r="149" spans="1:30">
      <c r="A149" s="95" t="s">
        <v>46</v>
      </c>
      <c r="B149" s="96" t="s">
        <v>625</v>
      </c>
      <c r="C149" s="96" t="s">
        <v>626</v>
      </c>
      <c r="D149" s="96" t="s">
        <v>73</v>
      </c>
      <c r="E149" s="97" t="s">
        <v>250</v>
      </c>
      <c r="F149" s="97" t="s">
        <v>630</v>
      </c>
      <c r="G149" s="98">
        <v>1000</v>
      </c>
      <c r="H149" s="99"/>
      <c r="I149" s="100" t="s">
        <v>131</v>
      </c>
      <c r="J149" s="99"/>
      <c r="K149" s="100" t="s">
        <v>131</v>
      </c>
      <c r="L149" s="99"/>
      <c r="M149" s="100"/>
      <c r="N149" s="99"/>
      <c r="O149" s="100" t="s">
        <v>131</v>
      </c>
      <c r="P149" s="99"/>
      <c r="Q149" s="100"/>
      <c r="R149" s="99"/>
      <c r="S149" s="100" t="s">
        <v>131</v>
      </c>
      <c r="T149" s="101">
        <f>3601.85</f>
        <v>3601.85</v>
      </c>
      <c r="U149" s="102" t="str">
        <f t="shared" si="16"/>
        <v>－</v>
      </c>
      <c r="V149" s="102"/>
      <c r="W149" s="102"/>
      <c r="X149" s="102" t="str">
        <f t="shared" si="17"/>
        <v>－</v>
      </c>
      <c r="Y149" s="102"/>
      <c r="Z149" s="103"/>
      <c r="AA149" s="99"/>
      <c r="AB149" s="104" t="str">
        <f t="shared" si="19"/>
        <v>－</v>
      </c>
      <c r="AC149" s="104" t="str">
        <f t="shared" si="15"/>
        <v>－</v>
      </c>
      <c r="AD149" s="105" t="str">
        <f t="shared" si="15"/>
        <v>－</v>
      </c>
    </row>
    <row r="150" spans="1:30">
      <c r="A150" s="95" t="s">
        <v>46</v>
      </c>
      <c r="B150" s="96" t="s">
        <v>625</v>
      </c>
      <c r="C150" s="96" t="s">
        <v>626</v>
      </c>
      <c r="D150" s="96" t="s">
        <v>300</v>
      </c>
      <c r="E150" s="97" t="s">
        <v>250</v>
      </c>
      <c r="F150" s="97" t="s">
        <v>372</v>
      </c>
      <c r="G150" s="98">
        <v>1000</v>
      </c>
      <c r="H150" s="99"/>
      <c r="I150" s="100" t="s">
        <v>131</v>
      </c>
      <c r="J150" s="99"/>
      <c r="K150" s="100" t="s">
        <v>131</v>
      </c>
      <c r="L150" s="99"/>
      <c r="M150" s="100"/>
      <c r="N150" s="99"/>
      <c r="O150" s="100" t="s">
        <v>131</v>
      </c>
      <c r="P150" s="99"/>
      <c r="Q150" s="100"/>
      <c r="R150" s="99"/>
      <c r="S150" s="100" t="s">
        <v>131</v>
      </c>
      <c r="T150" s="101">
        <f>3657.27</f>
        <v>3657.27</v>
      </c>
      <c r="U150" s="102" t="str">
        <f t="shared" si="16"/>
        <v>－</v>
      </c>
      <c r="V150" s="102"/>
      <c r="W150" s="102"/>
      <c r="X150" s="102" t="str">
        <f t="shared" si="17"/>
        <v>－</v>
      </c>
      <c r="Y150" s="102"/>
      <c r="Z150" s="103"/>
      <c r="AA150" s="99"/>
      <c r="AB150" s="104" t="str">
        <f t="shared" si="19"/>
        <v>－</v>
      </c>
      <c r="AC150" s="104" t="str">
        <f t="shared" si="15"/>
        <v>－</v>
      </c>
      <c r="AD150" s="105" t="str">
        <f t="shared" si="15"/>
        <v>－</v>
      </c>
    </row>
    <row r="151" spans="1:30">
      <c r="A151" s="95" t="s">
        <v>46</v>
      </c>
      <c r="B151" s="96" t="s">
        <v>625</v>
      </c>
      <c r="C151" s="96" t="s">
        <v>626</v>
      </c>
      <c r="D151" s="96" t="s">
        <v>78</v>
      </c>
      <c r="E151" s="97" t="s">
        <v>250</v>
      </c>
      <c r="F151" s="97" t="s">
        <v>631</v>
      </c>
      <c r="G151" s="98">
        <v>1000</v>
      </c>
      <c r="H151" s="99"/>
      <c r="I151" s="100" t="s">
        <v>131</v>
      </c>
      <c r="J151" s="99"/>
      <c r="K151" s="100" t="s">
        <v>131</v>
      </c>
      <c r="L151" s="99"/>
      <c r="M151" s="100"/>
      <c r="N151" s="99"/>
      <c r="O151" s="100" t="s">
        <v>131</v>
      </c>
      <c r="P151" s="99"/>
      <c r="Q151" s="100"/>
      <c r="R151" s="99"/>
      <c r="S151" s="100" t="s">
        <v>131</v>
      </c>
      <c r="T151" s="101">
        <f>3415.52</f>
        <v>3415.52</v>
      </c>
      <c r="U151" s="102" t="str">
        <f t="shared" si="16"/>
        <v>－</v>
      </c>
      <c r="V151" s="102"/>
      <c r="W151" s="102"/>
      <c r="X151" s="102" t="str">
        <f t="shared" si="17"/>
        <v>－</v>
      </c>
      <c r="Y151" s="102"/>
      <c r="Z151" s="103"/>
      <c r="AA151" s="99"/>
      <c r="AB151" s="104" t="str">
        <f t="shared" si="19"/>
        <v>－</v>
      </c>
      <c r="AC151" s="104" t="str">
        <f t="shared" si="19"/>
        <v>－</v>
      </c>
      <c r="AD151" s="105" t="str">
        <f t="shared" si="19"/>
        <v>－</v>
      </c>
    </row>
    <row r="152" spans="1:30">
      <c r="A152" s="95" t="s">
        <v>46</v>
      </c>
      <c r="B152" s="96" t="s">
        <v>625</v>
      </c>
      <c r="C152" s="96" t="s">
        <v>626</v>
      </c>
      <c r="D152" s="96" t="s">
        <v>310</v>
      </c>
      <c r="E152" s="97" t="s">
        <v>250</v>
      </c>
      <c r="F152" s="97" t="s">
        <v>377</v>
      </c>
      <c r="G152" s="98">
        <v>1000</v>
      </c>
      <c r="H152" s="99"/>
      <c r="I152" s="100" t="s">
        <v>131</v>
      </c>
      <c r="J152" s="99"/>
      <c r="K152" s="100" t="s">
        <v>131</v>
      </c>
      <c r="L152" s="99"/>
      <c r="M152" s="100"/>
      <c r="N152" s="99"/>
      <c r="O152" s="100" t="s">
        <v>131</v>
      </c>
      <c r="P152" s="99"/>
      <c r="Q152" s="100"/>
      <c r="R152" s="99"/>
      <c r="S152" s="100" t="s">
        <v>131</v>
      </c>
      <c r="T152" s="101">
        <f>2847.13</f>
        <v>2847.13</v>
      </c>
      <c r="U152" s="102" t="str">
        <f t="shared" si="16"/>
        <v>－</v>
      </c>
      <c r="V152" s="102"/>
      <c r="W152" s="102"/>
      <c r="X152" s="102" t="str">
        <f t="shared" si="17"/>
        <v>－</v>
      </c>
      <c r="Y152" s="102"/>
      <c r="Z152" s="103"/>
      <c r="AA152" s="99"/>
      <c r="AB152" s="104" t="str">
        <f t="shared" si="19"/>
        <v>－</v>
      </c>
      <c r="AC152" s="104" t="str">
        <f t="shared" si="19"/>
        <v>－</v>
      </c>
      <c r="AD152" s="105" t="str">
        <f t="shared" si="19"/>
        <v>－</v>
      </c>
    </row>
    <row r="153" spans="1:30">
      <c r="A153" s="95" t="s">
        <v>46</v>
      </c>
      <c r="B153" s="96" t="s">
        <v>625</v>
      </c>
      <c r="C153" s="96" t="s">
        <v>626</v>
      </c>
      <c r="D153" s="96" t="s">
        <v>88</v>
      </c>
      <c r="E153" s="97" t="s">
        <v>250</v>
      </c>
      <c r="F153" s="97" t="s">
        <v>632</v>
      </c>
      <c r="G153" s="98">
        <v>1000</v>
      </c>
      <c r="H153" s="99"/>
      <c r="I153" s="100" t="s">
        <v>131</v>
      </c>
      <c r="J153" s="99"/>
      <c r="K153" s="100" t="s">
        <v>131</v>
      </c>
      <c r="L153" s="99"/>
      <c r="M153" s="100"/>
      <c r="N153" s="99"/>
      <c r="O153" s="100" t="s">
        <v>131</v>
      </c>
      <c r="P153" s="99"/>
      <c r="Q153" s="100"/>
      <c r="R153" s="99"/>
      <c r="S153" s="100" t="s">
        <v>131</v>
      </c>
      <c r="T153" s="101">
        <f>2870.13</f>
        <v>2870.13</v>
      </c>
      <c r="U153" s="102" t="str">
        <f t="shared" si="16"/>
        <v>－</v>
      </c>
      <c r="V153" s="102"/>
      <c r="W153" s="102"/>
      <c r="X153" s="102" t="str">
        <f t="shared" si="17"/>
        <v>－</v>
      </c>
      <c r="Y153" s="102"/>
      <c r="Z153" s="103"/>
      <c r="AA153" s="99"/>
      <c r="AB153" s="104" t="str">
        <f t="shared" si="19"/>
        <v>－</v>
      </c>
      <c r="AC153" s="104" t="str">
        <f t="shared" si="19"/>
        <v>－</v>
      </c>
      <c r="AD153" s="105" t="str">
        <f t="shared" si="19"/>
        <v>－</v>
      </c>
    </row>
    <row r="154" spans="1:30">
      <c r="A154" s="95" t="s">
        <v>46</v>
      </c>
      <c r="B154" s="96" t="s">
        <v>625</v>
      </c>
      <c r="C154" s="96" t="s">
        <v>626</v>
      </c>
      <c r="D154" s="96" t="s">
        <v>319</v>
      </c>
      <c r="E154" s="97" t="s">
        <v>250</v>
      </c>
      <c r="F154" s="97" t="s">
        <v>383</v>
      </c>
      <c r="G154" s="98">
        <v>1000</v>
      </c>
      <c r="H154" s="99"/>
      <c r="I154" s="100" t="s">
        <v>131</v>
      </c>
      <c r="J154" s="99"/>
      <c r="K154" s="100" t="s">
        <v>131</v>
      </c>
      <c r="L154" s="99"/>
      <c r="M154" s="100"/>
      <c r="N154" s="99"/>
      <c r="O154" s="100" t="s">
        <v>131</v>
      </c>
      <c r="P154" s="99"/>
      <c r="Q154" s="100"/>
      <c r="R154" s="99"/>
      <c r="S154" s="100" t="s">
        <v>131</v>
      </c>
      <c r="T154" s="101">
        <f>2696.22</f>
        <v>2696.22</v>
      </c>
      <c r="U154" s="102" t="str">
        <f t="shared" si="16"/>
        <v>－</v>
      </c>
      <c r="V154" s="102"/>
      <c r="W154" s="102"/>
      <c r="X154" s="102" t="str">
        <f t="shared" si="17"/>
        <v>－</v>
      </c>
      <c r="Y154" s="102"/>
      <c r="Z154" s="103"/>
      <c r="AA154" s="99"/>
      <c r="AB154" s="104" t="str">
        <f t="shared" si="19"/>
        <v>－</v>
      </c>
      <c r="AC154" s="104" t="str">
        <f t="shared" si="19"/>
        <v>－</v>
      </c>
      <c r="AD154" s="105" t="str">
        <f t="shared" si="19"/>
        <v>－</v>
      </c>
    </row>
    <row r="155" spans="1:30">
      <c r="A155" s="95" t="s">
        <v>46</v>
      </c>
      <c r="B155" s="96" t="s">
        <v>625</v>
      </c>
      <c r="C155" s="96" t="s">
        <v>626</v>
      </c>
      <c r="D155" s="96" t="s">
        <v>513</v>
      </c>
      <c r="E155" s="97" t="s">
        <v>250</v>
      </c>
      <c r="F155" s="97" t="s">
        <v>633</v>
      </c>
      <c r="G155" s="98">
        <v>1000</v>
      </c>
      <c r="H155" s="99"/>
      <c r="I155" s="100" t="s">
        <v>131</v>
      </c>
      <c r="J155" s="99"/>
      <c r="K155" s="100" t="s">
        <v>131</v>
      </c>
      <c r="L155" s="99"/>
      <c r="M155" s="100"/>
      <c r="N155" s="99"/>
      <c r="O155" s="100" t="s">
        <v>131</v>
      </c>
      <c r="P155" s="99"/>
      <c r="Q155" s="100"/>
      <c r="R155" s="99"/>
      <c r="S155" s="100" t="s">
        <v>131</v>
      </c>
      <c r="T155" s="101">
        <f>2663.29</f>
        <v>2663.29</v>
      </c>
      <c r="U155" s="102" t="str">
        <f t="shared" si="16"/>
        <v>－</v>
      </c>
      <c r="V155" s="102"/>
      <c r="W155" s="102"/>
      <c r="X155" s="102" t="str">
        <f t="shared" si="17"/>
        <v>－</v>
      </c>
      <c r="Y155" s="102"/>
      <c r="Z155" s="103"/>
      <c r="AA155" s="99"/>
      <c r="AB155" s="104" t="str">
        <f t="shared" si="19"/>
        <v>－</v>
      </c>
      <c r="AC155" s="104" t="str">
        <f t="shared" si="19"/>
        <v>－</v>
      </c>
      <c r="AD155" s="105" t="str">
        <f t="shared" si="19"/>
        <v>－</v>
      </c>
    </row>
    <row r="156" spans="1:30">
      <c r="A156" s="95" t="s">
        <v>46</v>
      </c>
      <c r="B156" s="96" t="s">
        <v>625</v>
      </c>
      <c r="C156" s="96" t="s">
        <v>626</v>
      </c>
      <c r="D156" s="96" t="s">
        <v>519</v>
      </c>
      <c r="E156" s="97" t="s">
        <v>250</v>
      </c>
      <c r="F156" s="97" t="s">
        <v>634</v>
      </c>
      <c r="G156" s="98">
        <v>1000</v>
      </c>
      <c r="H156" s="99"/>
      <c r="I156" s="100" t="s">
        <v>131</v>
      </c>
      <c r="J156" s="99"/>
      <c r="K156" s="100" t="s">
        <v>131</v>
      </c>
      <c r="L156" s="99"/>
      <c r="M156" s="100"/>
      <c r="N156" s="99"/>
      <c r="O156" s="100" t="s">
        <v>131</v>
      </c>
      <c r="P156" s="99"/>
      <c r="Q156" s="100"/>
      <c r="R156" s="99"/>
      <c r="S156" s="100" t="s">
        <v>131</v>
      </c>
      <c r="T156" s="101">
        <f>2671.75</f>
        <v>2671.75</v>
      </c>
      <c r="U156" s="102" t="str">
        <f t="shared" si="16"/>
        <v>－</v>
      </c>
      <c r="V156" s="102"/>
      <c r="W156" s="102"/>
      <c r="X156" s="102" t="str">
        <f t="shared" si="17"/>
        <v>－</v>
      </c>
      <c r="Y156" s="102"/>
      <c r="Z156" s="103"/>
      <c r="AA156" s="99"/>
      <c r="AB156" s="104" t="str">
        <f t="shared" si="19"/>
        <v>－</v>
      </c>
      <c r="AC156" s="104" t="str">
        <f t="shared" si="19"/>
        <v>－</v>
      </c>
      <c r="AD156" s="105" t="str">
        <f t="shared" si="19"/>
        <v>－</v>
      </c>
    </row>
    <row r="157" spans="1:30">
      <c r="A157" s="95" t="s">
        <v>46</v>
      </c>
      <c r="B157" s="96" t="s">
        <v>625</v>
      </c>
      <c r="C157" s="96" t="s">
        <v>626</v>
      </c>
      <c r="D157" s="96" t="s">
        <v>567</v>
      </c>
      <c r="E157" s="97" t="s">
        <v>382</v>
      </c>
      <c r="F157" s="97" t="s">
        <v>635</v>
      </c>
      <c r="G157" s="98">
        <v>1000</v>
      </c>
      <c r="H157" s="99"/>
      <c r="I157" s="100" t="s">
        <v>131</v>
      </c>
      <c r="J157" s="99"/>
      <c r="K157" s="100" t="s">
        <v>131</v>
      </c>
      <c r="L157" s="99"/>
      <c r="M157" s="100"/>
      <c r="N157" s="99"/>
      <c r="O157" s="100" t="s">
        <v>131</v>
      </c>
      <c r="P157" s="99"/>
      <c r="Q157" s="100"/>
      <c r="R157" s="99"/>
      <c r="S157" s="100" t="s">
        <v>131</v>
      </c>
      <c r="T157" s="101">
        <f>2669.28</f>
        <v>2669.28</v>
      </c>
      <c r="U157" s="102" t="str">
        <f t="shared" si="16"/>
        <v>－</v>
      </c>
      <c r="V157" s="102"/>
      <c r="W157" s="102"/>
      <c r="X157" s="102" t="str">
        <f t="shared" si="17"/>
        <v>－</v>
      </c>
      <c r="Y157" s="102"/>
      <c r="Z157" s="103"/>
      <c r="AA157" s="99"/>
      <c r="AB157" s="104" t="str">
        <f t="shared" si="19"/>
        <v>－</v>
      </c>
      <c r="AC157" s="104" t="str">
        <f t="shared" si="19"/>
        <v>－</v>
      </c>
      <c r="AD157" s="105" t="str">
        <f t="shared" si="19"/>
        <v>－</v>
      </c>
    </row>
    <row r="158" spans="1:30">
      <c r="A158" s="95" t="s">
        <v>46</v>
      </c>
      <c r="B158" s="96" t="s">
        <v>625</v>
      </c>
      <c r="C158" s="96" t="s">
        <v>626</v>
      </c>
      <c r="D158" s="96" t="s">
        <v>569</v>
      </c>
      <c r="E158" s="97" t="s">
        <v>636</v>
      </c>
      <c r="F158" s="97" t="s">
        <v>637</v>
      </c>
      <c r="G158" s="98">
        <v>1000</v>
      </c>
      <c r="H158" s="99"/>
      <c r="I158" s="100" t="s">
        <v>131</v>
      </c>
      <c r="J158" s="99"/>
      <c r="K158" s="100" t="s">
        <v>131</v>
      </c>
      <c r="L158" s="99"/>
      <c r="M158" s="100"/>
      <c r="N158" s="99"/>
      <c r="O158" s="100" t="s">
        <v>131</v>
      </c>
      <c r="P158" s="99"/>
      <c r="Q158" s="100"/>
      <c r="R158" s="99"/>
      <c r="S158" s="100" t="s">
        <v>131</v>
      </c>
      <c r="T158" s="101">
        <f>2629.88</f>
        <v>2629.88</v>
      </c>
      <c r="U158" s="102" t="str">
        <f t="shared" si="16"/>
        <v>－</v>
      </c>
      <c r="V158" s="102"/>
      <c r="W158" s="102"/>
      <c r="X158" s="102" t="str">
        <f t="shared" si="17"/>
        <v>－</v>
      </c>
      <c r="Y158" s="102"/>
      <c r="Z158" s="103"/>
      <c r="AA158" s="99"/>
      <c r="AB158" s="104" t="str">
        <f t="shared" si="19"/>
        <v>－</v>
      </c>
      <c r="AC158" s="104" t="str">
        <f t="shared" si="19"/>
        <v>－</v>
      </c>
      <c r="AD158" s="105" t="str">
        <f t="shared" si="19"/>
        <v>－</v>
      </c>
    </row>
    <row r="159" spans="1:30">
      <c r="A159" s="95" t="s">
        <v>46</v>
      </c>
      <c r="B159" s="96" t="s">
        <v>638</v>
      </c>
      <c r="C159" s="96" t="s">
        <v>639</v>
      </c>
      <c r="D159" s="96" t="s">
        <v>49</v>
      </c>
      <c r="E159" s="97" t="s">
        <v>392</v>
      </c>
      <c r="F159" s="97" t="s">
        <v>258</v>
      </c>
      <c r="G159" s="98">
        <v>10</v>
      </c>
      <c r="H159" s="99" t="s">
        <v>52</v>
      </c>
      <c r="I159" s="100" t="s">
        <v>640</v>
      </c>
      <c r="J159" s="99" t="s">
        <v>260</v>
      </c>
      <c r="K159" s="100" t="s">
        <v>641</v>
      </c>
      <c r="L159" s="99" t="s">
        <v>260</v>
      </c>
      <c r="M159" s="100" t="s">
        <v>642</v>
      </c>
      <c r="N159" s="99" t="s">
        <v>136</v>
      </c>
      <c r="O159" s="100" t="s">
        <v>643</v>
      </c>
      <c r="P159" s="99" t="s">
        <v>308</v>
      </c>
      <c r="Q159" s="100" t="s">
        <v>644</v>
      </c>
      <c r="R159" s="99" t="s">
        <v>260</v>
      </c>
      <c r="S159" s="100" t="s">
        <v>645</v>
      </c>
      <c r="T159" s="101">
        <f>75370</f>
        <v>75370</v>
      </c>
      <c r="U159" s="102">
        <f>134</f>
        <v>134</v>
      </c>
      <c r="V159" s="102">
        <v>23</v>
      </c>
      <c r="W159" s="102"/>
      <c r="X159" s="102">
        <f>100449000</f>
        <v>100449000</v>
      </c>
      <c r="Y159" s="102">
        <v>17726000</v>
      </c>
      <c r="Z159" s="103"/>
      <c r="AA159" s="99" t="s">
        <v>232</v>
      </c>
      <c r="AB159" s="104">
        <f>118</f>
        <v>118</v>
      </c>
      <c r="AC159" s="104" t="str">
        <f t="shared" si="19"/>
        <v>－</v>
      </c>
      <c r="AD159" s="105">
        <f>7</f>
        <v>7</v>
      </c>
    </row>
    <row r="160" spans="1:30">
      <c r="A160" s="95" t="s">
        <v>46</v>
      </c>
      <c r="B160" s="96" t="s">
        <v>638</v>
      </c>
      <c r="C160" s="96" t="s">
        <v>639</v>
      </c>
      <c r="D160" s="96" t="s">
        <v>237</v>
      </c>
      <c r="E160" s="97" t="s">
        <v>427</v>
      </c>
      <c r="F160" s="97" t="s">
        <v>101</v>
      </c>
      <c r="G160" s="98">
        <v>10</v>
      </c>
      <c r="H160" s="99" t="s">
        <v>52</v>
      </c>
      <c r="I160" s="100" t="s">
        <v>640</v>
      </c>
      <c r="J160" s="99" t="s">
        <v>171</v>
      </c>
      <c r="K160" s="100" t="s">
        <v>646</v>
      </c>
      <c r="L160" s="99"/>
      <c r="M160" s="100"/>
      <c r="N160" s="99" t="s">
        <v>287</v>
      </c>
      <c r="O160" s="100" t="s">
        <v>425</v>
      </c>
      <c r="P160" s="99"/>
      <c r="Q160" s="100"/>
      <c r="R160" s="99" t="s">
        <v>287</v>
      </c>
      <c r="S160" s="100" t="s">
        <v>499</v>
      </c>
      <c r="T160" s="101">
        <f>74000</f>
        <v>74000</v>
      </c>
      <c r="U160" s="102">
        <f>6</f>
        <v>6</v>
      </c>
      <c r="V160" s="102"/>
      <c r="W160" s="102"/>
      <c r="X160" s="102">
        <f>4460000</f>
        <v>4460000</v>
      </c>
      <c r="Y160" s="102"/>
      <c r="Z160" s="103"/>
      <c r="AA160" s="99"/>
      <c r="AB160" s="104">
        <f>4</f>
        <v>4</v>
      </c>
      <c r="AC160" s="104" t="str">
        <f t="shared" ref="AC160:AC191" si="20">"－"</f>
        <v>－</v>
      </c>
      <c r="AD160" s="105">
        <f>5</f>
        <v>5</v>
      </c>
    </row>
    <row r="161" spans="1:30">
      <c r="A161" s="95" t="s">
        <v>46</v>
      </c>
      <c r="B161" s="96" t="s">
        <v>638</v>
      </c>
      <c r="C161" s="96" t="s">
        <v>639</v>
      </c>
      <c r="D161" s="96" t="s">
        <v>59</v>
      </c>
      <c r="E161" s="97" t="s">
        <v>301</v>
      </c>
      <c r="F161" s="97" t="s">
        <v>269</v>
      </c>
      <c r="G161" s="98">
        <v>10</v>
      </c>
      <c r="H161" s="99" t="s">
        <v>52</v>
      </c>
      <c r="I161" s="100" t="s">
        <v>640</v>
      </c>
      <c r="J161" s="99" t="s">
        <v>171</v>
      </c>
      <c r="K161" s="100" t="s">
        <v>646</v>
      </c>
      <c r="L161" s="99"/>
      <c r="M161" s="100"/>
      <c r="N161" s="99" t="s">
        <v>52</v>
      </c>
      <c r="O161" s="100" t="s">
        <v>640</v>
      </c>
      <c r="P161" s="99"/>
      <c r="Q161" s="100"/>
      <c r="R161" s="99" t="s">
        <v>171</v>
      </c>
      <c r="S161" s="100" t="s">
        <v>646</v>
      </c>
      <c r="T161" s="101">
        <f>74915.79</f>
        <v>74915.789999999994</v>
      </c>
      <c r="U161" s="102">
        <f>2</f>
        <v>2</v>
      </c>
      <c r="V161" s="102"/>
      <c r="W161" s="102"/>
      <c r="X161" s="102">
        <f>1510000</f>
        <v>1510000</v>
      </c>
      <c r="Y161" s="102"/>
      <c r="Z161" s="103"/>
      <c r="AA161" s="99"/>
      <c r="AB161" s="104">
        <f>2</f>
        <v>2</v>
      </c>
      <c r="AC161" s="104" t="str">
        <f t="shared" si="20"/>
        <v>－</v>
      </c>
      <c r="AD161" s="105">
        <f>2</f>
        <v>2</v>
      </c>
    </row>
    <row r="162" spans="1:30">
      <c r="A162" s="95" t="s">
        <v>46</v>
      </c>
      <c r="B162" s="96" t="s">
        <v>638</v>
      </c>
      <c r="C162" s="96" t="s">
        <v>639</v>
      </c>
      <c r="D162" s="96" t="s">
        <v>245</v>
      </c>
      <c r="E162" s="97" t="s">
        <v>432</v>
      </c>
      <c r="F162" s="97" t="s">
        <v>106</v>
      </c>
      <c r="G162" s="98">
        <v>10</v>
      </c>
      <c r="H162" s="99" t="s">
        <v>52</v>
      </c>
      <c r="I162" s="100" t="s">
        <v>640</v>
      </c>
      <c r="J162" s="99" t="s">
        <v>171</v>
      </c>
      <c r="K162" s="100" t="s">
        <v>646</v>
      </c>
      <c r="L162" s="99"/>
      <c r="M162" s="100"/>
      <c r="N162" s="99" t="s">
        <v>52</v>
      </c>
      <c r="O162" s="100" t="s">
        <v>640</v>
      </c>
      <c r="P162" s="99"/>
      <c r="Q162" s="100"/>
      <c r="R162" s="99" t="s">
        <v>171</v>
      </c>
      <c r="S162" s="100" t="s">
        <v>646</v>
      </c>
      <c r="T162" s="101">
        <f>74915.79</f>
        <v>74915.789999999994</v>
      </c>
      <c r="U162" s="102">
        <f>2</f>
        <v>2</v>
      </c>
      <c r="V162" s="102"/>
      <c r="W162" s="102"/>
      <c r="X162" s="102">
        <f>1510000</f>
        <v>1510000</v>
      </c>
      <c r="Y162" s="102"/>
      <c r="Z162" s="103"/>
      <c r="AA162" s="99"/>
      <c r="AB162" s="104">
        <f>3</f>
        <v>3</v>
      </c>
      <c r="AC162" s="104" t="str">
        <f t="shared" si="20"/>
        <v>－</v>
      </c>
      <c r="AD162" s="105">
        <f>2</f>
        <v>2</v>
      </c>
    </row>
    <row r="163" spans="1:30">
      <c r="A163" s="95" t="s">
        <v>46</v>
      </c>
      <c r="B163" s="96" t="s">
        <v>638</v>
      </c>
      <c r="C163" s="96" t="s">
        <v>639</v>
      </c>
      <c r="D163" s="96" t="s">
        <v>66</v>
      </c>
      <c r="E163" s="97" t="s">
        <v>311</v>
      </c>
      <c r="F163" s="97" t="s">
        <v>436</v>
      </c>
      <c r="G163" s="98">
        <v>10</v>
      </c>
      <c r="H163" s="99"/>
      <c r="I163" s="100" t="s">
        <v>131</v>
      </c>
      <c r="J163" s="99"/>
      <c r="K163" s="100" t="s">
        <v>131</v>
      </c>
      <c r="L163" s="99"/>
      <c r="M163" s="100"/>
      <c r="N163" s="99"/>
      <c r="O163" s="100" t="s">
        <v>131</v>
      </c>
      <c r="P163" s="99"/>
      <c r="Q163" s="100"/>
      <c r="R163" s="99"/>
      <c r="S163" s="100" t="s">
        <v>131</v>
      </c>
      <c r="T163" s="101">
        <f>75042.11</f>
        <v>75042.11</v>
      </c>
      <c r="U163" s="102" t="str">
        <f>"－"</f>
        <v>－</v>
      </c>
      <c r="V163" s="102"/>
      <c r="W163" s="102"/>
      <c r="X163" s="102" t="str">
        <f>"－"</f>
        <v>－</v>
      </c>
      <c r="Y163" s="102"/>
      <c r="Z163" s="103"/>
      <c r="AA163" s="99"/>
      <c r="AB163" s="104" t="str">
        <f>"－"</f>
        <v>－</v>
      </c>
      <c r="AC163" s="104" t="str">
        <f t="shared" si="20"/>
        <v>－</v>
      </c>
      <c r="AD163" s="105" t="str">
        <f>"－"</f>
        <v>－</v>
      </c>
    </row>
    <row r="164" spans="1:30">
      <c r="A164" s="95" t="s">
        <v>46</v>
      </c>
      <c r="B164" s="96" t="s">
        <v>638</v>
      </c>
      <c r="C164" s="96" t="s">
        <v>639</v>
      </c>
      <c r="D164" s="96" t="s">
        <v>252</v>
      </c>
      <c r="E164" s="97" t="s">
        <v>89</v>
      </c>
      <c r="F164" s="97" t="s">
        <v>110</v>
      </c>
      <c r="G164" s="98">
        <v>10</v>
      </c>
      <c r="H164" s="99"/>
      <c r="I164" s="100" t="s">
        <v>131</v>
      </c>
      <c r="J164" s="99"/>
      <c r="K164" s="100" t="s">
        <v>131</v>
      </c>
      <c r="L164" s="99"/>
      <c r="M164" s="100"/>
      <c r="N164" s="99"/>
      <c r="O164" s="100" t="s">
        <v>131</v>
      </c>
      <c r="P164" s="99"/>
      <c r="Q164" s="100"/>
      <c r="R164" s="99"/>
      <c r="S164" s="100" t="s">
        <v>131</v>
      </c>
      <c r="T164" s="101">
        <f>75042.11</f>
        <v>75042.11</v>
      </c>
      <c r="U164" s="102" t="str">
        <f>"－"</f>
        <v>－</v>
      </c>
      <c r="V164" s="102"/>
      <c r="W164" s="102"/>
      <c r="X164" s="102" t="str">
        <f>"－"</f>
        <v>－</v>
      </c>
      <c r="Y164" s="102"/>
      <c r="Z164" s="103"/>
      <c r="AA164" s="99"/>
      <c r="AB164" s="104" t="str">
        <f>"－"</f>
        <v>－</v>
      </c>
      <c r="AC164" s="104" t="str">
        <f t="shared" si="20"/>
        <v>－</v>
      </c>
      <c r="AD164" s="105" t="str">
        <f>"－"</f>
        <v>－</v>
      </c>
    </row>
    <row r="165" spans="1:30">
      <c r="A165" s="95" t="s">
        <v>46</v>
      </c>
      <c r="B165" s="96" t="s">
        <v>638</v>
      </c>
      <c r="C165" s="96" t="s">
        <v>639</v>
      </c>
      <c r="D165" s="96" t="s">
        <v>73</v>
      </c>
      <c r="E165" s="97" t="s">
        <v>320</v>
      </c>
      <c r="F165" s="97" t="s">
        <v>398</v>
      </c>
      <c r="G165" s="98">
        <v>10</v>
      </c>
      <c r="H165" s="99"/>
      <c r="I165" s="100" t="s">
        <v>131</v>
      </c>
      <c r="J165" s="99"/>
      <c r="K165" s="100" t="s">
        <v>131</v>
      </c>
      <c r="L165" s="99"/>
      <c r="M165" s="100"/>
      <c r="N165" s="99"/>
      <c r="O165" s="100" t="s">
        <v>131</v>
      </c>
      <c r="P165" s="99"/>
      <c r="Q165" s="100"/>
      <c r="R165" s="99"/>
      <c r="S165" s="100" t="s">
        <v>131</v>
      </c>
      <c r="T165" s="101">
        <f>74000</f>
        <v>74000</v>
      </c>
      <c r="U165" s="102" t="str">
        <f>"－"</f>
        <v>－</v>
      </c>
      <c r="V165" s="102"/>
      <c r="W165" s="102"/>
      <c r="X165" s="102" t="str">
        <f>"－"</f>
        <v>－</v>
      </c>
      <c r="Y165" s="102"/>
      <c r="Z165" s="103"/>
      <c r="AA165" s="99"/>
      <c r="AB165" s="104" t="str">
        <f>"－"</f>
        <v>－</v>
      </c>
      <c r="AC165" s="104" t="str">
        <f t="shared" si="20"/>
        <v>－</v>
      </c>
      <c r="AD165" s="105" t="str">
        <f>"－"</f>
        <v>－</v>
      </c>
    </row>
    <row r="166" spans="1:30">
      <c r="A166" s="95" t="s">
        <v>46</v>
      </c>
      <c r="B166" s="96" t="s">
        <v>647</v>
      </c>
      <c r="C166" s="96" t="s">
        <v>648</v>
      </c>
      <c r="D166" s="96" t="s">
        <v>49</v>
      </c>
      <c r="E166" s="97" t="s">
        <v>392</v>
      </c>
      <c r="F166" s="97" t="s">
        <v>258</v>
      </c>
      <c r="G166" s="98">
        <v>10</v>
      </c>
      <c r="H166" s="99" t="s">
        <v>52</v>
      </c>
      <c r="I166" s="100" t="s">
        <v>428</v>
      </c>
      <c r="J166" s="99" t="s">
        <v>52</v>
      </c>
      <c r="K166" s="100" t="s">
        <v>428</v>
      </c>
      <c r="L166" s="99" t="s">
        <v>260</v>
      </c>
      <c r="M166" s="100" t="s">
        <v>649</v>
      </c>
      <c r="N166" s="99" t="s">
        <v>112</v>
      </c>
      <c r="O166" s="100" t="s">
        <v>447</v>
      </c>
      <c r="P166" s="99" t="s">
        <v>308</v>
      </c>
      <c r="Q166" s="100" t="s">
        <v>650</v>
      </c>
      <c r="R166" s="99" t="s">
        <v>260</v>
      </c>
      <c r="S166" s="100" t="s">
        <v>651</v>
      </c>
      <c r="T166" s="101">
        <f>74713.33</f>
        <v>74713.33</v>
      </c>
      <c r="U166" s="102">
        <f>69</f>
        <v>69</v>
      </c>
      <c r="V166" s="102">
        <v>14</v>
      </c>
      <c r="W166" s="102"/>
      <c r="X166" s="102">
        <f>51721000</f>
        <v>51721000</v>
      </c>
      <c r="Y166" s="102">
        <v>10546000</v>
      </c>
      <c r="Z166" s="103"/>
      <c r="AA166" s="99" t="s">
        <v>232</v>
      </c>
      <c r="AB166" s="104">
        <f>59</f>
        <v>59</v>
      </c>
      <c r="AC166" s="104" t="str">
        <f t="shared" si="20"/>
        <v>－</v>
      </c>
      <c r="AD166" s="105">
        <f>6</f>
        <v>6</v>
      </c>
    </row>
    <row r="167" spans="1:30">
      <c r="A167" s="95" t="s">
        <v>46</v>
      </c>
      <c r="B167" s="96" t="s">
        <v>647</v>
      </c>
      <c r="C167" s="96" t="s">
        <v>648</v>
      </c>
      <c r="D167" s="96" t="s">
        <v>237</v>
      </c>
      <c r="E167" s="97" t="s">
        <v>427</v>
      </c>
      <c r="F167" s="97" t="s">
        <v>101</v>
      </c>
      <c r="G167" s="98">
        <v>10</v>
      </c>
      <c r="H167" s="99" t="s">
        <v>354</v>
      </c>
      <c r="I167" s="100" t="s">
        <v>439</v>
      </c>
      <c r="J167" s="99" t="s">
        <v>354</v>
      </c>
      <c r="K167" s="100" t="s">
        <v>439</v>
      </c>
      <c r="L167" s="99"/>
      <c r="M167" s="100"/>
      <c r="N167" s="99" t="s">
        <v>199</v>
      </c>
      <c r="O167" s="100" t="s">
        <v>652</v>
      </c>
      <c r="P167" s="99"/>
      <c r="Q167" s="100"/>
      <c r="R167" s="99" t="s">
        <v>199</v>
      </c>
      <c r="S167" s="100" t="s">
        <v>652</v>
      </c>
      <c r="T167" s="101">
        <f>74915.79</f>
        <v>74915.789999999994</v>
      </c>
      <c r="U167" s="102">
        <f>2</f>
        <v>2</v>
      </c>
      <c r="V167" s="102"/>
      <c r="W167" s="102"/>
      <c r="X167" s="102">
        <f>1491000</f>
        <v>1491000</v>
      </c>
      <c r="Y167" s="102"/>
      <c r="Z167" s="103"/>
      <c r="AA167" s="99"/>
      <c r="AB167" s="104">
        <f>2</f>
        <v>2</v>
      </c>
      <c r="AC167" s="104" t="str">
        <f t="shared" si="20"/>
        <v>－</v>
      </c>
      <c r="AD167" s="105">
        <f>2</f>
        <v>2</v>
      </c>
    </row>
    <row r="168" spans="1:30">
      <c r="A168" s="95" t="s">
        <v>46</v>
      </c>
      <c r="B168" s="96" t="s">
        <v>647</v>
      </c>
      <c r="C168" s="96" t="s">
        <v>648</v>
      </c>
      <c r="D168" s="96" t="s">
        <v>59</v>
      </c>
      <c r="E168" s="97" t="s">
        <v>301</v>
      </c>
      <c r="F168" s="97" t="s">
        <v>269</v>
      </c>
      <c r="G168" s="98">
        <v>10</v>
      </c>
      <c r="H168" s="99"/>
      <c r="I168" s="100" t="s">
        <v>131</v>
      </c>
      <c r="J168" s="99"/>
      <c r="K168" s="100" t="s">
        <v>131</v>
      </c>
      <c r="L168" s="99"/>
      <c r="M168" s="100"/>
      <c r="N168" s="99"/>
      <c r="O168" s="100" t="s">
        <v>131</v>
      </c>
      <c r="P168" s="99"/>
      <c r="Q168" s="100"/>
      <c r="R168" s="99"/>
      <c r="S168" s="100" t="s">
        <v>131</v>
      </c>
      <c r="T168" s="101">
        <f>75763.16</f>
        <v>75763.16</v>
      </c>
      <c r="U168" s="102" t="str">
        <f>"－"</f>
        <v>－</v>
      </c>
      <c r="V168" s="102"/>
      <c r="W168" s="102"/>
      <c r="X168" s="102" t="str">
        <f>"－"</f>
        <v>－</v>
      </c>
      <c r="Y168" s="102"/>
      <c r="Z168" s="103"/>
      <c r="AA168" s="99"/>
      <c r="AB168" s="104" t="str">
        <f>"－"</f>
        <v>－</v>
      </c>
      <c r="AC168" s="104" t="str">
        <f t="shared" si="20"/>
        <v>－</v>
      </c>
      <c r="AD168" s="105" t="str">
        <f>"－"</f>
        <v>－</v>
      </c>
    </row>
    <row r="169" spans="1:30">
      <c r="A169" s="95" t="s">
        <v>46</v>
      </c>
      <c r="B169" s="96" t="s">
        <v>647</v>
      </c>
      <c r="C169" s="96" t="s">
        <v>648</v>
      </c>
      <c r="D169" s="96" t="s">
        <v>245</v>
      </c>
      <c r="E169" s="97" t="s">
        <v>432</v>
      </c>
      <c r="F169" s="97" t="s">
        <v>106</v>
      </c>
      <c r="G169" s="98">
        <v>10</v>
      </c>
      <c r="H169" s="99"/>
      <c r="I169" s="100" t="s">
        <v>131</v>
      </c>
      <c r="J169" s="99"/>
      <c r="K169" s="100" t="s">
        <v>131</v>
      </c>
      <c r="L169" s="99"/>
      <c r="M169" s="100"/>
      <c r="N169" s="99"/>
      <c r="O169" s="100" t="s">
        <v>131</v>
      </c>
      <c r="P169" s="99"/>
      <c r="Q169" s="100"/>
      <c r="R169" s="99"/>
      <c r="S169" s="100" t="s">
        <v>131</v>
      </c>
      <c r="T169" s="101">
        <f>75763.16</f>
        <v>75763.16</v>
      </c>
      <c r="U169" s="102" t="str">
        <f>"－"</f>
        <v>－</v>
      </c>
      <c r="V169" s="102"/>
      <c r="W169" s="102"/>
      <c r="X169" s="102" t="str">
        <f>"－"</f>
        <v>－</v>
      </c>
      <c r="Y169" s="102"/>
      <c r="Z169" s="103"/>
      <c r="AA169" s="99"/>
      <c r="AB169" s="104">
        <f>1</f>
        <v>1</v>
      </c>
      <c r="AC169" s="104" t="str">
        <f t="shared" si="20"/>
        <v>－</v>
      </c>
      <c r="AD169" s="105" t="str">
        <f>"－"</f>
        <v>－</v>
      </c>
    </row>
    <row r="170" spans="1:30">
      <c r="A170" s="95" t="s">
        <v>46</v>
      </c>
      <c r="B170" s="96" t="s">
        <v>647</v>
      </c>
      <c r="C170" s="96" t="s">
        <v>648</v>
      </c>
      <c r="D170" s="96" t="s">
        <v>66</v>
      </c>
      <c r="E170" s="97" t="s">
        <v>311</v>
      </c>
      <c r="F170" s="97" t="s">
        <v>436</v>
      </c>
      <c r="G170" s="98">
        <v>10</v>
      </c>
      <c r="H170" s="99"/>
      <c r="I170" s="100" t="s">
        <v>131</v>
      </c>
      <c r="J170" s="99"/>
      <c r="K170" s="100" t="s">
        <v>131</v>
      </c>
      <c r="L170" s="99"/>
      <c r="M170" s="100"/>
      <c r="N170" s="99"/>
      <c r="O170" s="100" t="s">
        <v>131</v>
      </c>
      <c r="P170" s="99"/>
      <c r="Q170" s="100"/>
      <c r="R170" s="99"/>
      <c r="S170" s="100" t="s">
        <v>131</v>
      </c>
      <c r="T170" s="101">
        <f>75763.16</f>
        <v>75763.16</v>
      </c>
      <c r="U170" s="102" t="str">
        <f>"－"</f>
        <v>－</v>
      </c>
      <c r="V170" s="102"/>
      <c r="W170" s="102"/>
      <c r="X170" s="102" t="str">
        <f>"－"</f>
        <v>－</v>
      </c>
      <c r="Y170" s="102"/>
      <c r="Z170" s="103"/>
      <c r="AA170" s="99"/>
      <c r="AB170" s="104" t="str">
        <f>"－"</f>
        <v>－</v>
      </c>
      <c r="AC170" s="104" t="str">
        <f t="shared" si="20"/>
        <v>－</v>
      </c>
      <c r="AD170" s="105" t="str">
        <f>"－"</f>
        <v>－</v>
      </c>
    </row>
    <row r="171" spans="1:30">
      <c r="A171" s="95" t="s">
        <v>46</v>
      </c>
      <c r="B171" s="96" t="s">
        <v>647</v>
      </c>
      <c r="C171" s="96" t="s">
        <v>648</v>
      </c>
      <c r="D171" s="96" t="s">
        <v>252</v>
      </c>
      <c r="E171" s="97" t="s">
        <v>89</v>
      </c>
      <c r="F171" s="97" t="s">
        <v>110</v>
      </c>
      <c r="G171" s="98">
        <v>10</v>
      </c>
      <c r="H171" s="99"/>
      <c r="I171" s="100" t="s">
        <v>131</v>
      </c>
      <c r="J171" s="99"/>
      <c r="K171" s="100" t="s">
        <v>131</v>
      </c>
      <c r="L171" s="99"/>
      <c r="M171" s="100"/>
      <c r="N171" s="99"/>
      <c r="O171" s="100" t="s">
        <v>131</v>
      </c>
      <c r="P171" s="99"/>
      <c r="Q171" s="100"/>
      <c r="R171" s="99"/>
      <c r="S171" s="100" t="s">
        <v>131</v>
      </c>
      <c r="T171" s="101">
        <f>75763.16</f>
        <v>75763.16</v>
      </c>
      <c r="U171" s="102" t="str">
        <f>"－"</f>
        <v>－</v>
      </c>
      <c r="V171" s="102"/>
      <c r="W171" s="102"/>
      <c r="X171" s="102" t="str">
        <f>"－"</f>
        <v>－</v>
      </c>
      <c r="Y171" s="102"/>
      <c r="Z171" s="103"/>
      <c r="AA171" s="99"/>
      <c r="AB171" s="104" t="str">
        <f>"－"</f>
        <v>－</v>
      </c>
      <c r="AC171" s="104" t="str">
        <f t="shared" si="20"/>
        <v>－</v>
      </c>
      <c r="AD171" s="105" t="str">
        <f>"－"</f>
        <v>－</v>
      </c>
    </row>
    <row r="172" spans="1:30">
      <c r="A172" s="95" t="s">
        <v>46</v>
      </c>
      <c r="B172" s="96" t="s">
        <v>647</v>
      </c>
      <c r="C172" s="96" t="s">
        <v>648</v>
      </c>
      <c r="D172" s="96" t="s">
        <v>73</v>
      </c>
      <c r="E172" s="97" t="s">
        <v>320</v>
      </c>
      <c r="F172" s="97" t="s">
        <v>398</v>
      </c>
      <c r="G172" s="98">
        <v>10</v>
      </c>
      <c r="H172" s="99"/>
      <c r="I172" s="100" t="s">
        <v>131</v>
      </c>
      <c r="J172" s="99"/>
      <c r="K172" s="100" t="s">
        <v>131</v>
      </c>
      <c r="L172" s="99"/>
      <c r="M172" s="100"/>
      <c r="N172" s="99"/>
      <c r="O172" s="100" t="s">
        <v>131</v>
      </c>
      <c r="P172" s="99"/>
      <c r="Q172" s="100"/>
      <c r="R172" s="99"/>
      <c r="S172" s="100" t="s">
        <v>131</v>
      </c>
      <c r="T172" s="101">
        <f>74000</f>
        <v>74000</v>
      </c>
      <c r="U172" s="102" t="str">
        <f>"－"</f>
        <v>－</v>
      </c>
      <c r="V172" s="102"/>
      <c r="W172" s="102"/>
      <c r="X172" s="102" t="str">
        <f>"－"</f>
        <v>－</v>
      </c>
      <c r="Y172" s="102"/>
      <c r="Z172" s="103"/>
      <c r="AA172" s="99"/>
      <c r="AB172" s="104" t="str">
        <f>"－"</f>
        <v>－</v>
      </c>
      <c r="AC172" s="104" t="str">
        <f t="shared" si="20"/>
        <v>－</v>
      </c>
      <c r="AD172" s="105" t="str">
        <f>"－"</f>
        <v>－</v>
      </c>
    </row>
  </sheetData>
  <mergeCells count="34">
    <mergeCell ref="E6:F6"/>
    <mergeCell ref="AA6:AB6"/>
    <mergeCell ref="O4:O5"/>
    <mergeCell ref="P4:Q4"/>
    <mergeCell ref="R4:R5"/>
    <mergeCell ref="S4:S5"/>
    <mergeCell ref="U4:U5"/>
    <mergeCell ref="V4:V5"/>
    <mergeCell ref="H4:H5"/>
    <mergeCell ref="I4:I5"/>
    <mergeCell ref="J4:J5"/>
    <mergeCell ref="K4:K5"/>
    <mergeCell ref="L4:M4"/>
    <mergeCell ref="N4:N5"/>
    <mergeCell ref="T3:T5"/>
    <mergeCell ref="U3:W3"/>
    <mergeCell ref="X3:Z3"/>
    <mergeCell ref="AA3:AB5"/>
    <mergeCell ref="AC3:AC5"/>
    <mergeCell ref="AD3:AD5"/>
    <mergeCell ref="W4:W5"/>
    <mergeCell ref="X4:X5"/>
    <mergeCell ref="Y4:Y5"/>
    <mergeCell ref="Z4:Z5"/>
    <mergeCell ref="A1:K1"/>
    <mergeCell ref="A2:C2"/>
    <mergeCell ref="AA2:AB2"/>
    <mergeCell ref="A3:A5"/>
    <mergeCell ref="B3:B6"/>
    <mergeCell ref="C3:C6"/>
    <mergeCell ref="D3:D5"/>
    <mergeCell ref="E3:F5"/>
    <mergeCell ref="G3:G5"/>
    <mergeCell ref="H3:S3"/>
  </mergeCells>
  <phoneticPr fontId="6"/>
  <printOptions horizontalCentered="1"/>
  <pageMargins left="0.39370078740157483" right="0.39370078740157483" top="0.59055118110236227" bottom="0.98425196850393704" header="0.51181102362204722" footer="0.51181102362204722"/>
  <pageSetup paperSize="9" scale="33" fitToHeight="0" orientation="landscape" useFirstPageNumber="1" r:id="rId1"/>
  <headerFooter>
    <oddFooter xml:space="preserve">&amp;C&amp;P/&amp;N&amp;RCopyright (c) Japan Exchange Group, Inc. All Rights Reserved.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BO_DM0005</vt:lpstr>
      <vt:lpstr>BO_DM0007</vt:lpstr>
      <vt:lpstr>BO_DM0005!Print_Titles</vt:lpstr>
      <vt:lpstr>BO_DM0007!Print_Titles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T_情報サービス部2(RPA)</cp:lastModifiedBy>
  <cp:lastPrinted>2020-10-20T00:01:10Z</cp:lastPrinted>
  <dcterms:created xsi:type="dcterms:W3CDTF">2017-12-14T02:19:15Z</dcterms:created>
  <dcterms:modified xsi:type="dcterms:W3CDTF">2022-06-06T03:03:22Z</dcterms:modified>
</cp:coreProperties>
</file>