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codeName="ThisWorkbook"/>
  <mc:AlternateContent xmlns:mc="http://schemas.openxmlformats.org/markup-compatibility/2006">
    <mc:Choice Requires="x15">
      <x15ac:absPath xmlns:x15ac="http://schemas.microsoft.com/office/spreadsheetml/2010/11/ac" url="C:\RPA\0233_デリバティブ月間統計資料の掲載\作業\CMS\"/>
    </mc:Choice>
  </mc:AlternateContent>
  <xr:revisionPtr revIDLastSave="0" documentId="13_ncr:1_{323C56DF-E49A-4E8E-8E84-7202CE665E12}" xr6:coauthVersionLast="36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BO_DM0005" sheetId="9" r:id="rId1"/>
    <sheet name="BO_DM0007" sheetId="10" r:id="rId2"/>
  </sheets>
  <definedNames>
    <definedName name="_xlnm.Print_Titles" localSheetId="0">BO_DM0005!$1:$6</definedName>
    <definedName name="_xlnm.Print_Titles" localSheetId="1">BO_DM0007!$1:$6</definedName>
  </definedNames>
  <calcPr calcId="191029"/>
</workbook>
</file>

<file path=xl/calcChain.xml><?xml version="1.0" encoding="utf-8"?>
<calcChain xmlns="http://schemas.openxmlformats.org/spreadsheetml/2006/main">
  <c r="AD172" i="10" l="1"/>
  <c r="AC172" i="10"/>
  <c r="AB172" i="10"/>
  <c r="X172" i="10"/>
  <c r="U172" i="10"/>
  <c r="T172" i="10"/>
  <c r="AD171" i="10"/>
  <c r="AC171" i="10"/>
  <c r="AB171" i="10"/>
  <c r="X171" i="10"/>
  <c r="U171" i="10"/>
  <c r="T171" i="10"/>
  <c r="AD170" i="10"/>
  <c r="AC170" i="10"/>
  <c r="AB170" i="10"/>
  <c r="X170" i="10"/>
  <c r="U170" i="10"/>
  <c r="T170" i="10"/>
  <c r="AD169" i="10"/>
  <c r="AC169" i="10"/>
  <c r="AB169" i="10"/>
  <c r="X169" i="10"/>
  <c r="U169" i="10"/>
  <c r="T169" i="10"/>
  <c r="AD168" i="10"/>
  <c r="AC168" i="10"/>
  <c r="AB168" i="10"/>
  <c r="X168" i="10"/>
  <c r="U168" i="10"/>
  <c r="T168" i="10"/>
  <c r="AD167" i="10"/>
  <c r="AC167" i="10"/>
  <c r="AB167" i="10"/>
  <c r="X167" i="10"/>
  <c r="U167" i="10"/>
  <c r="T167" i="10"/>
  <c r="AD166" i="10"/>
  <c r="AC166" i="10"/>
  <c r="AB166" i="10"/>
  <c r="X166" i="10"/>
  <c r="U166" i="10"/>
  <c r="T166" i="10"/>
  <c r="AD165" i="10"/>
  <c r="AC165" i="10"/>
  <c r="AB165" i="10"/>
  <c r="X165" i="10"/>
  <c r="U165" i="10"/>
  <c r="T165" i="10"/>
  <c r="AD164" i="10"/>
  <c r="AC164" i="10"/>
  <c r="AB164" i="10"/>
  <c r="X164" i="10"/>
  <c r="U164" i="10"/>
  <c r="T164" i="10"/>
  <c r="AD163" i="10"/>
  <c r="AC163" i="10"/>
  <c r="AB163" i="10"/>
  <c r="X163" i="10"/>
  <c r="U163" i="10"/>
  <c r="T163" i="10"/>
  <c r="AD162" i="10"/>
  <c r="AC162" i="10"/>
  <c r="AB162" i="10"/>
  <c r="X162" i="10"/>
  <c r="U162" i="10"/>
  <c r="T162" i="10"/>
  <c r="AD161" i="10"/>
  <c r="AC161" i="10"/>
  <c r="AB161" i="10"/>
  <c r="X161" i="10"/>
  <c r="U161" i="10"/>
  <c r="T161" i="10"/>
  <c r="AD160" i="10"/>
  <c r="AC160" i="10"/>
  <c r="AB160" i="10"/>
  <c r="X160" i="10"/>
  <c r="U160" i="10"/>
  <c r="T160" i="10"/>
  <c r="AD159" i="10"/>
  <c r="AC159" i="10"/>
  <c r="AB159" i="10"/>
  <c r="X159" i="10"/>
  <c r="U159" i="10"/>
  <c r="T159" i="10"/>
  <c r="AD158" i="10"/>
  <c r="AC158" i="10"/>
  <c r="AB158" i="10"/>
  <c r="X158" i="10"/>
  <c r="U158" i="10"/>
  <c r="T158" i="10"/>
  <c r="AD157" i="10"/>
  <c r="AC157" i="10"/>
  <c r="AB157" i="10"/>
  <c r="X157" i="10"/>
  <c r="U157" i="10"/>
  <c r="T157" i="10"/>
  <c r="AD156" i="10"/>
  <c r="AC156" i="10"/>
  <c r="AB156" i="10"/>
  <c r="X156" i="10"/>
  <c r="U156" i="10"/>
  <c r="T156" i="10"/>
  <c r="AD155" i="10"/>
  <c r="AC155" i="10"/>
  <c r="AB155" i="10"/>
  <c r="X155" i="10"/>
  <c r="U155" i="10"/>
  <c r="T155" i="10"/>
  <c r="AD154" i="10"/>
  <c r="AC154" i="10"/>
  <c r="AB154" i="10"/>
  <c r="X154" i="10"/>
  <c r="U154" i="10"/>
  <c r="T154" i="10"/>
  <c r="AD153" i="10"/>
  <c r="AC153" i="10"/>
  <c r="AB153" i="10"/>
  <c r="X153" i="10"/>
  <c r="U153" i="10"/>
  <c r="T153" i="10"/>
  <c r="AD152" i="10"/>
  <c r="AC152" i="10"/>
  <c r="AB152" i="10"/>
  <c r="X152" i="10"/>
  <c r="U152" i="10"/>
  <c r="T152" i="10"/>
  <c r="AD151" i="10"/>
  <c r="AC151" i="10"/>
  <c r="AB151" i="10"/>
  <c r="X151" i="10"/>
  <c r="U151" i="10"/>
  <c r="T151" i="10"/>
  <c r="AD150" i="10"/>
  <c r="AC150" i="10"/>
  <c r="AB150" i="10"/>
  <c r="X150" i="10"/>
  <c r="U150" i="10"/>
  <c r="T150" i="10"/>
  <c r="AD149" i="10"/>
  <c r="AC149" i="10"/>
  <c r="AB149" i="10"/>
  <c r="X149" i="10"/>
  <c r="U149" i="10"/>
  <c r="T149" i="10"/>
  <c r="AD148" i="10"/>
  <c r="AC148" i="10"/>
  <c r="AB148" i="10"/>
  <c r="X148" i="10"/>
  <c r="U148" i="10"/>
  <c r="T148" i="10"/>
  <c r="AD147" i="10"/>
  <c r="AC147" i="10"/>
  <c r="AB147" i="10"/>
  <c r="X147" i="10"/>
  <c r="U147" i="10"/>
  <c r="T147" i="10"/>
  <c r="AD146" i="10"/>
  <c r="AC146" i="10"/>
  <c r="AB146" i="10"/>
  <c r="X146" i="10"/>
  <c r="U146" i="10"/>
  <c r="T146" i="10"/>
  <c r="AD145" i="10"/>
  <c r="AC145" i="10"/>
  <c r="AB145" i="10"/>
  <c r="X145" i="10"/>
  <c r="U145" i="10"/>
  <c r="T145" i="10"/>
  <c r="AD144" i="10"/>
  <c r="AC144" i="10"/>
  <c r="AB144" i="10"/>
  <c r="X144" i="10"/>
  <c r="U144" i="10"/>
  <c r="T144" i="10"/>
  <c r="AD143" i="10"/>
  <c r="AC143" i="10"/>
  <c r="AB143" i="10"/>
  <c r="X143" i="10"/>
  <c r="U143" i="10"/>
  <c r="T143" i="10"/>
  <c r="AD142" i="10"/>
  <c r="AC142" i="10"/>
  <c r="AB142" i="10"/>
  <c r="X142" i="10"/>
  <c r="U142" i="10"/>
  <c r="T142" i="10"/>
  <c r="AD141" i="10"/>
  <c r="AC141" i="10"/>
  <c r="AB141" i="10"/>
  <c r="X141" i="10"/>
  <c r="U141" i="10"/>
  <c r="T141" i="10"/>
  <c r="AD140" i="10"/>
  <c r="AC140" i="10"/>
  <c r="AB140" i="10"/>
  <c r="X140" i="10"/>
  <c r="U140" i="10"/>
  <c r="T140" i="10"/>
  <c r="AD139" i="10"/>
  <c r="AC139" i="10"/>
  <c r="AB139" i="10"/>
  <c r="X139" i="10"/>
  <c r="U139" i="10"/>
  <c r="T139" i="10"/>
  <c r="AD138" i="10"/>
  <c r="AC138" i="10"/>
  <c r="AB138" i="10"/>
  <c r="X138" i="10"/>
  <c r="U138" i="10"/>
  <c r="T138" i="10"/>
  <c r="AD137" i="10"/>
  <c r="AC137" i="10"/>
  <c r="AB137" i="10"/>
  <c r="X137" i="10"/>
  <c r="U137" i="10"/>
  <c r="T137" i="10"/>
  <c r="AD136" i="10"/>
  <c r="AC136" i="10"/>
  <c r="AB136" i="10"/>
  <c r="X136" i="10"/>
  <c r="U136" i="10"/>
  <c r="T136" i="10"/>
  <c r="AD135" i="10"/>
  <c r="AC135" i="10"/>
  <c r="AB135" i="10"/>
  <c r="X135" i="10"/>
  <c r="U135" i="10"/>
  <c r="T135" i="10"/>
  <c r="AD134" i="10"/>
  <c r="AC134" i="10"/>
  <c r="AB134" i="10"/>
  <c r="X134" i="10"/>
  <c r="U134" i="10"/>
  <c r="T134" i="10"/>
  <c r="AD133" i="10"/>
  <c r="AC133" i="10"/>
  <c r="AB133" i="10"/>
  <c r="X133" i="10"/>
  <c r="U133" i="10"/>
  <c r="T133" i="10"/>
  <c r="AD132" i="10"/>
  <c r="AC132" i="10"/>
  <c r="AB132" i="10"/>
  <c r="X132" i="10"/>
  <c r="U132" i="10"/>
  <c r="T132" i="10"/>
  <c r="AD131" i="10"/>
  <c r="AC131" i="10"/>
  <c r="AB131" i="10"/>
  <c r="X131" i="10"/>
  <c r="U131" i="10"/>
  <c r="T131" i="10"/>
  <c r="AD130" i="10"/>
  <c r="AC130" i="10"/>
  <c r="AB130" i="10"/>
  <c r="X130" i="10"/>
  <c r="U130" i="10"/>
  <c r="T130" i="10"/>
  <c r="AD129" i="10"/>
  <c r="AC129" i="10"/>
  <c r="AB129" i="10"/>
  <c r="X129" i="10"/>
  <c r="U129" i="10"/>
  <c r="T129" i="10"/>
  <c r="AD128" i="10"/>
  <c r="AC128" i="10"/>
  <c r="AB128" i="10"/>
  <c r="X128" i="10"/>
  <c r="U128" i="10"/>
  <c r="T128" i="10"/>
  <c r="AD127" i="10"/>
  <c r="AC127" i="10"/>
  <c r="AB127" i="10"/>
  <c r="X127" i="10"/>
  <c r="U127" i="10"/>
  <c r="T127" i="10"/>
  <c r="AD126" i="10"/>
  <c r="AC126" i="10"/>
  <c r="AB126" i="10"/>
  <c r="X126" i="10"/>
  <c r="U126" i="10"/>
  <c r="T126" i="10"/>
  <c r="AD125" i="10"/>
  <c r="AC125" i="10"/>
  <c r="AB125" i="10"/>
  <c r="X125" i="10"/>
  <c r="U125" i="10"/>
  <c r="T125" i="10"/>
  <c r="AD124" i="10"/>
  <c r="AC124" i="10"/>
  <c r="AB124" i="10"/>
  <c r="X124" i="10"/>
  <c r="U124" i="10"/>
  <c r="T124" i="10"/>
  <c r="AD123" i="10"/>
  <c r="AC123" i="10"/>
  <c r="AB123" i="10"/>
  <c r="X123" i="10"/>
  <c r="U123" i="10"/>
  <c r="T123" i="10"/>
  <c r="AD122" i="10"/>
  <c r="AC122" i="10"/>
  <c r="AB122" i="10"/>
  <c r="X122" i="10"/>
  <c r="U122" i="10"/>
  <c r="T122" i="10"/>
  <c r="AD121" i="10"/>
  <c r="AC121" i="10"/>
  <c r="AB121" i="10"/>
  <c r="X121" i="10"/>
  <c r="U121" i="10"/>
  <c r="T121" i="10"/>
  <c r="AD120" i="10"/>
  <c r="AC120" i="10"/>
  <c r="AB120" i="10"/>
  <c r="X120" i="10"/>
  <c r="U120" i="10"/>
  <c r="T120" i="10"/>
  <c r="AD119" i="10"/>
  <c r="AC119" i="10"/>
  <c r="AB119" i="10"/>
  <c r="X119" i="10"/>
  <c r="U119" i="10"/>
  <c r="T119" i="10"/>
  <c r="AD118" i="10"/>
  <c r="AC118" i="10"/>
  <c r="AB118" i="10"/>
  <c r="X118" i="10"/>
  <c r="U118" i="10"/>
  <c r="T118" i="10"/>
  <c r="AD117" i="10"/>
  <c r="AC117" i="10"/>
  <c r="AB117" i="10"/>
  <c r="X117" i="10"/>
  <c r="U117" i="10"/>
  <c r="T117" i="10"/>
  <c r="AD116" i="10"/>
  <c r="AC116" i="10"/>
  <c r="AB116" i="10"/>
  <c r="X116" i="10"/>
  <c r="U116" i="10"/>
  <c r="T116" i="10"/>
  <c r="AD115" i="10"/>
  <c r="AC115" i="10"/>
  <c r="AB115" i="10"/>
  <c r="X115" i="10"/>
  <c r="U115" i="10"/>
  <c r="T115" i="10"/>
  <c r="AD114" i="10"/>
  <c r="AC114" i="10"/>
  <c r="AB114" i="10"/>
  <c r="X114" i="10"/>
  <c r="U114" i="10"/>
  <c r="T114" i="10"/>
  <c r="AD113" i="10"/>
  <c r="AC113" i="10"/>
  <c r="AB113" i="10"/>
  <c r="X113" i="10"/>
  <c r="U113" i="10"/>
  <c r="T113" i="10"/>
  <c r="AD112" i="10"/>
  <c r="AC112" i="10"/>
  <c r="AB112" i="10"/>
  <c r="X112" i="10"/>
  <c r="U112" i="10"/>
  <c r="T112" i="10"/>
  <c r="AD111" i="10"/>
  <c r="AC111" i="10"/>
  <c r="AB111" i="10"/>
  <c r="X111" i="10"/>
  <c r="U111" i="10"/>
  <c r="T111" i="10"/>
  <c r="AD110" i="10"/>
  <c r="AC110" i="10"/>
  <c r="AB110" i="10"/>
  <c r="X110" i="10"/>
  <c r="U110" i="10"/>
  <c r="T110" i="10"/>
  <c r="AD109" i="10"/>
  <c r="AC109" i="10"/>
  <c r="AB109" i="10"/>
  <c r="X109" i="10"/>
  <c r="U109" i="10"/>
  <c r="T109" i="10"/>
  <c r="AD108" i="10"/>
  <c r="AC108" i="10"/>
  <c r="AB108" i="10"/>
  <c r="X108" i="10"/>
  <c r="U108" i="10"/>
  <c r="T108" i="10"/>
  <c r="AD107" i="10"/>
  <c r="AC107" i="10"/>
  <c r="AB107" i="10"/>
  <c r="X107" i="10"/>
  <c r="U107" i="10"/>
  <c r="T107" i="10"/>
  <c r="AD106" i="10"/>
  <c r="AC106" i="10"/>
  <c r="AB106" i="10"/>
  <c r="X106" i="10"/>
  <c r="U106" i="10"/>
  <c r="T106" i="10"/>
  <c r="AD105" i="10"/>
  <c r="AC105" i="10"/>
  <c r="AB105" i="10"/>
  <c r="X105" i="10"/>
  <c r="U105" i="10"/>
  <c r="T105" i="10"/>
  <c r="AD104" i="10"/>
  <c r="AC104" i="10"/>
  <c r="AB104" i="10"/>
  <c r="X104" i="10"/>
  <c r="U104" i="10"/>
  <c r="T104" i="10"/>
  <c r="AD103" i="10"/>
  <c r="AC103" i="10"/>
  <c r="AB103" i="10"/>
  <c r="X103" i="10"/>
  <c r="U103" i="10"/>
  <c r="T103" i="10"/>
  <c r="AD102" i="10"/>
  <c r="AC102" i="10"/>
  <c r="AB102" i="10"/>
  <c r="X102" i="10"/>
  <c r="U102" i="10"/>
  <c r="T102" i="10"/>
  <c r="AD101" i="10"/>
  <c r="AC101" i="10"/>
  <c r="AB101" i="10"/>
  <c r="X101" i="10"/>
  <c r="U101" i="10"/>
  <c r="T101" i="10"/>
  <c r="AD100" i="10"/>
  <c r="AC100" i="10"/>
  <c r="AB100" i="10"/>
  <c r="X100" i="10"/>
  <c r="U100" i="10"/>
  <c r="T100" i="10"/>
  <c r="AD99" i="10"/>
  <c r="AC99" i="10"/>
  <c r="AB99" i="10"/>
  <c r="X99" i="10"/>
  <c r="U99" i="10"/>
  <c r="T99" i="10"/>
  <c r="AD98" i="10"/>
  <c r="AC98" i="10"/>
  <c r="AB98" i="10"/>
  <c r="X98" i="10"/>
  <c r="U98" i="10"/>
  <c r="T98" i="10"/>
  <c r="AD97" i="10"/>
  <c r="AC97" i="10"/>
  <c r="AB97" i="10"/>
  <c r="X97" i="10"/>
  <c r="U97" i="10"/>
  <c r="T97" i="10"/>
  <c r="AD96" i="10"/>
  <c r="AC96" i="10"/>
  <c r="AB96" i="10"/>
  <c r="X96" i="10"/>
  <c r="U96" i="10"/>
  <c r="T96" i="10"/>
  <c r="AD95" i="10"/>
  <c r="AC95" i="10"/>
  <c r="AB95" i="10"/>
  <c r="X95" i="10"/>
  <c r="U95" i="10"/>
  <c r="T95" i="10"/>
  <c r="AD94" i="10"/>
  <c r="AC94" i="10"/>
  <c r="AB94" i="10"/>
  <c r="X94" i="10"/>
  <c r="U94" i="10"/>
  <c r="T94" i="10"/>
  <c r="AD93" i="10"/>
  <c r="AC93" i="10"/>
  <c r="AB93" i="10"/>
  <c r="X93" i="10"/>
  <c r="U93" i="10"/>
  <c r="T93" i="10"/>
  <c r="AD92" i="10"/>
  <c r="AC92" i="10"/>
  <c r="AB92" i="10"/>
  <c r="X92" i="10"/>
  <c r="U92" i="10"/>
  <c r="T92" i="10"/>
  <c r="AD91" i="10"/>
  <c r="AC91" i="10"/>
  <c r="AB91" i="10"/>
  <c r="X91" i="10"/>
  <c r="U91" i="10"/>
  <c r="T91" i="10"/>
  <c r="AD90" i="10"/>
  <c r="AC90" i="10"/>
  <c r="AB90" i="10"/>
  <c r="X90" i="10"/>
  <c r="U90" i="10"/>
  <c r="T90" i="10"/>
  <c r="AD89" i="10"/>
  <c r="AC89" i="10"/>
  <c r="AB89" i="10"/>
  <c r="X89" i="10"/>
  <c r="U89" i="10"/>
  <c r="T89" i="10"/>
  <c r="AD88" i="10"/>
  <c r="AC88" i="10"/>
  <c r="AB88" i="10"/>
  <c r="X88" i="10"/>
  <c r="U88" i="10"/>
  <c r="T88" i="10"/>
  <c r="AD87" i="10"/>
  <c r="AC87" i="10"/>
  <c r="AB87" i="10"/>
  <c r="X87" i="10"/>
  <c r="U87" i="10"/>
  <c r="T87" i="10"/>
  <c r="AD86" i="10"/>
  <c r="AC86" i="10"/>
  <c r="AB86" i="10"/>
  <c r="X86" i="10"/>
  <c r="U86" i="10"/>
  <c r="T86" i="10"/>
  <c r="AD85" i="10"/>
  <c r="AC85" i="10"/>
  <c r="AB85" i="10"/>
  <c r="X85" i="10"/>
  <c r="U85" i="10"/>
  <c r="T85" i="10"/>
  <c r="AD84" i="10"/>
  <c r="AC84" i="10"/>
  <c r="AB84" i="10"/>
  <c r="X84" i="10"/>
  <c r="U84" i="10"/>
  <c r="T84" i="10"/>
  <c r="AD83" i="10"/>
  <c r="AC83" i="10"/>
  <c r="AB83" i="10"/>
  <c r="X83" i="10"/>
  <c r="U83" i="10"/>
  <c r="T83" i="10"/>
  <c r="AD82" i="10"/>
  <c r="AC82" i="10"/>
  <c r="AB82" i="10"/>
  <c r="X82" i="10"/>
  <c r="U82" i="10"/>
  <c r="T82" i="10"/>
  <c r="AD81" i="10"/>
  <c r="AC81" i="10"/>
  <c r="AB81" i="10"/>
  <c r="X81" i="10"/>
  <c r="U81" i="10"/>
  <c r="T81" i="10"/>
  <c r="AD80" i="10"/>
  <c r="AC80" i="10"/>
  <c r="AB80" i="10"/>
  <c r="X80" i="10"/>
  <c r="U80" i="10"/>
  <c r="T80" i="10"/>
  <c r="AD79" i="10"/>
  <c r="AC79" i="10"/>
  <c r="AB79" i="10"/>
  <c r="X79" i="10"/>
  <c r="U79" i="10"/>
  <c r="T79" i="10"/>
  <c r="AD78" i="10"/>
  <c r="AC78" i="10"/>
  <c r="AB78" i="10"/>
  <c r="X78" i="10"/>
  <c r="U78" i="10"/>
  <c r="T78" i="10"/>
  <c r="AD77" i="10"/>
  <c r="AC77" i="10"/>
  <c r="AB77" i="10"/>
  <c r="X77" i="10"/>
  <c r="U77" i="10"/>
  <c r="T77" i="10"/>
  <c r="AD76" i="10"/>
  <c r="AC76" i="10"/>
  <c r="AB76" i="10"/>
  <c r="X76" i="10"/>
  <c r="U76" i="10"/>
  <c r="T76" i="10"/>
  <c r="AD75" i="10"/>
  <c r="AC75" i="10"/>
  <c r="AB75" i="10"/>
  <c r="X75" i="10"/>
  <c r="U75" i="10"/>
  <c r="T75" i="10"/>
  <c r="AD74" i="10"/>
  <c r="AC74" i="10"/>
  <c r="AB74" i="10"/>
  <c r="X74" i="10"/>
  <c r="U74" i="10"/>
  <c r="T74" i="10"/>
  <c r="AD73" i="10"/>
  <c r="AC73" i="10"/>
  <c r="AB73" i="10"/>
  <c r="X73" i="10"/>
  <c r="U73" i="10"/>
  <c r="T73" i="10"/>
  <c r="AD72" i="10"/>
  <c r="AC72" i="10"/>
  <c r="AB72" i="10"/>
  <c r="X72" i="10"/>
  <c r="U72" i="10"/>
  <c r="T72" i="10"/>
  <c r="AD71" i="10"/>
  <c r="AC71" i="10"/>
  <c r="AB71" i="10"/>
  <c r="X71" i="10"/>
  <c r="U71" i="10"/>
  <c r="T71" i="10"/>
  <c r="AD70" i="10"/>
  <c r="AC70" i="10"/>
  <c r="AB70" i="10"/>
  <c r="X70" i="10"/>
  <c r="U70" i="10"/>
  <c r="T70" i="10"/>
  <c r="AD69" i="10"/>
  <c r="AC69" i="10"/>
  <c r="AB69" i="10"/>
  <c r="X69" i="10"/>
  <c r="U69" i="10"/>
  <c r="T69" i="10"/>
  <c r="AD68" i="10"/>
  <c r="AC68" i="10"/>
  <c r="AB68" i="10"/>
  <c r="X68" i="10"/>
  <c r="U68" i="10"/>
  <c r="T68" i="10"/>
  <c r="AD67" i="10"/>
  <c r="AC67" i="10"/>
  <c r="AB67" i="10"/>
  <c r="X67" i="10"/>
  <c r="U67" i="10"/>
  <c r="T67" i="10"/>
  <c r="AD66" i="10"/>
  <c r="AC66" i="10"/>
  <c r="AB66" i="10"/>
  <c r="X66" i="10"/>
  <c r="U66" i="10"/>
  <c r="T66" i="10"/>
  <c r="AD65" i="10"/>
  <c r="AC65" i="10"/>
  <c r="AB65" i="10"/>
  <c r="X65" i="10"/>
  <c r="U65" i="10"/>
  <c r="T65" i="10"/>
  <c r="AD64" i="10"/>
  <c r="AC64" i="10"/>
  <c r="AB64" i="10"/>
  <c r="X64" i="10"/>
  <c r="U64" i="10"/>
  <c r="T64" i="10"/>
  <c r="AD63" i="10"/>
  <c r="AC63" i="10"/>
  <c r="AB63" i="10"/>
  <c r="X63" i="10"/>
  <c r="U63" i="10"/>
  <c r="T63" i="10"/>
  <c r="AD62" i="10"/>
  <c r="AC62" i="10"/>
  <c r="AB62" i="10"/>
  <c r="X62" i="10"/>
  <c r="U62" i="10"/>
  <c r="T62" i="10"/>
  <c r="AD61" i="10"/>
  <c r="AC61" i="10"/>
  <c r="AB61" i="10"/>
  <c r="X61" i="10"/>
  <c r="U61" i="10"/>
  <c r="T61" i="10"/>
  <c r="AD60" i="10"/>
  <c r="AC60" i="10"/>
  <c r="AB60" i="10"/>
  <c r="X60" i="10"/>
  <c r="U60" i="10"/>
  <c r="T60" i="10"/>
  <c r="AD59" i="10"/>
  <c r="AC59" i="10"/>
  <c r="AB59" i="10"/>
  <c r="X59" i="10"/>
  <c r="U59" i="10"/>
  <c r="T59" i="10"/>
  <c r="AD58" i="10"/>
  <c r="AC58" i="10"/>
  <c r="AB58" i="10"/>
  <c r="X58" i="10"/>
  <c r="U58" i="10"/>
  <c r="T58" i="10"/>
  <c r="AD57" i="10"/>
  <c r="AC57" i="10"/>
  <c r="AB57" i="10"/>
  <c r="X57" i="10"/>
  <c r="U57" i="10"/>
  <c r="T57" i="10"/>
  <c r="AD56" i="10"/>
  <c r="AC56" i="10"/>
  <c r="AB56" i="10"/>
  <c r="X56" i="10"/>
  <c r="U56" i="10"/>
  <c r="T56" i="10"/>
  <c r="AD55" i="10"/>
  <c r="AC55" i="10"/>
  <c r="AB55" i="10"/>
  <c r="X55" i="10"/>
  <c r="U55" i="10"/>
  <c r="T55" i="10"/>
  <c r="AD54" i="10"/>
  <c r="AC54" i="10"/>
  <c r="AB54" i="10"/>
  <c r="X54" i="10"/>
  <c r="U54" i="10"/>
  <c r="T54" i="10"/>
  <c r="AD53" i="10"/>
  <c r="AC53" i="10"/>
  <c r="AB53" i="10"/>
  <c r="X53" i="10"/>
  <c r="U53" i="10"/>
  <c r="T53" i="10"/>
  <c r="AD52" i="10"/>
  <c r="AC52" i="10"/>
  <c r="AB52" i="10"/>
  <c r="X52" i="10"/>
  <c r="U52" i="10"/>
  <c r="T52" i="10"/>
  <c r="AD51" i="10"/>
  <c r="AC51" i="10"/>
  <c r="AB51" i="10"/>
  <c r="X51" i="10"/>
  <c r="U51" i="10"/>
  <c r="T51" i="10"/>
  <c r="AD50" i="10"/>
  <c r="AC50" i="10"/>
  <c r="AB50" i="10"/>
  <c r="X50" i="10"/>
  <c r="U50" i="10"/>
  <c r="T50" i="10"/>
  <c r="AD49" i="10"/>
  <c r="AC49" i="10"/>
  <c r="AB49" i="10"/>
  <c r="X49" i="10"/>
  <c r="U49" i="10"/>
  <c r="T49" i="10"/>
  <c r="AD48" i="10"/>
  <c r="AC48" i="10"/>
  <c r="AB48" i="10"/>
  <c r="X48" i="10"/>
  <c r="U48" i="10"/>
  <c r="T48" i="10"/>
  <c r="AD47" i="10"/>
  <c r="AC47" i="10"/>
  <c r="AB47" i="10"/>
  <c r="X47" i="10"/>
  <c r="U47" i="10"/>
  <c r="T47" i="10"/>
  <c r="AD46" i="10"/>
  <c r="AC46" i="10"/>
  <c r="AB46" i="10"/>
  <c r="X46" i="10"/>
  <c r="U46" i="10"/>
  <c r="T46" i="10"/>
  <c r="AD45" i="10"/>
  <c r="AC45" i="10"/>
  <c r="AB45" i="10"/>
  <c r="X45" i="10"/>
  <c r="U45" i="10"/>
  <c r="T45" i="10"/>
  <c r="AD44" i="10"/>
  <c r="AC44" i="10"/>
  <c r="AB44" i="10"/>
  <c r="X44" i="10"/>
  <c r="U44" i="10"/>
  <c r="T44" i="10"/>
  <c r="AD43" i="10"/>
  <c r="AC43" i="10"/>
  <c r="AB43" i="10"/>
  <c r="X43" i="10"/>
  <c r="U43" i="10"/>
  <c r="T43" i="10"/>
  <c r="AD42" i="10"/>
  <c r="AC42" i="10"/>
  <c r="AB42" i="10"/>
  <c r="X42" i="10"/>
  <c r="U42" i="10"/>
  <c r="T42" i="10"/>
  <c r="AD41" i="10"/>
  <c r="AC41" i="10"/>
  <c r="AB41" i="10"/>
  <c r="X41" i="10"/>
  <c r="U41" i="10"/>
  <c r="T41" i="10"/>
  <c r="AD40" i="10"/>
  <c r="AC40" i="10"/>
  <c r="AB40" i="10"/>
  <c r="X40" i="10"/>
  <c r="U40" i="10"/>
  <c r="T40" i="10"/>
  <c r="AD39" i="10"/>
  <c r="AC39" i="10"/>
  <c r="AB39" i="10"/>
  <c r="X39" i="10"/>
  <c r="U39" i="10"/>
  <c r="T39" i="10"/>
  <c r="AD38" i="10"/>
  <c r="AC38" i="10"/>
  <c r="AB38" i="10"/>
  <c r="X38" i="10"/>
  <c r="U38" i="10"/>
  <c r="T38" i="10"/>
  <c r="AD37" i="10"/>
  <c r="AC37" i="10"/>
  <c r="AB37" i="10"/>
  <c r="X37" i="10"/>
  <c r="U37" i="10"/>
  <c r="T37" i="10"/>
  <c r="AD36" i="10"/>
  <c r="AC36" i="10"/>
  <c r="AB36" i="10"/>
  <c r="X36" i="10"/>
  <c r="U36" i="10"/>
  <c r="T36" i="10"/>
  <c r="AD35" i="10"/>
  <c r="AC35" i="10"/>
  <c r="AB35" i="10"/>
  <c r="X35" i="10"/>
  <c r="U35" i="10"/>
  <c r="T35" i="10"/>
  <c r="AD34" i="10"/>
  <c r="AC34" i="10"/>
  <c r="AB34" i="10"/>
  <c r="X34" i="10"/>
  <c r="U34" i="10"/>
  <c r="T34" i="10"/>
  <c r="AD33" i="10"/>
  <c r="AC33" i="10"/>
  <c r="AB33" i="10"/>
  <c r="X33" i="10"/>
  <c r="U33" i="10"/>
  <c r="T33" i="10"/>
  <c r="AD32" i="10"/>
  <c r="AC32" i="10"/>
  <c r="AB32" i="10"/>
  <c r="X32" i="10"/>
  <c r="U32" i="10"/>
  <c r="T32" i="10"/>
  <c r="AD31" i="10"/>
  <c r="AC31" i="10"/>
  <c r="AB31" i="10"/>
  <c r="X31" i="10"/>
  <c r="U31" i="10"/>
  <c r="T31" i="10"/>
  <c r="AD30" i="10"/>
  <c r="AC30" i="10"/>
  <c r="AB30" i="10"/>
  <c r="X30" i="10"/>
  <c r="U30" i="10"/>
  <c r="T30" i="10"/>
  <c r="AD29" i="10"/>
  <c r="AC29" i="10"/>
  <c r="AB29" i="10"/>
  <c r="X29" i="10"/>
  <c r="U29" i="10"/>
  <c r="T29" i="10"/>
  <c r="AD28" i="10"/>
  <c r="AC28" i="10"/>
  <c r="AB28" i="10"/>
  <c r="X28" i="10"/>
  <c r="U28" i="10"/>
  <c r="T28" i="10"/>
  <c r="AD27" i="10"/>
  <c r="AC27" i="10"/>
  <c r="AB27" i="10"/>
  <c r="X27" i="10"/>
  <c r="U27" i="10"/>
  <c r="T27" i="10"/>
  <c r="AD26" i="10"/>
  <c r="AC26" i="10"/>
  <c r="AB26" i="10"/>
  <c r="X26" i="10"/>
  <c r="U26" i="10"/>
  <c r="T26" i="10"/>
  <c r="AD25" i="10"/>
  <c r="AC25" i="10"/>
  <c r="AB25" i="10"/>
  <c r="X25" i="10"/>
  <c r="U25" i="10"/>
  <c r="T25" i="10"/>
  <c r="AD24" i="10"/>
  <c r="AC24" i="10"/>
  <c r="AB24" i="10"/>
  <c r="X24" i="10"/>
  <c r="U24" i="10"/>
  <c r="T24" i="10"/>
  <c r="AD23" i="10"/>
  <c r="AC23" i="10"/>
  <c r="AB23" i="10"/>
  <c r="X23" i="10"/>
  <c r="U23" i="10"/>
  <c r="T23" i="10"/>
  <c r="AD22" i="10"/>
  <c r="AC22" i="10"/>
  <c r="AB22" i="10"/>
  <c r="X22" i="10"/>
  <c r="U22" i="10"/>
  <c r="T22" i="10"/>
  <c r="AD21" i="10"/>
  <c r="AC21" i="10"/>
  <c r="AB21" i="10"/>
  <c r="X21" i="10"/>
  <c r="U21" i="10"/>
  <c r="T21" i="10"/>
  <c r="AD20" i="10"/>
  <c r="AC20" i="10"/>
  <c r="AB20" i="10"/>
  <c r="X20" i="10"/>
  <c r="U20" i="10"/>
  <c r="T20" i="10"/>
  <c r="AD19" i="10"/>
  <c r="AC19" i="10"/>
  <c r="AB19" i="10"/>
  <c r="X19" i="10"/>
  <c r="U19" i="10"/>
  <c r="T19" i="10"/>
  <c r="AD18" i="10"/>
  <c r="AC18" i="10"/>
  <c r="AB18" i="10"/>
  <c r="X18" i="10"/>
  <c r="U18" i="10"/>
  <c r="T18" i="10"/>
  <c r="AD17" i="10"/>
  <c r="AC17" i="10"/>
  <c r="AB17" i="10"/>
  <c r="X17" i="10"/>
  <c r="U17" i="10"/>
  <c r="T17" i="10"/>
  <c r="AD16" i="10"/>
  <c r="AC16" i="10"/>
  <c r="AB16" i="10"/>
  <c r="X16" i="10"/>
  <c r="U16" i="10"/>
  <c r="T16" i="10"/>
  <c r="AD15" i="10"/>
  <c r="AC15" i="10"/>
  <c r="AB15" i="10"/>
  <c r="X15" i="10"/>
  <c r="U15" i="10"/>
  <c r="T15" i="10"/>
  <c r="AD14" i="10"/>
  <c r="AC14" i="10"/>
  <c r="AB14" i="10"/>
  <c r="X14" i="10"/>
  <c r="U14" i="10"/>
  <c r="T14" i="10"/>
  <c r="AD13" i="10"/>
  <c r="AC13" i="10"/>
  <c r="AB13" i="10"/>
  <c r="X13" i="10"/>
  <c r="U13" i="10"/>
  <c r="T13" i="10"/>
  <c r="AD12" i="10"/>
  <c r="AC12" i="10"/>
  <c r="AB12" i="10"/>
  <c r="X12" i="10"/>
  <c r="U12" i="10"/>
  <c r="T12" i="10"/>
  <c r="AD11" i="10"/>
  <c r="AC11" i="10"/>
  <c r="AB11" i="10"/>
  <c r="X11" i="10"/>
  <c r="U11" i="10"/>
  <c r="T11" i="10"/>
  <c r="AD10" i="10"/>
  <c r="AC10" i="10"/>
  <c r="AB10" i="10"/>
  <c r="X10" i="10"/>
  <c r="U10" i="10"/>
  <c r="T10" i="10"/>
  <c r="AD9" i="10"/>
  <c r="AC9" i="10"/>
  <c r="AB9" i="10"/>
  <c r="X9" i="10"/>
  <c r="U9" i="10"/>
  <c r="T9" i="10"/>
  <c r="AD8" i="10"/>
  <c r="AC8" i="10"/>
  <c r="AB8" i="10"/>
  <c r="X8" i="10"/>
  <c r="U8" i="10"/>
  <c r="T8" i="10"/>
  <c r="AD7" i="10"/>
  <c r="AC7" i="10"/>
  <c r="AB7" i="10"/>
  <c r="X7" i="10"/>
  <c r="U7" i="10"/>
  <c r="T7" i="10"/>
  <c r="AA2" i="10"/>
  <c r="AC95" i="9"/>
  <c r="AB95" i="9"/>
  <c r="AA95" i="9"/>
  <c r="W95" i="9"/>
  <c r="T95" i="9"/>
  <c r="S95" i="9"/>
  <c r="AC94" i="9"/>
  <c r="AB94" i="9"/>
  <c r="AA94" i="9"/>
  <c r="W94" i="9"/>
  <c r="T94" i="9"/>
  <c r="S94" i="9"/>
  <c r="AC93" i="9"/>
  <c r="AB93" i="9"/>
  <c r="AA93" i="9"/>
  <c r="W93" i="9"/>
  <c r="T93" i="9"/>
  <c r="S93" i="9"/>
  <c r="AC92" i="9"/>
  <c r="AB92" i="9"/>
  <c r="AA92" i="9"/>
  <c r="W92" i="9"/>
  <c r="T92" i="9"/>
  <c r="S92" i="9"/>
  <c r="AC91" i="9"/>
  <c r="AB91" i="9"/>
  <c r="AA91" i="9"/>
  <c r="W91" i="9"/>
  <c r="T91" i="9"/>
  <c r="S91" i="9"/>
  <c r="AC90" i="9"/>
  <c r="AB90" i="9"/>
  <c r="AA90" i="9"/>
  <c r="W90" i="9"/>
  <c r="T90" i="9"/>
  <c r="S90" i="9"/>
  <c r="AC89" i="9"/>
  <c r="AB89" i="9"/>
  <c r="AA89" i="9"/>
  <c r="W89" i="9"/>
  <c r="T89" i="9"/>
  <c r="S89" i="9"/>
  <c r="AC88" i="9"/>
  <c r="AB88" i="9"/>
  <c r="AA88" i="9"/>
  <c r="W88" i="9"/>
  <c r="T88" i="9"/>
  <c r="S88" i="9"/>
  <c r="AC87" i="9"/>
  <c r="AB87" i="9"/>
  <c r="AA87" i="9"/>
  <c r="W87" i="9"/>
  <c r="T87" i="9"/>
  <c r="S87" i="9"/>
  <c r="AC86" i="9"/>
  <c r="AB86" i="9"/>
  <c r="AA86" i="9"/>
  <c r="W86" i="9"/>
  <c r="T86" i="9"/>
  <c r="S86" i="9"/>
  <c r="AC85" i="9"/>
  <c r="AB85" i="9"/>
  <c r="AA85" i="9"/>
  <c r="W85" i="9"/>
  <c r="T85" i="9"/>
  <c r="S85" i="9"/>
  <c r="AC84" i="9"/>
  <c r="AB84" i="9"/>
  <c r="AA84" i="9"/>
  <c r="W84" i="9"/>
  <c r="T84" i="9"/>
  <c r="S84" i="9"/>
  <c r="AC83" i="9"/>
  <c r="AB83" i="9"/>
  <c r="AA83" i="9"/>
  <c r="W83" i="9"/>
  <c r="T83" i="9"/>
  <c r="S83" i="9"/>
  <c r="AC82" i="9"/>
  <c r="AB82" i="9"/>
  <c r="AA82" i="9"/>
  <c r="W82" i="9"/>
  <c r="T82" i="9"/>
  <c r="S82" i="9"/>
  <c r="AC81" i="9"/>
  <c r="AB81" i="9"/>
  <c r="AA81" i="9"/>
  <c r="W81" i="9"/>
  <c r="T81" i="9"/>
  <c r="S81" i="9"/>
  <c r="AC80" i="9"/>
  <c r="AB80" i="9"/>
  <c r="AA80" i="9"/>
  <c r="W80" i="9"/>
  <c r="T80" i="9"/>
  <c r="S80" i="9"/>
  <c r="AC79" i="9"/>
  <c r="AB79" i="9"/>
  <c r="AA79" i="9"/>
  <c r="W79" i="9"/>
  <c r="T79" i="9"/>
  <c r="S79" i="9"/>
  <c r="AC78" i="9"/>
  <c r="AB78" i="9"/>
  <c r="AA78" i="9"/>
  <c r="W78" i="9"/>
  <c r="T78" i="9"/>
  <c r="S78" i="9"/>
  <c r="AC77" i="9"/>
  <c r="AB77" i="9"/>
  <c r="AA77" i="9"/>
  <c r="W77" i="9"/>
  <c r="T77" i="9"/>
  <c r="S77" i="9"/>
  <c r="AC76" i="9"/>
  <c r="AB76" i="9"/>
  <c r="AA76" i="9"/>
  <c r="W76" i="9"/>
  <c r="T76" i="9"/>
  <c r="S76" i="9"/>
  <c r="AC75" i="9"/>
  <c r="AB75" i="9"/>
  <c r="AA75" i="9"/>
  <c r="W75" i="9"/>
  <c r="T75" i="9"/>
  <c r="S75" i="9"/>
  <c r="AC74" i="9"/>
  <c r="AB74" i="9"/>
  <c r="AA74" i="9"/>
  <c r="W74" i="9"/>
  <c r="T74" i="9"/>
  <c r="S74" i="9"/>
  <c r="AC73" i="9"/>
  <c r="AB73" i="9"/>
  <c r="AA73" i="9"/>
  <c r="W73" i="9"/>
  <c r="T73" i="9"/>
  <c r="S73" i="9"/>
  <c r="AC72" i="9"/>
  <c r="AB72" i="9"/>
  <c r="AA72" i="9"/>
  <c r="W72" i="9"/>
  <c r="T72" i="9"/>
  <c r="S72" i="9"/>
  <c r="AC71" i="9"/>
  <c r="AB71" i="9"/>
  <c r="AA71" i="9"/>
  <c r="W71" i="9"/>
  <c r="T71" i="9"/>
  <c r="S71" i="9"/>
  <c r="AC70" i="9"/>
  <c r="AB70" i="9"/>
  <c r="AA70" i="9"/>
  <c r="W70" i="9"/>
  <c r="T70" i="9"/>
  <c r="S70" i="9"/>
  <c r="AC69" i="9"/>
  <c r="AB69" i="9"/>
  <c r="AA69" i="9"/>
  <c r="W69" i="9"/>
  <c r="T69" i="9"/>
  <c r="S69" i="9"/>
  <c r="AC68" i="9"/>
  <c r="AB68" i="9"/>
  <c r="AA68" i="9"/>
  <c r="W68" i="9"/>
  <c r="T68" i="9"/>
  <c r="S68" i="9"/>
  <c r="AC67" i="9"/>
  <c r="AB67" i="9"/>
  <c r="AA67" i="9"/>
  <c r="W67" i="9"/>
  <c r="T67" i="9"/>
  <c r="S67" i="9"/>
  <c r="AC66" i="9"/>
  <c r="AB66" i="9"/>
  <c r="AA66" i="9"/>
  <c r="W66" i="9"/>
  <c r="T66" i="9"/>
  <c r="S66" i="9"/>
  <c r="AC65" i="9"/>
  <c r="AB65" i="9"/>
  <c r="AA65" i="9"/>
  <c r="W65" i="9"/>
  <c r="T65" i="9"/>
  <c r="S65" i="9"/>
  <c r="AC64" i="9"/>
  <c r="AB64" i="9"/>
  <c r="AA64" i="9"/>
  <c r="W64" i="9"/>
  <c r="T64" i="9"/>
  <c r="S64" i="9"/>
  <c r="AC63" i="9"/>
  <c r="AB63" i="9"/>
  <c r="AA63" i="9"/>
  <c r="W63" i="9"/>
  <c r="T63" i="9"/>
  <c r="S63" i="9"/>
  <c r="AC62" i="9"/>
  <c r="AB62" i="9"/>
  <c r="AA62" i="9"/>
  <c r="W62" i="9"/>
  <c r="T62" i="9"/>
  <c r="S62" i="9"/>
  <c r="AC61" i="9"/>
  <c r="AB61" i="9"/>
  <c r="AA61" i="9"/>
  <c r="W61" i="9"/>
  <c r="T61" i="9"/>
  <c r="S61" i="9"/>
  <c r="AC60" i="9"/>
  <c r="AB60" i="9"/>
  <c r="AA60" i="9"/>
  <c r="W60" i="9"/>
  <c r="T60" i="9"/>
  <c r="S60" i="9"/>
  <c r="AC59" i="9"/>
  <c r="AB59" i="9"/>
  <c r="AA59" i="9"/>
  <c r="W59" i="9"/>
  <c r="T59" i="9"/>
  <c r="S59" i="9"/>
  <c r="AC58" i="9"/>
  <c r="AB58" i="9"/>
  <c r="AA58" i="9"/>
  <c r="W58" i="9"/>
  <c r="T58" i="9"/>
  <c r="S58" i="9"/>
  <c r="AC57" i="9"/>
  <c r="AB57" i="9"/>
  <c r="AA57" i="9"/>
  <c r="W57" i="9"/>
  <c r="T57" i="9"/>
  <c r="S57" i="9"/>
  <c r="AC56" i="9"/>
  <c r="AB56" i="9"/>
  <c r="AA56" i="9"/>
  <c r="W56" i="9"/>
  <c r="T56" i="9"/>
  <c r="S56" i="9"/>
  <c r="AC55" i="9"/>
  <c r="AB55" i="9"/>
  <c r="AA55" i="9"/>
  <c r="W55" i="9"/>
  <c r="T55" i="9"/>
  <c r="S55" i="9"/>
  <c r="AC54" i="9"/>
  <c r="AB54" i="9"/>
  <c r="AA54" i="9"/>
  <c r="W54" i="9"/>
  <c r="T54" i="9"/>
  <c r="S54" i="9"/>
  <c r="AC53" i="9"/>
  <c r="AB53" i="9"/>
  <c r="AA53" i="9"/>
  <c r="W53" i="9"/>
  <c r="T53" i="9"/>
  <c r="S53" i="9"/>
  <c r="AC52" i="9"/>
  <c r="AB52" i="9"/>
  <c r="AA52" i="9"/>
  <c r="W52" i="9"/>
  <c r="T52" i="9"/>
  <c r="S52" i="9"/>
  <c r="AC51" i="9"/>
  <c r="AB51" i="9"/>
  <c r="AA51" i="9"/>
  <c r="W51" i="9"/>
  <c r="T51" i="9"/>
  <c r="S51" i="9"/>
  <c r="AC50" i="9"/>
  <c r="AB50" i="9"/>
  <c r="AA50" i="9"/>
  <c r="W50" i="9"/>
  <c r="T50" i="9"/>
  <c r="S50" i="9"/>
  <c r="AC49" i="9"/>
  <c r="AB49" i="9"/>
  <c r="AA49" i="9"/>
  <c r="W49" i="9"/>
  <c r="T49" i="9"/>
  <c r="S49" i="9"/>
  <c r="AC48" i="9"/>
  <c r="AB48" i="9"/>
  <c r="AA48" i="9"/>
  <c r="W48" i="9"/>
  <c r="T48" i="9"/>
  <c r="S48" i="9"/>
  <c r="AC47" i="9"/>
  <c r="AB47" i="9"/>
  <c r="AA47" i="9"/>
  <c r="W47" i="9"/>
  <c r="T47" i="9"/>
  <c r="S47" i="9"/>
  <c r="AC46" i="9"/>
  <c r="AB46" i="9"/>
  <c r="AA46" i="9"/>
  <c r="W46" i="9"/>
  <c r="T46" i="9"/>
  <c r="S46" i="9"/>
  <c r="AC45" i="9"/>
  <c r="AB45" i="9"/>
  <c r="AA45" i="9"/>
  <c r="W45" i="9"/>
  <c r="T45" i="9"/>
  <c r="S45" i="9"/>
  <c r="AC44" i="9"/>
  <c r="AB44" i="9"/>
  <c r="AA44" i="9"/>
  <c r="W44" i="9"/>
  <c r="T44" i="9"/>
  <c r="S44" i="9"/>
  <c r="AC43" i="9"/>
  <c r="AB43" i="9"/>
  <c r="AA43" i="9"/>
  <c r="W43" i="9"/>
  <c r="T43" i="9"/>
  <c r="S43" i="9"/>
  <c r="AC42" i="9"/>
  <c r="AB42" i="9"/>
  <c r="AA42" i="9"/>
  <c r="W42" i="9"/>
  <c r="T42" i="9"/>
  <c r="S42" i="9"/>
  <c r="AC41" i="9"/>
  <c r="AB41" i="9"/>
  <c r="AA41" i="9"/>
  <c r="W41" i="9"/>
  <c r="T41" i="9"/>
  <c r="S41" i="9"/>
  <c r="AC40" i="9"/>
  <c r="AB40" i="9"/>
  <c r="AA40" i="9"/>
  <c r="W40" i="9"/>
  <c r="T40" i="9"/>
  <c r="S40" i="9"/>
  <c r="AC39" i="9"/>
  <c r="AB39" i="9"/>
  <c r="AA39" i="9"/>
  <c r="W39" i="9"/>
  <c r="T39" i="9"/>
  <c r="S39" i="9"/>
  <c r="AC38" i="9"/>
  <c r="AB38" i="9"/>
  <c r="AA38" i="9"/>
  <c r="W38" i="9"/>
  <c r="T38" i="9"/>
  <c r="S38" i="9"/>
  <c r="AC37" i="9"/>
  <c r="AB37" i="9"/>
  <c r="AA37" i="9"/>
  <c r="W37" i="9"/>
  <c r="T37" i="9"/>
  <c r="S37" i="9"/>
  <c r="AC36" i="9"/>
  <c r="AB36" i="9"/>
  <c r="AA36" i="9"/>
  <c r="W36" i="9"/>
  <c r="T36" i="9"/>
  <c r="S36" i="9"/>
  <c r="AC35" i="9"/>
  <c r="AB35" i="9"/>
  <c r="AA35" i="9"/>
  <c r="W35" i="9"/>
  <c r="T35" i="9"/>
  <c r="S35" i="9"/>
  <c r="AC34" i="9"/>
  <c r="AB34" i="9"/>
  <c r="AA34" i="9"/>
  <c r="W34" i="9"/>
  <c r="T34" i="9"/>
  <c r="S34" i="9"/>
  <c r="AC33" i="9"/>
  <c r="AB33" i="9"/>
  <c r="AA33" i="9"/>
  <c r="W33" i="9"/>
  <c r="T33" i="9"/>
  <c r="S33" i="9"/>
  <c r="AC32" i="9"/>
  <c r="AB32" i="9"/>
  <c r="AA32" i="9"/>
  <c r="W32" i="9"/>
  <c r="T32" i="9"/>
  <c r="S32" i="9"/>
  <c r="AC31" i="9"/>
  <c r="AB31" i="9"/>
  <c r="AA31" i="9"/>
  <c r="W31" i="9"/>
  <c r="T31" i="9"/>
  <c r="S31" i="9"/>
  <c r="AC30" i="9"/>
  <c r="AB30" i="9"/>
  <c r="AA30" i="9"/>
  <c r="W30" i="9"/>
  <c r="T30" i="9"/>
  <c r="S30" i="9"/>
  <c r="AC29" i="9"/>
  <c r="AB29" i="9"/>
  <c r="AA29" i="9"/>
  <c r="W29" i="9"/>
  <c r="T29" i="9"/>
  <c r="S29" i="9"/>
  <c r="AC28" i="9"/>
  <c r="AB28" i="9"/>
  <c r="AA28" i="9"/>
  <c r="W28" i="9"/>
  <c r="T28" i="9"/>
  <c r="S28" i="9"/>
  <c r="AC27" i="9"/>
  <c r="AB27" i="9"/>
  <c r="AA27" i="9"/>
  <c r="W27" i="9"/>
  <c r="T27" i="9"/>
  <c r="S27" i="9"/>
  <c r="AC26" i="9"/>
  <c r="AB26" i="9"/>
  <c r="AA26" i="9"/>
  <c r="W26" i="9"/>
  <c r="T26" i="9"/>
  <c r="S26" i="9"/>
  <c r="AC25" i="9"/>
  <c r="AB25" i="9"/>
  <c r="AA25" i="9"/>
  <c r="W25" i="9"/>
  <c r="T25" i="9"/>
  <c r="S25" i="9"/>
  <c r="AC24" i="9"/>
  <c r="AB24" i="9"/>
  <c r="AA24" i="9"/>
  <c r="W24" i="9"/>
  <c r="T24" i="9"/>
  <c r="S24" i="9"/>
  <c r="AC23" i="9"/>
  <c r="AB23" i="9"/>
  <c r="AA23" i="9"/>
  <c r="W23" i="9"/>
  <c r="T23" i="9"/>
  <c r="S23" i="9"/>
  <c r="AC22" i="9"/>
  <c r="AB22" i="9"/>
  <c r="AA22" i="9"/>
  <c r="W22" i="9"/>
  <c r="T22" i="9"/>
  <c r="S22" i="9"/>
  <c r="AC21" i="9"/>
  <c r="AB21" i="9"/>
  <c r="AA21" i="9"/>
  <c r="W21" i="9"/>
  <c r="T21" i="9"/>
  <c r="S21" i="9"/>
  <c r="AC20" i="9"/>
  <c r="AB20" i="9"/>
  <c r="AA20" i="9"/>
  <c r="W20" i="9"/>
  <c r="T20" i="9"/>
  <c r="S20" i="9"/>
  <c r="AC19" i="9"/>
  <c r="AB19" i="9"/>
  <c r="AA19" i="9"/>
  <c r="W19" i="9"/>
  <c r="T19" i="9"/>
  <c r="S19" i="9"/>
  <c r="AC18" i="9"/>
  <c r="AB18" i="9"/>
  <c r="AA18" i="9"/>
  <c r="W18" i="9"/>
  <c r="T18" i="9"/>
  <c r="S18" i="9"/>
  <c r="AC17" i="9"/>
  <c r="AB17" i="9"/>
  <c r="AA17" i="9"/>
  <c r="W17" i="9"/>
  <c r="T17" i="9"/>
  <c r="S17" i="9"/>
  <c r="AC16" i="9"/>
  <c r="AB16" i="9"/>
  <c r="AA16" i="9"/>
  <c r="W16" i="9"/>
  <c r="T16" i="9"/>
  <c r="S16" i="9"/>
  <c r="AC15" i="9"/>
  <c r="AB15" i="9"/>
  <c r="AA15" i="9"/>
  <c r="W15" i="9"/>
  <c r="T15" i="9"/>
  <c r="S15" i="9"/>
  <c r="AC14" i="9"/>
  <c r="AB14" i="9"/>
  <c r="AA14" i="9"/>
  <c r="W14" i="9"/>
  <c r="T14" i="9"/>
  <c r="S14" i="9"/>
  <c r="AC13" i="9"/>
  <c r="AB13" i="9"/>
  <c r="AA13" i="9"/>
  <c r="W13" i="9"/>
  <c r="T13" i="9"/>
  <c r="S13" i="9"/>
  <c r="AC12" i="9"/>
  <c r="AB12" i="9"/>
  <c r="AA12" i="9"/>
  <c r="W12" i="9"/>
  <c r="T12" i="9"/>
  <c r="S12" i="9"/>
  <c r="AC11" i="9"/>
  <c r="AB11" i="9"/>
  <c r="AA11" i="9"/>
  <c r="W11" i="9"/>
  <c r="T11" i="9"/>
  <c r="S11" i="9"/>
  <c r="AC10" i="9"/>
  <c r="AB10" i="9"/>
  <c r="AA10" i="9"/>
  <c r="W10" i="9"/>
  <c r="T10" i="9"/>
  <c r="S10" i="9"/>
  <c r="AC9" i="9"/>
  <c r="AB9" i="9"/>
  <c r="AA9" i="9"/>
  <c r="W9" i="9"/>
  <c r="T9" i="9"/>
  <c r="S9" i="9"/>
  <c r="AC8" i="9"/>
  <c r="AB8" i="9"/>
  <c r="AA8" i="9"/>
  <c r="W8" i="9"/>
  <c r="T8" i="9"/>
  <c r="S8" i="9"/>
  <c r="AC7" i="9"/>
  <c r="AB7" i="9"/>
  <c r="AA7" i="9"/>
  <c r="W7" i="9"/>
  <c r="T7" i="9"/>
  <c r="S7" i="9"/>
</calcChain>
</file>

<file path=xl/sharedStrings.xml><?xml version="1.0" encoding="utf-8"?>
<sst xmlns="http://schemas.openxmlformats.org/spreadsheetml/2006/main" count="3287" uniqueCount="664">
  <si>
    <t>年月</t>
  </si>
  <si>
    <t>限月取引</t>
  </si>
  <si>
    <t xml:space="preserve"> </t>
  </si>
  <si>
    <t>　</t>
  </si>
  <si>
    <t>Contract Month</t>
  </si>
  <si>
    <t>取引期間</t>
    <rPh sb="0" eb="2">
      <t>トリヒキ</t>
    </rPh>
    <rPh sb="2" eb="4">
      <t>キカン</t>
    </rPh>
    <phoneticPr fontId="6"/>
  </si>
  <si>
    <t>日</t>
    <rPh sb="0" eb="1">
      <t>ヒ</t>
    </rPh>
    <phoneticPr fontId="6"/>
  </si>
  <si>
    <t>商品等</t>
    <rPh sb="0" eb="2">
      <t>ショウヒン</t>
    </rPh>
    <rPh sb="2" eb="3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</si>
  <si>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</si>
  <si>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</si>
  <si>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</si>
  <si>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</si>
  <si>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</si>
  <si>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</si>
  <si>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</si>
  <si>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</si>
  <si>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</si>
  <si>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</si>
  <si>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</si>
  <si>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</si>
  <si>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</si>
  <si>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</si>
  <si>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</si>
  <si>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</si>
  <si>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</si>
  <si>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</si>
  <si>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sb="0" eb="2">
      <t>ショウヒン</t>
    </rPh>
    <rPh sb="2" eb="4">
      <t>サキモノ</t>
    </rPh>
    <phoneticPr fontId="6"/>
  </si>
  <si>
    <t>Commodity Futures Quotations</t>
    <phoneticPr fontId="6"/>
  </si>
  <si>
    <t>早受渡・申告受渡高
（単位）</t>
    <rPh sb="0" eb="1">
      <t>ハヤ</t>
    </rPh>
    <rPh sb="1" eb="3">
      <t>ウケワタシ</t>
    </rPh>
    <rPh sb="4" eb="6">
      <t>シンコク</t>
    </rPh>
    <rPh sb="6" eb="8">
      <t>ウケワタシ</t>
    </rPh>
    <rPh sb="8" eb="9">
      <t>ダカ</t>
    </rPh>
    <rPh sb="11" eb="13">
      <t>タンイ</t>
    </rPh>
    <phoneticPr fontId="6"/>
  </si>
  <si>
    <t>Early Delivery, Declared Delivery Volume(unit)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</si>
  <si>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</si>
  <si>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</si>
  <si>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</si>
  <si>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</si>
  <si>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始　値
（円/ポイント）</t>
    <phoneticPr fontId="6"/>
  </si>
  <si>
    <t>高　値
（円/ポイント）</t>
    <phoneticPr fontId="6"/>
  </si>
  <si>
    <t>うちJ-NET取引
（円/ポイント）</t>
    <phoneticPr fontId="6"/>
  </si>
  <si>
    <t>安　値
（円/ポイント）</t>
    <phoneticPr fontId="6"/>
  </si>
  <si>
    <t>終　値
（円/ポイント）</t>
    <phoneticPr fontId="6"/>
  </si>
  <si>
    <t>平均清算数値
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</si>
  <si>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</si>
  <si>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</si>
  <si>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</si>
  <si>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</si>
  <si>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</si>
  <si>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</si>
  <si>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2022/09</t>
  </si>
  <si>
    <t>金標準先物</t>
  </si>
  <si>
    <t>Gold Standard Futures</t>
  </si>
  <si>
    <t>2022/10</t>
  </si>
  <si>
    <t>2021/10/27</t>
  </si>
  <si>
    <t>2022/10/26</t>
  </si>
  <si>
    <t>01</t>
  </si>
  <si>
    <t>7,648</t>
  </si>
  <si>
    <t>08</t>
  </si>
  <si>
    <t>7,960</t>
  </si>
  <si>
    <t>29</t>
  </si>
  <si>
    <t>7,510</t>
  </si>
  <si>
    <t>30</t>
  </si>
  <si>
    <t>7,740</t>
  </si>
  <si>
    <t>2022/12</t>
  </si>
  <si>
    <t>2021/12/24</t>
  </si>
  <si>
    <t>2022/12/23</t>
  </si>
  <si>
    <t>7,646</t>
  </si>
  <si>
    <t>09</t>
  </si>
  <si>
    <t>7,948</t>
  </si>
  <si>
    <t>7,519</t>
  </si>
  <si>
    <t>7,738</t>
  </si>
  <si>
    <t>2023/02</t>
  </si>
  <si>
    <t>2022/02/24</t>
  </si>
  <si>
    <t>2023/02/22</t>
  </si>
  <si>
    <t>7,656</t>
  </si>
  <si>
    <t>7,950</t>
  </si>
  <si>
    <t>7,745</t>
  </si>
  <si>
    <t>2023/04</t>
  </si>
  <si>
    <t>2022/04/26</t>
  </si>
  <si>
    <t>2023/04/25</t>
  </si>
  <si>
    <t>7,652</t>
  </si>
  <si>
    <t>7,947</t>
  </si>
  <si>
    <t>7,739</t>
  </si>
  <si>
    <t>2023/06</t>
  </si>
  <si>
    <t>2022/06/28</t>
  </si>
  <si>
    <t>2023/06/27</t>
  </si>
  <si>
    <t>7,642</t>
  </si>
  <si>
    <t>7,942</t>
  </si>
  <si>
    <t>07</t>
  </si>
  <si>
    <t>7,782.0000</t>
  </si>
  <si>
    <t>7,501</t>
  </si>
  <si>
    <t>16</t>
  </si>
  <si>
    <t>7,642.0000</t>
  </si>
  <si>
    <t>7,732</t>
  </si>
  <si>
    <t>2023/08</t>
  </si>
  <si>
    <t>2022/08/29</t>
  </si>
  <si>
    <t>2023/08/28</t>
  </si>
  <si>
    <t>7,638</t>
  </si>
  <si>
    <t>7,937</t>
  </si>
  <si>
    <t>10,279.0000</t>
  </si>
  <si>
    <t>7,495</t>
  </si>
  <si>
    <t>5,315.0000</t>
  </si>
  <si>
    <t>7,726</t>
  </si>
  <si>
    <t>金ミニ先物</t>
  </si>
  <si>
    <t>Gold Mini Futures</t>
  </si>
  <si>
    <t>2022/10/25</t>
  </si>
  <si>
    <t>7,628.0</t>
  </si>
  <si>
    <t>7,959.5</t>
  </si>
  <si>
    <t>7,519.5</t>
  </si>
  <si>
    <t>7,743.0</t>
  </si>
  <si>
    <t>2022/12/22</t>
  </si>
  <si>
    <t>7,661.0</t>
  </si>
  <si>
    <t>7,953.0</t>
  </si>
  <si>
    <t>7,515.0</t>
  </si>
  <si>
    <t>7,736.5</t>
  </si>
  <si>
    <t>2023/02/21</t>
  </si>
  <si>
    <t>7,626.0</t>
  </si>
  <si>
    <t>7,945.0</t>
  </si>
  <si>
    <t>7,512.0</t>
  </si>
  <si>
    <t>7,737.0</t>
  </si>
  <si>
    <t>2023/04/24</t>
  </si>
  <si>
    <t>7,651.0</t>
  </si>
  <si>
    <t>7,517.0</t>
  </si>
  <si>
    <t>7,732.0</t>
  </si>
  <si>
    <t>2023/06/26</t>
  </si>
  <si>
    <t>7,642.0</t>
  </si>
  <si>
    <t>7,940.5</t>
  </si>
  <si>
    <t>7,890.0000</t>
  </si>
  <si>
    <t>7,501.0</t>
  </si>
  <si>
    <t>7,729.5</t>
  </si>
  <si>
    <t>2023/08/25</t>
  </si>
  <si>
    <t>7,639.0</t>
  </si>
  <si>
    <t>7,936.0</t>
  </si>
  <si>
    <t>22</t>
  </si>
  <si>
    <t>7,694.0000</t>
  </si>
  <si>
    <t>7,494.0</t>
  </si>
  <si>
    <t>7,692.0000</t>
  </si>
  <si>
    <t>7,727.0</t>
  </si>
  <si>
    <t>金限日先物</t>
  </si>
  <si>
    <t>Gold Rolling-Spot Futures</t>
  </si>
  <si>
    <t>－</t>
  </si>
  <si>
    <t>7,680</t>
  </si>
  <si>
    <t>7,959</t>
  </si>
  <si>
    <t>7,928.0000</t>
  </si>
  <si>
    <t>7,539</t>
  </si>
  <si>
    <t>05</t>
  </si>
  <si>
    <t>7,716.0000</t>
  </si>
  <si>
    <t>7,760</t>
  </si>
  <si>
    <t>銀先物</t>
  </si>
  <si>
    <t>Silver Futures</t>
  </si>
  <si>
    <t>80.0</t>
  </si>
  <si>
    <t>15</t>
  </si>
  <si>
    <t>87.0</t>
  </si>
  <si>
    <t>06</t>
  </si>
  <si>
    <t>85.1</t>
  </si>
  <si>
    <t>79.5</t>
  </si>
  <si>
    <t>21</t>
  </si>
  <si>
    <t>88.9</t>
  </si>
  <si>
    <t>78.3</t>
  </si>
  <si>
    <t>86.0</t>
  </si>
  <si>
    <t>76.8</t>
  </si>
  <si>
    <t>84.5</t>
  </si>
  <si>
    <t>79.9</t>
  </si>
  <si>
    <t>87.2</t>
  </si>
  <si>
    <t>02</t>
  </si>
  <si>
    <t>76.7</t>
  </si>
  <si>
    <t>85.0</t>
  </si>
  <si>
    <t>81.0</t>
  </si>
  <si>
    <t>89.2</t>
  </si>
  <si>
    <t>77.7</t>
  </si>
  <si>
    <t>85.7</t>
  </si>
  <si>
    <t>白金標準先物</t>
  </si>
  <si>
    <t>Platinum Standard Futures</t>
  </si>
  <si>
    <t>3,798</t>
  </si>
  <si>
    <t>4,284</t>
  </si>
  <si>
    <t>3,700</t>
  </si>
  <si>
    <t>4,005</t>
  </si>
  <si>
    <t>3,740</t>
  </si>
  <si>
    <t>4,230</t>
  </si>
  <si>
    <t>3,682</t>
  </si>
  <si>
    <t>3,973</t>
  </si>
  <si>
    <t>3,767</t>
  </si>
  <si>
    <t>4,194</t>
  </si>
  <si>
    <t>3,958</t>
  </si>
  <si>
    <t>3,770</t>
  </si>
  <si>
    <t>4,158</t>
  </si>
  <si>
    <t>3,692</t>
  </si>
  <si>
    <t>3,960</t>
  </si>
  <si>
    <t>3,734</t>
  </si>
  <si>
    <t>4,130</t>
  </si>
  <si>
    <t>3,660</t>
  </si>
  <si>
    <t>3,935</t>
  </si>
  <si>
    <t>3,695</t>
  </si>
  <si>
    <t>4,109</t>
  </si>
  <si>
    <t>4,065.0000</t>
  </si>
  <si>
    <t>3,614</t>
  </si>
  <si>
    <t>3,900.0000</t>
  </si>
  <si>
    <t>3,921</t>
  </si>
  <si>
    <t>白金ミニ先物</t>
  </si>
  <si>
    <t>Platinum Mini Futures</t>
  </si>
  <si>
    <t>3,753.5</t>
  </si>
  <si>
    <t>4,231.0</t>
  </si>
  <si>
    <t>3,740.0</t>
  </si>
  <si>
    <t>4,000.0</t>
  </si>
  <si>
    <t>3,700.0</t>
  </si>
  <si>
    <t>4,220.5</t>
  </si>
  <si>
    <t>3,877.5</t>
  </si>
  <si>
    <t>3,750.0</t>
  </si>
  <si>
    <t>4,183.0</t>
  </si>
  <si>
    <t>3,715.5</t>
  </si>
  <si>
    <t>3,916.5</t>
  </si>
  <si>
    <t>3,759.5</t>
  </si>
  <si>
    <t>4,150.0</t>
  </si>
  <si>
    <t>3,960.5</t>
  </si>
  <si>
    <t>3,743.5</t>
  </si>
  <si>
    <t>4,125.0</t>
  </si>
  <si>
    <t>3,650.0</t>
  </si>
  <si>
    <t>3,925.5</t>
  </si>
  <si>
    <t>3,703.5</t>
  </si>
  <si>
    <t>4,106.0</t>
  </si>
  <si>
    <t>4,066.0000</t>
  </si>
  <si>
    <t>3,610.5</t>
  </si>
  <si>
    <t>3,920.5</t>
  </si>
  <si>
    <t>白金限日先物</t>
  </si>
  <si>
    <t>Platinum Rolling-Spot Futures</t>
  </si>
  <si>
    <t>3,837</t>
  </si>
  <si>
    <t>4,160</t>
  </si>
  <si>
    <t>3,755</t>
  </si>
  <si>
    <t>3,980</t>
  </si>
  <si>
    <t>パラジウム先物</t>
  </si>
  <si>
    <t>Palladium Futures</t>
  </si>
  <si>
    <t>9,900</t>
  </si>
  <si>
    <t>9,810</t>
  </si>
  <si>
    <t>9,700</t>
  </si>
  <si>
    <t>20</t>
  </si>
  <si>
    <t>9,850</t>
  </si>
  <si>
    <t>9,500</t>
  </si>
  <si>
    <t>CME原油等指数先物</t>
  </si>
  <si>
    <t>CME Petroleum Index Futures</t>
  </si>
  <si>
    <t>2022/03/02</t>
  </si>
  <si>
    <t>2022/09/01</t>
  </si>
  <si>
    <t>*</t>
  </si>
  <si>
    <t>2022/04/04</t>
  </si>
  <si>
    <t>2022/10/03</t>
  </si>
  <si>
    <t>225.35</t>
  </si>
  <si>
    <t>225.55</t>
  </si>
  <si>
    <t>222.40</t>
  </si>
  <si>
    <t>2022/11</t>
  </si>
  <si>
    <t>2022/05/06</t>
  </si>
  <si>
    <t>2022/11/01</t>
  </si>
  <si>
    <t>207.45</t>
  </si>
  <si>
    <t>2022/06/02</t>
  </si>
  <si>
    <t>2022/12/01</t>
  </si>
  <si>
    <t>2023/01</t>
  </si>
  <si>
    <t>2022/07/04</t>
  </si>
  <si>
    <t>2023/01/04</t>
  </si>
  <si>
    <t>2022/08/02</t>
  </si>
  <si>
    <t>2023/02/01</t>
  </si>
  <si>
    <t>2023/03</t>
  </si>
  <si>
    <t>2022/09/02</t>
  </si>
  <si>
    <t>2023/03/01</t>
  </si>
  <si>
    <t>ゴム（RSS3）先物</t>
  </si>
  <si>
    <t>RSS3 Rubber Futures</t>
  </si>
  <si>
    <t>2021/09/27</t>
  </si>
  <si>
    <t>2022/09/26</t>
  </si>
  <si>
    <t>224.8</t>
  </si>
  <si>
    <t>225.2</t>
  </si>
  <si>
    <t>222.3000</t>
  </si>
  <si>
    <t>210.9</t>
  </si>
  <si>
    <t>216.4000</t>
  </si>
  <si>
    <t>26</t>
  </si>
  <si>
    <t>221.4</t>
  </si>
  <si>
    <t>2021/10/26</t>
  </si>
  <si>
    <t>226.0</t>
  </si>
  <si>
    <t>228.0</t>
  </si>
  <si>
    <t>223.4000</t>
  </si>
  <si>
    <t>220.0</t>
  </si>
  <si>
    <t>2021/11/25</t>
  </si>
  <si>
    <t>2022/11/24</t>
  </si>
  <si>
    <t>225.3</t>
  </si>
  <si>
    <t>27</t>
  </si>
  <si>
    <t>230.2</t>
  </si>
  <si>
    <t>28</t>
  </si>
  <si>
    <t>227.7000</t>
  </si>
  <si>
    <t>219.8</t>
  </si>
  <si>
    <t>227.5</t>
  </si>
  <si>
    <t>2021/12/23</t>
  </si>
  <si>
    <t>227.3</t>
  </si>
  <si>
    <t>232.4</t>
  </si>
  <si>
    <t>219.2</t>
  </si>
  <si>
    <t>227.8</t>
  </si>
  <si>
    <t>2022/01/26</t>
  </si>
  <si>
    <t>2023/01/25</t>
  </si>
  <si>
    <t>224.7</t>
  </si>
  <si>
    <t>234.5</t>
  </si>
  <si>
    <t>215.5</t>
  </si>
  <si>
    <t>226.6</t>
  </si>
  <si>
    <t>2022/02/22</t>
  </si>
  <si>
    <t>225.5</t>
  </si>
  <si>
    <t>234.8</t>
  </si>
  <si>
    <t>214.1</t>
  </si>
  <si>
    <t>226.4</t>
  </si>
  <si>
    <t>2022/03/28</t>
  </si>
  <si>
    <t>2023/03/27</t>
  </si>
  <si>
    <t>223.1</t>
  </si>
  <si>
    <t>235.3</t>
  </si>
  <si>
    <t>216.5</t>
  </si>
  <si>
    <t>228.3</t>
  </si>
  <si>
    <t>2022/04/25</t>
  </si>
  <si>
    <t>14</t>
  </si>
  <si>
    <t>224.4</t>
  </si>
  <si>
    <t>2023/05</t>
  </si>
  <si>
    <t>2022/05/26</t>
  </si>
  <si>
    <t>2023/05/25</t>
  </si>
  <si>
    <t>229.9</t>
  </si>
  <si>
    <t>2022/06/27</t>
  </si>
  <si>
    <t>234.9</t>
  </si>
  <si>
    <t>235.2</t>
  </si>
  <si>
    <t>225.1</t>
  </si>
  <si>
    <t>2023/07</t>
  </si>
  <si>
    <t>2022/07/26</t>
  </si>
  <si>
    <t>2023/07/25</t>
  </si>
  <si>
    <t>226.2</t>
  </si>
  <si>
    <t>2022/08/26</t>
  </si>
  <si>
    <t>224.5</t>
  </si>
  <si>
    <t>13</t>
  </si>
  <si>
    <t>222.1</t>
  </si>
  <si>
    <t>229.0</t>
  </si>
  <si>
    <t>2023/09</t>
  </si>
  <si>
    <t>2022/09/27</t>
  </si>
  <si>
    <t>2023/09/25</t>
  </si>
  <si>
    <t>224.0</t>
  </si>
  <si>
    <t>221.0</t>
  </si>
  <si>
    <t>ゴム（TSR20）先物</t>
  </si>
  <si>
    <t>TSR20 Rubber Futures</t>
  </si>
  <si>
    <t>2021/10/01</t>
  </si>
  <si>
    <t>2022/09/30</t>
  </si>
  <si>
    <t>2021/11/01</t>
  </si>
  <si>
    <t>2022/10/31</t>
  </si>
  <si>
    <t>2021/12/01</t>
  </si>
  <si>
    <t>2022/11/30</t>
  </si>
  <si>
    <t>185.5</t>
  </si>
  <si>
    <t>189.2</t>
  </si>
  <si>
    <t>180.5</t>
  </si>
  <si>
    <t>184.6</t>
  </si>
  <si>
    <t>2022/01/04</t>
  </si>
  <si>
    <t>2022/12/30</t>
  </si>
  <si>
    <t>186.0</t>
  </si>
  <si>
    <t>188.9</t>
  </si>
  <si>
    <t>185.0</t>
  </si>
  <si>
    <t>188.4</t>
  </si>
  <si>
    <t>2022/02/01</t>
  </si>
  <si>
    <t>2023/01/31</t>
  </si>
  <si>
    <t>2022/03/01</t>
  </si>
  <si>
    <t>2023/02/28</t>
  </si>
  <si>
    <t>2022/04/01</t>
  </si>
  <si>
    <t>2023/03/31</t>
  </si>
  <si>
    <t>2022/05/02</t>
  </si>
  <si>
    <t>2023/04/28</t>
  </si>
  <si>
    <t>2022/06/01</t>
  </si>
  <si>
    <t>2023/05/31</t>
  </si>
  <si>
    <t>2022/07/01</t>
  </si>
  <si>
    <t>2023/06/30</t>
  </si>
  <si>
    <t>2022/08/01</t>
  </si>
  <si>
    <t>2023/07/31</t>
  </si>
  <si>
    <t>2023/08/31</t>
  </si>
  <si>
    <t>とうもろこし先物</t>
  </si>
  <si>
    <t>Corn Futures</t>
  </si>
  <si>
    <t>2021/10/18</t>
  </si>
  <si>
    <t>2022/10/14</t>
  </si>
  <si>
    <t>52,270</t>
  </si>
  <si>
    <t>46,000</t>
  </si>
  <si>
    <t>48,990</t>
  </si>
  <si>
    <t>2021/12/16</t>
  </si>
  <si>
    <t>2022/12/15</t>
  </si>
  <si>
    <t>53,950</t>
  </si>
  <si>
    <t>53,000</t>
  </si>
  <si>
    <t>2022/02/16</t>
  </si>
  <si>
    <t>2023/02/15</t>
  </si>
  <si>
    <t>52,200</t>
  </si>
  <si>
    <t>53,930</t>
  </si>
  <si>
    <t>50,450</t>
  </si>
  <si>
    <t>53,490</t>
  </si>
  <si>
    <t>2022/04/18</t>
  </si>
  <si>
    <t>2023/04/14</t>
  </si>
  <si>
    <t>50,940</t>
  </si>
  <si>
    <t>53,980</t>
  </si>
  <si>
    <t>50,340</t>
  </si>
  <si>
    <t>51,960</t>
  </si>
  <si>
    <t>2022/06/16</t>
  </si>
  <si>
    <t>2023/06/15</t>
  </si>
  <si>
    <t>49,740</t>
  </si>
  <si>
    <t>52,150</t>
  </si>
  <si>
    <t>48,500</t>
  </si>
  <si>
    <t>50,400</t>
  </si>
  <si>
    <t>2022/08/16</t>
  </si>
  <si>
    <t>2023/08/15</t>
  </si>
  <si>
    <t>48,850</t>
  </si>
  <si>
    <t>51,500</t>
  </si>
  <si>
    <t>50,240.0000</t>
  </si>
  <si>
    <t>47,670</t>
  </si>
  <si>
    <t>50,180</t>
  </si>
  <si>
    <t>一般大豆先物</t>
  </si>
  <si>
    <t>Soybean Futures</t>
  </si>
  <si>
    <t>小豆先物</t>
  </si>
  <si>
    <t>Azuki (Red Bean) Futures</t>
  </si>
  <si>
    <t>2022/03/29</t>
  </si>
  <si>
    <t>2022/05/27</t>
  </si>
  <si>
    <t>2022/11/25</t>
  </si>
  <si>
    <t>2022/12/21</t>
  </si>
  <si>
    <t>2022/07/27</t>
  </si>
  <si>
    <t>2023/01/26</t>
  </si>
  <si>
    <t>2022/09/28</t>
  </si>
  <si>
    <t>2023/03/28</t>
  </si>
  <si>
    <t>月末日：</t>
    <phoneticPr fontId="6"/>
  </si>
  <si>
    <t>（株）東京商品取引所</t>
    <phoneticPr fontId="6"/>
  </si>
  <si>
    <t>取引単位</t>
    <phoneticPr fontId="6"/>
  </si>
  <si>
    <t>平均帳入値段
（円）</t>
    <phoneticPr fontId="6"/>
  </si>
  <si>
    <t>取組高
（単位）</t>
    <phoneticPr fontId="6"/>
  </si>
  <si>
    <t>立会
日数</t>
    <rPh sb="0" eb="2">
      <t>タチアイ</t>
    </rPh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</si>
  <si>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</si>
  <si>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</si>
  <si>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</si>
  <si>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</si>
  <si>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うち立会外
取引（単位）</t>
    <rPh sb="2" eb="4">
      <t>タチアイ</t>
    </rPh>
    <rPh sb="4" eb="5">
      <t>ガイ</t>
    </rPh>
    <phoneticPr fontId="6"/>
  </si>
  <si>
    <t>うち立会外
取引（円）</t>
    <rPh sb="2" eb="4">
      <t>タチアイ</t>
    </rPh>
    <rPh sb="4" eb="5">
      <t>ガイ</t>
    </rPh>
    <phoneticPr fontId="6"/>
  </si>
  <si>
    <t>うち立会外（円）</t>
    <rPh sb="2" eb="4">
      <t>タチアイ</t>
    </rPh>
    <rPh sb="4" eb="5">
      <t>ガイ</t>
    </rPh>
    <phoneticPr fontId="6"/>
  </si>
  <si>
    <t>Trading
unit</t>
    <phoneticPr fontId="6"/>
  </si>
  <si>
    <t>Open(￥)</t>
    <phoneticPr fontId="6"/>
  </si>
  <si>
    <t>High(￥)</t>
    <phoneticPr fontId="6"/>
  </si>
  <si>
    <t>Block Trades(￥)</t>
    <phoneticPr fontId="6"/>
  </si>
  <si>
    <t>Low(￥)</t>
    <phoneticPr fontId="6"/>
  </si>
  <si>
    <t>Close(￥)</t>
    <phoneticPr fontId="6"/>
  </si>
  <si>
    <t>Average
Settlement
Price(￥)</t>
    <phoneticPr fontId="6"/>
  </si>
  <si>
    <t>Block Trades(unit)</t>
    <phoneticPr fontId="6"/>
  </si>
  <si>
    <t>バージガソリン先物</t>
  </si>
  <si>
    <t>Gasoline Futures</t>
  </si>
  <si>
    <t>2022/09/22</t>
  </si>
  <si>
    <t>79,000</t>
  </si>
  <si>
    <t>76,500.0000</t>
  </si>
  <si>
    <t>78,950</t>
  </si>
  <si>
    <t>78,200</t>
  </si>
  <si>
    <t>79,500</t>
  </si>
  <si>
    <t>77,490</t>
  </si>
  <si>
    <t>12</t>
  </si>
  <si>
    <t>80,040</t>
  </si>
  <si>
    <t>79,980</t>
  </si>
  <si>
    <t>80,000</t>
  </si>
  <si>
    <t>80,510</t>
  </si>
  <si>
    <t>2023/02/24</t>
  </si>
  <si>
    <t>82,500</t>
  </si>
  <si>
    <t>2023/03/24</t>
  </si>
  <si>
    <t>バージ灯油先物</t>
  </si>
  <si>
    <t>Kerosene Futures</t>
  </si>
  <si>
    <t>78,000</t>
  </si>
  <si>
    <t>78,900</t>
  </si>
  <si>
    <t>77,050.0000</t>
  </si>
  <si>
    <t>バージ軽油先物</t>
  </si>
  <si>
    <t>Gas Oil Futures</t>
  </si>
  <si>
    <t>プラッツドバイ原油先物</t>
  </si>
  <si>
    <t>Platts Dubai Crude Oil Futures</t>
  </si>
  <si>
    <t>2021/09/21</t>
  </si>
  <si>
    <t>83,300</t>
  </si>
  <si>
    <t>84,100</t>
  </si>
  <si>
    <t>83,850.0000</t>
  </si>
  <si>
    <t>79,900</t>
  </si>
  <si>
    <t>82,200.0000</t>
  </si>
  <si>
    <t>81,800</t>
  </si>
  <si>
    <t>79,530</t>
  </si>
  <si>
    <t>82,030</t>
  </si>
  <si>
    <t>81,890.0000</t>
  </si>
  <si>
    <t>74,430</t>
  </si>
  <si>
    <t>77,600.0000</t>
  </si>
  <si>
    <t>78,500</t>
  </si>
  <si>
    <t>78,880</t>
  </si>
  <si>
    <t>79,740</t>
  </si>
  <si>
    <t>79,240.0000</t>
  </si>
  <si>
    <t>71,330</t>
  </si>
  <si>
    <t>71,510.0000</t>
  </si>
  <si>
    <t>75,720</t>
  </si>
  <si>
    <t>77,100</t>
  </si>
  <si>
    <t>77,910</t>
  </si>
  <si>
    <t>77,300.0000</t>
  </si>
  <si>
    <t>69,500</t>
  </si>
  <si>
    <t>65,900.0000</t>
  </si>
  <si>
    <t>73,130</t>
  </si>
  <si>
    <t>75,850</t>
  </si>
  <si>
    <t>76,440</t>
  </si>
  <si>
    <t>75,600.0000</t>
  </si>
  <si>
    <t>67,230</t>
  </si>
  <si>
    <t>71,230</t>
  </si>
  <si>
    <t>74,010</t>
  </si>
  <si>
    <t>75,410</t>
  </si>
  <si>
    <t>74,080.0000</t>
  </si>
  <si>
    <t>66,100</t>
  </si>
  <si>
    <t>69,910</t>
  </si>
  <si>
    <t>73,480</t>
  </si>
  <si>
    <t>74,390</t>
  </si>
  <si>
    <t>66,360</t>
  </si>
  <si>
    <t>68,970</t>
  </si>
  <si>
    <t>70,060</t>
  </si>
  <si>
    <t>70,020</t>
  </si>
  <si>
    <t>68,000</t>
  </si>
  <si>
    <t>71,500</t>
  </si>
  <si>
    <t>64,500</t>
  </si>
  <si>
    <t>70,880</t>
  </si>
  <si>
    <t>64,220</t>
  </si>
  <si>
    <t>65,930</t>
  </si>
  <si>
    <t>70,000</t>
  </si>
  <si>
    <t>2023/09/29</t>
  </si>
  <si>
    <t>69,490</t>
  </si>
  <si>
    <t>62,900</t>
  </si>
  <si>
    <t>2023/10</t>
  </si>
  <si>
    <t>2023/10/31</t>
  </si>
  <si>
    <t>64,850</t>
  </si>
  <si>
    <t>62,800</t>
  </si>
  <si>
    <t>2023/11</t>
  </si>
  <si>
    <t>2023/11/30</t>
  </si>
  <si>
    <t>66,710</t>
  </si>
  <si>
    <t>67,170</t>
  </si>
  <si>
    <t>61,500</t>
  </si>
  <si>
    <t>東エリア・ベースロード電力先物</t>
  </si>
  <si>
    <t>East Area Baseload Electricity Futures</t>
  </si>
  <si>
    <t>2021/06/30</t>
  </si>
  <si>
    <t>2022/09/29</t>
  </si>
  <si>
    <t>33.00</t>
  </si>
  <si>
    <t>35.00</t>
  </si>
  <si>
    <t>34.0000</t>
  </si>
  <si>
    <t>2021/08/02</t>
  </si>
  <si>
    <t>2022/10/28</t>
  </si>
  <si>
    <t>39.00</t>
  </si>
  <si>
    <t>39.5000</t>
  </si>
  <si>
    <t>37.00</t>
  </si>
  <si>
    <t>2021/08/31</t>
  </si>
  <si>
    <t>2022/11/29</t>
  </si>
  <si>
    <t>40.25</t>
  </si>
  <si>
    <t>39.75</t>
  </si>
  <si>
    <t>2021/09/30</t>
  </si>
  <si>
    <t>43.90</t>
  </si>
  <si>
    <t>45.00</t>
  </si>
  <si>
    <t>43.0000</t>
  </si>
  <si>
    <t>43.25</t>
  </si>
  <si>
    <t>42.9100</t>
  </si>
  <si>
    <t>2023/01/30</t>
  </si>
  <si>
    <t>46.20</t>
  </si>
  <si>
    <t>48.00</t>
  </si>
  <si>
    <t>47.9000</t>
  </si>
  <si>
    <t>41.9700</t>
  </si>
  <si>
    <t>47.50</t>
  </si>
  <si>
    <t>2021/11/30</t>
  </si>
  <si>
    <t>2023/02/27</t>
  </si>
  <si>
    <t>43.5000</t>
  </si>
  <si>
    <t>44.25</t>
  </si>
  <si>
    <t>43.4600</t>
  </si>
  <si>
    <t>2023/03/30</t>
  </si>
  <si>
    <t>35.50</t>
  </si>
  <si>
    <t>2022/01/31</t>
  </si>
  <si>
    <t>2022/02/28</t>
  </si>
  <si>
    <t>2023/05/30</t>
  </si>
  <si>
    <t>2022/03/31</t>
  </si>
  <si>
    <t>2023/06/29</t>
  </si>
  <si>
    <t>2023/07/28</t>
  </si>
  <si>
    <t>2023/08/30</t>
  </si>
  <si>
    <t>2023/10/30</t>
  </si>
  <si>
    <t>2023/11/29</t>
  </si>
  <si>
    <t>2023/12</t>
  </si>
  <si>
    <t>2023/12/29</t>
  </si>
  <si>
    <t>2024/01</t>
  </si>
  <si>
    <t>2024/01/30</t>
  </si>
  <si>
    <t>2024/02</t>
  </si>
  <si>
    <t>2024/02/28</t>
  </si>
  <si>
    <t>2024/03</t>
  </si>
  <si>
    <t>2024/03/29</t>
  </si>
  <si>
    <t>2024/04</t>
  </si>
  <si>
    <t>2024/04/26</t>
  </si>
  <si>
    <t>2024/05</t>
  </si>
  <si>
    <t>2022/05/31</t>
  </si>
  <si>
    <t>2024/05/30</t>
  </si>
  <si>
    <t>2024/06</t>
  </si>
  <si>
    <t>2022/06/30</t>
  </si>
  <si>
    <t>2024/06/28</t>
  </si>
  <si>
    <t>2024/07</t>
  </si>
  <si>
    <t>2024/07/30</t>
  </si>
  <si>
    <t>2024/08</t>
  </si>
  <si>
    <t>2022/08/31</t>
  </si>
  <si>
    <t>2024/08/30</t>
  </si>
  <si>
    <t>2024/09</t>
  </si>
  <si>
    <t>2024/09/27</t>
  </si>
  <si>
    <t>西エリア・ベースロード電力先物</t>
  </si>
  <si>
    <t>West Area Baseload Electricity Futures</t>
  </si>
  <si>
    <t>32.00</t>
  </si>
  <si>
    <t>36.3500</t>
  </si>
  <si>
    <t>25.00</t>
  </si>
  <si>
    <t>33.3300</t>
  </si>
  <si>
    <t>35.2300</t>
  </si>
  <si>
    <t>38.50</t>
  </si>
  <si>
    <t>38.9000</t>
  </si>
  <si>
    <t>35.9500</t>
  </si>
  <si>
    <t>39.8500</t>
  </si>
  <si>
    <t>34.5000</t>
  </si>
  <si>
    <t>37.5000</t>
  </si>
  <si>
    <t>29.2500</t>
  </si>
  <si>
    <t>26.0000</t>
  </si>
  <si>
    <t>東エリア・日中ロード電力先物</t>
  </si>
  <si>
    <t>East Area Peakload Electricity Futures</t>
  </si>
  <si>
    <t>2021/07/30</t>
  </si>
  <si>
    <t>49.00</t>
  </si>
  <si>
    <t>53.1500</t>
  </si>
  <si>
    <t>44.50</t>
  </si>
  <si>
    <t>46.50</t>
  </si>
  <si>
    <t>2022/12/28</t>
  </si>
  <si>
    <t>52.70</t>
  </si>
  <si>
    <t>53.4900</t>
  </si>
  <si>
    <t>52.50</t>
  </si>
  <si>
    <t>52.6000</t>
  </si>
  <si>
    <t>2021/10/29</t>
  </si>
  <si>
    <t>60.00</t>
  </si>
  <si>
    <t>65.5000</t>
  </si>
  <si>
    <t>56.80</t>
  </si>
  <si>
    <t>60.1900</t>
  </si>
  <si>
    <t>58.5000</t>
  </si>
  <si>
    <t>55.3300</t>
  </si>
  <si>
    <t>2021/12/29</t>
  </si>
  <si>
    <t>2023/04/27</t>
  </si>
  <si>
    <t>2023/09/28</t>
  </si>
  <si>
    <t>2023/12/28</t>
  </si>
  <si>
    <t>2024/03/28</t>
  </si>
  <si>
    <t>2022/04/28</t>
  </si>
  <si>
    <t>2024/06/27</t>
  </si>
  <si>
    <t>2022/07/29</t>
  </si>
  <si>
    <t>2024/08/29</t>
  </si>
  <si>
    <t>西エリア・日中ロード電力先物</t>
  </si>
  <si>
    <t>West Area Peakload Electricity Futures</t>
  </si>
  <si>
    <t>39.0000</t>
  </si>
  <si>
    <t>38.2500</t>
  </si>
  <si>
    <t>45.0000</t>
  </si>
  <si>
    <t>LNG（プラッツJKM）先物</t>
  </si>
  <si>
    <t>LNG（Platts JKM）Futures</t>
  </si>
  <si>
    <t>2022/09/15</t>
  </si>
  <si>
    <t>2022/11/15</t>
  </si>
  <si>
    <t>2023/01/13</t>
  </si>
  <si>
    <t>2023/03/15</t>
  </si>
  <si>
    <t>2023/05/15</t>
  </si>
  <si>
    <t>2023/07/14</t>
  </si>
  <si>
    <t>2022/05/16</t>
  </si>
  <si>
    <t>2023/09/15</t>
  </si>
  <si>
    <t>2022/07/19</t>
  </si>
  <si>
    <t>2023/10/13</t>
  </si>
  <si>
    <t>2023/11/15</t>
  </si>
  <si>
    <t>2022/09/16</t>
  </si>
  <si>
    <t>2023/12/15</t>
  </si>
  <si>
    <t>中京ローリーガソリン先物</t>
  </si>
  <si>
    <t>Chukyo Gasoline Futures</t>
  </si>
  <si>
    <t>77,700</t>
  </si>
  <si>
    <t>75,500.0000</t>
  </si>
  <si>
    <t>73,800</t>
  </si>
  <si>
    <t>74,000.0000</t>
  </si>
  <si>
    <t>74,000</t>
  </si>
  <si>
    <t>73,400</t>
  </si>
  <si>
    <t>74,500</t>
  </si>
  <si>
    <t>中京ローリー灯油先物</t>
  </si>
  <si>
    <t>Chukyo Kerosene Futures</t>
  </si>
  <si>
    <t>77,300</t>
  </si>
  <si>
    <t>77,600</t>
  </si>
  <si>
    <t>77,200</t>
  </si>
  <si>
    <t>76,800</t>
  </si>
  <si>
    <t>77,000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</si>
</sst>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_);[Red]\(&quot;¥&quot;#,##0\)"/>
    <numFmt numFmtId="8" formatCode="&quot;¥&quot;#,##0.00_);[Red]\(&quot;¥&quot;#,##0.00\)"/>
    <numFmt numFmtId="41" formatCode="_(* #,##0_);_(* \(#,##0\);_(* &quot;-&quot;_);_(@_)"/>
    <numFmt numFmtId="43" formatCode="_(* #,##0.00_);_(* \(#,##0.00\);_(* &quot;-&quot;??_);_(@_)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  <font>
      <sz val="1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4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189" fontId="7" fillId="0" borderId="37" xfId="1946" applyNumberFormat="1" applyFont="1" applyFill="1" applyBorder="1" applyAlignment="1">
      <alignment horizontal="right" vertical="center"/>
    </xf>
    <xf numFmtId="3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horizontal="right" vertical="center"/>
    </xf>
    <xf numFmtId="3" fontId="7" fillId="0" borderId="21" xfId="1946" applyNumberFormat="1" applyFont="1" applyFill="1" applyBorder="1" applyAlignment="1">
      <alignment horizontal="right" vertical="center"/>
    </xf>
    <xf numFmtId="4" fontId="7" fillId="0" borderId="21" xfId="1946" applyNumberFormat="1" applyFont="1" applyFill="1" applyBorder="1" applyAlignment="1">
      <alignment horizontal="right" vertical="center"/>
    </xf>
    <xf numFmtId="49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vertical="center"/>
    </xf>
    <xf numFmtId="49" fontId="7" fillId="0" borderId="21" xfId="1946" applyNumberFormat="1" applyFont="1" applyFill="1" applyBorder="1" applyAlignment="1">
      <alignment vertical="center"/>
    </xf>
    <xf numFmtId="49" fontId="7" fillId="0" borderId="36" xfId="1946" applyNumberFormat="1" applyFont="1" applyFill="1" applyBorder="1" applyAlignment="1">
      <alignment vertical="center"/>
    </xf>
    <xf numFmtId="0" fontId="95" fillId="0" borderId="0" xfId="1946" applyFont="1" applyFill="1">
      <alignment vertical="center"/>
    </xf>
    <xf numFmtId="0" fontId="19" fillId="0" borderId="9" xfId="1946" applyFont="1" applyFill="1" applyBorder="1">
      <alignment vertical="center"/>
    </xf>
    <xf numFmtId="0" fontId="19" fillId="0" borderId="20" xfId="1946" applyFont="1" applyFill="1" applyBorder="1">
      <alignment vertical="center"/>
    </xf>
    <xf numFmtId="0" fontId="19" fillId="0" borderId="8" xfId="1946" applyFont="1" applyFill="1" applyBorder="1">
      <alignment vertical="center"/>
    </xf>
    <xf numFmtId="0" fontId="7" fillId="0" borderId="39" xfId="1946" applyNumberFormat="1" applyFont="1" applyFill="1" applyBorder="1" applyAlignment="1">
      <alignment horizontal="center" vertical="center" wrapText="1"/>
    </xf>
    <xf numFmtId="0" fontId="7" fillId="0" borderId="44" xfId="1946" applyNumberFormat="1" applyFont="1" applyFill="1" applyBorder="1" applyAlignment="1">
      <alignment horizontal="center" vertical="center" wrapText="1"/>
    </xf>
    <xf numFmtId="0" fontId="19" fillId="0" borderId="0" xfId="1946" applyFont="1" applyFill="1">
      <alignment vertical="center"/>
    </xf>
    <xf numFmtId="0" fontId="94" fillId="0" borderId="9" xfId="1946" applyFont="1" applyFill="1" applyBorder="1" applyAlignment="1">
      <alignment vertical="center" wrapText="1"/>
    </xf>
    <xf numFmtId="0" fontId="94" fillId="0" borderId="9" xfId="1946" applyFont="1" applyFill="1" applyBorder="1">
      <alignment vertical="center"/>
    </xf>
    <xf numFmtId="0" fontId="94" fillId="0" borderId="6" xfId="1946" applyFont="1" applyFill="1" applyBorder="1">
      <alignment vertical="center"/>
    </xf>
    <xf numFmtId="0" fontId="7" fillId="0" borderId="44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5" xfId="1946" applyFont="1" applyFill="1" applyBorder="1" applyAlignment="1">
      <alignment vertical="center" wrapText="1"/>
    </xf>
    <xf numFmtId="0" fontId="93" fillId="0" borderId="9" xfId="1946" applyFont="1" applyFill="1" applyBorder="1" applyAlignment="1">
      <alignment vertical="center" wrapText="1"/>
    </xf>
    <xf numFmtId="0" fontId="93" fillId="0" borderId="7" xfId="1946" applyFont="1" applyFill="1" applyBorder="1" applyAlignment="1">
      <alignment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5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40" xfId="1946" applyNumberFormat="1" applyFont="1" applyFill="1" applyBorder="1" applyAlignment="1">
      <alignment horizontal="center" vertical="center" wrapText="1"/>
    </xf>
    <xf numFmtId="0" fontId="7" fillId="0" borderId="41" xfId="1946" applyNumberFormat="1" applyFont="1" applyFill="1" applyBorder="1" applyAlignment="1">
      <alignment horizontal="center" vertical="center" wrapText="1"/>
    </xf>
    <xf numFmtId="0" fontId="7" fillId="0" borderId="38" xfId="1946" applyFont="1" applyFill="1" applyBorder="1" applyAlignment="1">
      <alignment horizontal="center" vertical="center" wrapText="1"/>
    </xf>
    <xf numFmtId="0" fontId="7" fillId="0" borderId="29" xfId="1946" applyFont="1" applyFill="1" applyBorder="1" applyAlignment="1">
      <alignment horizontal="center" vertical="center" wrapText="1"/>
    </xf>
    <xf numFmtId="0" fontId="96" fillId="0" borderId="23" xfId="1946" applyNumberFormat="1" applyFont="1" applyFill="1" applyBorder="1" applyAlignment="1">
      <alignment horizontal="center" vertical="center" wrapText="1"/>
    </xf>
    <xf numFmtId="0" fontId="7" fillId="0" borderId="24" xfId="1946" applyNumberFormat="1" applyFont="1" applyFill="1" applyBorder="1" applyAlignment="1">
      <alignment horizontal="center" vertical="center" wrapText="1"/>
    </xf>
    <xf numFmtId="0" fontId="7" fillId="0" borderId="42" xfId="1946" applyFont="1" applyFill="1" applyBorder="1" applyAlignment="1">
      <alignment horizontal="center" vertical="center" wrapText="1"/>
    </xf>
    <xf numFmtId="0" fontId="7" fillId="0" borderId="43" xfId="1946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4" xfId="1946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7" fillId="0" borderId="25" xfId="1946" applyNumberFormat="1" applyFont="1" applyFill="1" applyBorder="1" applyAlignment="1">
      <alignment horizontal="center" vertical="center" wrapText="1"/>
    </xf>
    <xf numFmtId="0" fontId="7" fillId="0" borderId="28" xfId="1946" applyNumberFormat="1" applyFont="1" applyFill="1" applyBorder="1" applyAlignment="1">
      <alignment horizontal="center" vertical="center" wrapText="1"/>
    </xf>
    <xf numFmtId="0" fontId="7" fillId="0" borderId="29" xfId="1946" applyNumberFormat="1" applyFont="1" applyFill="1" applyBorder="1" applyAlignment="1">
      <alignment horizontal="center" vertical="center" wrapText="1"/>
    </xf>
    <xf numFmtId="0" fontId="7" fillId="0" borderId="45" xfId="1946" applyNumberFormat="1" applyFont="1" applyFill="1" applyBorder="1" applyAlignment="1">
      <alignment horizontal="center" vertical="center" wrapText="1"/>
    </xf>
    <xf numFmtId="0" fontId="7" fillId="0" borderId="27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top" wrapText="1"/>
    </xf>
    <xf numFmtId="0" fontId="7" fillId="0" borderId="9" xfId="1946" applyNumberFormat="1" applyFont="1" applyFill="1" applyBorder="1" applyAlignment="1">
      <alignment horizontal="center" vertical="top" wrapText="1"/>
    </xf>
    <xf numFmtId="0" fontId="7" fillId="0" borderId="33" xfId="1946" applyNumberFormat="1" applyFont="1" applyFill="1" applyBorder="1" applyAlignment="1">
      <alignment horizontal="center" vertical="top" wrapText="1"/>
    </xf>
    <xf numFmtId="0" fontId="7" fillId="0" borderId="3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center" wrapText="1"/>
    </xf>
    <xf numFmtId="0" fontId="7" fillId="0" borderId="33" xfId="1946" applyNumberFormat="1" applyFont="1" applyFill="1" applyBorder="1" applyAlignment="1">
      <alignment horizontal="center" vertical="center" wrapText="1"/>
    </xf>
    <xf numFmtId="0" fontId="7" fillId="0" borderId="26" xfId="1946" applyNumberFormat="1" applyFont="1" applyFill="1" applyBorder="1" applyAlignment="1">
      <alignment horizontal="center" vertical="center" wrapText="1"/>
    </xf>
    <xf numFmtId="0" fontId="7" fillId="0" borderId="22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7" fillId="0" borderId="30" xfId="1946" applyNumberFormat="1" applyFont="1" applyFill="1" applyBorder="1" applyAlignment="1">
      <alignment horizontal="center" vertical="top" wrapText="1"/>
    </xf>
    <xf numFmtId="0" fontId="7" fillId="0" borderId="31" xfId="1946" applyNumberFormat="1" applyFont="1" applyFill="1" applyBorder="1" applyAlignment="1">
      <alignment horizontal="center" vertical="top" wrapText="1"/>
    </xf>
    <xf numFmtId="0" fontId="93" fillId="0" borderId="20" xfId="1946" applyFont="1" applyFill="1" applyBorder="1" applyAlignment="1">
      <alignment horizontal="right" vertical="center"/>
    </xf>
    <xf numFmtId="14" fontId="93" fillId="0" borderId="20" xfId="1946" applyNumberFormat="1" applyFont="1" applyFill="1" applyBorder="1">
      <alignment vertical="center"/>
    </xf>
    <xf numFmtId="14" fontId="93" fillId="0" borderId="20" xfId="1946" applyNumberFormat="1" applyFont="1" applyFill="1" applyBorder="1" applyAlignment="1">
      <alignment horizontal="right" vertical="center"/>
    </xf>
    <xf numFmtId="0" fontId="97" fillId="0" borderId="20" xfId="1946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left" vertical="center"/>
    </xf>
    <xf numFmtId="14" fontId="97" fillId="0" borderId="20" xfId="1946" applyNumberFormat="1" applyFont="1" applyFill="1" applyBorder="1">
      <alignment vertical="center"/>
    </xf>
    <xf numFmtId="0" fontId="19" fillId="0" borderId="8" xfId="1946" applyFont="1" applyFill="1" applyBorder="1" applyAlignment="1">
      <alignment horizontal="right" vertical="center"/>
    </xf>
    <xf numFmtId="0" fontId="7" fillId="0" borderId="34" xfId="1946" applyFont="1" applyFill="1" applyBorder="1" applyAlignment="1">
      <alignment horizontal="center" vertical="center" wrapText="1"/>
    </xf>
    <xf numFmtId="0" fontId="7" fillId="0" borderId="45" xfId="1946" applyFont="1" applyFill="1" applyBorder="1" applyAlignment="1">
      <alignment horizontal="center" vertical="center" wrapText="1"/>
    </xf>
    <xf numFmtId="0" fontId="7" fillId="0" borderId="32" xfId="1946" applyFont="1" applyFill="1" applyBorder="1" applyAlignment="1">
      <alignment horizontal="center" vertical="center" wrapText="1"/>
    </xf>
    <xf numFmtId="0" fontId="7" fillId="0" borderId="33" xfId="1946" applyFont="1" applyFill="1" applyBorder="1" applyAlignment="1">
      <alignment horizontal="center" vertical="center" wrapText="1"/>
    </xf>
    <xf numFmtId="0" fontId="7" fillId="0" borderId="30" xfId="1946" applyFont="1" applyFill="1" applyBorder="1" applyAlignment="1">
      <alignment horizontal="center" vertical="top" wrapText="1"/>
    </xf>
    <xf numFmtId="0" fontId="7" fillId="0" borderId="31" xfId="1946" applyFont="1" applyFill="1" applyBorder="1" applyAlignment="1">
      <alignment horizontal="center" vertical="top" wrapText="1"/>
    </xf>
    <xf numFmtId="0" fontId="7" fillId="0" borderId="32" xfId="1946" applyFont="1" applyFill="1" applyBorder="1" applyAlignment="1">
      <alignment horizontal="center" vertical="top" wrapText="1"/>
    </xf>
    <xf numFmtId="0" fontId="7" fillId="0" borderId="9" xfId="1946" applyFont="1" applyFill="1" applyBorder="1" applyAlignment="1">
      <alignment horizontal="center" vertical="top" wrapText="1"/>
    </xf>
    <xf numFmtId="0" fontId="7" fillId="0" borderId="33" xfId="1946" applyFont="1" applyFill="1" applyBorder="1" applyAlignment="1">
      <alignment horizontal="center" vertical="top" wrapText="1"/>
    </xf>
    <xf numFmtId="0" fontId="7" fillId="0" borderId="25" xfId="1946" applyFont="1" applyFill="1" applyBorder="1" applyAlignment="1">
      <alignment horizontal="center" vertical="center" wrapText="1"/>
    </xf>
    <xf numFmtId="0" fontId="7" fillId="0" borderId="28" xfId="1946" applyFont="1" applyFill="1" applyBorder="1" applyAlignment="1">
      <alignment horizontal="center" vertical="center" wrapText="1"/>
    </xf>
    <xf numFmtId="0" fontId="7" fillId="0" borderId="35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7" xfId="1946" applyFont="1" applyFill="1" applyBorder="1" applyAlignment="1">
      <alignment horizontal="center" vertical="center" wrapText="1"/>
    </xf>
    <xf numFmtId="0" fontId="7" fillId="0" borderId="40" xfId="1946" applyFont="1" applyFill="1" applyBorder="1" applyAlignment="1">
      <alignment horizontal="center" vertical="center" wrapText="1"/>
    </xf>
    <xf numFmtId="0" fontId="96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0" fontId="7" fillId="0" borderId="26" xfId="1946" applyFont="1" applyFill="1" applyBorder="1" applyAlignment="1">
      <alignment horizontal="center" vertical="center" wrapText="1"/>
    </xf>
    <xf numFmtId="0" fontId="7" fillId="0" borderId="41" xfId="1946" applyFont="1" applyFill="1" applyBorder="1" applyAlignment="1">
      <alignment horizontal="center" vertical="center" wrapText="1"/>
    </xf>
    <xf numFmtId="0" fontId="7" fillId="0" borderId="39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2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49" fontId="7" fillId="0" borderId="36" xfId="1946" applyNumberFormat="1" applyFont="1" applyBorder="1">
      <alignment vertical="center"/>
    </xf>
    <xf numFmtId="49" fontId="7" fillId="0" borderId="21" xfId="1946" applyNumberFormat="1" applyFont="1" applyBorder="1">
      <alignment vertical="center"/>
    </xf>
    <xf numFmtId="49" fontId="7" fillId="0" borderId="22" xfId="1946" applyNumberFormat="1" applyFont="1" applyBorder="1">
      <alignment vertical="center"/>
    </xf>
    <xf numFmtId="38" fontId="7" fillId="0" borderId="21" xfId="1953" applyFont="1" applyBorder="1" applyAlignment="1">
      <alignment horizontal="right" vertical="center"/>
    </xf>
    <xf numFmtId="49" fontId="7" fillId="0" borderId="22" xfId="1946" applyNumberFormat="1" applyFont="1" applyBorder="1" applyAlignment="1">
      <alignment horizontal="right" vertical="center"/>
    </xf>
    <xf numFmtId="49" fontId="7" fillId="0" borderId="23" xfId="1946" applyNumberFormat="1" applyFont="1" applyBorder="1" applyAlignment="1">
      <alignment horizontal="right" vertical="center"/>
    </xf>
    <xf numFmtId="4" fontId="7" fillId="0" borderId="21" xfId="1946" applyNumberFormat="1" applyFont="1" applyBorder="1" applyAlignment="1">
      <alignment horizontal="right" vertical="center"/>
    </xf>
    <xf numFmtId="3" fontId="7" fillId="0" borderId="21" xfId="1946" applyNumberFormat="1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  <xf numFmtId="3" fontId="7" fillId="0" borderId="23" xfId="1946" applyNumberFormat="1" applyFont="1" applyBorder="1" applyAlignment="1">
      <alignment horizontal="right" vertical="center"/>
    </xf>
    <xf numFmtId="189" fontId="7" fillId="0" borderId="37" xfId="1946" applyNumberFormat="1" applyFont="1" applyBorder="1" applyAlignment="1">
      <alignment horizontal="right" vertical="center"/>
    </xf>
    <xf numFmtId="0" fontId="95" fillId="0" borderId="0" xfId="1946" applyFont="1">
      <alignment vertical="center"/>
    </xf>
    <xf numFmtId="0" fontId="19" fillId="0" borderId="0" xfId="1946" applyFont="1">
      <alignment vertical="center"/>
    </xf>
  </cellXfs>
  <cellStyles count="1954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" xfId="1953" builtinId="6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733425</xdr:colOff>
      <xdr:row>0</xdr:row>
      <xdr:rowOff>28575</xdr:rowOff>
    </xdr:from>
    <xdr:ext cx="9830920" cy="67235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845CDA-DD77-4264-9402-267472E40A43}"/>
            </a:ext>
          </a:extLst>
        </xdr:cNvPr>
        <xdr:cNvSpPr/>
      </xdr:nvSpPr>
      <xdr:spPr>
        <a:xfrm>
          <a:off x="19011900" y="28575"/>
          <a:ext cx="9830920" cy="6723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t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month.The final position for Commodity futures (physically-delivered futures) means "Basic Delivery Volume".</a:t>
          </a:r>
          <a:endParaRPr kumimoji="1" lang="en-US" altLang="ja-JP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金限日先物、白金限日先物の希望受渡高は、「早受渡・申告受渡高」に出力する。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28576</xdr:colOff>
      <xdr:row>0</xdr:row>
      <xdr:rowOff>28575</xdr:rowOff>
    </xdr:from>
    <xdr:ext cx="9486900" cy="3333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D4655DA-B787-4648-A30F-2B48CF489FC2}"/>
            </a:ext>
          </a:extLst>
        </xdr:cNvPr>
        <xdr:cNvSpPr/>
      </xdr:nvSpPr>
      <xdr:spPr>
        <a:xfrm>
          <a:off x="20231101" y="28575"/>
          <a:ext cx="9486900" cy="3333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 The final position for Commodity futures (physically-delivered futures) means "Basic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vertOverflow="clip" horzOverflow="clip" rtlCol="0" anchor="t"/>
      <a:lstStyle>
        <a:defPPr algn="l">
          <a:defRPr kumimoji="1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95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6" customWidth="1"/>
    <col min="2" max="2" width="25.75" style="16" bestFit="1" customWidth="1"/>
    <col min="3" max="3" width="34.5" style="16" bestFit="1" customWidth="1"/>
    <col min="4" max="6" width="10.25" style="16" bestFit="1" customWidth="1"/>
    <col min="7" max="7" width="5.25" style="16" customWidth="1"/>
    <col min="8" max="8" width="15.25" style="16" customWidth="1"/>
    <col min="9" max="9" width="5.25" style="16" customWidth="1"/>
    <col min="10" max="10" width="15.25" style="16" customWidth="1"/>
    <col min="11" max="11" width="5.25" style="16" customWidth="1"/>
    <col min="12" max="12" width="15.25" style="16" customWidth="1"/>
    <col min="13" max="13" width="5.25" style="16" customWidth="1"/>
    <col min="14" max="14" width="15.25" style="16" customWidth="1"/>
    <col min="15" max="15" width="5.25" style="16" customWidth="1"/>
    <col min="16" max="16" width="15.25" style="16" customWidth="1"/>
    <col min="17" max="17" width="5.25" style="16" customWidth="1"/>
    <col min="18" max="19" width="15.25" style="16" customWidth="1"/>
    <col min="20" max="22" width="15" style="16" customWidth="1"/>
    <col min="23" max="25" width="21.25" style="16" customWidth="1"/>
    <col min="26" max="26" width="2.375" style="16" bestFit="1" customWidth="1"/>
    <col min="27" max="27" width="15.25" style="16" customWidth="1"/>
    <col min="28" max="28" width="17.625" style="16" customWidth="1"/>
    <col min="29" max="29" width="7" style="16" bestFit="1" customWidth="1"/>
    <col min="30" max="16384" width="9" style="10"/>
  </cols>
  <sheetData>
    <row r="1" spans="1:29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11"/>
      <c r="L1" s="11"/>
      <c r="M1" s="11"/>
      <c r="N1" s="11"/>
      <c r="O1" s="11"/>
      <c r="P1" s="11"/>
      <c r="Q1" s="11"/>
      <c r="R1" s="11"/>
      <c r="S1" s="11"/>
      <c r="T1" s="11"/>
      <c r="U1" s="17"/>
      <c r="V1" s="17"/>
      <c r="W1" s="17"/>
      <c r="X1" s="18"/>
      <c r="Y1" s="18"/>
      <c r="Z1" s="18"/>
      <c r="AA1" s="18"/>
      <c r="AB1" s="18"/>
      <c r="AC1" s="19"/>
    </row>
    <row r="2" spans="1:29" ht="30" customHeight="1">
      <c r="A2" s="31" t="s">
        <v>27</v>
      </c>
      <c r="B2" s="32"/>
      <c r="C2" s="32"/>
      <c r="D2" s="25"/>
      <c r="E2" s="25"/>
      <c r="F2" s="25"/>
      <c r="G2" s="25"/>
      <c r="H2" s="25"/>
      <c r="I2" s="25"/>
      <c r="J2" s="25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4.1" customHeight="1">
      <c r="A3" s="54" t="s">
        <v>0</v>
      </c>
      <c r="B3" s="49" t="s">
        <v>7</v>
      </c>
      <c r="C3" s="49" t="s">
        <v>25</v>
      </c>
      <c r="D3" s="40" t="s">
        <v>1</v>
      </c>
      <c r="E3" s="56" t="s">
        <v>5</v>
      </c>
      <c r="F3" s="57"/>
      <c r="G3" s="61" t="s">
        <v>24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44" t="s">
        <v>39</v>
      </c>
      <c r="T3" s="51" t="s">
        <v>23</v>
      </c>
      <c r="U3" s="52"/>
      <c r="V3" s="53"/>
      <c r="W3" s="51" t="s">
        <v>22</v>
      </c>
      <c r="X3" s="52"/>
      <c r="Y3" s="53"/>
      <c r="Z3" s="46" t="s">
        <v>21</v>
      </c>
      <c r="AA3" s="47"/>
      <c r="AB3" s="49" t="s">
        <v>28</v>
      </c>
      <c r="AC3" s="33" t="s">
        <v>20</v>
      </c>
    </row>
    <row r="4" spans="1:29" ht="9" customHeight="1">
      <c r="A4" s="55"/>
      <c r="B4" s="50"/>
      <c r="C4" s="50"/>
      <c r="D4" s="43"/>
      <c r="E4" s="46"/>
      <c r="F4" s="47"/>
      <c r="G4" s="35" t="s">
        <v>6</v>
      </c>
      <c r="H4" s="37" t="s">
        <v>34</v>
      </c>
      <c r="I4" s="35" t="s">
        <v>6</v>
      </c>
      <c r="J4" s="41" t="s">
        <v>35</v>
      </c>
      <c r="K4" s="39" t="s">
        <v>2</v>
      </c>
      <c r="L4" s="39"/>
      <c r="M4" s="35" t="s">
        <v>6</v>
      </c>
      <c r="N4" s="41" t="s">
        <v>37</v>
      </c>
      <c r="O4" s="39" t="s">
        <v>2</v>
      </c>
      <c r="P4" s="39"/>
      <c r="Q4" s="35" t="s">
        <v>6</v>
      </c>
      <c r="R4" s="37" t="s">
        <v>38</v>
      </c>
      <c r="S4" s="45"/>
      <c r="T4" s="40" t="s">
        <v>3</v>
      </c>
      <c r="U4" s="43" t="s">
        <v>19</v>
      </c>
      <c r="V4" s="45" t="s">
        <v>30</v>
      </c>
      <c r="W4" s="40" t="s">
        <v>3</v>
      </c>
      <c r="X4" s="43" t="s">
        <v>18</v>
      </c>
      <c r="Y4" s="45" t="s">
        <v>32</v>
      </c>
      <c r="Z4" s="46"/>
      <c r="AA4" s="47"/>
      <c r="AB4" s="50"/>
      <c r="AC4" s="34"/>
    </row>
    <row r="5" spans="1:29" ht="27" customHeight="1">
      <c r="A5" s="55"/>
      <c r="B5" s="50"/>
      <c r="C5" s="50"/>
      <c r="D5" s="43"/>
      <c r="E5" s="58"/>
      <c r="F5" s="48"/>
      <c r="G5" s="36"/>
      <c r="H5" s="38"/>
      <c r="I5" s="36"/>
      <c r="J5" s="42"/>
      <c r="K5" s="14" t="s">
        <v>17</v>
      </c>
      <c r="L5" s="20" t="s">
        <v>36</v>
      </c>
      <c r="M5" s="36"/>
      <c r="N5" s="42"/>
      <c r="O5" s="14" t="s">
        <v>17</v>
      </c>
      <c r="P5" s="20" t="s">
        <v>36</v>
      </c>
      <c r="Q5" s="36"/>
      <c r="R5" s="38"/>
      <c r="S5" s="45"/>
      <c r="T5" s="40"/>
      <c r="U5" s="43"/>
      <c r="V5" s="45"/>
      <c r="W5" s="40"/>
      <c r="X5" s="43"/>
      <c r="Y5" s="45"/>
      <c r="Z5" s="46"/>
      <c r="AA5" s="48"/>
      <c r="AB5" s="40"/>
      <c r="AC5" s="34"/>
    </row>
    <row r="6" spans="1:29" ht="36" customHeight="1">
      <c r="A6" s="26" t="s">
        <v>16</v>
      </c>
      <c r="B6" s="40"/>
      <c r="C6" s="40"/>
      <c r="D6" s="23" t="s">
        <v>4</v>
      </c>
      <c r="E6" s="59" t="s">
        <v>15</v>
      </c>
      <c r="F6" s="60"/>
      <c r="G6" s="14" t="s">
        <v>14</v>
      </c>
      <c r="H6" s="21" t="s">
        <v>40</v>
      </c>
      <c r="I6" s="14" t="s">
        <v>14</v>
      </c>
      <c r="J6" s="20" t="s">
        <v>41</v>
      </c>
      <c r="K6" s="14" t="s">
        <v>14</v>
      </c>
      <c r="L6" s="20" t="s">
        <v>42</v>
      </c>
      <c r="M6" s="14" t="s">
        <v>14</v>
      </c>
      <c r="N6" s="20" t="s">
        <v>43</v>
      </c>
      <c r="O6" s="14" t="s">
        <v>14</v>
      </c>
      <c r="P6" s="20" t="s">
        <v>42</v>
      </c>
      <c r="Q6" s="14" t="s">
        <v>14</v>
      </c>
      <c r="R6" s="20" t="s">
        <v>44</v>
      </c>
      <c r="S6" s="24" t="s">
        <v>45</v>
      </c>
      <c r="T6" s="23" t="s">
        <v>13</v>
      </c>
      <c r="U6" s="23" t="s">
        <v>12</v>
      </c>
      <c r="V6" s="24" t="s">
        <v>31</v>
      </c>
      <c r="W6" s="23" t="s">
        <v>11</v>
      </c>
      <c r="X6" s="23" t="s">
        <v>10</v>
      </c>
      <c r="Y6" s="24" t="s">
        <v>33</v>
      </c>
      <c r="Z6" s="59" t="s">
        <v>9</v>
      </c>
      <c r="AA6" s="60"/>
      <c r="AB6" s="15" t="s">
        <v>29</v>
      </c>
      <c r="AC6" s="22" t="s">
        <v>8</v>
      </c>
    </row>
    <row r="7" spans="1:29">
      <c r="A7" s="9" t="s">
        <v>46</v>
      </c>
      <c r="B7" s="8" t="s">
        <v>47</v>
      </c>
      <c r="C7" s="8" t="s">
        <v>48</v>
      </c>
      <c r="D7" s="8" t="s">
        <v>49</v>
      </c>
      <c r="E7" s="7" t="s">
        <v>50</v>
      </c>
      <c r="F7" s="7" t="s">
        <v>51</v>
      </c>
      <c r="G7" s="3" t="s">
        <v>52</v>
      </c>
      <c r="H7" s="6" t="s">
        <v>53</v>
      </c>
      <c r="I7" s="3" t="s">
        <v>54</v>
      </c>
      <c r="J7" s="6" t="s">
        <v>55</v>
      </c>
      <c r="K7" s="3"/>
      <c r="L7" s="6"/>
      <c r="M7" s="3" t="s">
        <v>56</v>
      </c>
      <c r="N7" s="6" t="s">
        <v>57</v>
      </c>
      <c r="O7" s="3"/>
      <c r="P7" s="6"/>
      <c r="Q7" s="3" t="s">
        <v>58</v>
      </c>
      <c r="R7" s="6" t="s">
        <v>59</v>
      </c>
      <c r="S7" s="5">
        <f>7735</f>
        <v>7735</v>
      </c>
      <c r="T7" s="4">
        <f>1145</f>
        <v>1145</v>
      </c>
      <c r="U7" s="4"/>
      <c r="V7" s="4">
        <v>40</v>
      </c>
      <c r="W7" s="4">
        <f>8827478000</f>
        <v>8827478000</v>
      </c>
      <c r="X7" s="4"/>
      <c r="Y7" s="4">
        <v>305185000</v>
      </c>
      <c r="Z7" s="3"/>
      <c r="AA7" s="2">
        <f>1016</f>
        <v>1016</v>
      </c>
      <c r="AB7" s="2" t="str">
        <f t="shared" ref="AB7:AB38" si="0">"－"</f>
        <v>－</v>
      </c>
      <c r="AC7" s="1">
        <f>20</f>
        <v>20</v>
      </c>
    </row>
    <row r="8" spans="1:29">
      <c r="A8" s="9" t="s">
        <v>46</v>
      </c>
      <c r="B8" s="8" t="s">
        <v>47</v>
      </c>
      <c r="C8" s="8" t="s">
        <v>48</v>
      </c>
      <c r="D8" s="8" t="s">
        <v>60</v>
      </c>
      <c r="E8" s="7" t="s">
        <v>61</v>
      </c>
      <c r="F8" s="7" t="s">
        <v>62</v>
      </c>
      <c r="G8" s="3" t="s">
        <v>52</v>
      </c>
      <c r="H8" s="6" t="s">
        <v>63</v>
      </c>
      <c r="I8" s="3" t="s">
        <v>64</v>
      </c>
      <c r="J8" s="6" t="s">
        <v>65</v>
      </c>
      <c r="K8" s="3"/>
      <c r="L8" s="6"/>
      <c r="M8" s="3" t="s">
        <v>56</v>
      </c>
      <c r="N8" s="6" t="s">
        <v>66</v>
      </c>
      <c r="O8" s="3"/>
      <c r="P8" s="6"/>
      <c r="Q8" s="3" t="s">
        <v>58</v>
      </c>
      <c r="R8" s="6" t="s">
        <v>67</v>
      </c>
      <c r="S8" s="5">
        <f>7734.85</f>
        <v>7734.85</v>
      </c>
      <c r="T8" s="4">
        <f>2384</f>
        <v>2384</v>
      </c>
      <c r="U8" s="4"/>
      <c r="V8" s="4">
        <v>164</v>
      </c>
      <c r="W8" s="4">
        <f>18384516000</f>
        <v>18384516000</v>
      </c>
      <c r="X8" s="4"/>
      <c r="Y8" s="4">
        <v>1258233000</v>
      </c>
      <c r="Z8" s="3"/>
      <c r="AA8" s="2">
        <f>3106</f>
        <v>3106</v>
      </c>
      <c r="AB8" s="2" t="str">
        <f t="shared" si="0"/>
        <v>－</v>
      </c>
      <c r="AC8" s="1">
        <f>20</f>
        <v>20</v>
      </c>
    </row>
    <row r="9" spans="1:29">
      <c r="A9" s="9" t="s">
        <v>46</v>
      </c>
      <c r="B9" s="8" t="s">
        <v>47</v>
      </c>
      <c r="C9" s="8" t="s">
        <v>48</v>
      </c>
      <c r="D9" s="8" t="s">
        <v>68</v>
      </c>
      <c r="E9" s="7" t="s">
        <v>69</v>
      </c>
      <c r="F9" s="7" t="s">
        <v>70</v>
      </c>
      <c r="G9" s="3" t="s">
        <v>52</v>
      </c>
      <c r="H9" s="6" t="s">
        <v>71</v>
      </c>
      <c r="I9" s="3" t="s">
        <v>54</v>
      </c>
      <c r="J9" s="6" t="s">
        <v>72</v>
      </c>
      <c r="K9" s="3"/>
      <c r="L9" s="6"/>
      <c r="M9" s="3" t="s">
        <v>56</v>
      </c>
      <c r="N9" s="6" t="s">
        <v>57</v>
      </c>
      <c r="O9" s="3"/>
      <c r="P9" s="6"/>
      <c r="Q9" s="3" t="s">
        <v>58</v>
      </c>
      <c r="R9" s="6" t="s">
        <v>73</v>
      </c>
      <c r="S9" s="5">
        <f>7730.8</f>
        <v>7730.8</v>
      </c>
      <c r="T9" s="4">
        <f>3543</f>
        <v>3543</v>
      </c>
      <c r="U9" s="4"/>
      <c r="V9" s="4">
        <v>272</v>
      </c>
      <c r="W9" s="4">
        <f>27420001000</f>
        <v>27420001000</v>
      </c>
      <c r="X9" s="4"/>
      <c r="Y9" s="4">
        <v>2083995000</v>
      </c>
      <c r="Z9" s="3"/>
      <c r="AA9" s="2">
        <f>4027</f>
        <v>4027</v>
      </c>
      <c r="AB9" s="2" t="str">
        <f t="shared" si="0"/>
        <v>－</v>
      </c>
      <c r="AC9" s="1">
        <f>20</f>
        <v>20</v>
      </c>
    </row>
    <row r="10" spans="1:29">
      <c r="A10" s="9" t="s">
        <v>46</v>
      </c>
      <c r="B10" s="8" t="s">
        <v>47</v>
      </c>
      <c r="C10" s="8" t="s">
        <v>48</v>
      </c>
      <c r="D10" s="8" t="s">
        <v>74</v>
      </c>
      <c r="E10" s="7" t="s">
        <v>75</v>
      </c>
      <c r="F10" s="7" t="s">
        <v>76</v>
      </c>
      <c r="G10" s="3" t="s">
        <v>52</v>
      </c>
      <c r="H10" s="6" t="s">
        <v>77</v>
      </c>
      <c r="I10" s="3" t="s">
        <v>54</v>
      </c>
      <c r="J10" s="6" t="s">
        <v>78</v>
      </c>
      <c r="K10" s="3"/>
      <c r="L10" s="6"/>
      <c r="M10" s="3" t="s">
        <v>56</v>
      </c>
      <c r="N10" s="6" t="s">
        <v>57</v>
      </c>
      <c r="O10" s="3"/>
      <c r="P10" s="6"/>
      <c r="Q10" s="3" t="s">
        <v>58</v>
      </c>
      <c r="R10" s="6" t="s">
        <v>79</v>
      </c>
      <c r="S10" s="5">
        <f>7727.4</f>
        <v>7727.4</v>
      </c>
      <c r="T10" s="4">
        <f>11284</f>
        <v>11284</v>
      </c>
      <c r="U10" s="4"/>
      <c r="V10" s="4">
        <v>1547</v>
      </c>
      <c r="W10" s="4">
        <f>87346967000</f>
        <v>87346967000</v>
      </c>
      <c r="X10" s="4"/>
      <c r="Y10" s="4">
        <v>11981154000</v>
      </c>
      <c r="Z10" s="3"/>
      <c r="AA10" s="2">
        <f>5031</f>
        <v>5031</v>
      </c>
      <c r="AB10" s="2" t="str">
        <f t="shared" si="0"/>
        <v>－</v>
      </c>
      <c r="AC10" s="1">
        <f>20</f>
        <v>20</v>
      </c>
    </row>
    <row r="11" spans="1:29">
      <c r="A11" s="9" t="s">
        <v>46</v>
      </c>
      <c r="B11" s="8" t="s">
        <v>47</v>
      </c>
      <c r="C11" s="8" t="s">
        <v>48</v>
      </c>
      <c r="D11" s="8" t="s">
        <v>80</v>
      </c>
      <c r="E11" s="7" t="s">
        <v>81</v>
      </c>
      <c r="F11" s="7" t="s">
        <v>82</v>
      </c>
      <c r="G11" s="3" t="s">
        <v>52</v>
      </c>
      <c r="H11" s="6" t="s">
        <v>83</v>
      </c>
      <c r="I11" s="3" t="s">
        <v>54</v>
      </c>
      <c r="J11" s="6" t="s">
        <v>84</v>
      </c>
      <c r="K11" s="3" t="s">
        <v>85</v>
      </c>
      <c r="L11" s="6" t="s">
        <v>86</v>
      </c>
      <c r="M11" s="3" t="s">
        <v>56</v>
      </c>
      <c r="N11" s="6" t="s">
        <v>87</v>
      </c>
      <c r="O11" s="3" t="s">
        <v>88</v>
      </c>
      <c r="P11" s="6" t="s">
        <v>89</v>
      </c>
      <c r="Q11" s="3" t="s">
        <v>58</v>
      </c>
      <c r="R11" s="6" t="s">
        <v>90</v>
      </c>
      <c r="S11" s="5">
        <f>7722.55</f>
        <v>7722.55</v>
      </c>
      <c r="T11" s="4">
        <f>59388</f>
        <v>59388</v>
      </c>
      <c r="U11" s="4">
        <v>21</v>
      </c>
      <c r="V11" s="4">
        <v>9979</v>
      </c>
      <c r="W11" s="4">
        <f>459126821000</f>
        <v>459126821000</v>
      </c>
      <c r="X11" s="4">
        <v>160622000</v>
      </c>
      <c r="Y11" s="4">
        <v>77447626000</v>
      </c>
      <c r="Z11" s="3"/>
      <c r="AA11" s="2">
        <f>5603</f>
        <v>5603</v>
      </c>
      <c r="AB11" s="2" t="str">
        <f t="shared" si="0"/>
        <v>－</v>
      </c>
      <c r="AC11" s="1">
        <f>20</f>
        <v>20</v>
      </c>
    </row>
    <row r="12" spans="1:29">
      <c r="A12" s="9" t="s">
        <v>46</v>
      </c>
      <c r="B12" s="8" t="s">
        <v>47</v>
      </c>
      <c r="C12" s="8" t="s">
        <v>48</v>
      </c>
      <c r="D12" s="8" t="s">
        <v>91</v>
      </c>
      <c r="E12" s="7" t="s">
        <v>92</v>
      </c>
      <c r="F12" s="7" t="s">
        <v>93</v>
      </c>
      <c r="G12" s="3" t="s">
        <v>52</v>
      </c>
      <c r="H12" s="6" t="s">
        <v>94</v>
      </c>
      <c r="I12" s="3" t="s">
        <v>54</v>
      </c>
      <c r="J12" s="6" t="s">
        <v>95</v>
      </c>
      <c r="K12" s="3" t="s">
        <v>85</v>
      </c>
      <c r="L12" s="6" t="s">
        <v>96</v>
      </c>
      <c r="M12" s="3" t="s">
        <v>56</v>
      </c>
      <c r="N12" s="6" t="s">
        <v>97</v>
      </c>
      <c r="O12" s="3" t="s">
        <v>85</v>
      </c>
      <c r="P12" s="6" t="s">
        <v>98</v>
      </c>
      <c r="Q12" s="3" t="s">
        <v>58</v>
      </c>
      <c r="R12" s="6" t="s">
        <v>99</v>
      </c>
      <c r="S12" s="5">
        <f>7716.9</f>
        <v>7716.9</v>
      </c>
      <c r="T12" s="4">
        <f>525059</f>
        <v>525059</v>
      </c>
      <c r="U12" s="4">
        <v>47</v>
      </c>
      <c r="V12" s="4">
        <v>8942</v>
      </c>
      <c r="W12" s="4">
        <f>4047658769000</f>
        <v>4047658769000</v>
      </c>
      <c r="X12" s="4">
        <v>363559000</v>
      </c>
      <c r="Y12" s="4">
        <v>69351023000</v>
      </c>
      <c r="Z12" s="3"/>
      <c r="AA12" s="2">
        <f>22249</f>
        <v>22249</v>
      </c>
      <c r="AB12" s="2" t="str">
        <f t="shared" si="0"/>
        <v>－</v>
      </c>
      <c r="AC12" s="1">
        <f>20</f>
        <v>20</v>
      </c>
    </row>
    <row r="13" spans="1:29">
      <c r="A13" s="9" t="s">
        <v>46</v>
      </c>
      <c r="B13" s="8" t="s">
        <v>100</v>
      </c>
      <c r="C13" s="8" t="s">
        <v>101</v>
      </c>
      <c r="D13" s="8" t="s">
        <v>49</v>
      </c>
      <c r="E13" s="7" t="s">
        <v>50</v>
      </c>
      <c r="F13" s="7" t="s">
        <v>102</v>
      </c>
      <c r="G13" s="3" t="s">
        <v>52</v>
      </c>
      <c r="H13" s="6" t="s">
        <v>103</v>
      </c>
      <c r="I13" s="3" t="s">
        <v>54</v>
      </c>
      <c r="J13" s="6" t="s">
        <v>104</v>
      </c>
      <c r="K13" s="3"/>
      <c r="L13" s="6"/>
      <c r="M13" s="3" t="s">
        <v>56</v>
      </c>
      <c r="N13" s="6" t="s">
        <v>105</v>
      </c>
      <c r="O13" s="3"/>
      <c r="P13" s="6"/>
      <c r="Q13" s="3" t="s">
        <v>58</v>
      </c>
      <c r="R13" s="6" t="s">
        <v>106</v>
      </c>
      <c r="S13" s="5">
        <f>7735</f>
        <v>7735</v>
      </c>
      <c r="T13" s="4">
        <f>274</f>
        <v>274</v>
      </c>
      <c r="U13" s="4"/>
      <c r="V13" s="4"/>
      <c r="W13" s="4">
        <f>211322100</f>
        <v>211322100</v>
      </c>
      <c r="X13" s="4"/>
      <c r="Y13" s="4"/>
      <c r="Z13" s="3"/>
      <c r="AA13" s="2">
        <f>388</f>
        <v>388</v>
      </c>
      <c r="AB13" s="2" t="str">
        <f t="shared" si="0"/>
        <v>－</v>
      </c>
      <c r="AC13" s="1">
        <f>19</f>
        <v>19</v>
      </c>
    </row>
    <row r="14" spans="1:29">
      <c r="A14" s="9" t="s">
        <v>46</v>
      </c>
      <c r="B14" s="8" t="s">
        <v>100</v>
      </c>
      <c r="C14" s="8" t="s">
        <v>101</v>
      </c>
      <c r="D14" s="8" t="s">
        <v>60</v>
      </c>
      <c r="E14" s="7" t="s">
        <v>61</v>
      </c>
      <c r="F14" s="7" t="s">
        <v>107</v>
      </c>
      <c r="G14" s="3" t="s">
        <v>52</v>
      </c>
      <c r="H14" s="6" t="s">
        <v>108</v>
      </c>
      <c r="I14" s="3" t="s">
        <v>64</v>
      </c>
      <c r="J14" s="6" t="s">
        <v>109</v>
      </c>
      <c r="K14" s="3"/>
      <c r="L14" s="6"/>
      <c r="M14" s="3" t="s">
        <v>56</v>
      </c>
      <c r="N14" s="6" t="s">
        <v>110</v>
      </c>
      <c r="O14" s="3"/>
      <c r="P14" s="6"/>
      <c r="Q14" s="3" t="s">
        <v>58</v>
      </c>
      <c r="R14" s="6" t="s">
        <v>111</v>
      </c>
      <c r="S14" s="5">
        <f>7734.85</f>
        <v>7734.85</v>
      </c>
      <c r="T14" s="4">
        <f>488</f>
        <v>488</v>
      </c>
      <c r="U14" s="4"/>
      <c r="V14" s="4"/>
      <c r="W14" s="4">
        <f>376138400</f>
        <v>376138400</v>
      </c>
      <c r="X14" s="4"/>
      <c r="Y14" s="4"/>
      <c r="Z14" s="3"/>
      <c r="AA14" s="2">
        <f>923</f>
        <v>923</v>
      </c>
      <c r="AB14" s="2" t="str">
        <f t="shared" si="0"/>
        <v>－</v>
      </c>
      <c r="AC14" s="1">
        <f>20</f>
        <v>20</v>
      </c>
    </row>
    <row r="15" spans="1:29">
      <c r="A15" s="9" t="s">
        <v>46</v>
      </c>
      <c r="B15" s="8" t="s">
        <v>100</v>
      </c>
      <c r="C15" s="8" t="s">
        <v>101</v>
      </c>
      <c r="D15" s="8" t="s">
        <v>68</v>
      </c>
      <c r="E15" s="7" t="s">
        <v>69</v>
      </c>
      <c r="F15" s="7" t="s">
        <v>112</v>
      </c>
      <c r="G15" s="3" t="s">
        <v>52</v>
      </c>
      <c r="H15" s="6" t="s">
        <v>113</v>
      </c>
      <c r="I15" s="3" t="s">
        <v>54</v>
      </c>
      <c r="J15" s="6" t="s">
        <v>114</v>
      </c>
      <c r="K15" s="3"/>
      <c r="L15" s="6"/>
      <c r="M15" s="3" t="s">
        <v>56</v>
      </c>
      <c r="N15" s="6" t="s">
        <v>115</v>
      </c>
      <c r="O15" s="3"/>
      <c r="P15" s="6"/>
      <c r="Q15" s="3" t="s">
        <v>58</v>
      </c>
      <c r="R15" s="6" t="s">
        <v>116</v>
      </c>
      <c r="S15" s="5">
        <f>7730.8</f>
        <v>7730.8</v>
      </c>
      <c r="T15" s="4">
        <f>398</f>
        <v>398</v>
      </c>
      <c r="U15" s="4"/>
      <c r="V15" s="4"/>
      <c r="W15" s="4">
        <f>307301450</f>
        <v>307301450</v>
      </c>
      <c r="X15" s="4"/>
      <c r="Y15" s="4"/>
      <c r="Z15" s="3"/>
      <c r="AA15" s="2">
        <f>1543</f>
        <v>1543</v>
      </c>
      <c r="AB15" s="2" t="str">
        <f t="shared" si="0"/>
        <v>－</v>
      </c>
      <c r="AC15" s="1">
        <f>19</f>
        <v>19</v>
      </c>
    </row>
    <row r="16" spans="1:29">
      <c r="A16" s="9" t="s">
        <v>46</v>
      </c>
      <c r="B16" s="8" t="s">
        <v>100</v>
      </c>
      <c r="C16" s="8" t="s">
        <v>101</v>
      </c>
      <c r="D16" s="8" t="s">
        <v>74</v>
      </c>
      <c r="E16" s="7" t="s">
        <v>75</v>
      </c>
      <c r="F16" s="7" t="s">
        <v>117</v>
      </c>
      <c r="G16" s="3" t="s">
        <v>52</v>
      </c>
      <c r="H16" s="6" t="s">
        <v>118</v>
      </c>
      <c r="I16" s="3" t="s">
        <v>54</v>
      </c>
      <c r="J16" s="6" t="s">
        <v>114</v>
      </c>
      <c r="K16" s="3"/>
      <c r="L16" s="6"/>
      <c r="M16" s="3" t="s">
        <v>56</v>
      </c>
      <c r="N16" s="6" t="s">
        <v>119</v>
      </c>
      <c r="O16" s="3"/>
      <c r="P16" s="6"/>
      <c r="Q16" s="3" t="s">
        <v>58</v>
      </c>
      <c r="R16" s="6" t="s">
        <v>120</v>
      </c>
      <c r="S16" s="5">
        <f>7727.4</f>
        <v>7727.4</v>
      </c>
      <c r="T16" s="4">
        <f>904</f>
        <v>904</v>
      </c>
      <c r="U16" s="4"/>
      <c r="V16" s="4"/>
      <c r="W16" s="4">
        <f>699760700</f>
        <v>699760700</v>
      </c>
      <c r="X16" s="4"/>
      <c r="Y16" s="4"/>
      <c r="Z16" s="3"/>
      <c r="AA16" s="2">
        <f>1732</f>
        <v>1732</v>
      </c>
      <c r="AB16" s="2" t="str">
        <f t="shared" si="0"/>
        <v>－</v>
      </c>
      <c r="AC16" s="1">
        <f>20</f>
        <v>20</v>
      </c>
    </row>
    <row r="17" spans="1:29">
      <c r="A17" s="9" t="s">
        <v>46</v>
      </c>
      <c r="B17" s="8" t="s">
        <v>100</v>
      </c>
      <c r="C17" s="8" t="s">
        <v>101</v>
      </c>
      <c r="D17" s="8" t="s">
        <v>80</v>
      </c>
      <c r="E17" s="7" t="s">
        <v>81</v>
      </c>
      <c r="F17" s="7" t="s">
        <v>121</v>
      </c>
      <c r="G17" s="3" t="s">
        <v>52</v>
      </c>
      <c r="H17" s="6" t="s">
        <v>122</v>
      </c>
      <c r="I17" s="3" t="s">
        <v>54</v>
      </c>
      <c r="J17" s="6" t="s">
        <v>123</v>
      </c>
      <c r="K17" s="3" t="s">
        <v>64</v>
      </c>
      <c r="L17" s="6" t="s">
        <v>124</v>
      </c>
      <c r="M17" s="3" t="s">
        <v>56</v>
      </c>
      <c r="N17" s="6" t="s">
        <v>125</v>
      </c>
      <c r="O17" s="3" t="s">
        <v>64</v>
      </c>
      <c r="P17" s="6" t="s">
        <v>124</v>
      </c>
      <c r="Q17" s="3" t="s">
        <v>58</v>
      </c>
      <c r="R17" s="6" t="s">
        <v>126</v>
      </c>
      <c r="S17" s="5">
        <f>7722.55</f>
        <v>7722.55</v>
      </c>
      <c r="T17" s="4">
        <f>11647</f>
        <v>11647</v>
      </c>
      <c r="U17" s="4">
        <v>4</v>
      </c>
      <c r="V17" s="4"/>
      <c r="W17" s="4">
        <f>8984434150</f>
        <v>8984434150</v>
      </c>
      <c r="X17" s="4">
        <v>3156000</v>
      </c>
      <c r="Y17" s="4"/>
      <c r="Z17" s="3"/>
      <c r="AA17" s="2">
        <f>2271</f>
        <v>2271</v>
      </c>
      <c r="AB17" s="2" t="str">
        <f t="shared" si="0"/>
        <v>－</v>
      </c>
      <c r="AC17" s="1">
        <f>20</f>
        <v>20</v>
      </c>
    </row>
    <row r="18" spans="1:29">
      <c r="A18" s="9" t="s">
        <v>46</v>
      </c>
      <c r="B18" s="8" t="s">
        <v>100</v>
      </c>
      <c r="C18" s="8" t="s">
        <v>101</v>
      </c>
      <c r="D18" s="8" t="s">
        <v>91</v>
      </c>
      <c r="E18" s="7" t="s">
        <v>92</v>
      </c>
      <c r="F18" s="7" t="s">
        <v>127</v>
      </c>
      <c r="G18" s="3" t="s">
        <v>52</v>
      </c>
      <c r="H18" s="6" t="s">
        <v>128</v>
      </c>
      <c r="I18" s="3" t="s">
        <v>54</v>
      </c>
      <c r="J18" s="6" t="s">
        <v>129</v>
      </c>
      <c r="K18" s="3" t="s">
        <v>130</v>
      </c>
      <c r="L18" s="6" t="s">
        <v>131</v>
      </c>
      <c r="M18" s="3" t="s">
        <v>56</v>
      </c>
      <c r="N18" s="6" t="s">
        <v>132</v>
      </c>
      <c r="O18" s="3" t="s">
        <v>130</v>
      </c>
      <c r="P18" s="6" t="s">
        <v>133</v>
      </c>
      <c r="Q18" s="3" t="s">
        <v>58</v>
      </c>
      <c r="R18" s="6" t="s">
        <v>134</v>
      </c>
      <c r="S18" s="5">
        <f>7716.9</f>
        <v>7716.9</v>
      </c>
      <c r="T18" s="4">
        <f>108014</f>
        <v>108014</v>
      </c>
      <c r="U18" s="4">
        <v>2</v>
      </c>
      <c r="V18" s="4"/>
      <c r="W18" s="4">
        <f>83223630650</f>
        <v>83223630650</v>
      </c>
      <c r="X18" s="4">
        <v>1538600</v>
      </c>
      <c r="Y18" s="4"/>
      <c r="Z18" s="3"/>
      <c r="AA18" s="2">
        <f>2969</f>
        <v>2969</v>
      </c>
      <c r="AB18" s="2" t="str">
        <f t="shared" si="0"/>
        <v>－</v>
      </c>
      <c r="AC18" s="1">
        <f>20</f>
        <v>20</v>
      </c>
    </row>
    <row r="19" spans="1:29">
      <c r="A19" s="9" t="s">
        <v>46</v>
      </c>
      <c r="B19" s="8" t="s">
        <v>135</v>
      </c>
      <c r="C19" s="8" t="s">
        <v>136</v>
      </c>
      <c r="D19" s="8" t="s">
        <v>137</v>
      </c>
      <c r="E19" s="7" t="s">
        <v>137</v>
      </c>
      <c r="F19" s="7" t="s">
        <v>137</v>
      </c>
      <c r="G19" s="3" t="s">
        <v>52</v>
      </c>
      <c r="H19" s="6" t="s">
        <v>138</v>
      </c>
      <c r="I19" s="3" t="s">
        <v>54</v>
      </c>
      <c r="J19" s="6" t="s">
        <v>139</v>
      </c>
      <c r="K19" s="3" t="s">
        <v>54</v>
      </c>
      <c r="L19" s="6" t="s">
        <v>140</v>
      </c>
      <c r="M19" s="3" t="s">
        <v>56</v>
      </c>
      <c r="N19" s="6" t="s">
        <v>141</v>
      </c>
      <c r="O19" s="3" t="s">
        <v>142</v>
      </c>
      <c r="P19" s="6" t="s">
        <v>143</v>
      </c>
      <c r="Q19" s="3" t="s">
        <v>58</v>
      </c>
      <c r="R19" s="6" t="s">
        <v>144</v>
      </c>
      <c r="S19" s="5">
        <f>7742.05</f>
        <v>7742.05</v>
      </c>
      <c r="T19" s="4">
        <f>75744</f>
        <v>75744</v>
      </c>
      <c r="U19" s="4">
        <v>78</v>
      </c>
      <c r="V19" s="4"/>
      <c r="W19" s="4">
        <f>58591836500</f>
        <v>58591836500</v>
      </c>
      <c r="X19" s="4">
        <v>60411100</v>
      </c>
      <c r="Y19" s="4"/>
      <c r="Z19" s="3"/>
      <c r="AA19" s="2">
        <f>60356</f>
        <v>60356</v>
      </c>
      <c r="AB19" s="2" t="str">
        <f t="shared" si="0"/>
        <v>－</v>
      </c>
      <c r="AC19" s="1">
        <f>20</f>
        <v>20</v>
      </c>
    </row>
    <row r="20" spans="1:29">
      <c r="A20" s="9" t="s">
        <v>46</v>
      </c>
      <c r="B20" s="8" t="s">
        <v>145</v>
      </c>
      <c r="C20" s="8" t="s">
        <v>146</v>
      </c>
      <c r="D20" s="8" t="s">
        <v>49</v>
      </c>
      <c r="E20" s="7" t="s">
        <v>50</v>
      </c>
      <c r="F20" s="7" t="s">
        <v>51</v>
      </c>
      <c r="G20" s="3" t="s">
        <v>52</v>
      </c>
      <c r="H20" s="6" t="s">
        <v>147</v>
      </c>
      <c r="I20" s="3" t="s">
        <v>148</v>
      </c>
      <c r="J20" s="6" t="s">
        <v>149</v>
      </c>
      <c r="K20" s="3"/>
      <c r="L20" s="6"/>
      <c r="M20" s="3" t="s">
        <v>52</v>
      </c>
      <c r="N20" s="6" t="s">
        <v>147</v>
      </c>
      <c r="O20" s="3"/>
      <c r="P20" s="6"/>
      <c r="Q20" s="3" t="s">
        <v>148</v>
      </c>
      <c r="R20" s="6" t="s">
        <v>149</v>
      </c>
      <c r="S20" s="5">
        <f>84.67</f>
        <v>84.67</v>
      </c>
      <c r="T20" s="4">
        <f>93</f>
        <v>93</v>
      </c>
      <c r="U20" s="4"/>
      <c r="V20" s="4"/>
      <c r="W20" s="4">
        <f>75589000</f>
        <v>75589000</v>
      </c>
      <c r="X20" s="4"/>
      <c r="Y20" s="4"/>
      <c r="Z20" s="3"/>
      <c r="AA20" s="2">
        <f>107</f>
        <v>107</v>
      </c>
      <c r="AB20" s="2" t="str">
        <f t="shared" si="0"/>
        <v>－</v>
      </c>
      <c r="AC20" s="1">
        <f>5</f>
        <v>5</v>
      </c>
    </row>
    <row r="21" spans="1:29">
      <c r="A21" s="9" t="s">
        <v>46</v>
      </c>
      <c r="B21" s="8" t="s">
        <v>145</v>
      </c>
      <c r="C21" s="8" t="s">
        <v>146</v>
      </c>
      <c r="D21" s="8" t="s">
        <v>60</v>
      </c>
      <c r="E21" s="7" t="s">
        <v>61</v>
      </c>
      <c r="F21" s="7" t="s">
        <v>62</v>
      </c>
      <c r="G21" s="3" t="s">
        <v>150</v>
      </c>
      <c r="H21" s="6" t="s">
        <v>147</v>
      </c>
      <c r="I21" s="3" t="s">
        <v>56</v>
      </c>
      <c r="J21" s="6" t="s">
        <v>151</v>
      </c>
      <c r="K21" s="3"/>
      <c r="L21" s="6"/>
      <c r="M21" s="3" t="s">
        <v>150</v>
      </c>
      <c r="N21" s="6" t="s">
        <v>147</v>
      </c>
      <c r="O21" s="3"/>
      <c r="P21" s="6"/>
      <c r="Q21" s="3" t="s">
        <v>56</v>
      </c>
      <c r="R21" s="6" t="s">
        <v>151</v>
      </c>
      <c r="S21" s="5">
        <f>83.45</f>
        <v>83.45</v>
      </c>
      <c r="T21" s="4">
        <f>73</f>
        <v>73</v>
      </c>
      <c r="U21" s="4"/>
      <c r="V21" s="4">
        <v>5</v>
      </c>
      <c r="W21" s="4">
        <f>60053000</f>
        <v>60053000</v>
      </c>
      <c r="X21" s="4"/>
      <c r="Y21" s="4">
        <v>4190000</v>
      </c>
      <c r="Z21" s="3"/>
      <c r="AA21" s="2">
        <f>232</f>
        <v>232</v>
      </c>
      <c r="AB21" s="2" t="str">
        <f t="shared" si="0"/>
        <v>－</v>
      </c>
      <c r="AC21" s="1">
        <f>6</f>
        <v>6</v>
      </c>
    </row>
    <row r="22" spans="1:29">
      <c r="A22" s="9" t="s">
        <v>46</v>
      </c>
      <c r="B22" s="8" t="s">
        <v>145</v>
      </c>
      <c r="C22" s="8" t="s">
        <v>146</v>
      </c>
      <c r="D22" s="8" t="s">
        <v>68</v>
      </c>
      <c r="E22" s="7" t="s">
        <v>69</v>
      </c>
      <c r="F22" s="7" t="s">
        <v>70</v>
      </c>
      <c r="G22" s="3" t="s">
        <v>85</v>
      </c>
      <c r="H22" s="6" t="s">
        <v>152</v>
      </c>
      <c r="I22" s="3" t="s">
        <v>153</v>
      </c>
      <c r="J22" s="6" t="s">
        <v>154</v>
      </c>
      <c r="K22" s="3"/>
      <c r="L22" s="6"/>
      <c r="M22" s="3" t="s">
        <v>85</v>
      </c>
      <c r="N22" s="6" t="s">
        <v>152</v>
      </c>
      <c r="O22" s="3"/>
      <c r="P22" s="6"/>
      <c r="Q22" s="3" t="s">
        <v>153</v>
      </c>
      <c r="R22" s="6" t="s">
        <v>154</v>
      </c>
      <c r="S22" s="5">
        <f>83.87</f>
        <v>83.87</v>
      </c>
      <c r="T22" s="4">
        <f>63</f>
        <v>63</v>
      </c>
      <c r="U22" s="4"/>
      <c r="V22" s="4">
        <v>18</v>
      </c>
      <c r="W22" s="4">
        <f>53556000</f>
        <v>53556000</v>
      </c>
      <c r="X22" s="4"/>
      <c r="Y22" s="4">
        <v>15422000</v>
      </c>
      <c r="Z22" s="3"/>
      <c r="AA22" s="2">
        <f>501</f>
        <v>501</v>
      </c>
      <c r="AB22" s="2" t="str">
        <f t="shared" si="0"/>
        <v>－</v>
      </c>
      <c r="AC22" s="1">
        <f>6</f>
        <v>6</v>
      </c>
    </row>
    <row r="23" spans="1:29">
      <c r="A23" s="9" t="s">
        <v>46</v>
      </c>
      <c r="B23" s="8" t="s">
        <v>145</v>
      </c>
      <c r="C23" s="8" t="s">
        <v>146</v>
      </c>
      <c r="D23" s="8" t="s">
        <v>74</v>
      </c>
      <c r="E23" s="7" t="s">
        <v>75</v>
      </c>
      <c r="F23" s="7" t="s">
        <v>76</v>
      </c>
      <c r="G23" s="3" t="s">
        <v>52</v>
      </c>
      <c r="H23" s="6" t="s">
        <v>155</v>
      </c>
      <c r="I23" s="3" t="s">
        <v>130</v>
      </c>
      <c r="J23" s="6" t="s">
        <v>156</v>
      </c>
      <c r="K23" s="3"/>
      <c r="L23" s="6"/>
      <c r="M23" s="3" t="s">
        <v>142</v>
      </c>
      <c r="N23" s="6" t="s">
        <v>157</v>
      </c>
      <c r="O23" s="3"/>
      <c r="P23" s="6"/>
      <c r="Q23" s="3" t="s">
        <v>56</v>
      </c>
      <c r="R23" s="6" t="s">
        <v>158</v>
      </c>
      <c r="S23" s="5">
        <f>82.23</f>
        <v>82.23</v>
      </c>
      <c r="T23" s="4">
        <f>134</f>
        <v>134</v>
      </c>
      <c r="U23" s="4"/>
      <c r="V23" s="4">
        <v>12</v>
      </c>
      <c r="W23" s="4">
        <f>108508000</f>
        <v>108508000</v>
      </c>
      <c r="X23" s="4"/>
      <c r="Y23" s="4">
        <v>10260000</v>
      </c>
      <c r="Z23" s="3"/>
      <c r="AA23" s="2">
        <f>367</f>
        <v>367</v>
      </c>
      <c r="AB23" s="2" t="str">
        <f t="shared" si="0"/>
        <v>－</v>
      </c>
      <c r="AC23" s="1">
        <f>16</f>
        <v>16</v>
      </c>
    </row>
    <row r="24" spans="1:29">
      <c r="A24" s="9" t="s">
        <v>46</v>
      </c>
      <c r="B24" s="8" t="s">
        <v>145</v>
      </c>
      <c r="C24" s="8" t="s">
        <v>146</v>
      </c>
      <c r="D24" s="8" t="s">
        <v>80</v>
      </c>
      <c r="E24" s="7" t="s">
        <v>81</v>
      </c>
      <c r="F24" s="7" t="s">
        <v>82</v>
      </c>
      <c r="G24" s="3" t="s">
        <v>52</v>
      </c>
      <c r="H24" s="6" t="s">
        <v>159</v>
      </c>
      <c r="I24" s="3" t="s">
        <v>130</v>
      </c>
      <c r="J24" s="6" t="s">
        <v>160</v>
      </c>
      <c r="K24" s="3"/>
      <c r="L24" s="6"/>
      <c r="M24" s="3" t="s">
        <v>161</v>
      </c>
      <c r="N24" s="6" t="s">
        <v>162</v>
      </c>
      <c r="O24" s="3"/>
      <c r="P24" s="6"/>
      <c r="Q24" s="3" t="s">
        <v>58</v>
      </c>
      <c r="R24" s="6" t="s">
        <v>163</v>
      </c>
      <c r="S24" s="5">
        <f>82.53</f>
        <v>82.53</v>
      </c>
      <c r="T24" s="4">
        <f>368</f>
        <v>368</v>
      </c>
      <c r="U24" s="4"/>
      <c r="V24" s="4">
        <v>25</v>
      </c>
      <c r="W24" s="4">
        <f>301262000</f>
        <v>301262000</v>
      </c>
      <c r="X24" s="4"/>
      <c r="Y24" s="4">
        <v>21492000</v>
      </c>
      <c r="Z24" s="3"/>
      <c r="AA24" s="2">
        <f>328</f>
        <v>328</v>
      </c>
      <c r="AB24" s="2" t="str">
        <f t="shared" si="0"/>
        <v>－</v>
      </c>
      <c r="AC24" s="1">
        <f>20</f>
        <v>20</v>
      </c>
    </row>
    <row r="25" spans="1:29">
      <c r="A25" s="9" t="s">
        <v>46</v>
      </c>
      <c r="B25" s="8" t="s">
        <v>145</v>
      </c>
      <c r="C25" s="8" t="s">
        <v>146</v>
      </c>
      <c r="D25" s="8" t="s">
        <v>91</v>
      </c>
      <c r="E25" s="7" t="s">
        <v>92</v>
      </c>
      <c r="F25" s="7" t="s">
        <v>93</v>
      </c>
      <c r="G25" s="3" t="s">
        <v>52</v>
      </c>
      <c r="H25" s="6" t="s">
        <v>164</v>
      </c>
      <c r="I25" s="3" t="s">
        <v>130</v>
      </c>
      <c r="J25" s="6" t="s">
        <v>165</v>
      </c>
      <c r="K25" s="3"/>
      <c r="L25" s="6"/>
      <c r="M25" s="3" t="s">
        <v>142</v>
      </c>
      <c r="N25" s="6" t="s">
        <v>166</v>
      </c>
      <c r="O25" s="3"/>
      <c r="P25" s="6"/>
      <c r="Q25" s="3" t="s">
        <v>58</v>
      </c>
      <c r="R25" s="6" t="s">
        <v>167</v>
      </c>
      <c r="S25" s="5">
        <f>84.13</f>
        <v>84.13</v>
      </c>
      <c r="T25" s="4">
        <f>1488</f>
        <v>1488</v>
      </c>
      <c r="U25" s="4"/>
      <c r="V25" s="4"/>
      <c r="W25" s="4">
        <f>1236378000</f>
        <v>1236378000</v>
      </c>
      <c r="X25" s="4"/>
      <c r="Y25" s="4"/>
      <c r="Z25" s="3"/>
      <c r="AA25" s="2">
        <f>399</f>
        <v>399</v>
      </c>
      <c r="AB25" s="2" t="str">
        <f t="shared" si="0"/>
        <v>－</v>
      </c>
      <c r="AC25" s="1">
        <f>20</f>
        <v>20</v>
      </c>
    </row>
    <row r="26" spans="1:29">
      <c r="A26" s="9" t="s">
        <v>46</v>
      </c>
      <c r="B26" s="8" t="s">
        <v>168</v>
      </c>
      <c r="C26" s="8" t="s">
        <v>169</v>
      </c>
      <c r="D26" s="8" t="s">
        <v>49</v>
      </c>
      <c r="E26" s="7" t="s">
        <v>50</v>
      </c>
      <c r="F26" s="7" t="s">
        <v>51</v>
      </c>
      <c r="G26" s="3" t="s">
        <v>52</v>
      </c>
      <c r="H26" s="6" t="s">
        <v>170</v>
      </c>
      <c r="I26" s="3" t="s">
        <v>130</v>
      </c>
      <c r="J26" s="6" t="s">
        <v>171</v>
      </c>
      <c r="K26" s="3"/>
      <c r="L26" s="6"/>
      <c r="M26" s="3" t="s">
        <v>161</v>
      </c>
      <c r="N26" s="6" t="s">
        <v>172</v>
      </c>
      <c r="O26" s="3"/>
      <c r="P26" s="6"/>
      <c r="Q26" s="3" t="s">
        <v>58</v>
      </c>
      <c r="R26" s="6" t="s">
        <v>173</v>
      </c>
      <c r="S26" s="5">
        <f>3980.05</f>
        <v>3980.05</v>
      </c>
      <c r="T26" s="4">
        <f>1077</f>
        <v>1077</v>
      </c>
      <c r="U26" s="4"/>
      <c r="V26" s="4">
        <v>46</v>
      </c>
      <c r="W26" s="4">
        <f>2143624500</f>
        <v>2143624500</v>
      </c>
      <c r="X26" s="4"/>
      <c r="Y26" s="4">
        <v>88290500</v>
      </c>
      <c r="Z26" s="3"/>
      <c r="AA26" s="2">
        <f>689</f>
        <v>689</v>
      </c>
      <c r="AB26" s="2" t="str">
        <f t="shared" si="0"/>
        <v>－</v>
      </c>
      <c r="AC26" s="1">
        <f>20</f>
        <v>20</v>
      </c>
    </row>
    <row r="27" spans="1:29">
      <c r="A27" s="9" t="s">
        <v>46</v>
      </c>
      <c r="B27" s="8" t="s">
        <v>168</v>
      </c>
      <c r="C27" s="8" t="s">
        <v>169</v>
      </c>
      <c r="D27" s="8" t="s">
        <v>60</v>
      </c>
      <c r="E27" s="7" t="s">
        <v>61</v>
      </c>
      <c r="F27" s="7" t="s">
        <v>62</v>
      </c>
      <c r="G27" s="3" t="s">
        <v>52</v>
      </c>
      <c r="H27" s="6" t="s">
        <v>174</v>
      </c>
      <c r="I27" s="3" t="s">
        <v>130</v>
      </c>
      <c r="J27" s="6" t="s">
        <v>175</v>
      </c>
      <c r="K27" s="3"/>
      <c r="L27" s="6"/>
      <c r="M27" s="3" t="s">
        <v>161</v>
      </c>
      <c r="N27" s="6" t="s">
        <v>176</v>
      </c>
      <c r="O27" s="3"/>
      <c r="P27" s="6"/>
      <c r="Q27" s="3" t="s">
        <v>58</v>
      </c>
      <c r="R27" s="6" t="s">
        <v>177</v>
      </c>
      <c r="S27" s="5">
        <f>3956.05</f>
        <v>3956.05</v>
      </c>
      <c r="T27" s="4">
        <f>1783</f>
        <v>1783</v>
      </c>
      <c r="U27" s="4"/>
      <c r="V27" s="4">
        <v>163</v>
      </c>
      <c r="W27" s="4">
        <f>3528296000</f>
        <v>3528296000</v>
      </c>
      <c r="X27" s="4"/>
      <c r="Y27" s="4">
        <v>318852000</v>
      </c>
      <c r="Z27" s="3"/>
      <c r="AA27" s="2">
        <f>998</f>
        <v>998</v>
      </c>
      <c r="AB27" s="2" t="str">
        <f t="shared" si="0"/>
        <v>－</v>
      </c>
      <c r="AC27" s="1">
        <f>20</f>
        <v>20</v>
      </c>
    </row>
    <row r="28" spans="1:29">
      <c r="A28" s="9" t="s">
        <v>46</v>
      </c>
      <c r="B28" s="8" t="s">
        <v>168</v>
      </c>
      <c r="C28" s="8" t="s">
        <v>169</v>
      </c>
      <c r="D28" s="8" t="s">
        <v>68</v>
      </c>
      <c r="E28" s="7" t="s">
        <v>69</v>
      </c>
      <c r="F28" s="7" t="s">
        <v>70</v>
      </c>
      <c r="G28" s="3" t="s">
        <v>52</v>
      </c>
      <c r="H28" s="6" t="s">
        <v>178</v>
      </c>
      <c r="I28" s="3" t="s">
        <v>130</v>
      </c>
      <c r="J28" s="6" t="s">
        <v>179</v>
      </c>
      <c r="K28" s="3"/>
      <c r="L28" s="6"/>
      <c r="M28" s="3" t="s">
        <v>161</v>
      </c>
      <c r="N28" s="6" t="s">
        <v>172</v>
      </c>
      <c r="O28" s="3"/>
      <c r="P28" s="6"/>
      <c r="Q28" s="3" t="s">
        <v>58</v>
      </c>
      <c r="R28" s="6" t="s">
        <v>180</v>
      </c>
      <c r="S28" s="5">
        <f>3942.6</f>
        <v>3942.6</v>
      </c>
      <c r="T28" s="4">
        <f>3496</f>
        <v>3496</v>
      </c>
      <c r="U28" s="4"/>
      <c r="V28" s="4">
        <v>396</v>
      </c>
      <c r="W28" s="4">
        <f>6881265000</f>
        <v>6881265000</v>
      </c>
      <c r="X28" s="4"/>
      <c r="Y28" s="4">
        <v>774919000</v>
      </c>
      <c r="Z28" s="3"/>
      <c r="AA28" s="2">
        <f>2429</f>
        <v>2429</v>
      </c>
      <c r="AB28" s="2" t="str">
        <f t="shared" si="0"/>
        <v>－</v>
      </c>
      <c r="AC28" s="1">
        <f>20</f>
        <v>20</v>
      </c>
    </row>
    <row r="29" spans="1:29">
      <c r="A29" s="9" t="s">
        <v>46</v>
      </c>
      <c r="B29" s="8" t="s">
        <v>168</v>
      </c>
      <c r="C29" s="8" t="s">
        <v>169</v>
      </c>
      <c r="D29" s="8" t="s">
        <v>74</v>
      </c>
      <c r="E29" s="7" t="s">
        <v>75</v>
      </c>
      <c r="F29" s="7" t="s">
        <v>76</v>
      </c>
      <c r="G29" s="3" t="s">
        <v>52</v>
      </c>
      <c r="H29" s="6" t="s">
        <v>181</v>
      </c>
      <c r="I29" s="3" t="s">
        <v>130</v>
      </c>
      <c r="J29" s="6" t="s">
        <v>182</v>
      </c>
      <c r="K29" s="3"/>
      <c r="L29" s="6"/>
      <c r="M29" s="3" t="s">
        <v>161</v>
      </c>
      <c r="N29" s="6" t="s">
        <v>183</v>
      </c>
      <c r="O29" s="3"/>
      <c r="P29" s="6"/>
      <c r="Q29" s="3" t="s">
        <v>58</v>
      </c>
      <c r="R29" s="6" t="s">
        <v>184</v>
      </c>
      <c r="S29" s="5">
        <f>3931.5</f>
        <v>3931.5</v>
      </c>
      <c r="T29" s="4">
        <f>10712</f>
        <v>10712</v>
      </c>
      <c r="U29" s="4"/>
      <c r="V29" s="4">
        <v>1504</v>
      </c>
      <c r="W29" s="4">
        <f>21194654000</f>
        <v>21194654000</v>
      </c>
      <c r="X29" s="4"/>
      <c r="Y29" s="4">
        <v>2940774000</v>
      </c>
      <c r="Z29" s="3"/>
      <c r="AA29" s="2">
        <f>3927</f>
        <v>3927</v>
      </c>
      <c r="AB29" s="2" t="str">
        <f t="shared" si="0"/>
        <v>－</v>
      </c>
      <c r="AC29" s="1">
        <f>20</f>
        <v>20</v>
      </c>
    </row>
    <row r="30" spans="1:29">
      <c r="A30" s="9" t="s">
        <v>46</v>
      </c>
      <c r="B30" s="8" t="s">
        <v>168</v>
      </c>
      <c r="C30" s="8" t="s">
        <v>169</v>
      </c>
      <c r="D30" s="8" t="s">
        <v>80</v>
      </c>
      <c r="E30" s="7" t="s">
        <v>81</v>
      </c>
      <c r="F30" s="7" t="s">
        <v>82</v>
      </c>
      <c r="G30" s="3" t="s">
        <v>52</v>
      </c>
      <c r="H30" s="6" t="s">
        <v>185</v>
      </c>
      <c r="I30" s="3" t="s">
        <v>130</v>
      </c>
      <c r="J30" s="6" t="s">
        <v>186</v>
      </c>
      <c r="K30" s="3"/>
      <c r="L30" s="6"/>
      <c r="M30" s="3" t="s">
        <v>161</v>
      </c>
      <c r="N30" s="6" t="s">
        <v>187</v>
      </c>
      <c r="O30" s="3"/>
      <c r="P30" s="6"/>
      <c r="Q30" s="3" t="s">
        <v>58</v>
      </c>
      <c r="R30" s="6" t="s">
        <v>188</v>
      </c>
      <c r="S30" s="5">
        <f>3902.85</f>
        <v>3902.85</v>
      </c>
      <c r="T30" s="4">
        <f>37818</f>
        <v>37818</v>
      </c>
      <c r="U30" s="4"/>
      <c r="V30" s="4">
        <v>7431</v>
      </c>
      <c r="W30" s="4">
        <f>73532169500</f>
        <v>73532169500</v>
      </c>
      <c r="X30" s="4"/>
      <c r="Y30" s="4">
        <v>14363541000</v>
      </c>
      <c r="Z30" s="3"/>
      <c r="AA30" s="2">
        <f>4355</f>
        <v>4355</v>
      </c>
      <c r="AB30" s="2" t="str">
        <f t="shared" si="0"/>
        <v>－</v>
      </c>
      <c r="AC30" s="1">
        <f>20</f>
        <v>20</v>
      </c>
    </row>
    <row r="31" spans="1:29">
      <c r="A31" s="9" t="s">
        <v>46</v>
      </c>
      <c r="B31" s="8" t="s">
        <v>168</v>
      </c>
      <c r="C31" s="8" t="s">
        <v>169</v>
      </c>
      <c r="D31" s="8" t="s">
        <v>91</v>
      </c>
      <c r="E31" s="7" t="s">
        <v>92</v>
      </c>
      <c r="F31" s="7" t="s">
        <v>93</v>
      </c>
      <c r="G31" s="3" t="s">
        <v>52</v>
      </c>
      <c r="H31" s="6" t="s">
        <v>189</v>
      </c>
      <c r="I31" s="3" t="s">
        <v>130</v>
      </c>
      <c r="J31" s="6" t="s">
        <v>190</v>
      </c>
      <c r="K31" s="3" t="s">
        <v>130</v>
      </c>
      <c r="L31" s="6" t="s">
        <v>191</v>
      </c>
      <c r="M31" s="3" t="s">
        <v>161</v>
      </c>
      <c r="N31" s="6" t="s">
        <v>192</v>
      </c>
      <c r="O31" s="3" t="s">
        <v>58</v>
      </c>
      <c r="P31" s="6" t="s">
        <v>193</v>
      </c>
      <c r="Q31" s="3" t="s">
        <v>58</v>
      </c>
      <c r="R31" s="6" t="s">
        <v>194</v>
      </c>
      <c r="S31" s="5">
        <f>3877.65</f>
        <v>3877.65</v>
      </c>
      <c r="T31" s="4">
        <f>211052</f>
        <v>211052</v>
      </c>
      <c r="U31" s="4">
        <v>92</v>
      </c>
      <c r="V31" s="4">
        <v>6314</v>
      </c>
      <c r="W31" s="4">
        <f>410013724500</f>
        <v>410013724500</v>
      </c>
      <c r="X31" s="4">
        <v>186026000</v>
      </c>
      <c r="Y31" s="4">
        <v>12100328500</v>
      </c>
      <c r="Z31" s="3"/>
      <c r="AA31" s="2">
        <f>13967</f>
        <v>13967</v>
      </c>
      <c r="AB31" s="2" t="str">
        <f t="shared" si="0"/>
        <v>－</v>
      </c>
      <c r="AC31" s="1">
        <f>20</f>
        <v>20</v>
      </c>
    </row>
    <row r="32" spans="1:29">
      <c r="A32" s="9" t="s">
        <v>46</v>
      </c>
      <c r="B32" s="8" t="s">
        <v>195</v>
      </c>
      <c r="C32" s="8" t="s">
        <v>196</v>
      </c>
      <c r="D32" s="8" t="s">
        <v>49</v>
      </c>
      <c r="E32" s="7" t="s">
        <v>50</v>
      </c>
      <c r="F32" s="7" t="s">
        <v>102</v>
      </c>
      <c r="G32" s="3" t="s">
        <v>52</v>
      </c>
      <c r="H32" s="6" t="s">
        <v>197</v>
      </c>
      <c r="I32" s="3" t="s">
        <v>130</v>
      </c>
      <c r="J32" s="6" t="s">
        <v>198</v>
      </c>
      <c r="K32" s="3"/>
      <c r="L32" s="6"/>
      <c r="M32" s="3" t="s">
        <v>52</v>
      </c>
      <c r="N32" s="6" t="s">
        <v>199</v>
      </c>
      <c r="O32" s="3"/>
      <c r="P32" s="6"/>
      <c r="Q32" s="3" t="s">
        <v>58</v>
      </c>
      <c r="R32" s="6" t="s">
        <v>200</v>
      </c>
      <c r="S32" s="5">
        <f>3980.05</f>
        <v>3980.05</v>
      </c>
      <c r="T32" s="4">
        <f>149</f>
        <v>149</v>
      </c>
      <c r="U32" s="4"/>
      <c r="V32" s="4"/>
      <c r="W32" s="4">
        <f>59093350</f>
        <v>59093350</v>
      </c>
      <c r="X32" s="4"/>
      <c r="Y32" s="4"/>
      <c r="Z32" s="3"/>
      <c r="AA32" s="2">
        <f>114</f>
        <v>114</v>
      </c>
      <c r="AB32" s="2" t="str">
        <f t="shared" si="0"/>
        <v>－</v>
      </c>
      <c r="AC32" s="1">
        <f>14</f>
        <v>14</v>
      </c>
    </row>
    <row r="33" spans="1:29">
      <c r="A33" s="9" t="s">
        <v>46</v>
      </c>
      <c r="B33" s="8" t="s">
        <v>195</v>
      </c>
      <c r="C33" s="8" t="s">
        <v>196</v>
      </c>
      <c r="D33" s="8" t="s">
        <v>60</v>
      </c>
      <c r="E33" s="7" t="s">
        <v>61</v>
      </c>
      <c r="F33" s="7" t="s">
        <v>107</v>
      </c>
      <c r="G33" s="3" t="s">
        <v>161</v>
      </c>
      <c r="H33" s="6" t="s">
        <v>201</v>
      </c>
      <c r="I33" s="3" t="s">
        <v>130</v>
      </c>
      <c r="J33" s="6" t="s">
        <v>202</v>
      </c>
      <c r="K33" s="3"/>
      <c r="L33" s="6"/>
      <c r="M33" s="3" t="s">
        <v>161</v>
      </c>
      <c r="N33" s="6" t="s">
        <v>201</v>
      </c>
      <c r="O33" s="3"/>
      <c r="P33" s="6"/>
      <c r="Q33" s="3" t="s">
        <v>56</v>
      </c>
      <c r="R33" s="6" t="s">
        <v>203</v>
      </c>
      <c r="S33" s="5">
        <f>3956.05</f>
        <v>3956.05</v>
      </c>
      <c r="T33" s="4">
        <f>124</f>
        <v>124</v>
      </c>
      <c r="U33" s="4"/>
      <c r="V33" s="4"/>
      <c r="W33" s="4">
        <f>49820500</f>
        <v>49820500</v>
      </c>
      <c r="X33" s="4"/>
      <c r="Y33" s="4"/>
      <c r="Z33" s="3"/>
      <c r="AA33" s="2">
        <f>221</f>
        <v>221</v>
      </c>
      <c r="AB33" s="2" t="str">
        <f t="shared" si="0"/>
        <v>－</v>
      </c>
      <c r="AC33" s="1">
        <f>10</f>
        <v>10</v>
      </c>
    </row>
    <row r="34" spans="1:29">
      <c r="A34" s="9" t="s">
        <v>46</v>
      </c>
      <c r="B34" s="8" t="s">
        <v>195</v>
      </c>
      <c r="C34" s="8" t="s">
        <v>196</v>
      </c>
      <c r="D34" s="8" t="s">
        <v>68</v>
      </c>
      <c r="E34" s="7" t="s">
        <v>69</v>
      </c>
      <c r="F34" s="7" t="s">
        <v>112</v>
      </c>
      <c r="G34" s="3" t="s">
        <v>52</v>
      </c>
      <c r="H34" s="6" t="s">
        <v>204</v>
      </c>
      <c r="I34" s="3" t="s">
        <v>130</v>
      </c>
      <c r="J34" s="6" t="s">
        <v>205</v>
      </c>
      <c r="K34" s="3"/>
      <c r="L34" s="6"/>
      <c r="M34" s="3" t="s">
        <v>161</v>
      </c>
      <c r="N34" s="6" t="s">
        <v>206</v>
      </c>
      <c r="O34" s="3"/>
      <c r="P34" s="6"/>
      <c r="Q34" s="3" t="s">
        <v>56</v>
      </c>
      <c r="R34" s="6" t="s">
        <v>207</v>
      </c>
      <c r="S34" s="5">
        <f>3942.6</f>
        <v>3942.6</v>
      </c>
      <c r="T34" s="4">
        <f>181</f>
        <v>181</v>
      </c>
      <c r="U34" s="4"/>
      <c r="V34" s="4"/>
      <c r="W34" s="4">
        <f>71847550</f>
        <v>71847550</v>
      </c>
      <c r="X34" s="4"/>
      <c r="Y34" s="4"/>
      <c r="Z34" s="3"/>
      <c r="AA34" s="2">
        <f>452</f>
        <v>452</v>
      </c>
      <c r="AB34" s="2" t="str">
        <f t="shared" si="0"/>
        <v>－</v>
      </c>
      <c r="AC34" s="1">
        <f>17</f>
        <v>17</v>
      </c>
    </row>
    <row r="35" spans="1:29">
      <c r="A35" s="9" t="s">
        <v>46</v>
      </c>
      <c r="B35" s="8" t="s">
        <v>195</v>
      </c>
      <c r="C35" s="8" t="s">
        <v>196</v>
      </c>
      <c r="D35" s="8" t="s">
        <v>74</v>
      </c>
      <c r="E35" s="7" t="s">
        <v>75</v>
      </c>
      <c r="F35" s="7" t="s">
        <v>117</v>
      </c>
      <c r="G35" s="3" t="s">
        <v>52</v>
      </c>
      <c r="H35" s="6" t="s">
        <v>208</v>
      </c>
      <c r="I35" s="3" t="s">
        <v>130</v>
      </c>
      <c r="J35" s="6" t="s">
        <v>209</v>
      </c>
      <c r="K35" s="3"/>
      <c r="L35" s="6"/>
      <c r="M35" s="3" t="s">
        <v>161</v>
      </c>
      <c r="N35" s="6" t="s">
        <v>201</v>
      </c>
      <c r="O35" s="3"/>
      <c r="P35" s="6"/>
      <c r="Q35" s="3" t="s">
        <v>58</v>
      </c>
      <c r="R35" s="6" t="s">
        <v>210</v>
      </c>
      <c r="S35" s="5">
        <f>3931.5</f>
        <v>3931.5</v>
      </c>
      <c r="T35" s="4">
        <f>567</f>
        <v>567</v>
      </c>
      <c r="U35" s="4"/>
      <c r="V35" s="4"/>
      <c r="W35" s="4">
        <f>223734950</f>
        <v>223734950</v>
      </c>
      <c r="X35" s="4"/>
      <c r="Y35" s="4"/>
      <c r="Z35" s="3"/>
      <c r="AA35" s="2">
        <f>452</f>
        <v>452</v>
      </c>
      <c r="AB35" s="2" t="str">
        <f t="shared" si="0"/>
        <v>－</v>
      </c>
      <c r="AC35" s="1">
        <f>20</f>
        <v>20</v>
      </c>
    </row>
    <row r="36" spans="1:29">
      <c r="A36" s="9" t="s">
        <v>46</v>
      </c>
      <c r="B36" s="8" t="s">
        <v>195</v>
      </c>
      <c r="C36" s="8" t="s">
        <v>196</v>
      </c>
      <c r="D36" s="8" t="s">
        <v>80</v>
      </c>
      <c r="E36" s="7" t="s">
        <v>81</v>
      </c>
      <c r="F36" s="7" t="s">
        <v>121</v>
      </c>
      <c r="G36" s="3" t="s">
        <v>52</v>
      </c>
      <c r="H36" s="6" t="s">
        <v>211</v>
      </c>
      <c r="I36" s="3" t="s">
        <v>130</v>
      </c>
      <c r="J36" s="6" t="s">
        <v>212</v>
      </c>
      <c r="K36" s="3"/>
      <c r="L36" s="6"/>
      <c r="M36" s="3" t="s">
        <v>161</v>
      </c>
      <c r="N36" s="6" t="s">
        <v>213</v>
      </c>
      <c r="O36" s="3"/>
      <c r="P36" s="6"/>
      <c r="Q36" s="3" t="s">
        <v>58</v>
      </c>
      <c r="R36" s="6" t="s">
        <v>214</v>
      </c>
      <c r="S36" s="5">
        <f>3902.85</f>
        <v>3902.85</v>
      </c>
      <c r="T36" s="4">
        <f>3041</f>
        <v>3041</v>
      </c>
      <c r="U36" s="4"/>
      <c r="V36" s="4"/>
      <c r="W36" s="4">
        <f>1176219450</f>
        <v>1176219450</v>
      </c>
      <c r="X36" s="4"/>
      <c r="Y36" s="4"/>
      <c r="Z36" s="3"/>
      <c r="AA36" s="2">
        <f>640</f>
        <v>640</v>
      </c>
      <c r="AB36" s="2" t="str">
        <f t="shared" si="0"/>
        <v>－</v>
      </c>
      <c r="AC36" s="1">
        <f>20</f>
        <v>20</v>
      </c>
    </row>
    <row r="37" spans="1:29">
      <c r="A37" s="9" t="s">
        <v>46</v>
      </c>
      <c r="B37" s="8" t="s">
        <v>195</v>
      </c>
      <c r="C37" s="8" t="s">
        <v>196</v>
      </c>
      <c r="D37" s="8" t="s">
        <v>91</v>
      </c>
      <c r="E37" s="7" t="s">
        <v>92</v>
      </c>
      <c r="F37" s="7" t="s">
        <v>127</v>
      </c>
      <c r="G37" s="3" t="s">
        <v>52</v>
      </c>
      <c r="H37" s="6" t="s">
        <v>215</v>
      </c>
      <c r="I37" s="3" t="s">
        <v>130</v>
      </c>
      <c r="J37" s="6" t="s">
        <v>216</v>
      </c>
      <c r="K37" s="3" t="s">
        <v>130</v>
      </c>
      <c r="L37" s="6" t="s">
        <v>217</v>
      </c>
      <c r="M37" s="3" t="s">
        <v>161</v>
      </c>
      <c r="N37" s="6" t="s">
        <v>218</v>
      </c>
      <c r="O37" s="3" t="s">
        <v>130</v>
      </c>
      <c r="P37" s="6" t="s">
        <v>217</v>
      </c>
      <c r="Q37" s="3" t="s">
        <v>58</v>
      </c>
      <c r="R37" s="6" t="s">
        <v>219</v>
      </c>
      <c r="S37" s="5">
        <f>3877.65</f>
        <v>3877.65</v>
      </c>
      <c r="T37" s="4">
        <f>35790</f>
        <v>35790</v>
      </c>
      <c r="U37" s="4">
        <v>1</v>
      </c>
      <c r="V37" s="4"/>
      <c r="W37" s="4">
        <f>13913158500</f>
        <v>13913158500</v>
      </c>
      <c r="X37" s="4">
        <v>406600</v>
      </c>
      <c r="Y37" s="4"/>
      <c r="Z37" s="3"/>
      <c r="AA37" s="2">
        <f>1241</f>
        <v>1241</v>
      </c>
      <c r="AB37" s="2" t="str">
        <f t="shared" si="0"/>
        <v>－</v>
      </c>
      <c r="AC37" s="1">
        <f>20</f>
        <v>20</v>
      </c>
    </row>
    <row r="38" spans="1:29">
      <c r="A38" s="9" t="s">
        <v>46</v>
      </c>
      <c r="B38" s="8" t="s">
        <v>220</v>
      </c>
      <c r="C38" s="8" t="s">
        <v>221</v>
      </c>
      <c r="D38" s="8" t="s">
        <v>137</v>
      </c>
      <c r="E38" s="7" t="s">
        <v>137</v>
      </c>
      <c r="F38" s="7" t="s">
        <v>137</v>
      </c>
      <c r="G38" s="3" t="s">
        <v>52</v>
      </c>
      <c r="H38" s="6" t="s">
        <v>222</v>
      </c>
      <c r="I38" s="3" t="s">
        <v>130</v>
      </c>
      <c r="J38" s="6" t="s">
        <v>223</v>
      </c>
      <c r="K38" s="3"/>
      <c r="L38" s="6"/>
      <c r="M38" s="3" t="s">
        <v>161</v>
      </c>
      <c r="N38" s="6" t="s">
        <v>224</v>
      </c>
      <c r="O38" s="3"/>
      <c r="P38" s="6"/>
      <c r="Q38" s="3" t="s">
        <v>58</v>
      </c>
      <c r="R38" s="6" t="s">
        <v>225</v>
      </c>
      <c r="S38" s="5">
        <f>3987.8</f>
        <v>3987.8</v>
      </c>
      <c r="T38" s="4">
        <f>20293</f>
        <v>20293</v>
      </c>
      <c r="U38" s="4"/>
      <c r="V38" s="4"/>
      <c r="W38" s="4">
        <f>8069067200</f>
        <v>8069067200</v>
      </c>
      <c r="X38" s="4"/>
      <c r="Y38" s="4"/>
      <c r="Z38" s="3"/>
      <c r="AA38" s="2">
        <f>17279</f>
        <v>17279</v>
      </c>
      <c r="AB38" s="2" t="str">
        <f t="shared" si="0"/>
        <v>－</v>
      </c>
      <c r="AC38" s="1">
        <f>20</f>
        <v>20</v>
      </c>
    </row>
    <row r="39" spans="1:29">
      <c r="A39" s="9" t="s">
        <v>46</v>
      </c>
      <c r="B39" s="8" t="s">
        <v>226</v>
      </c>
      <c r="C39" s="8" t="s">
        <v>227</v>
      </c>
      <c r="D39" s="8" t="s">
        <v>49</v>
      </c>
      <c r="E39" s="7" t="s">
        <v>50</v>
      </c>
      <c r="F39" s="7" t="s">
        <v>51</v>
      </c>
      <c r="G39" s="3" t="s">
        <v>56</v>
      </c>
      <c r="H39" s="6" t="s">
        <v>228</v>
      </c>
      <c r="I39" s="3" t="s">
        <v>56</v>
      </c>
      <c r="J39" s="6" t="s">
        <v>228</v>
      </c>
      <c r="K39" s="3"/>
      <c r="L39" s="6"/>
      <c r="M39" s="3" t="s">
        <v>56</v>
      </c>
      <c r="N39" s="6" t="s">
        <v>228</v>
      </c>
      <c r="O39" s="3"/>
      <c r="P39" s="6"/>
      <c r="Q39" s="3" t="s">
        <v>56</v>
      </c>
      <c r="R39" s="6" t="s">
        <v>228</v>
      </c>
      <c r="S39" s="5">
        <f>9715</f>
        <v>9715</v>
      </c>
      <c r="T39" s="4">
        <f>1</f>
        <v>1</v>
      </c>
      <c r="U39" s="4"/>
      <c r="V39" s="4"/>
      <c r="W39" s="4">
        <f>4950000</f>
        <v>4950000</v>
      </c>
      <c r="X39" s="4"/>
      <c r="Y39" s="4"/>
      <c r="Z39" s="3"/>
      <c r="AA39" s="2">
        <f>6</f>
        <v>6</v>
      </c>
      <c r="AB39" s="2" t="str">
        <f t="shared" ref="AB39:AB70" si="1">"－"</f>
        <v>－</v>
      </c>
      <c r="AC39" s="1">
        <f>1</f>
        <v>1</v>
      </c>
    </row>
    <row r="40" spans="1:29">
      <c r="A40" s="9" t="s">
        <v>46</v>
      </c>
      <c r="B40" s="8" t="s">
        <v>226</v>
      </c>
      <c r="C40" s="8" t="s">
        <v>227</v>
      </c>
      <c r="D40" s="8" t="s">
        <v>60</v>
      </c>
      <c r="E40" s="7" t="s">
        <v>61</v>
      </c>
      <c r="F40" s="7" t="s">
        <v>62</v>
      </c>
      <c r="G40" s="3" t="s">
        <v>64</v>
      </c>
      <c r="H40" s="6" t="s">
        <v>229</v>
      </c>
      <c r="I40" s="3" t="s">
        <v>64</v>
      </c>
      <c r="J40" s="6" t="s">
        <v>229</v>
      </c>
      <c r="K40" s="3"/>
      <c r="L40" s="6"/>
      <c r="M40" s="3" t="s">
        <v>64</v>
      </c>
      <c r="N40" s="6" t="s">
        <v>229</v>
      </c>
      <c r="O40" s="3"/>
      <c r="P40" s="6"/>
      <c r="Q40" s="3" t="s">
        <v>64</v>
      </c>
      <c r="R40" s="6" t="s">
        <v>229</v>
      </c>
      <c r="S40" s="5">
        <f>9708.5</f>
        <v>9708.5</v>
      </c>
      <c r="T40" s="4">
        <f>1</f>
        <v>1</v>
      </c>
      <c r="U40" s="4"/>
      <c r="V40" s="4"/>
      <c r="W40" s="4">
        <f>4905000</f>
        <v>4905000</v>
      </c>
      <c r="X40" s="4"/>
      <c r="Y40" s="4"/>
      <c r="Z40" s="3"/>
      <c r="AA40" s="2">
        <f>11</f>
        <v>11</v>
      </c>
      <c r="AB40" s="2" t="str">
        <f t="shared" si="1"/>
        <v>－</v>
      </c>
      <c r="AC40" s="1">
        <f>1</f>
        <v>1</v>
      </c>
    </row>
    <row r="41" spans="1:29">
      <c r="A41" s="9" t="s">
        <v>46</v>
      </c>
      <c r="B41" s="8" t="s">
        <v>226</v>
      </c>
      <c r="C41" s="8" t="s">
        <v>227</v>
      </c>
      <c r="D41" s="8" t="s">
        <v>68</v>
      </c>
      <c r="E41" s="7" t="s">
        <v>69</v>
      </c>
      <c r="F41" s="7" t="s">
        <v>70</v>
      </c>
      <c r="G41" s="3" t="s">
        <v>64</v>
      </c>
      <c r="H41" s="6" t="s">
        <v>230</v>
      </c>
      <c r="I41" s="3" t="s">
        <v>231</v>
      </c>
      <c r="J41" s="6" t="s">
        <v>232</v>
      </c>
      <c r="K41" s="3"/>
      <c r="L41" s="6"/>
      <c r="M41" s="3" t="s">
        <v>64</v>
      </c>
      <c r="N41" s="6" t="s">
        <v>230</v>
      </c>
      <c r="O41" s="3"/>
      <c r="P41" s="6"/>
      <c r="Q41" s="3" t="s">
        <v>231</v>
      </c>
      <c r="R41" s="6" t="s">
        <v>232</v>
      </c>
      <c r="S41" s="5">
        <f>9678.5</f>
        <v>9678.5</v>
      </c>
      <c r="T41" s="4">
        <f>5</f>
        <v>5</v>
      </c>
      <c r="U41" s="4"/>
      <c r="V41" s="4"/>
      <c r="W41" s="4">
        <f>24346500</f>
        <v>24346500</v>
      </c>
      <c r="X41" s="4"/>
      <c r="Y41" s="4"/>
      <c r="Z41" s="3"/>
      <c r="AA41" s="2">
        <f>6</f>
        <v>6</v>
      </c>
      <c r="AB41" s="2" t="str">
        <f t="shared" si="1"/>
        <v>－</v>
      </c>
      <c r="AC41" s="1">
        <f>3</f>
        <v>3</v>
      </c>
    </row>
    <row r="42" spans="1:29">
      <c r="A42" s="9" t="s">
        <v>46</v>
      </c>
      <c r="B42" s="8" t="s">
        <v>226</v>
      </c>
      <c r="C42" s="8" t="s">
        <v>227</v>
      </c>
      <c r="D42" s="8" t="s">
        <v>74</v>
      </c>
      <c r="E42" s="7" t="s">
        <v>75</v>
      </c>
      <c r="F42" s="7" t="s">
        <v>76</v>
      </c>
      <c r="G42" s="3" t="s">
        <v>64</v>
      </c>
      <c r="H42" s="6" t="s">
        <v>233</v>
      </c>
      <c r="I42" s="3" t="s">
        <v>64</v>
      </c>
      <c r="J42" s="6" t="s">
        <v>233</v>
      </c>
      <c r="K42" s="3"/>
      <c r="L42" s="6"/>
      <c r="M42" s="3" t="s">
        <v>64</v>
      </c>
      <c r="N42" s="6" t="s">
        <v>233</v>
      </c>
      <c r="O42" s="3"/>
      <c r="P42" s="6"/>
      <c r="Q42" s="3" t="s">
        <v>64</v>
      </c>
      <c r="R42" s="6" t="s">
        <v>233</v>
      </c>
      <c r="S42" s="5">
        <f>9677.5</f>
        <v>9677.5</v>
      </c>
      <c r="T42" s="4">
        <f>1</f>
        <v>1</v>
      </c>
      <c r="U42" s="4"/>
      <c r="V42" s="4"/>
      <c r="W42" s="4">
        <f>4750000</f>
        <v>4750000</v>
      </c>
      <c r="X42" s="4"/>
      <c r="Y42" s="4"/>
      <c r="Z42" s="3"/>
      <c r="AA42" s="2">
        <f>2</f>
        <v>2</v>
      </c>
      <c r="AB42" s="2" t="str">
        <f t="shared" si="1"/>
        <v>－</v>
      </c>
      <c r="AC42" s="1">
        <f>1</f>
        <v>1</v>
      </c>
    </row>
    <row r="43" spans="1:29">
      <c r="A43" s="9" t="s">
        <v>46</v>
      </c>
      <c r="B43" s="8" t="s">
        <v>226</v>
      </c>
      <c r="C43" s="8" t="s">
        <v>227</v>
      </c>
      <c r="D43" s="8" t="s">
        <v>80</v>
      </c>
      <c r="E43" s="7" t="s">
        <v>81</v>
      </c>
      <c r="F43" s="7" t="s">
        <v>82</v>
      </c>
      <c r="G43" s="3"/>
      <c r="H43" s="6" t="s">
        <v>137</v>
      </c>
      <c r="I43" s="3"/>
      <c r="J43" s="6" t="s">
        <v>137</v>
      </c>
      <c r="K43" s="3"/>
      <c r="L43" s="6"/>
      <c r="M43" s="3"/>
      <c r="N43" s="6" t="s">
        <v>137</v>
      </c>
      <c r="O43" s="3"/>
      <c r="P43" s="6"/>
      <c r="Q43" s="3"/>
      <c r="R43" s="6" t="s">
        <v>137</v>
      </c>
      <c r="S43" s="5">
        <f>9677.5</f>
        <v>9677.5</v>
      </c>
      <c r="T43" s="4" t="str">
        <f>"－"</f>
        <v>－</v>
      </c>
      <c r="U43" s="4"/>
      <c r="V43" s="4"/>
      <c r="W43" s="4" t="str">
        <f>"－"</f>
        <v>－</v>
      </c>
      <c r="X43" s="4"/>
      <c r="Y43" s="4"/>
      <c r="Z43" s="3"/>
      <c r="AA43" s="2">
        <f>1</f>
        <v>1</v>
      </c>
      <c r="AB43" s="2" t="str">
        <f t="shared" si="1"/>
        <v>－</v>
      </c>
      <c r="AC43" s="1" t="str">
        <f>"－"</f>
        <v>－</v>
      </c>
    </row>
    <row r="44" spans="1:29">
      <c r="A44" s="9" t="s">
        <v>46</v>
      </c>
      <c r="B44" s="8" t="s">
        <v>226</v>
      </c>
      <c r="C44" s="8" t="s">
        <v>227</v>
      </c>
      <c r="D44" s="8" t="s">
        <v>91</v>
      </c>
      <c r="E44" s="7" t="s">
        <v>92</v>
      </c>
      <c r="F44" s="7" t="s">
        <v>93</v>
      </c>
      <c r="G44" s="3"/>
      <c r="H44" s="6" t="s">
        <v>137</v>
      </c>
      <c r="I44" s="3"/>
      <c r="J44" s="6" t="s">
        <v>137</v>
      </c>
      <c r="K44" s="3"/>
      <c r="L44" s="6"/>
      <c r="M44" s="3"/>
      <c r="N44" s="6" t="s">
        <v>137</v>
      </c>
      <c r="O44" s="3"/>
      <c r="P44" s="6"/>
      <c r="Q44" s="3"/>
      <c r="R44" s="6" t="s">
        <v>137</v>
      </c>
      <c r="S44" s="5">
        <f>9677.5</f>
        <v>9677.5</v>
      </c>
      <c r="T44" s="4" t="str">
        <f>"－"</f>
        <v>－</v>
      </c>
      <c r="U44" s="4"/>
      <c r="V44" s="4"/>
      <c r="W44" s="4" t="str">
        <f>"－"</f>
        <v>－</v>
      </c>
      <c r="X44" s="4"/>
      <c r="Y44" s="4"/>
      <c r="Z44" s="3"/>
      <c r="AA44" s="2" t="str">
        <f>"－"</f>
        <v>－</v>
      </c>
      <c r="AB44" s="2" t="str">
        <f t="shared" si="1"/>
        <v>－</v>
      </c>
      <c r="AC44" s="1" t="str">
        <f>"－"</f>
        <v>－</v>
      </c>
    </row>
    <row r="45" spans="1:29">
      <c r="A45" s="9" t="s">
        <v>46</v>
      </c>
      <c r="B45" s="8" t="s">
        <v>234</v>
      </c>
      <c r="C45" s="8" t="s">
        <v>235</v>
      </c>
      <c r="D45" s="8" t="s">
        <v>46</v>
      </c>
      <c r="E45" s="7" t="s">
        <v>236</v>
      </c>
      <c r="F45" s="7" t="s">
        <v>237</v>
      </c>
      <c r="G45" s="3"/>
      <c r="H45" s="6" t="s">
        <v>137</v>
      </c>
      <c r="I45" s="3"/>
      <c r="J45" s="6" t="s">
        <v>137</v>
      </c>
      <c r="K45" s="3"/>
      <c r="L45" s="6"/>
      <c r="M45" s="3"/>
      <c r="N45" s="6" t="s">
        <v>137</v>
      </c>
      <c r="O45" s="3"/>
      <c r="P45" s="6"/>
      <c r="Q45" s="3"/>
      <c r="R45" s="6" t="s">
        <v>137</v>
      </c>
      <c r="S45" s="5">
        <f>225.6</f>
        <v>225.6</v>
      </c>
      <c r="T45" s="4" t="str">
        <f>"－"</f>
        <v>－</v>
      </c>
      <c r="U45" s="4"/>
      <c r="V45" s="4"/>
      <c r="W45" s="4" t="str">
        <f>"－"</f>
        <v>－</v>
      </c>
      <c r="X45" s="4"/>
      <c r="Y45" s="4"/>
      <c r="Z45" s="3" t="s">
        <v>238</v>
      </c>
      <c r="AA45" s="2">
        <f>3</f>
        <v>3</v>
      </c>
      <c r="AB45" s="2" t="str">
        <f t="shared" si="1"/>
        <v>－</v>
      </c>
      <c r="AC45" s="1" t="str">
        <f>"－"</f>
        <v>－</v>
      </c>
    </row>
    <row r="46" spans="1:29">
      <c r="A46" s="9" t="s">
        <v>46</v>
      </c>
      <c r="B46" s="8" t="s">
        <v>234</v>
      </c>
      <c r="C46" s="8" t="s">
        <v>235</v>
      </c>
      <c r="D46" s="8" t="s">
        <v>49</v>
      </c>
      <c r="E46" s="7" t="s">
        <v>239</v>
      </c>
      <c r="F46" s="7" t="s">
        <v>240</v>
      </c>
      <c r="G46" s="3" t="s">
        <v>52</v>
      </c>
      <c r="H46" s="6" t="s">
        <v>241</v>
      </c>
      <c r="I46" s="3" t="s">
        <v>52</v>
      </c>
      <c r="J46" s="6" t="s">
        <v>242</v>
      </c>
      <c r="K46" s="3"/>
      <c r="L46" s="6"/>
      <c r="M46" s="3" t="s">
        <v>142</v>
      </c>
      <c r="N46" s="6" t="s">
        <v>243</v>
      </c>
      <c r="O46" s="3"/>
      <c r="P46" s="6"/>
      <c r="Q46" s="3" t="s">
        <v>142</v>
      </c>
      <c r="R46" s="6" t="s">
        <v>243</v>
      </c>
      <c r="S46" s="5">
        <f>213.97</f>
        <v>213.97</v>
      </c>
      <c r="T46" s="4">
        <f>32</f>
        <v>32</v>
      </c>
      <c r="U46" s="4"/>
      <c r="V46" s="4"/>
      <c r="W46" s="4">
        <f>71972000</f>
        <v>71972000</v>
      </c>
      <c r="X46" s="4"/>
      <c r="Y46" s="4"/>
      <c r="Z46" s="3"/>
      <c r="AA46" s="2" t="str">
        <f>"－"</f>
        <v>－</v>
      </c>
      <c r="AB46" s="2" t="str">
        <f t="shared" si="1"/>
        <v>－</v>
      </c>
      <c r="AC46" s="1">
        <f>2</f>
        <v>2</v>
      </c>
    </row>
    <row r="47" spans="1:29">
      <c r="A47" s="9" t="s">
        <v>46</v>
      </c>
      <c r="B47" s="8" t="s">
        <v>234</v>
      </c>
      <c r="C47" s="8" t="s">
        <v>235</v>
      </c>
      <c r="D47" s="8" t="s">
        <v>244</v>
      </c>
      <c r="E47" s="7" t="s">
        <v>245</v>
      </c>
      <c r="F47" s="7" t="s">
        <v>246</v>
      </c>
      <c r="G47" s="3" t="s">
        <v>56</v>
      </c>
      <c r="H47" s="6" t="s">
        <v>247</v>
      </c>
      <c r="I47" s="3" t="s">
        <v>56</v>
      </c>
      <c r="J47" s="6" t="s">
        <v>247</v>
      </c>
      <c r="K47" s="3"/>
      <c r="L47" s="6"/>
      <c r="M47" s="3" t="s">
        <v>56</v>
      </c>
      <c r="N47" s="6" t="s">
        <v>247</v>
      </c>
      <c r="O47" s="3"/>
      <c r="P47" s="6"/>
      <c r="Q47" s="3" t="s">
        <v>56</v>
      </c>
      <c r="R47" s="6" t="s">
        <v>247</v>
      </c>
      <c r="S47" s="5">
        <f>211.6</f>
        <v>211.6</v>
      </c>
      <c r="T47" s="4">
        <f>10</f>
        <v>10</v>
      </c>
      <c r="U47" s="4"/>
      <c r="V47" s="4"/>
      <c r="W47" s="4">
        <f>20745000</f>
        <v>20745000</v>
      </c>
      <c r="X47" s="4"/>
      <c r="Y47" s="4"/>
      <c r="Z47" s="3"/>
      <c r="AA47" s="2">
        <f>10</f>
        <v>10</v>
      </c>
      <c r="AB47" s="2" t="str">
        <f t="shared" si="1"/>
        <v>－</v>
      </c>
      <c r="AC47" s="1">
        <f>1</f>
        <v>1</v>
      </c>
    </row>
    <row r="48" spans="1:29">
      <c r="A48" s="9" t="s">
        <v>46</v>
      </c>
      <c r="B48" s="8" t="s">
        <v>234</v>
      </c>
      <c r="C48" s="8" t="s">
        <v>235</v>
      </c>
      <c r="D48" s="8" t="s">
        <v>60</v>
      </c>
      <c r="E48" s="7" t="s">
        <v>248</v>
      </c>
      <c r="F48" s="7" t="s">
        <v>249</v>
      </c>
      <c r="G48" s="3"/>
      <c r="H48" s="6" t="s">
        <v>137</v>
      </c>
      <c r="I48" s="3"/>
      <c r="J48" s="6" t="s">
        <v>137</v>
      </c>
      <c r="K48" s="3"/>
      <c r="L48" s="6"/>
      <c r="M48" s="3"/>
      <c r="N48" s="6" t="s">
        <v>137</v>
      </c>
      <c r="O48" s="3"/>
      <c r="P48" s="6"/>
      <c r="Q48" s="3"/>
      <c r="R48" s="6" t="s">
        <v>137</v>
      </c>
      <c r="S48" s="5">
        <f>209.12</f>
        <v>209.12</v>
      </c>
      <c r="T48" s="4" t="str">
        <f>"－"</f>
        <v>－</v>
      </c>
      <c r="U48" s="4"/>
      <c r="V48" s="4"/>
      <c r="W48" s="4" t="str">
        <f>"－"</f>
        <v>－</v>
      </c>
      <c r="X48" s="4"/>
      <c r="Y48" s="4"/>
      <c r="Z48" s="3"/>
      <c r="AA48" s="2" t="str">
        <f>"－"</f>
        <v>－</v>
      </c>
      <c r="AB48" s="2" t="str">
        <f t="shared" si="1"/>
        <v>－</v>
      </c>
      <c r="AC48" s="1" t="str">
        <f>"－"</f>
        <v>－</v>
      </c>
    </row>
    <row r="49" spans="1:29">
      <c r="A49" s="9" t="s">
        <v>46</v>
      </c>
      <c r="B49" s="8" t="s">
        <v>234</v>
      </c>
      <c r="C49" s="8" t="s">
        <v>235</v>
      </c>
      <c r="D49" s="8" t="s">
        <v>250</v>
      </c>
      <c r="E49" s="7" t="s">
        <v>251</v>
      </c>
      <c r="F49" s="7" t="s">
        <v>252</v>
      </c>
      <c r="G49" s="3"/>
      <c r="H49" s="6" t="s">
        <v>137</v>
      </c>
      <c r="I49" s="3"/>
      <c r="J49" s="6" t="s">
        <v>137</v>
      </c>
      <c r="K49" s="3"/>
      <c r="L49" s="6"/>
      <c r="M49" s="3"/>
      <c r="N49" s="6" t="s">
        <v>137</v>
      </c>
      <c r="O49" s="3"/>
      <c r="P49" s="6"/>
      <c r="Q49" s="3"/>
      <c r="R49" s="6" t="s">
        <v>137</v>
      </c>
      <c r="S49" s="5">
        <f>206.78</f>
        <v>206.78</v>
      </c>
      <c r="T49" s="4" t="str">
        <f>"－"</f>
        <v>－</v>
      </c>
      <c r="U49" s="4"/>
      <c r="V49" s="4"/>
      <c r="W49" s="4" t="str">
        <f>"－"</f>
        <v>－</v>
      </c>
      <c r="X49" s="4"/>
      <c r="Y49" s="4"/>
      <c r="Z49" s="3"/>
      <c r="AA49" s="2" t="str">
        <f>"－"</f>
        <v>－</v>
      </c>
      <c r="AB49" s="2" t="str">
        <f t="shared" si="1"/>
        <v>－</v>
      </c>
      <c r="AC49" s="1" t="str">
        <f>"－"</f>
        <v>－</v>
      </c>
    </row>
    <row r="50" spans="1:29">
      <c r="A50" s="9" t="s">
        <v>46</v>
      </c>
      <c r="B50" s="8" t="s">
        <v>234</v>
      </c>
      <c r="C50" s="8" t="s">
        <v>235</v>
      </c>
      <c r="D50" s="8" t="s">
        <v>68</v>
      </c>
      <c r="E50" s="7" t="s">
        <v>253</v>
      </c>
      <c r="F50" s="7" t="s">
        <v>254</v>
      </c>
      <c r="G50" s="3"/>
      <c r="H50" s="6" t="s">
        <v>137</v>
      </c>
      <c r="I50" s="3"/>
      <c r="J50" s="6" t="s">
        <v>137</v>
      </c>
      <c r="K50" s="3"/>
      <c r="L50" s="6"/>
      <c r="M50" s="3"/>
      <c r="N50" s="6" t="s">
        <v>137</v>
      </c>
      <c r="O50" s="3"/>
      <c r="P50" s="6"/>
      <c r="Q50" s="3"/>
      <c r="R50" s="6" t="s">
        <v>137</v>
      </c>
      <c r="S50" s="5">
        <f>204.47</f>
        <v>204.47</v>
      </c>
      <c r="T50" s="4" t="str">
        <f>"－"</f>
        <v>－</v>
      </c>
      <c r="U50" s="4"/>
      <c r="V50" s="4"/>
      <c r="W50" s="4" t="str">
        <f>"－"</f>
        <v>－</v>
      </c>
      <c r="X50" s="4"/>
      <c r="Y50" s="4"/>
      <c r="Z50" s="3"/>
      <c r="AA50" s="2" t="str">
        <f>"－"</f>
        <v>－</v>
      </c>
      <c r="AB50" s="2" t="str">
        <f t="shared" si="1"/>
        <v>－</v>
      </c>
      <c r="AC50" s="1" t="str">
        <f>"－"</f>
        <v>－</v>
      </c>
    </row>
    <row r="51" spans="1:29">
      <c r="A51" s="9" t="s">
        <v>46</v>
      </c>
      <c r="B51" s="8" t="s">
        <v>234</v>
      </c>
      <c r="C51" s="8" t="s">
        <v>235</v>
      </c>
      <c r="D51" s="8" t="s">
        <v>255</v>
      </c>
      <c r="E51" s="7" t="s">
        <v>256</v>
      </c>
      <c r="F51" s="7" t="s">
        <v>257</v>
      </c>
      <c r="G51" s="3"/>
      <c r="H51" s="6" t="s">
        <v>137</v>
      </c>
      <c r="I51" s="3"/>
      <c r="J51" s="6" t="s">
        <v>137</v>
      </c>
      <c r="K51" s="3"/>
      <c r="L51" s="6"/>
      <c r="M51" s="3"/>
      <c r="N51" s="6" t="s">
        <v>137</v>
      </c>
      <c r="O51" s="3"/>
      <c r="P51" s="6"/>
      <c r="Q51" s="3"/>
      <c r="R51" s="6" t="s">
        <v>137</v>
      </c>
      <c r="S51" s="5">
        <f>203.38</f>
        <v>203.38</v>
      </c>
      <c r="T51" s="4" t="str">
        <f>"－"</f>
        <v>－</v>
      </c>
      <c r="U51" s="4"/>
      <c r="V51" s="4"/>
      <c r="W51" s="4" t="str">
        <f>"－"</f>
        <v>－</v>
      </c>
      <c r="X51" s="4"/>
      <c r="Y51" s="4"/>
      <c r="Z51" s="3"/>
      <c r="AA51" s="2" t="str">
        <f>"－"</f>
        <v>－</v>
      </c>
      <c r="AB51" s="2" t="str">
        <f t="shared" si="1"/>
        <v>－</v>
      </c>
      <c r="AC51" s="1" t="str">
        <f>"－"</f>
        <v>－</v>
      </c>
    </row>
    <row r="52" spans="1:29">
      <c r="A52" s="9" t="s">
        <v>46</v>
      </c>
      <c r="B52" s="8" t="s">
        <v>258</v>
      </c>
      <c r="C52" s="8" t="s">
        <v>259</v>
      </c>
      <c r="D52" s="8" t="s">
        <v>46</v>
      </c>
      <c r="E52" s="7" t="s">
        <v>260</v>
      </c>
      <c r="F52" s="7" t="s">
        <v>261</v>
      </c>
      <c r="G52" s="3" t="s">
        <v>52</v>
      </c>
      <c r="H52" s="6" t="s">
        <v>262</v>
      </c>
      <c r="I52" s="3" t="s">
        <v>52</v>
      </c>
      <c r="J52" s="6" t="s">
        <v>263</v>
      </c>
      <c r="K52" s="3" t="s">
        <v>150</v>
      </c>
      <c r="L52" s="6" t="s">
        <v>264</v>
      </c>
      <c r="M52" s="3" t="s">
        <v>88</v>
      </c>
      <c r="N52" s="6" t="s">
        <v>265</v>
      </c>
      <c r="O52" s="3" t="s">
        <v>148</v>
      </c>
      <c r="P52" s="6" t="s">
        <v>266</v>
      </c>
      <c r="Q52" s="3" t="s">
        <v>267</v>
      </c>
      <c r="R52" s="6" t="s">
        <v>268</v>
      </c>
      <c r="S52" s="5">
        <f>219.99</f>
        <v>219.99</v>
      </c>
      <c r="T52" s="4">
        <f>1084</f>
        <v>1084</v>
      </c>
      <c r="U52" s="4">
        <v>218</v>
      </c>
      <c r="V52" s="4">
        <v>134</v>
      </c>
      <c r="W52" s="4">
        <f>1178927000</f>
        <v>1178927000</v>
      </c>
      <c r="X52" s="4">
        <v>238495500</v>
      </c>
      <c r="Y52" s="4">
        <v>146863500</v>
      </c>
      <c r="Z52" s="3" t="s">
        <v>238</v>
      </c>
      <c r="AA52" s="2">
        <f>236</f>
        <v>236</v>
      </c>
      <c r="AB52" s="2" t="str">
        <f t="shared" si="1"/>
        <v>－</v>
      </c>
      <c r="AC52" s="1">
        <f>16</f>
        <v>16</v>
      </c>
    </row>
    <row r="53" spans="1:29">
      <c r="A53" s="9" t="s">
        <v>46</v>
      </c>
      <c r="B53" s="8" t="s">
        <v>258</v>
      </c>
      <c r="C53" s="8" t="s">
        <v>259</v>
      </c>
      <c r="D53" s="8" t="s">
        <v>49</v>
      </c>
      <c r="E53" s="7" t="s">
        <v>269</v>
      </c>
      <c r="F53" s="7" t="s">
        <v>102</v>
      </c>
      <c r="G53" s="3" t="s">
        <v>52</v>
      </c>
      <c r="H53" s="6" t="s">
        <v>270</v>
      </c>
      <c r="I53" s="3" t="s">
        <v>148</v>
      </c>
      <c r="J53" s="6" t="s">
        <v>271</v>
      </c>
      <c r="K53" s="3" t="s">
        <v>267</v>
      </c>
      <c r="L53" s="6" t="s">
        <v>272</v>
      </c>
      <c r="M53" s="3" t="s">
        <v>267</v>
      </c>
      <c r="N53" s="6" t="s">
        <v>273</v>
      </c>
      <c r="O53" s="3" t="s">
        <v>267</v>
      </c>
      <c r="P53" s="6" t="s">
        <v>272</v>
      </c>
      <c r="Q53" s="3" t="s">
        <v>58</v>
      </c>
      <c r="R53" s="6" t="s">
        <v>270</v>
      </c>
      <c r="S53" s="5">
        <f>224.68</f>
        <v>224.68</v>
      </c>
      <c r="T53" s="4">
        <f>565</f>
        <v>565</v>
      </c>
      <c r="U53" s="4">
        <v>20</v>
      </c>
      <c r="V53" s="4">
        <v>190</v>
      </c>
      <c r="W53" s="4">
        <f>633913500</f>
        <v>633913500</v>
      </c>
      <c r="X53" s="4">
        <v>22340000</v>
      </c>
      <c r="Y53" s="4">
        <v>213127000</v>
      </c>
      <c r="Z53" s="3"/>
      <c r="AA53" s="2">
        <f>628</f>
        <v>628</v>
      </c>
      <c r="AB53" s="2" t="str">
        <f t="shared" si="1"/>
        <v>－</v>
      </c>
      <c r="AC53" s="1">
        <f>20</f>
        <v>20</v>
      </c>
    </row>
    <row r="54" spans="1:29">
      <c r="A54" s="9" t="s">
        <v>46</v>
      </c>
      <c r="B54" s="8" t="s">
        <v>258</v>
      </c>
      <c r="C54" s="8" t="s">
        <v>259</v>
      </c>
      <c r="D54" s="8" t="s">
        <v>244</v>
      </c>
      <c r="E54" s="7" t="s">
        <v>274</v>
      </c>
      <c r="F54" s="7" t="s">
        <v>275</v>
      </c>
      <c r="G54" s="3" t="s">
        <v>52</v>
      </c>
      <c r="H54" s="6" t="s">
        <v>276</v>
      </c>
      <c r="I54" s="3" t="s">
        <v>277</v>
      </c>
      <c r="J54" s="6" t="s">
        <v>278</v>
      </c>
      <c r="K54" s="3" t="s">
        <v>279</v>
      </c>
      <c r="L54" s="6" t="s">
        <v>280</v>
      </c>
      <c r="M54" s="3" t="s">
        <v>85</v>
      </c>
      <c r="N54" s="6" t="s">
        <v>281</v>
      </c>
      <c r="O54" s="3" t="s">
        <v>279</v>
      </c>
      <c r="P54" s="6" t="s">
        <v>280</v>
      </c>
      <c r="Q54" s="3" t="s">
        <v>56</v>
      </c>
      <c r="R54" s="6" t="s">
        <v>282</v>
      </c>
      <c r="S54" s="5">
        <f>225.29</f>
        <v>225.29</v>
      </c>
      <c r="T54" s="4">
        <f>616</f>
        <v>616</v>
      </c>
      <c r="U54" s="4">
        <v>1</v>
      </c>
      <c r="V54" s="4">
        <v>154</v>
      </c>
      <c r="W54" s="4">
        <f>692225000</f>
        <v>692225000</v>
      </c>
      <c r="X54" s="4">
        <v>1138500</v>
      </c>
      <c r="Y54" s="4">
        <v>172580500</v>
      </c>
      <c r="Z54" s="3"/>
      <c r="AA54" s="2">
        <f>705</f>
        <v>705</v>
      </c>
      <c r="AB54" s="2" t="str">
        <f t="shared" si="1"/>
        <v>－</v>
      </c>
      <c r="AC54" s="1">
        <f>19</f>
        <v>19</v>
      </c>
    </row>
    <row r="55" spans="1:29">
      <c r="A55" s="9" t="s">
        <v>46</v>
      </c>
      <c r="B55" s="8" t="s">
        <v>258</v>
      </c>
      <c r="C55" s="8" t="s">
        <v>259</v>
      </c>
      <c r="D55" s="8" t="s">
        <v>60</v>
      </c>
      <c r="E55" s="7" t="s">
        <v>283</v>
      </c>
      <c r="F55" s="7" t="s">
        <v>107</v>
      </c>
      <c r="G55" s="3" t="s">
        <v>52</v>
      </c>
      <c r="H55" s="6" t="s">
        <v>284</v>
      </c>
      <c r="I55" s="3" t="s">
        <v>277</v>
      </c>
      <c r="J55" s="6" t="s">
        <v>285</v>
      </c>
      <c r="K55" s="3"/>
      <c r="L55" s="6"/>
      <c r="M55" s="3" t="s">
        <v>52</v>
      </c>
      <c r="N55" s="6" t="s">
        <v>286</v>
      </c>
      <c r="O55" s="3"/>
      <c r="P55" s="6"/>
      <c r="Q55" s="3" t="s">
        <v>58</v>
      </c>
      <c r="R55" s="6" t="s">
        <v>287</v>
      </c>
      <c r="S55" s="5">
        <f>225.41</f>
        <v>225.41</v>
      </c>
      <c r="T55" s="4">
        <f>1827</f>
        <v>1827</v>
      </c>
      <c r="U55" s="4"/>
      <c r="V55" s="4">
        <v>328</v>
      </c>
      <c r="W55" s="4">
        <f>2057986000</f>
        <v>2057986000</v>
      </c>
      <c r="X55" s="4"/>
      <c r="Y55" s="4">
        <v>368067000</v>
      </c>
      <c r="Z55" s="3"/>
      <c r="AA55" s="2">
        <f>855</f>
        <v>855</v>
      </c>
      <c r="AB55" s="2" t="str">
        <f t="shared" si="1"/>
        <v>－</v>
      </c>
      <c r="AC55" s="1">
        <f>20</f>
        <v>20</v>
      </c>
    </row>
    <row r="56" spans="1:29">
      <c r="A56" s="9" t="s">
        <v>46</v>
      </c>
      <c r="B56" s="8" t="s">
        <v>258</v>
      </c>
      <c r="C56" s="8" t="s">
        <v>259</v>
      </c>
      <c r="D56" s="8" t="s">
        <v>250</v>
      </c>
      <c r="E56" s="7" t="s">
        <v>288</v>
      </c>
      <c r="F56" s="7" t="s">
        <v>289</v>
      </c>
      <c r="G56" s="3" t="s">
        <v>52</v>
      </c>
      <c r="H56" s="6" t="s">
        <v>290</v>
      </c>
      <c r="I56" s="3" t="s">
        <v>277</v>
      </c>
      <c r="J56" s="6" t="s">
        <v>291</v>
      </c>
      <c r="K56" s="3"/>
      <c r="L56" s="6"/>
      <c r="M56" s="3" t="s">
        <v>161</v>
      </c>
      <c r="N56" s="6" t="s">
        <v>292</v>
      </c>
      <c r="O56" s="3"/>
      <c r="P56" s="6"/>
      <c r="Q56" s="3" t="s">
        <v>58</v>
      </c>
      <c r="R56" s="6" t="s">
        <v>293</v>
      </c>
      <c r="S56" s="5">
        <f>223.25</f>
        <v>223.25</v>
      </c>
      <c r="T56" s="4">
        <f>14848</f>
        <v>14848</v>
      </c>
      <c r="U56" s="4"/>
      <c r="V56" s="4">
        <v>7147</v>
      </c>
      <c r="W56" s="4">
        <f>16466111000</f>
        <v>16466111000</v>
      </c>
      <c r="X56" s="4"/>
      <c r="Y56" s="4">
        <v>7888510500</v>
      </c>
      <c r="Z56" s="3"/>
      <c r="AA56" s="2">
        <f>939</f>
        <v>939</v>
      </c>
      <c r="AB56" s="2" t="str">
        <f t="shared" si="1"/>
        <v>－</v>
      </c>
      <c r="AC56" s="1">
        <f>20</f>
        <v>20</v>
      </c>
    </row>
    <row r="57" spans="1:29">
      <c r="A57" s="9" t="s">
        <v>46</v>
      </c>
      <c r="B57" s="8" t="s">
        <v>258</v>
      </c>
      <c r="C57" s="8" t="s">
        <v>259</v>
      </c>
      <c r="D57" s="8" t="s">
        <v>68</v>
      </c>
      <c r="E57" s="7" t="s">
        <v>294</v>
      </c>
      <c r="F57" s="7" t="s">
        <v>112</v>
      </c>
      <c r="G57" s="3" t="s">
        <v>52</v>
      </c>
      <c r="H57" s="6" t="s">
        <v>295</v>
      </c>
      <c r="I57" s="3" t="s">
        <v>277</v>
      </c>
      <c r="J57" s="6" t="s">
        <v>296</v>
      </c>
      <c r="K57" s="3"/>
      <c r="L57" s="6"/>
      <c r="M57" s="3" t="s">
        <v>85</v>
      </c>
      <c r="N57" s="6" t="s">
        <v>297</v>
      </c>
      <c r="O57" s="3"/>
      <c r="P57" s="6"/>
      <c r="Q57" s="3" t="s">
        <v>58</v>
      </c>
      <c r="R57" s="6" t="s">
        <v>298</v>
      </c>
      <c r="S57" s="5">
        <f>222.56</f>
        <v>222.56</v>
      </c>
      <c r="T57" s="4">
        <f>28266</f>
        <v>28266</v>
      </c>
      <c r="U57" s="4"/>
      <c r="V57" s="4">
        <v>9418</v>
      </c>
      <c r="W57" s="4">
        <f>31469800000</f>
        <v>31469800000</v>
      </c>
      <c r="X57" s="4"/>
      <c r="Y57" s="4">
        <v>10432275000</v>
      </c>
      <c r="Z57" s="3"/>
      <c r="AA57" s="2">
        <f>4372</f>
        <v>4372</v>
      </c>
      <c r="AB57" s="2" t="str">
        <f t="shared" si="1"/>
        <v>－</v>
      </c>
      <c r="AC57" s="1">
        <f>20</f>
        <v>20</v>
      </c>
    </row>
    <row r="58" spans="1:29">
      <c r="A58" s="9" t="s">
        <v>46</v>
      </c>
      <c r="B58" s="8" t="s">
        <v>258</v>
      </c>
      <c r="C58" s="8" t="s">
        <v>259</v>
      </c>
      <c r="D58" s="8" t="s">
        <v>255</v>
      </c>
      <c r="E58" s="7" t="s">
        <v>299</v>
      </c>
      <c r="F58" s="7" t="s">
        <v>300</v>
      </c>
      <c r="G58" s="3" t="s">
        <v>52</v>
      </c>
      <c r="H58" s="6" t="s">
        <v>301</v>
      </c>
      <c r="I58" s="3" t="s">
        <v>277</v>
      </c>
      <c r="J58" s="6" t="s">
        <v>302</v>
      </c>
      <c r="K58" s="3"/>
      <c r="L58" s="6"/>
      <c r="M58" s="3" t="s">
        <v>150</v>
      </c>
      <c r="N58" s="6" t="s">
        <v>303</v>
      </c>
      <c r="O58" s="3"/>
      <c r="P58" s="6"/>
      <c r="Q58" s="3" t="s">
        <v>58</v>
      </c>
      <c r="R58" s="6" t="s">
        <v>304</v>
      </c>
      <c r="S58" s="5">
        <f>223.54</f>
        <v>223.54</v>
      </c>
      <c r="T58" s="4">
        <f>4498</f>
        <v>4498</v>
      </c>
      <c r="U58" s="4"/>
      <c r="V58" s="4">
        <v>2368</v>
      </c>
      <c r="W58" s="4">
        <f>5132718500</f>
        <v>5132718500</v>
      </c>
      <c r="X58" s="4"/>
      <c r="Y58" s="4">
        <v>2702040500</v>
      </c>
      <c r="Z58" s="3"/>
      <c r="AA58" s="2">
        <f>2397</f>
        <v>2397</v>
      </c>
      <c r="AB58" s="2" t="str">
        <f t="shared" si="1"/>
        <v>－</v>
      </c>
      <c r="AC58" s="1">
        <f>20</f>
        <v>20</v>
      </c>
    </row>
    <row r="59" spans="1:29">
      <c r="A59" s="9" t="s">
        <v>46</v>
      </c>
      <c r="B59" s="8" t="s">
        <v>258</v>
      </c>
      <c r="C59" s="8" t="s">
        <v>259</v>
      </c>
      <c r="D59" s="8" t="s">
        <v>74</v>
      </c>
      <c r="E59" s="7" t="s">
        <v>305</v>
      </c>
      <c r="F59" s="7" t="s">
        <v>117</v>
      </c>
      <c r="G59" s="3" t="s">
        <v>161</v>
      </c>
      <c r="H59" s="6" t="s">
        <v>273</v>
      </c>
      <c r="I59" s="3" t="s">
        <v>306</v>
      </c>
      <c r="J59" s="6" t="s">
        <v>307</v>
      </c>
      <c r="K59" s="3"/>
      <c r="L59" s="6"/>
      <c r="M59" s="3" t="s">
        <v>161</v>
      </c>
      <c r="N59" s="6" t="s">
        <v>273</v>
      </c>
      <c r="O59" s="3"/>
      <c r="P59" s="6"/>
      <c r="Q59" s="3" t="s">
        <v>306</v>
      </c>
      <c r="R59" s="6" t="s">
        <v>307</v>
      </c>
      <c r="S59" s="5">
        <f>224.14</f>
        <v>224.14</v>
      </c>
      <c r="T59" s="4">
        <f>5</f>
        <v>5</v>
      </c>
      <c r="U59" s="4"/>
      <c r="V59" s="4">
        <v>2</v>
      </c>
      <c r="W59" s="4">
        <f>5508500</f>
        <v>5508500</v>
      </c>
      <c r="X59" s="4"/>
      <c r="Y59" s="4">
        <v>2182500</v>
      </c>
      <c r="Z59" s="3"/>
      <c r="AA59" s="2">
        <f>5</f>
        <v>5</v>
      </c>
      <c r="AB59" s="2" t="str">
        <f t="shared" si="1"/>
        <v>－</v>
      </c>
      <c r="AC59" s="1">
        <f>3</f>
        <v>3</v>
      </c>
    </row>
    <row r="60" spans="1:29">
      <c r="A60" s="9" t="s">
        <v>46</v>
      </c>
      <c r="B60" s="8" t="s">
        <v>258</v>
      </c>
      <c r="C60" s="8" t="s">
        <v>259</v>
      </c>
      <c r="D60" s="8" t="s">
        <v>308</v>
      </c>
      <c r="E60" s="7" t="s">
        <v>309</v>
      </c>
      <c r="F60" s="7" t="s">
        <v>310</v>
      </c>
      <c r="G60" s="3" t="s">
        <v>161</v>
      </c>
      <c r="H60" s="6" t="s">
        <v>311</v>
      </c>
      <c r="I60" s="3" t="s">
        <v>161</v>
      </c>
      <c r="J60" s="6" t="s">
        <v>311</v>
      </c>
      <c r="K60" s="3"/>
      <c r="L60" s="6"/>
      <c r="M60" s="3" t="s">
        <v>85</v>
      </c>
      <c r="N60" s="6" t="s">
        <v>273</v>
      </c>
      <c r="O60" s="3"/>
      <c r="P60" s="6"/>
      <c r="Q60" s="3" t="s">
        <v>85</v>
      </c>
      <c r="R60" s="6" t="s">
        <v>273</v>
      </c>
      <c r="S60" s="5">
        <f>226.04</f>
        <v>226.04</v>
      </c>
      <c r="T60" s="4">
        <f>5</f>
        <v>5</v>
      </c>
      <c r="U60" s="4"/>
      <c r="V60" s="4">
        <v>1</v>
      </c>
      <c r="W60" s="4">
        <f>5587500</f>
        <v>5587500</v>
      </c>
      <c r="X60" s="4"/>
      <c r="Y60" s="4">
        <v>1103500</v>
      </c>
      <c r="Z60" s="3"/>
      <c r="AA60" s="2">
        <f>11</f>
        <v>11</v>
      </c>
      <c r="AB60" s="2" t="str">
        <f t="shared" si="1"/>
        <v>－</v>
      </c>
      <c r="AC60" s="1">
        <f>3</f>
        <v>3</v>
      </c>
    </row>
    <row r="61" spans="1:29">
      <c r="A61" s="9" t="s">
        <v>46</v>
      </c>
      <c r="B61" s="8" t="s">
        <v>258</v>
      </c>
      <c r="C61" s="8" t="s">
        <v>259</v>
      </c>
      <c r="D61" s="8" t="s">
        <v>80</v>
      </c>
      <c r="E61" s="7" t="s">
        <v>312</v>
      </c>
      <c r="F61" s="7" t="s">
        <v>121</v>
      </c>
      <c r="G61" s="3" t="s">
        <v>52</v>
      </c>
      <c r="H61" s="6" t="s">
        <v>313</v>
      </c>
      <c r="I61" s="3" t="s">
        <v>52</v>
      </c>
      <c r="J61" s="6" t="s">
        <v>314</v>
      </c>
      <c r="K61" s="3"/>
      <c r="L61" s="6"/>
      <c r="M61" s="3" t="s">
        <v>64</v>
      </c>
      <c r="N61" s="6" t="s">
        <v>315</v>
      </c>
      <c r="O61" s="3"/>
      <c r="P61" s="6"/>
      <c r="Q61" s="3" t="s">
        <v>64</v>
      </c>
      <c r="R61" s="6" t="s">
        <v>315</v>
      </c>
      <c r="S61" s="5">
        <f>227.29</f>
        <v>227.29</v>
      </c>
      <c r="T61" s="4">
        <f>3</f>
        <v>3</v>
      </c>
      <c r="U61" s="4"/>
      <c r="V61" s="4"/>
      <c r="W61" s="4">
        <f>3476000</f>
        <v>3476000</v>
      </c>
      <c r="X61" s="4"/>
      <c r="Y61" s="4"/>
      <c r="Z61" s="3"/>
      <c r="AA61" s="2">
        <f>6</f>
        <v>6</v>
      </c>
      <c r="AB61" s="2" t="str">
        <f t="shared" si="1"/>
        <v>－</v>
      </c>
      <c r="AC61" s="1">
        <f>2</f>
        <v>2</v>
      </c>
    </row>
    <row r="62" spans="1:29">
      <c r="A62" s="9" t="s">
        <v>46</v>
      </c>
      <c r="B62" s="8" t="s">
        <v>258</v>
      </c>
      <c r="C62" s="8" t="s">
        <v>259</v>
      </c>
      <c r="D62" s="8" t="s">
        <v>316</v>
      </c>
      <c r="E62" s="7" t="s">
        <v>317</v>
      </c>
      <c r="F62" s="7" t="s">
        <v>318</v>
      </c>
      <c r="G62" s="3" t="s">
        <v>161</v>
      </c>
      <c r="H62" s="6" t="s">
        <v>296</v>
      </c>
      <c r="I62" s="3" t="s">
        <v>161</v>
      </c>
      <c r="J62" s="6" t="s">
        <v>296</v>
      </c>
      <c r="K62" s="3"/>
      <c r="L62" s="6"/>
      <c r="M62" s="3" t="s">
        <v>85</v>
      </c>
      <c r="N62" s="6" t="s">
        <v>319</v>
      </c>
      <c r="O62" s="3"/>
      <c r="P62" s="6"/>
      <c r="Q62" s="3" t="s">
        <v>148</v>
      </c>
      <c r="R62" s="6" t="s">
        <v>271</v>
      </c>
      <c r="S62" s="5">
        <f>229.62</f>
        <v>229.62</v>
      </c>
      <c r="T62" s="4">
        <f>5</f>
        <v>5</v>
      </c>
      <c r="U62" s="4"/>
      <c r="V62" s="4"/>
      <c r="W62" s="4">
        <f>5735500</f>
        <v>5735500</v>
      </c>
      <c r="X62" s="4"/>
      <c r="Y62" s="4"/>
      <c r="Z62" s="3"/>
      <c r="AA62" s="2">
        <f>6</f>
        <v>6</v>
      </c>
      <c r="AB62" s="2" t="str">
        <f t="shared" si="1"/>
        <v>－</v>
      </c>
      <c r="AC62" s="1">
        <f>3</f>
        <v>3</v>
      </c>
    </row>
    <row r="63" spans="1:29">
      <c r="A63" s="9" t="s">
        <v>46</v>
      </c>
      <c r="B63" s="8" t="s">
        <v>258</v>
      </c>
      <c r="C63" s="8" t="s">
        <v>259</v>
      </c>
      <c r="D63" s="8" t="s">
        <v>91</v>
      </c>
      <c r="E63" s="7" t="s">
        <v>320</v>
      </c>
      <c r="F63" s="7" t="s">
        <v>127</v>
      </c>
      <c r="G63" s="3" t="s">
        <v>142</v>
      </c>
      <c r="H63" s="6" t="s">
        <v>321</v>
      </c>
      <c r="I63" s="3" t="s">
        <v>85</v>
      </c>
      <c r="J63" s="6" t="s">
        <v>311</v>
      </c>
      <c r="K63" s="3"/>
      <c r="L63" s="6"/>
      <c r="M63" s="3" t="s">
        <v>322</v>
      </c>
      <c r="N63" s="6" t="s">
        <v>323</v>
      </c>
      <c r="O63" s="3"/>
      <c r="P63" s="6"/>
      <c r="Q63" s="3" t="s">
        <v>130</v>
      </c>
      <c r="R63" s="6" t="s">
        <v>324</v>
      </c>
      <c r="S63" s="5">
        <f>228.97</f>
        <v>228.97</v>
      </c>
      <c r="T63" s="4">
        <f>10</f>
        <v>10</v>
      </c>
      <c r="U63" s="4"/>
      <c r="V63" s="4"/>
      <c r="W63" s="4">
        <f>11292000</f>
        <v>11292000</v>
      </c>
      <c r="X63" s="4"/>
      <c r="Y63" s="4"/>
      <c r="Z63" s="3"/>
      <c r="AA63" s="2">
        <f>7</f>
        <v>7</v>
      </c>
      <c r="AB63" s="2" t="str">
        <f t="shared" si="1"/>
        <v>－</v>
      </c>
      <c r="AC63" s="1">
        <f>6</f>
        <v>6</v>
      </c>
    </row>
    <row r="64" spans="1:29">
      <c r="A64" s="9" t="s">
        <v>46</v>
      </c>
      <c r="B64" s="8" t="s">
        <v>258</v>
      </c>
      <c r="C64" s="8" t="s">
        <v>259</v>
      </c>
      <c r="D64" s="8" t="s">
        <v>325</v>
      </c>
      <c r="E64" s="7" t="s">
        <v>326</v>
      </c>
      <c r="F64" s="7" t="s">
        <v>327</v>
      </c>
      <c r="G64" s="3" t="s">
        <v>277</v>
      </c>
      <c r="H64" s="6" t="s">
        <v>328</v>
      </c>
      <c r="I64" s="3" t="s">
        <v>277</v>
      </c>
      <c r="J64" s="6" t="s">
        <v>328</v>
      </c>
      <c r="K64" s="3"/>
      <c r="L64" s="6"/>
      <c r="M64" s="3" t="s">
        <v>58</v>
      </c>
      <c r="N64" s="6" t="s">
        <v>329</v>
      </c>
      <c r="O64" s="3"/>
      <c r="P64" s="6"/>
      <c r="Q64" s="3" t="s">
        <v>58</v>
      </c>
      <c r="R64" s="6" t="s">
        <v>329</v>
      </c>
      <c r="S64" s="5">
        <f>223.25</f>
        <v>223.25</v>
      </c>
      <c r="T64" s="4">
        <f>8</f>
        <v>8</v>
      </c>
      <c r="U64" s="4"/>
      <c r="V64" s="4"/>
      <c r="W64" s="4">
        <f>8945000</f>
        <v>8945000</v>
      </c>
      <c r="X64" s="4"/>
      <c r="Y64" s="4"/>
      <c r="Z64" s="3"/>
      <c r="AA64" s="2">
        <f>6</f>
        <v>6</v>
      </c>
      <c r="AB64" s="2" t="str">
        <f t="shared" si="1"/>
        <v>－</v>
      </c>
      <c r="AC64" s="1">
        <f>3</f>
        <v>3</v>
      </c>
    </row>
    <row r="65" spans="1:29">
      <c r="A65" s="9" t="s">
        <v>46</v>
      </c>
      <c r="B65" s="8" t="s">
        <v>330</v>
      </c>
      <c r="C65" s="8" t="s">
        <v>331</v>
      </c>
      <c r="D65" s="8" t="s">
        <v>49</v>
      </c>
      <c r="E65" s="7" t="s">
        <v>332</v>
      </c>
      <c r="F65" s="7" t="s">
        <v>333</v>
      </c>
      <c r="G65" s="3"/>
      <c r="H65" s="6" t="s">
        <v>137</v>
      </c>
      <c r="I65" s="3"/>
      <c r="J65" s="6" t="s">
        <v>137</v>
      </c>
      <c r="K65" s="3"/>
      <c r="L65" s="6"/>
      <c r="M65" s="3"/>
      <c r="N65" s="6" t="s">
        <v>137</v>
      </c>
      <c r="O65" s="3"/>
      <c r="P65" s="6"/>
      <c r="Q65" s="3"/>
      <c r="R65" s="6" t="s">
        <v>137</v>
      </c>
      <c r="S65" s="5">
        <f>187.55</f>
        <v>187.55</v>
      </c>
      <c r="T65" s="4" t="str">
        <f>"－"</f>
        <v>－</v>
      </c>
      <c r="U65" s="4"/>
      <c r="V65" s="4"/>
      <c r="W65" s="4" t="str">
        <f>"－"</f>
        <v>－</v>
      </c>
      <c r="X65" s="4"/>
      <c r="Y65" s="4"/>
      <c r="Z65" s="3" t="s">
        <v>238</v>
      </c>
      <c r="AA65" s="2" t="str">
        <f t="shared" ref="AA65:AA76" si="2">"－"</f>
        <v>－</v>
      </c>
      <c r="AB65" s="2" t="str">
        <f t="shared" si="1"/>
        <v>－</v>
      </c>
      <c r="AC65" s="1" t="str">
        <f>"－"</f>
        <v>－</v>
      </c>
    </row>
    <row r="66" spans="1:29">
      <c r="A66" s="9" t="s">
        <v>46</v>
      </c>
      <c r="B66" s="8" t="s">
        <v>330</v>
      </c>
      <c r="C66" s="8" t="s">
        <v>331</v>
      </c>
      <c r="D66" s="8" t="s">
        <v>244</v>
      </c>
      <c r="E66" s="7" t="s">
        <v>334</v>
      </c>
      <c r="F66" s="7" t="s">
        <v>335</v>
      </c>
      <c r="G66" s="3"/>
      <c r="H66" s="6" t="s">
        <v>137</v>
      </c>
      <c r="I66" s="3"/>
      <c r="J66" s="6" t="s">
        <v>137</v>
      </c>
      <c r="K66" s="3"/>
      <c r="L66" s="6"/>
      <c r="M66" s="3"/>
      <c r="N66" s="6" t="s">
        <v>137</v>
      </c>
      <c r="O66" s="3"/>
      <c r="P66" s="6"/>
      <c r="Q66" s="3"/>
      <c r="R66" s="6" t="s">
        <v>137</v>
      </c>
      <c r="S66" s="5">
        <f>186.8</f>
        <v>186.8</v>
      </c>
      <c r="T66" s="4" t="str">
        <f>"－"</f>
        <v>－</v>
      </c>
      <c r="U66" s="4"/>
      <c r="V66" s="4"/>
      <c r="W66" s="4" t="str">
        <f>"－"</f>
        <v>－</v>
      </c>
      <c r="X66" s="4"/>
      <c r="Y66" s="4"/>
      <c r="Z66" s="3"/>
      <c r="AA66" s="2" t="str">
        <f t="shared" si="2"/>
        <v>－</v>
      </c>
      <c r="AB66" s="2" t="str">
        <f t="shared" si="1"/>
        <v>－</v>
      </c>
      <c r="AC66" s="1" t="str">
        <f>"－"</f>
        <v>－</v>
      </c>
    </row>
    <row r="67" spans="1:29">
      <c r="A67" s="9" t="s">
        <v>46</v>
      </c>
      <c r="B67" s="8" t="s">
        <v>330</v>
      </c>
      <c r="C67" s="8" t="s">
        <v>331</v>
      </c>
      <c r="D67" s="8" t="s">
        <v>60</v>
      </c>
      <c r="E67" s="7" t="s">
        <v>336</v>
      </c>
      <c r="F67" s="7" t="s">
        <v>337</v>
      </c>
      <c r="G67" s="3" t="s">
        <v>142</v>
      </c>
      <c r="H67" s="6" t="s">
        <v>338</v>
      </c>
      <c r="I67" s="3" t="s">
        <v>130</v>
      </c>
      <c r="J67" s="6" t="s">
        <v>339</v>
      </c>
      <c r="K67" s="3"/>
      <c r="L67" s="6"/>
      <c r="M67" s="3" t="s">
        <v>150</v>
      </c>
      <c r="N67" s="6" t="s">
        <v>340</v>
      </c>
      <c r="O67" s="3"/>
      <c r="P67" s="6"/>
      <c r="Q67" s="3" t="s">
        <v>267</v>
      </c>
      <c r="R67" s="6" t="s">
        <v>341</v>
      </c>
      <c r="S67" s="5">
        <f>185.88</f>
        <v>185.88</v>
      </c>
      <c r="T67" s="4">
        <f>83</f>
        <v>83</v>
      </c>
      <c r="U67" s="4"/>
      <c r="V67" s="4"/>
      <c r="W67" s="4">
        <f>75512500</f>
        <v>75512500</v>
      </c>
      <c r="X67" s="4"/>
      <c r="Y67" s="4"/>
      <c r="Z67" s="3"/>
      <c r="AA67" s="2" t="str">
        <f t="shared" si="2"/>
        <v>－</v>
      </c>
      <c r="AB67" s="2" t="str">
        <f t="shared" si="1"/>
        <v>－</v>
      </c>
      <c r="AC67" s="1">
        <f>7</f>
        <v>7</v>
      </c>
    </row>
    <row r="68" spans="1:29">
      <c r="A68" s="9" t="s">
        <v>46</v>
      </c>
      <c r="B68" s="8" t="s">
        <v>330</v>
      </c>
      <c r="C68" s="8" t="s">
        <v>331</v>
      </c>
      <c r="D68" s="8" t="s">
        <v>250</v>
      </c>
      <c r="E68" s="7" t="s">
        <v>342</v>
      </c>
      <c r="F68" s="7" t="s">
        <v>343</v>
      </c>
      <c r="G68" s="3" t="s">
        <v>142</v>
      </c>
      <c r="H68" s="6" t="s">
        <v>344</v>
      </c>
      <c r="I68" s="3" t="s">
        <v>130</v>
      </c>
      <c r="J68" s="6" t="s">
        <v>345</v>
      </c>
      <c r="K68" s="3"/>
      <c r="L68" s="6"/>
      <c r="M68" s="3" t="s">
        <v>142</v>
      </c>
      <c r="N68" s="6" t="s">
        <v>346</v>
      </c>
      <c r="O68" s="3"/>
      <c r="P68" s="6"/>
      <c r="Q68" s="3" t="s">
        <v>267</v>
      </c>
      <c r="R68" s="6" t="s">
        <v>347</v>
      </c>
      <c r="S68" s="5">
        <f>186.47</f>
        <v>186.47</v>
      </c>
      <c r="T68" s="4">
        <f>21</f>
        <v>21</v>
      </c>
      <c r="U68" s="4"/>
      <c r="V68" s="4"/>
      <c r="W68" s="4">
        <f>19668000</f>
        <v>19668000</v>
      </c>
      <c r="X68" s="4"/>
      <c r="Y68" s="4"/>
      <c r="Z68" s="3"/>
      <c r="AA68" s="2" t="str">
        <f t="shared" si="2"/>
        <v>－</v>
      </c>
      <c r="AB68" s="2" t="str">
        <f t="shared" si="1"/>
        <v>－</v>
      </c>
      <c r="AC68" s="1">
        <f>3</f>
        <v>3</v>
      </c>
    </row>
    <row r="69" spans="1:29">
      <c r="A69" s="9" t="s">
        <v>46</v>
      </c>
      <c r="B69" s="8" t="s">
        <v>330</v>
      </c>
      <c r="C69" s="8" t="s">
        <v>331</v>
      </c>
      <c r="D69" s="8" t="s">
        <v>68</v>
      </c>
      <c r="E69" s="7" t="s">
        <v>348</v>
      </c>
      <c r="F69" s="7" t="s">
        <v>349</v>
      </c>
      <c r="G69" s="3"/>
      <c r="H69" s="6" t="s">
        <v>137</v>
      </c>
      <c r="I69" s="3"/>
      <c r="J69" s="6" t="s">
        <v>137</v>
      </c>
      <c r="K69" s="3"/>
      <c r="L69" s="6"/>
      <c r="M69" s="3"/>
      <c r="N69" s="6" t="s">
        <v>137</v>
      </c>
      <c r="O69" s="3"/>
      <c r="P69" s="6"/>
      <c r="Q69" s="3"/>
      <c r="R69" s="6" t="s">
        <v>137</v>
      </c>
      <c r="S69" s="5">
        <f>186.15</f>
        <v>186.15</v>
      </c>
      <c r="T69" s="4" t="str">
        <f t="shared" ref="T69:T76" si="3">"－"</f>
        <v>－</v>
      </c>
      <c r="U69" s="4"/>
      <c r="V69" s="4"/>
      <c r="W69" s="4" t="str">
        <f t="shared" ref="W69:W76" si="4">"－"</f>
        <v>－</v>
      </c>
      <c r="X69" s="4"/>
      <c r="Y69" s="4"/>
      <c r="Z69" s="3"/>
      <c r="AA69" s="2" t="str">
        <f t="shared" si="2"/>
        <v>－</v>
      </c>
      <c r="AB69" s="2" t="str">
        <f t="shared" si="1"/>
        <v>－</v>
      </c>
      <c r="AC69" s="1" t="str">
        <f t="shared" ref="AC69:AC76" si="5">"－"</f>
        <v>－</v>
      </c>
    </row>
    <row r="70" spans="1:29">
      <c r="A70" s="9" t="s">
        <v>46</v>
      </c>
      <c r="B70" s="8" t="s">
        <v>330</v>
      </c>
      <c r="C70" s="8" t="s">
        <v>331</v>
      </c>
      <c r="D70" s="8" t="s">
        <v>255</v>
      </c>
      <c r="E70" s="7" t="s">
        <v>350</v>
      </c>
      <c r="F70" s="7" t="s">
        <v>351</v>
      </c>
      <c r="G70" s="3"/>
      <c r="H70" s="6" t="s">
        <v>137</v>
      </c>
      <c r="I70" s="3"/>
      <c r="J70" s="6" t="s">
        <v>137</v>
      </c>
      <c r="K70" s="3"/>
      <c r="L70" s="6"/>
      <c r="M70" s="3"/>
      <c r="N70" s="6" t="s">
        <v>137</v>
      </c>
      <c r="O70" s="3"/>
      <c r="P70" s="6"/>
      <c r="Q70" s="3"/>
      <c r="R70" s="6" t="s">
        <v>137</v>
      </c>
      <c r="S70" s="5">
        <f>186.15</f>
        <v>186.15</v>
      </c>
      <c r="T70" s="4" t="str">
        <f t="shared" si="3"/>
        <v>－</v>
      </c>
      <c r="U70" s="4"/>
      <c r="V70" s="4"/>
      <c r="W70" s="4" t="str">
        <f t="shared" si="4"/>
        <v>－</v>
      </c>
      <c r="X70" s="4"/>
      <c r="Y70" s="4"/>
      <c r="Z70" s="3"/>
      <c r="AA70" s="2" t="str">
        <f t="shared" si="2"/>
        <v>－</v>
      </c>
      <c r="AB70" s="2" t="str">
        <f t="shared" si="1"/>
        <v>－</v>
      </c>
      <c r="AC70" s="1" t="str">
        <f t="shared" si="5"/>
        <v>－</v>
      </c>
    </row>
    <row r="71" spans="1:29">
      <c r="A71" s="9" t="s">
        <v>46</v>
      </c>
      <c r="B71" s="8" t="s">
        <v>330</v>
      </c>
      <c r="C71" s="8" t="s">
        <v>331</v>
      </c>
      <c r="D71" s="8" t="s">
        <v>74</v>
      </c>
      <c r="E71" s="7" t="s">
        <v>352</v>
      </c>
      <c r="F71" s="7" t="s">
        <v>353</v>
      </c>
      <c r="G71" s="3"/>
      <c r="H71" s="6" t="s">
        <v>137</v>
      </c>
      <c r="I71" s="3"/>
      <c r="J71" s="6" t="s">
        <v>137</v>
      </c>
      <c r="K71" s="3"/>
      <c r="L71" s="6"/>
      <c r="M71" s="3"/>
      <c r="N71" s="6" t="s">
        <v>137</v>
      </c>
      <c r="O71" s="3"/>
      <c r="P71" s="6"/>
      <c r="Q71" s="3"/>
      <c r="R71" s="6" t="s">
        <v>137</v>
      </c>
      <c r="S71" s="5">
        <f>186.15</f>
        <v>186.15</v>
      </c>
      <c r="T71" s="4" t="str">
        <f t="shared" si="3"/>
        <v>－</v>
      </c>
      <c r="U71" s="4"/>
      <c r="V71" s="4"/>
      <c r="W71" s="4" t="str">
        <f t="shared" si="4"/>
        <v>－</v>
      </c>
      <c r="X71" s="4"/>
      <c r="Y71" s="4"/>
      <c r="Z71" s="3"/>
      <c r="AA71" s="2" t="str">
        <f t="shared" si="2"/>
        <v>－</v>
      </c>
      <c r="AB71" s="2" t="str">
        <f t="shared" ref="AB71:AB95" si="6">"－"</f>
        <v>－</v>
      </c>
      <c r="AC71" s="1" t="str">
        <f t="shared" si="5"/>
        <v>－</v>
      </c>
    </row>
    <row r="72" spans="1:29">
      <c r="A72" s="9" t="s">
        <v>46</v>
      </c>
      <c r="B72" s="8" t="s">
        <v>330</v>
      </c>
      <c r="C72" s="8" t="s">
        <v>331</v>
      </c>
      <c r="D72" s="8" t="s">
        <v>308</v>
      </c>
      <c r="E72" s="7" t="s">
        <v>354</v>
      </c>
      <c r="F72" s="7" t="s">
        <v>355</v>
      </c>
      <c r="G72" s="3"/>
      <c r="H72" s="6" t="s">
        <v>137</v>
      </c>
      <c r="I72" s="3"/>
      <c r="J72" s="6" t="s">
        <v>137</v>
      </c>
      <c r="K72" s="3"/>
      <c r="L72" s="6"/>
      <c r="M72" s="3"/>
      <c r="N72" s="6" t="s">
        <v>137</v>
      </c>
      <c r="O72" s="3"/>
      <c r="P72" s="6"/>
      <c r="Q72" s="3"/>
      <c r="R72" s="6" t="s">
        <v>137</v>
      </c>
      <c r="S72" s="5">
        <f>186.25</f>
        <v>186.25</v>
      </c>
      <c r="T72" s="4" t="str">
        <f t="shared" si="3"/>
        <v>－</v>
      </c>
      <c r="U72" s="4"/>
      <c r="V72" s="4"/>
      <c r="W72" s="4" t="str">
        <f t="shared" si="4"/>
        <v>－</v>
      </c>
      <c r="X72" s="4"/>
      <c r="Y72" s="4"/>
      <c r="Z72" s="3"/>
      <c r="AA72" s="2" t="str">
        <f t="shared" si="2"/>
        <v>－</v>
      </c>
      <c r="AB72" s="2" t="str">
        <f t="shared" si="6"/>
        <v>－</v>
      </c>
      <c r="AC72" s="1" t="str">
        <f t="shared" si="5"/>
        <v>－</v>
      </c>
    </row>
    <row r="73" spans="1:29">
      <c r="A73" s="9" t="s">
        <v>46</v>
      </c>
      <c r="B73" s="8" t="s">
        <v>330</v>
      </c>
      <c r="C73" s="8" t="s">
        <v>331</v>
      </c>
      <c r="D73" s="8" t="s">
        <v>80</v>
      </c>
      <c r="E73" s="7" t="s">
        <v>356</v>
      </c>
      <c r="F73" s="7" t="s">
        <v>357</v>
      </c>
      <c r="G73" s="3"/>
      <c r="H73" s="6" t="s">
        <v>137</v>
      </c>
      <c r="I73" s="3"/>
      <c r="J73" s="6" t="s">
        <v>137</v>
      </c>
      <c r="K73" s="3"/>
      <c r="L73" s="6"/>
      <c r="M73" s="3"/>
      <c r="N73" s="6" t="s">
        <v>137</v>
      </c>
      <c r="O73" s="3"/>
      <c r="P73" s="6"/>
      <c r="Q73" s="3"/>
      <c r="R73" s="6" t="s">
        <v>137</v>
      </c>
      <c r="S73" s="5">
        <f>186.35</f>
        <v>186.35</v>
      </c>
      <c r="T73" s="4" t="str">
        <f t="shared" si="3"/>
        <v>－</v>
      </c>
      <c r="U73" s="4"/>
      <c r="V73" s="4"/>
      <c r="W73" s="4" t="str">
        <f t="shared" si="4"/>
        <v>－</v>
      </c>
      <c r="X73" s="4"/>
      <c r="Y73" s="4"/>
      <c r="Z73" s="3"/>
      <c r="AA73" s="2" t="str">
        <f t="shared" si="2"/>
        <v>－</v>
      </c>
      <c r="AB73" s="2" t="str">
        <f t="shared" si="6"/>
        <v>－</v>
      </c>
      <c r="AC73" s="1" t="str">
        <f t="shared" si="5"/>
        <v>－</v>
      </c>
    </row>
    <row r="74" spans="1:29">
      <c r="A74" s="9" t="s">
        <v>46</v>
      </c>
      <c r="B74" s="8" t="s">
        <v>330</v>
      </c>
      <c r="C74" s="8" t="s">
        <v>331</v>
      </c>
      <c r="D74" s="8" t="s">
        <v>316</v>
      </c>
      <c r="E74" s="7" t="s">
        <v>358</v>
      </c>
      <c r="F74" s="7" t="s">
        <v>359</v>
      </c>
      <c r="G74" s="3"/>
      <c r="H74" s="6" t="s">
        <v>137</v>
      </c>
      <c r="I74" s="3"/>
      <c r="J74" s="6" t="s">
        <v>137</v>
      </c>
      <c r="K74" s="3"/>
      <c r="L74" s="6"/>
      <c r="M74" s="3"/>
      <c r="N74" s="6" t="s">
        <v>137</v>
      </c>
      <c r="O74" s="3"/>
      <c r="P74" s="6"/>
      <c r="Q74" s="3"/>
      <c r="R74" s="6" t="s">
        <v>137</v>
      </c>
      <c r="S74" s="5">
        <f>186.35</f>
        <v>186.35</v>
      </c>
      <c r="T74" s="4" t="str">
        <f t="shared" si="3"/>
        <v>－</v>
      </c>
      <c r="U74" s="4"/>
      <c r="V74" s="4"/>
      <c r="W74" s="4" t="str">
        <f t="shared" si="4"/>
        <v>－</v>
      </c>
      <c r="X74" s="4"/>
      <c r="Y74" s="4"/>
      <c r="Z74" s="3"/>
      <c r="AA74" s="2" t="str">
        <f t="shared" si="2"/>
        <v>－</v>
      </c>
      <c r="AB74" s="2" t="str">
        <f t="shared" si="6"/>
        <v>－</v>
      </c>
      <c r="AC74" s="1" t="str">
        <f t="shared" si="5"/>
        <v>－</v>
      </c>
    </row>
    <row r="75" spans="1:29">
      <c r="A75" s="9" t="s">
        <v>46</v>
      </c>
      <c r="B75" s="8" t="s">
        <v>330</v>
      </c>
      <c r="C75" s="8" t="s">
        <v>331</v>
      </c>
      <c r="D75" s="8" t="s">
        <v>91</v>
      </c>
      <c r="E75" s="7" t="s">
        <v>360</v>
      </c>
      <c r="F75" s="7" t="s">
        <v>361</v>
      </c>
      <c r="G75" s="3"/>
      <c r="H75" s="6" t="s">
        <v>137</v>
      </c>
      <c r="I75" s="3"/>
      <c r="J75" s="6" t="s">
        <v>137</v>
      </c>
      <c r="K75" s="3"/>
      <c r="L75" s="6"/>
      <c r="M75" s="3"/>
      <c r="N75" s="6" t="s">
        <v>137</v>
      </c>
      <c r="O75" s="3"/>
      <c r="P75" s="6"/>
      <c r="Q75" s="3"/>
      <c r="R75" s="6" t="s">
        <v>137</v>
      </c>
      <c r="S75" s="5">
        <f>186.35</f>
        <v>186.35</v>
      </c>
      <c r="T75" s="4" t="str">
        <f t="shared" si="3"/>
        <v>－</v>
      </c>
      <c r="U75" s="4"/>
      <c r="V75" s="4"/>
      <c r="W75" s="4" t="str">
        <f t="shared" si="4"/>
        <v>－</v>
      </c>
      <c r="X75" s="4"/>
      <c r="Y75" s="4"/>
      <c r="Z75" s="3"/>
      <c r="AA75" s="2" t="str">
        <f t="shared" si="2"/>
        <v>－</v>
      </c>
      <c r="AB75" s="2" t="str">
        <f t="shared" si="6"/>
        <v>－</v>
      </c>
      <c r="AC75" s="1" t="str">
        <f t="shared" si="5"/>
        <v>－</v>
      </c>
    </row>
    <row r="76" spans="1:29">
      <c r="A76" s="9" t="s">
        <v>46</v>
      </c>
      <c r="B76" s="8" t="s">
        <v>330</v>
      </c>
      <c r="C76" s="8" t="s">
        <v>331</v>
      </c>
      <c r="D76" s="8" t="s">
        <v>325</v>
      </c>
      <c r="E76" s="7" t="s">
        <v>237</v>
      </c>
      <c r="F76" s="7" t="s">
        <v>362</v>
      </c>
      <c r="G76" s="3"/>
      <c r="H76" s="6" t="s">
        <v>137</v>
      </c>
      <c r="I76" s="3"/>
      <c r="J76" s="6" t="s">
        <v>137</v>
      </c>
      <c r="K76" s="3"/>
      <c r="L76" s="6"/>
      <c r="M76" s="3"/>
      <c r="N76" s="6" t="s">
        <v>137</v>
      </c>
      <c r="O76" s="3"/>
      <c r="P76" s="6"/>
      <c r="Q76" s="3"/>
      <c r="R76" s="6" t="s">
        <v>137</v>
      </c>
      <c r="S76" s="5">
        <f>186.35</f>
        <v>186.35</v>
      </c>
      <c r="T76" s="4" t="str">
        <f t="shared" si="3"/>
        <v>－</v>
      </c>
      <c r="U76" s="4"/>
      <c r="V76" s="4"/>
      <c r="W76" s="4" t="str">
        <f t="shared" si="4"/>
        <v>－</v>
      </c>
      <c r="X76" s="4"/>
      <c r="Y76" s="4"/>
      <c r="Z76" s="3"/>
      <c r="AA76" s="2" t="str">
        <f t="shared" si="2"/>
        <v>－</v>
      </c>
      <c r="AB76" s="2" t="str">
        <f t="shared" si="6"/>
        <v>－</v>
      </c>
      <c r="AC76" s="1" t="str">
        <f t="shared" si="5"/>
        <v>－</v>
      </c>
    </row>
    <row r="77" spans="1:29">
      <c r="A77" s="9" t="s">
        <v>46</v>
      </c>
      <c r="B77" s="8" t="s">
        <v>363</v>
      </c>
      <c r="C77" s="8" t="s">
        <v>364</v>
      </c>
      <c r="D77" s="8" t="s">
        <v>244</v>
      </c>
      <c r="E77" s="7" t="s">
        <v>365</v>
      </c>
      <c r="F77" s="7" t="s">
        <v>366</v>
      </c>
      <c r="G77" s="3" t="s">
        <v>150</v>
      </c>
      <c r="H77" s="6" t="s">
        <v>367</v>
      </c>
      <c r="I77" s="3" t="s">
        <v>150</v>
      </c>
      <c r="J77" s="6" t="s">
        <v>367</v>
      </c>
      <c r="K77" s="3"/>
      <c r="L77" s="6"/>
      <c r="M77" s="3" t="s">
        <v>58</v>
      </c>
      <c r="N77" s="6" t="s">
        <v>368</v>
      </c>
      <c r="O77" s="3"/>
      <c r="P77" s="6"/>
      <c r="Q77" s="3" t="s">
        <v>58</v>
      </c>
      <c r="R77" s="6" t="s">
        <v>369</v>
      </c>
      <c r="S77" s="5">
        <f>51050</f>
        <v>51050</v>
      </c>
      <c r="T77" s="4">
        <f>28</f>
        <v>28</v>
      </c>
      <c r="U77" s="4"/>
      <c r="V77" s="4"/>
      <c r="W77" s="4">
        <f>69094500</f>
        <v>69094500</v>
      </c>
      <c r="X77" s="4"/>
      <c r="Y77" s="4"/>
      <c r="Z77" s="3"/>
      <c r="AA77" s="2">
        <f>420</f>
        <v>420</v>
      </c>
      <c r="AB77" s="2" t="str">
        <f t="shared" si="6"/>
        <v>－</v>
      </c>
      <c r="AC77" s="1">
        <f>11</f>
        <v>11</v>
      </c>
    </row>
    <row r="78" spans="1:29">
      <c r="A78" s="9" t="s">
        <v>46</v>
      </c>
      <c r="B78" s="8" t="s">
        <v>363</v>
      </c>
      <c r="C78" s="8" t="s">
        <v>364</v>
      </c>
      <c r="D78" s="8" t="s">
        <v>250</v>
      </c>
      <c r="E78" s="7" t="s">
        <v>370</v>
      </c>
      <c r="F78" s="7" t="s">
        <v>371</v>
      </c>
      <c r="G78" s="3" t="s">
        <v>52</v>
      </c>
      <c r="H78" s="6" t="s">
        <v>367</v>
      </c>
      <c r="I78" s="3" t="s">
        <v>88</v>
      </c>
      <c r="J78" s="6" t="s">
        <v>372</v>
      </c>
      <c r="K78" s="3"/>
      <c r="L78" s="6"/>
      <c r="M78" s="3" t="s">
        <v>52</v>
      </c>
      <c r="N78" s="6" t="s">
        <v>367</v>
      </c>
      <c r="O78" s="3"/>
      <c r="P78" s="6"/>
      <c r="Q78" s="3" t="s">
        <v>58</v>
      </c>
      <c r="R78" s="6" t="s">
        <v>373</v>
      </c>
      <c r="S78" s="5">
        <f>53048.5</f>
        <v>53048.5</v>
      </c>
      <c r="T78" s="4">
        <f>24</f>
        <v>24</v>
      </c>
      <c r="U78" s="4"/>
      <c r="V78" s="4"/>
      <c r="W78" s="4">
        <f>63991500</f>
        <v>63991500</v>
      </c>
      <c r="X78" s="4"/>
      <c r="Y78" s="4"/>
      <c r="Z78" s="3"/>
      <c r="AA78" s="2">
        <f>133</f>
        <v>133</v>
      </c>
      <c r="AB78" s="2" t="str">
        <f t="shared" si="6"/>
        <v>－</v>
      </c>
      <c r="AC78" s="1">
        <f>8</f>
        <v>8</v>
      </c>
    </row>
    <row r="79" spans="1:29">
      <c r="A79" s="9" t="s">
        <v>46</v>
      </c>
      <c r="B79" s="8" t="s">
        <v>363</v>
      </c>
      <c r="C79" s="8" t="s">
        <v>364</v>
      </c>
      <c r="D79" s="8" t="s">
        <v>255</v>
      </c>
      <c r="E79" s="7" t="s">
        <v>374</v>
      </c>
      <c r="F79" s="7" t="s">
        <v>375</v>
      </c>
      <c r="G79" s="3" t="s">
        <v>52</v>
      </c>
      <c r="H79" s="6" t="s">
        <v>376</v>
      </c>
      <c r="I79" s="3" t="s">
        <v>148</v>
      </c>
      <c r="J79" s="6" t="s">
        <v>377</v>
      </c>
      <c r="K79" s="3"/>
      <c r="L79" s="6"/>
      <c r="M79" s="3" t="s">
        <v>52</v>
      </c>
      <c r="N79" s="6" t="s">
        <v>378</v>
      </c>
      <c r="O79" s="3"/>
      <c r="P79" s="6"/>
      <c r="Q79" s="3" t="s">
        <v>279</v>
      </c>
      <c r="R79" s="6" t="s">
        <v>379</v>
      </c>
      <c r="S79" s="5">
        <f>52651</f>
        <v>52651</v>
      </c>
      <c r="T79" s="4">
        <f>40</f>
        <v>40</v>
      </c>
      <c r="U79" s="4"/>
      <c r="V79" s="4"/>
      <c r="W79" s="4">
        <f>104804500</f>
        <v>104804500</v>
      </c>
      <c r="X79" s="4"/>
      <c r="Y79" s="4"/>
      <c r="Z79" s="3"/>
      <c r="AA79" s="2">
        <f>284</f>
        <v>284</v>
      </c>
      <c r="AB79" s="2" t="str">
        <f t="shared" si="6"/>
        <v>－</v>
      </c>
      <c r="AC79" s="1">
        <f>15</f>
        <v>15</v>
      </c>
    </row>
    <row r="80" spans="1:29">
      <c r="A80" s="9" t="s">
        <v>46</v>
      </c>
      <c r="B80" s="8" t="s">
        <v>363</v>
      </c>
      <c r="C80" s="8" t="s">
        <v>364</v>
      </c>
      <c r="D80" s="8" t="s">
        <v>308</v>
      </c>
      <c r="E80" s="7" t="s">
        <v>380</v>
      </c>
      <c r="F80" s="7" t="s">
        <v>381</v>
      </c>
      <c r="G80" s="3" t="s">
        <v>52</v>
      </c>
      <c r="H80" s="6" t="s">
        <v>382</v>
      </c>
      <c r="I80" s="3" t="s">
        <v>153</v>
      </c>
      <c r="J80" s="6" t="s">
        <v>383</v>
      </c>
      <c r="K80" s="3"/>
      <c r="L80" s="6"/>
      <c r="M80" s="3" t="s">
        <v>52</v>
      </c>
      <c r="N80" s="6" t="s">
        <v>384</v>
      </c>
      <c r="O80" s="3"/>
      <c r="P80" s="6"/>
      <c r="Q80" s="3" t="s">
        <v>279</v>
      </c>
      <c r="R80" s="6" t="s">
        <v>385</v>
      </c>
      <c r="S80" s="5">
        <f>52160</f>
        <v>52160</v>
      </c>
      <c r="T80" s="4">
        <f>66</f>
        <v>66</v>
      </c>
      <c r="U80" s="4"/>
      <c r="V80" s="4"/>
      <c r="W80" s="4">
        <f>172386500</f>
        <v>172386500</v>
      </c>
      <c r="X80" s="4"/>
      <c r="Y80" s="4"/>
      <c r="Z80" s="3"/>
      <c r="AA80" s="2">
        <f>389</f>
        <v>389</v>
      </c>
      <c r="AB80" s="2" t="str">
        <f t="shared" si="6"/>
        <v>－</v>
      </c>
      <c r="AC80" s="1">
        <f>16</f>
        <v>16</v>
      </c>
    </row>
    <row r="81" spans="1:29">
      <c r="A81" s="9" t="s">
        <v>46</v>
      </c>
      <c r="B81" s="8" t="s">
        <v>363</v>
      </c>
      <c r="C81" s="8" t="s">
        <v>364</v>
      </c>
      <c r="D81" s="8" t="s">
        <v>316</v>
      </c>
      <c r="E81" s="7" t="s">
        <v>386</v>
      </c>
      <c r="F81" s="7" t="s">
        <v>387</v>
      </c>
      <c r="G81" s="3" t="s">
        <v>52</v>
      </c>
      <c r="H81" s="6" t="s">
        <v>388</v>
      </c>
      <c r="I81" s="3" t="s">
        <v>306</v>
      </c>
      <c r="J81" s="6" t="s">
        <v>389</v>
      </c>
      <c r="K81" s="3"/>
      <c r="L81" s="6"/>
      <c r="M81" s="3" t="s">
        <v>52</v>
      </c>
      <c r="N81" s="6" t="s">
        <v>390</v>
      </c>
      <c r="O81" s="3"/>
      <c r="P81" s="6"/>
      <c r="Q81" s="3" t="s">
        <v>58</v>
      </c>
      <c r="R81" s="6" t="s">
        <v>391</v>
      </c>
      <c r="S81" s="5">
        <f>50436</f>
        <v>50436</v>
      </c>
      <c r="T81" s="4">
        <f>625</f>
        <v>625</v>
      </c>
      <c r="U81" s="4"/>
      <c r="V81" s="4">
        <v>4</v>
      </c>
      <c r="W81" s="4">
        <f>1572567000</f>
        <v>1572567000</v>
      </c>
      <c r="X81" s="4"/>
      <c r="Y81" s="4">
        <v>10026000</v>
      </c>
      <c r="Z81" s="3"/>
      <c r="AA81" s="2">
        <f>500</f>
        <v>500</v>
      </c>
      <c r="AB81" s="2" t="str">
        <f t="shared" si="6"/>
        <v>－</v>
      </c>
      <c r="AC81" s="1">
        <f>20</f>
        <v>20</v>
      </c>
    </row>
    <row r="82" spans="1:29">
      <c r="A82" s="9" t="s">
        <v>46</v>
      </c>
      <c r="B82" s="8" t="s">
        <v>363</v>
      </c>
      <c r="C82" s="8" t="s">
        <v>364</v>
      </c>
      <c r="D82" s="8" t="s">
        <v>325</v>
      </c>
      <c r="E82" s="7" t="s">
        <v>392</v>
      </c>
      <c r="F82" s="7" t="s">
        <v>393</v>
      </c>
      <c r="G82" s="3" t="s">
        <v>52</v>
      </c>
      <c r="H82" s="6" t="s">
        <v>394</v>
      </c>
      <c r="I82" s="3" t="s">
        <v>306</v>
      </c>
      <c r="J82" s="6" t="s">
        <v>395</v>
      </c>
      <c r="K82" s="3" t="s">
        <v>267</v>
      </c>
      <c r="L82" s="6" t="s">
        <v>396</v>
      </c>
      <c r="M82" s="3" t="s">
        <v>52</v>
      </c>
      <c r="N82" s="6" t="s">
        <v>397</v>
      </c>
      <c r="O82" s="3" t="s">
        <v>267</v>
      </c>
      <c r="P82" s="6" t="s">
        <v>396</v>
      </c>
      <c r="Q82" s="3" t="s">
        <v>58</v>
      </c>
      <c r="R82" s="6" t="s">
        <v>398</v>
      </c>
      <c r="S82" s="5">
        <f>49947</f>
        <v>49947</v>
      </c>
      <c r="T82" s="4">
        <f>2538</f>
        <v>2538</v>
      </c>
      <c r="U82" s="4">
        <v>1</v>
      </c>
      <c r="V82" s="4">
        <v>4</v>
      </c>
      <c r="W82" s="4">
        <f>6330883000</f>
        <v>6330883000</v>
      </c>
      <c r="X82" s="4">
        <v>2512000</v>
      </c>
      <c r="Y82" s="4">
        <v>10000500</v>
      </c>
      <c r="Z82" s="3"/>
      <c r="AA82" s="2">
        <f>600</f>
        <v>600</v>
      </c>
      <c r="AB82" s="2" t="str">
        <f t="shared" si="6"/>
        <v>－</v>
      </c>
      <c r="AC82" s="1">
        <f>20</f>
        <v>20</v>
      </c>
    </row>
    <row r="83" spans="1:29">
      <c r="A83" s="9" t="s">
        <v>46</v>
      </c>
      <c r="B83" s="8" t="s">
        <v>399</v>
      </c>
      <c r="C83" s="8" t="s">
        <v>400</v>
      </c>
      <c r="D83" s="8" t="s">
        <v>49</v>
      </c>
      <c r="E83" s="7" t="s">
        <v>365</v>
      </c>
      <c r="F83" s="7" t="s">
        <v>366</v>
      </c>
      <c r="G83" s="3"/>
      <c r="H83" s="6" t="s">
        <v>137</v>
      </c>
      <c r="I83" s="3"/>
      <c r="J83" s="6" t="s">
        <v>137</v>
      </c>
      <c r="K83" s="3"/>
      <c r="L83" s="6"/>
      <c r="M83" s="3"/>
      <c r="N83" s="6" t="s">
        <v>137</v>
      </c>
      <c r="O83" s="3"/>
      <c r="P83" s="6"/>
      <c r="Q83" s="3"/>
      <c r="R83" s="6" t="s">
        <v>137</v>
      </c>
      <c r="S83" s="5">
        <f>64000</f>
        <v>64000</v>
      </c>
      <c r="T83" s="4" t="str">
        <f t="shared" ref="T83:T95" si="7">"－"</f>
        <v>－</v>
      </c>
      <c r="U83" s="4"/>
      <c r="V83" s="4"/>
      <c r="W83" s="4" t="str">
        <f t="shared" ref="W83:W95" si="8">"－"</f>
        <v>－</v>
      </c>
      <c r="X83" s="4"/>
      <c r="Y83" s="4"/>
      <c r="Z83" s="3"/>
      <c r="AA83" s="2" t="str">
        <f t="shared" ref="AA83:AA95" si="9">"－"</f>
        <v>－</v>
      </c>
      <c r="AB83" s="2" t="str">
        <f t="shared" si="6"/>
        <v>－</v>
      </c>
      <c r="AC83" s="1" t="str">
        <f t="shared" ref="AC83:AC95" si="10">"－"</f>
        <v>－</v>
      </c>
    </row>
    <row r="84" spans="1:29">
      <c r="A84" s="9" t="s">
        <v>46</v>
      </c>
      <c r="B84" s="8" t="s">
        <v>399</v>
      </c>
      <c r="C84" s="8" t="s">
        <v>400</v>
      </c>
      <c r="D84" s="8" t="s">
        <v>60</v>
      </c>
      <c r="E84" s="7" t="s">
        <v>370</v>
      </c>
      <c r="F84" s="7" t="s">
        <v>371</v>
      </c>
      <c r="G84" s="3"/>
      <c r="H84" s="6" t="s">
        <v>137</v>
      </c>
      <c r="I84" s="3"/>
      <c r="J84" s="6" t="s">
        <v>137</v>
      </c>
      <c r="K84" s="3"/>
      <c r="L84" s="6"/>
      <c r="M84" s="3"/>
      <c r="N84" s="6" t="s">
        <v>137</v>
      </c>
      <c r="O84" s="3"/>
      <c r="P84" s="6"/>
      <c r="Q84" s="3"/>
      <c r="R84" s="6" t="s">
        <v>137</v>
      </c>
      <c r="S84" s="5">
        <f>64000</f>
        <v>64000</v>
      </c>
      <c r="T84" s="4" t="str">
        <f t="shared" si="7"/>
        <v>－</v>
      </c>
      <c r="U84" s="4"/>
      <c r="V84" s="4"/>
      <c r="W84" s="4" t="str">
        <f t="shared" si="8"/>
        <v>－</v>
      </c>
      <c r="X84" s="4"/>
      <c r="Y84" s="4"/>
      <c r="Z84" s="3"/>
      <c r="AA84" s="2" t="str">
        <f t="shared" si="9"/>
        <v>－</v>
      </c>
      <c r="AB84" s="2" t="str">
        <f t="shared" si="6"/>
        <v>－</v>
      </c>
      <c r="AC84" s="1" t="str">
        <f t="shared" si="10"/>
        <v>－</v>
      </c>
    </row>
    <row r="85" spans="1:29">
      <c r="A85" s="9" t="s">
        <v>46</v>
      </c>
      <c r="B85" s="8" t="s">
        <v>399</v>
      </c>
      <c r="C85" s="8" t="s">
        <v>400</v>
      </c>
      <c r="D85" s="8" t="s">
        <v>68</v>
      </c>
      <c r="E85" s="7" t="s">
        <v>374</v>
      </c>
      <c r="F85" s="7" t="s">
        <v>375</v>
      </c>
      <c r="G85" s="3"/>
      <c r="H85" s="6" t="s">
        <v>137</v>
      </c>
      <c r="I85" s="3"/>
      <c r="J85" s="6" t="s">
        <v>137</v>
      </c>
      <c r="K85" s="3"/>
      <c r="L85" s="6"/>
      <c r="M85" s="3"/>
      <c r="N85" s="6" t="s">
        <v>137</v>
      </c>
      <c r="O85" s="3"/>
      <c r="P85" s="6"/>
      <c r="Q85" s="3"/>
      <c r="R85" s="6" t="s">
        <v>137</v>
      </c>
      <c r="S85" s="5">
        <f>64000</f>
        <v>64000</v>
      </c>
      <c r="T85" s="4" t="str">
        <f t="shared" si="7"/>
        <v>－</v>
      </c>
      <c r="U85" s="4"/>
      <c r="V85" s="4"/>
      <c r="W85" s="4" t="str">
        <f t="shared" si="8"/>
        <v>－</v>
      </c>
      <c r="X85" s="4"/>
      <c r="Y85" s="4"/>
      <c r="Z85" s="3"/>
      <c r="AA85" s="2" t="str">
        <f t="shared" si="9"/>
        <v>－</v>
      </c>
      <c r="AB85" s="2" t="str">
        <f t="shared" si="6"/>
        <v>－</v>
      </c>
      <c r="AC85" s="1" t="str">
        <f t="shared" si="10"/>
        <v>－</v>
      </c>
    </row>
    <row r="86" spans="1:29">
      <c r="A86" s="9" t="s">
        <v>46</v>
      </c>
      <c r="B86" s="8" t="s">
        <v>399</v>
      </c>
      <c r="C86" s="8" t="s">
        <v>400</v>
      </c>
      <c r="D86" s="8" t="s">
        <v>74</v>
      </c>
      <c r="E86" s="7" t="s">
        <v>380</v>
      </c>
      <c r="F86" s="7" t="s">
        <v>381</v>
      </c>
      <c r="G86" s="3"/>
      <c r="H86" s="6" t="s">
        <v>137</v>
      </c>
      <c r="I86" s="3"/>
      <c r="J86" s="6" t="s">
        <v>137</v>
      </c>
      <c r="K86" s="3"/>
      <c r="L86" s="6"/>
      <c r="M86" s="3"/>
      <c r="N86" s="6" t="s">
        <v>137</v>
      </c>
      <c r="O86" s="3"/>
      <c r="P86" s="6"/>
      <c r="Q86" s="3"/>
      <c r="R86" s="6" t="s">
        <v>137</v>
      </c>
      <c r="S86" s="5">
        <f>64000</f>
        <v>64000</v>
      </c>
      <c r="T86" s="4" t="str">
        <f t="shared" si="7"/>
        <v>－</v>
      </c>
      <c r="U86" s="4"/>
      <c r="V86" s="4"/>
      <c r="W86" s="4" t="str">
        <f t="shared" si="8"/>
        <v>－</v>
      </c>
      <c r="X86" s="4"/>
      <c r="Y86" s="4"/>
      <c r="Z86" s="3"/>
      <c r="AA86" s="2" t="str">
        <f t="shared" si="9"/>
        <v>－</v>
      </c>
      <c r="AB86" s="2" t="str">
        <f t="shared" si="6"/>
        <v>－</v>
      </c>
      <c r="AC86" s="1" t="str">
        <f t="shared" si="10"/>
        <v>－</v>
      </c>
    </row>
    <row r="87" spans="1:29">
      <c r="A87" s="9" t="s">
        <v>46</v>
      </c>
      <c r="B87" s="8" t="s">
        <v>399</v>
      </c>
      <c r="C87" s="8" t="s">
        <v>400</v>
      </c>
      <c r="D87" s="8" t="s">
        <v>80</v>
      </c>
      <c r="E87" s="7" t="s">
        <v>386</v>
      </c>
      <c r="F87" s="7" t="s">
        <v>387</v>
      </c>
      <c r="G87" s="3"/>
      <c r="H87" s="6" t="s">
        <v>137</v>
      </c>
      <c r="I87" s="3"/>
      <c r="J87" s="6" t="s">
        <v>137</v>
      </c>
      <c r="K87" s="3"/>
      <c r="L87" s="6"/>
      <c r="M87" s="3"/>
      <c r="N87" s="6" t="s">
        <v>137</v>
      </c>
      <c r="O87" s="3"/>
      <c r="P87" s="6"/>
      <c r="Q87" s="3"/>
      <c r="R87" s="6" t="s">
        <v>137</v>
      </c>
      <c r="S87" s="5">
        <f>64000</f>
        <v>64000</v>
      </c>
      <c r="T87" s="4" t="str">
        <f t="shared" si="7"/>
        <v>－</v>
      </c>
      <c r="U87" s="4"/>
      <c r="V87" s="4"/>
      <c r="W87" s="4" t="str">
        <f t="shared" si="8"/>
        <v>－</v>
      </c>
      <c r="X87" s="4"/>
      <c r="Y87" s="4"/>
      <c r="Z87" s="3"/>
      <c r="AA87" s="2" t="str">
        <f t="shared" si="9"/>
        <v>－</v>
      </c>
      <c r="AB87" s="2" t="str">
        <f t="shared" si="6"/>
        <v>－</v>
      </c>
      <c r="AC87" s="1" t="str">
        <f t="shared" si="10"/>
        <v>－</v>
      </c>
    </row>
    <row r="88" spans="1:29">
      <c r="A88" s="9" t="s">
        <v>46</v>
      </c>
      <c r="B88" s="8" t="s">
        <v>399</v>
      </c>
      <c r="C88" s="8" t="s">
        <v>400</v>
      </c>
      <c r="D88" s="8" t="s">
        <v>91</v>
      </c>
      <c r="E88" s="7" t="s">
        <v>392</v>
      </c>
      <c r="F88" s="7" t="s">
        <v>393</v>
      </c>
      <c r="G88" s="3"/>
      <c r="H88" s="6" t="s">
        <v>137</v>
      </c>
      <c r="I88" s="3"/>
      <c r="J88" s="6" t="s">
        <v>137</v>
      </c>
      <c r="K88" s="3"/>
      <c r="L88" s="6"/>
      <c r="M88" s="3"/>
      <c r="N88" s="6" t="s">
        <v>137</v>
      </c>
      <c r="O88" s="3"/>
      <c r="P88" s="6"/>
      <c r="Q88" s="3"/>
      <c r="R88" s="6" t="s">
        <v>137</v>
      </c>
      <c r="S88" s="5">
        <f>64000</f>
        <v>64000</v>
      </c>
      <c r="T88" s="4" t="str">
        <f t="shared" si="7"/>
        <v>－</v>
      </c>
      <c r="U88" s="4"/>
      <c r="V88" s="4"/>
      <c r="W88" s="4" t="str">
        <f t="shared" si="8"/>
        <v>－</v>
      </c>
      <c r="X88" s="4"/>
      <c r="Y88" s="4"/>
      <c r="Z88" s="3"/>
      <c r="AA88" s="2" t="str">
        <f t="shared" si="9"/>
        <v>－</v>
      </c>
      <c r="AB88" s="2" t="str">
        <f t="shared" si="6"/>
        <v>－</v>
      </c>
      <c r="AC88" s="1" t="str">
        <f t="shared" si="10"/>
        <v>－</v>
      </c>
    </row>
    <row r="89" spans="1:29">
      <c r="A89" s="9" t="s">
        <v>46</v>
      </c>
      <c r="B89" s="8" t="s">
        <v>401</v>
      </c>
      <c r="C89" s="8" t="s">
        <v>402</v>
      </c>
      <c r="D89" s="8" t="s">
        <v>46</v>
      </c>
      <c r="E89" s="7" t="s">
        <v>403</v>
      </c>
      <c r="F89" s="7" t="s">
        <v>326</v>
      </c>
      <c r="G89" s="3"/>
      <c r="H89" s="6" t="s">
        <v>137</v>
      </c>
      <c r="I89" s="3"/>
      <c r="J89" s="6" t="s">
        <v>137</v>
      </c>
      <c r="K89" s="3"/>
      <c r="L89" s="6"/>
      <c r="M89" s="3"/>
      <c r="N89" s="6" t="s">
        <v>137</v>
      </c>
      <c r="O89" s="3"/>
      <c r="P89" s="6"/>
      <c r="Q89" s="3"/>
      <c r="R89" s="6" t="s">
        <v>137</v>
      </c>
      <c r="S89" s="5">
        <f>12300</f>
        <v>12300</v>
      </c>
      <c r="T89" s="4" t="str">
        <f t="shared" si="7"/>
        <v>－</v>
      </c>
      <c r="U89" s="4"/>
      <c r="V89" s="4"/>
      <c r="W89" s="4" t="str">
        <f t="shared" si="8"/>
        <v>－</v>
      </c>
      <c r="X89" s="4"/>
      <c r="Y89" s="4"/>
      <c r="Z89" s="3" t="s">
        <v>238</v>
      </c>
      <c r="AA89" s="2" t="str">
        <f t="shared" si="9"/>
        <v>－</v>
      </c>
      <c r="AB89" s="2" t="str">
        <f t="shared" si="6"/>
        <v>－</v>
      </c>
      <c r="AC89" s="1" t="str">
        <f t="shared" si="10"/>
        <v>－</v>
      </c>
    </row>
    <row r="90" spans="1:29">
      <c r="A90" s="9" t="s">
        <v>46</v>
      </c>
      <c r="B90" s="8" t="s">
        <v>401</v>
      </c>
      <c r="C90" s="8" t="s">
        <v>402</v>
      </c>
      <c r="D90" s="8" t="s">
        <v>49</v>
      </c>
      <c r="E90" s="7" t="s">
        <v>75</v>
      </c>
      <c r="F90" s="7" t="s">
        <v>51</v>
      </c>
      <c r="G90" s="3"/>
      <c r="H90" s="6" t="s">
        <v>137</v>
      </c>
      <c r="I90" s="3"/>
      <c r="J90" s="6" t="s">
        <v>137</v>
      </c>
      <c r="K90" s="3"/>
      <c r="L90" s="6"/>
      <c r="M90" s="3"/>
      <c r="N90" s="6" t="s">
        <v>137</v>
      </c>
      <c r="O90" s="3"/>
      <c r="P90" s="6"/>
      <c r="Q90" s="3"/>
      <c r="R90" s="6" t="s">
        <v>137</v>
      </c>
      <c r="S90" s="5">
        <f>12300</f>
        <v>12300</v>
      </c>
      <c r="T90" s="4" t="str">
        <f t="shared" si="7"/>
        <v>－</v>
      </c>
      <c r="U90" s="4"/>
      <c r="V90" s="4"/>
      <c r="W90" s="4" t="str">
        <f t="shared" si="8"/>
        <v>－</v>
      </c>
      <c r="X90" s="4"/>
      <c r="Y90" s="4"/>
      <c r="Z90" s="3"/>
      <c r="AA90" s="2" t="str">
        <f t="shared" si="9"/>
        <v>－</v>
      </c>
      <c r="AB90" s="2" t="str">
        <f t="shared" si="6"/>
        <v>－</v>
      </c>
      <c r="AC90" s="1" t="str">
        <f t="shared" si="10"/>
        <v>－</v>
      </c>
    </row>
    <row r="91" spans="1:29">
      <c r="A91" s="9" t="s">
        <v>46</v>
      </c>
      <c r="B91" s="8" t="s">
        <v>401</v>
      </c>
      <c r="C91" s="8" t="s">
        <v>402</v>
      </c>
      <c r="D91" s="8" t="s">
        <v>244</v>
      </c>
      <c r="E91" s="7" t="s">
        <v>404</v>
      </c>
      <c r="F91" s="7" t="s">
        <v>405</v>
      </c>
      <c r="G91" s="3"/>
      <c r="H91" s="6" t="s">
        <v>137</v>
      </c>
      <c r="I91" s="3"/>
      <c r="J91" s="6" t="s">
        <v>137</v>
      </c>
      <c r="K91" s="3"/>
      <c r="L91" s="6"/>
      <c r="M91" s="3"/>
      <c r="N91" s="6" t="s">
        <v>137</v>
      </c>
      <c r="O91" s="3"/>
      <c r="P91" s="6"/>
      <c r="Q91" s="3"/>
      <c r="R91" s="6" t="s">
        <v>137</v>
      </c>
      <c r="S91" s="5">
        <f>12300</f>
        <v>12300</v>
      </c>
      <c r="T91" s="4" t="str">
        <f t="shared" si="7"/>
        <v>－</v>
      </c>
      <c r="U91" s="4"/>
      <c r="V91" s="4"/>
      <c r="W91" s="4" t="str">
        <f t="shared" si="8"/>
        <v>－</v>
      </c>
      <c r="X91" s="4"/>
      <c r="Y91" s="4"/>
      <c r="Z91" s="3"/>
      <c r="AA91" s="2" t="str">
        <f t="shared" si="9"/>
        <v>－</v>
      </c>
      <c r="AB91" s="2" t="str">
        <f t="shared" si="6"/>
        <v>－</v>
      </c>
      <c r="AC91" s="1" t="str">
        <f t="shared" si="10"/>
        <v>－</v>
      </c>
    </row>
    <row r="92" spans="1:29">
      <c r="A92" s="9" t="s">
        <v>46</v>
      </c>
      <c r="B92" s="8" t="s">
        <v>401</v>
      </c>
      <c r="C92" s="8" t="s">
        <v>402</v>
      </c>
      <c r="D92" s="8" t="s">
        <v>60</v>
      </c>
      <c r="E92" s="7" t="s">
        <v>81</v>
      </c>
      <c r="F92" s="7" t="s">
        <v>406</v>
      </c>
      <c r="G92" s="3"/>
      <c r="H92" s="6" t="s">
        <v>137</v>
      </c>
      <c r="I92" s="3"/>
      <c r="J92" s="6" t="s">
        <v>137</v>
      </c>
      <c r="K92" s="3"/>
      <c r="L92" s="6"/>
      <c r="M92" s="3"/>
      <c r="N92" s="6" t="s">
        <v>137</v>
      </c>
      <c r="O92" s="3"/>
      <c r="P92" s="6"/>
      <c r="Q92" s="3"/>
      <c r="R92" s="6" t="s">
        <v>137</v>
      </c>
      <c r="S92" s="5">
        <f>12300</f>
        <v>12300</v>
      </c>
      <c r="T92" s="4" t="str">
        <f t="shared" si="7"/>
        <v>－</v>
      </c>
      <c r="U92" s="4"/>
      <c r="V92" s="4"/>
      <c r="W92" s="4" t="str">
        <f t="shared" si="8"/>
        <v>－</v>
      </c>
      <c r="X92" s="4"/>
      <c r="Y92" s="4"/>
      <c r="Z92" s="3"/>
      <c r="AA92" s="2" t="str">
        <f t="shared" si="9"/>
        <v>－</v>
      </c>
      <c r="AB92" s="2" t="str">
        <f t="shared" si="6"/>
        <v>－</v>
      </c>
      <c r="AC92" s="1" t="str">
        <f t="shared" si="10"/>
        <v>－</v>
      </c>
    </row>
    <row r="93" spans="1:29">
      <c r="A93" s="9" t="s">
        <v>46</v>
      </c>
      <c r="B93" s="8" t="s">
        <v>401</v>
      </c>
      <c r="C93" s="8" t="s">
        <v>402</v>
      </c>
      <c r="D93" s="8" t="s">
        <v>250</v>
      </c>
      <c r="E93" s="7" t="s">
        <v>407</v>
      </c>
      <c r="F93" s="7" t="s">
        <v>408</v>
      </c>
      <c r="G93" s="3"/>
      <c r="H93" s="6" t="s">
        <v>137</v>
      </c>
      <c r="I93" s="3"/>
      <c r="J93" s="6" t="s">
        <v>137</v>
      </c>
      <c r="K93" s="3"/>
      <c r="L93" s="6"/>
      <c r="M93" s="3"/>
      <c r="N93" s="6" t="s">
        <v>137</v>
      </c>
      <c r="O93" s="3"/>
      <c r="P93" s="6"/>
      <c r="Q93" s="3"/>
      <c r="R93" s="6" t="s">
        <v>137</v>
      </c>
      <c r="S93" s="5">
        <f>12300</f>
        <v>12300</v>
      </c>
      <c r="T93" s="4" t="str">
        <f t="shared" si="7"/>
        <v>－</v>
      </c>
      <c r="U93" s="4"/>
      <c r="V93" s="4"/>
      <c r="W93" s="4" t="str">
        <f t="shared" si="8"/>
        <v>－</v>
      </c>
      <c r="X93" s="4"/>
      <c r="Y93" s="4"/>
      <c r="Z93" s="3"/>
      <c r="AA93" s="2" t="str">
        <f t="shared" si="9"/>
        <v>－</v>
      </c>
      <c r="AB93" s="2" t="str">
        <f t="shared" si="6"/>
        <v>－</v>
      </c>
      <c r="AC93" s="1" t="str">
        <f t="shared" si="10"/>
        <v>－</v>
      </c>
    </row>
    <row r="94" spans="1:29">
      <c r="A94" s="9" t="s">
        <v>46</v>
      </c>
      <c r="B94" s="8" t="s">
        <v>401</v>
      </c>
      <c r="C94" s="8" t="s">
        <v>402</v>
      </c>
      <c r="D94" s="8" t="s">
        <v>68</v>
      </c>
      <c r="E94" s="7" t="s">
        <v>92</v>
      </c>
      <c r="F94" s="7" t="s">
        <v>70</v>
      </c>
      <c r="G94" s="3"/>
      <c r="H94" s="6" t="s">
        <v>137</v>
      </c>
      <c r="I94" s="3"/>
      <c r="J94" s="6" t="s">
        <v>137</v>
      </c>
      <c r="K94" s="3"/>
      <c r="L94" s="6"/>
      <c r="M94" s="3"/>
      <c r="N94" s="6" t="s">
        <v>137</v>
      </c>
      <c r="O94" s="3"/>
      <c r="P94" s="6"/>
      <c r="Q94" s="3"/>
      <c r="R94" s="6" t="s">
        <v>137</v>
      </c>
      <c r="S94" s="5">
        <f>12300</f>
        <v>12300</v>
      </c>
      <c r="T94" s="4" t="str">
        <f t="shared" si="7"/>
        <v>－</v>
      </c>
      <c r="U94" s="4"/>
      <c r="V94" s="4"/>
      <c r="W94" s="4" t="str">
        <f t="shared" si="8"/>
        <v>－</v>
      </c>
      <c r="X94" s="4"/>
      <c r="Y94" s="4"/>
      <c r="Z94" s="3"/>
      <c r="AA94" s="2" t="str">
        <f t="shared" si="9"/>
        <v>－</v>
      </c>
      <c r="AB94" s="2" t="str">
        <f t="shared" si="6"/>
        <v>－</v>
      </c>
      <c r="AC94" s="1" t="str">
        <f t="shared" si="10"/>
        <v>－</v>
      </c>
    </row>
    <row r="95" spans="1:29">
      <c r="A95" s="9" t="s">
        <v>46</v>
      </c>
      <c r="B95" s="8" t="s">
        <v>401</v>
      </c>
      <c r="C95" s="8" t="s">
        <v>402</v>
      </c>
      <c r="D95" s="8" t="s">
        <v>255</v>
      </c>
      <c r="E95" s="7" t="s">
        <v>409</v>
      </c>
      <c r="F95" s="7" t="s">
        <v>410</v>
      </c>
      <c r="G95" s="3"/>
      <c r="H95" s="6" t="s">
        <v>137</v>
      </c>
      <c r="I95" s="3"/>
      <c r="J95" s="6" t="s">
        <v>137</v>
      </c>
      <c r="K95" s="3"/>
      <c r="L95" s="6"/>
      <c r="M95" s="3"/>
      <c r="N95" s="6" t="s">
        <v>137</v>
      </c>
      <c r="O95" s="3"/>
      <c r="P95" s="6"/>
      <c r="Q95" s="3"/>
      <c r="R95" s="6" t="s">
        <v>137</v>
      </c>
      <c r="S95" s="5">
        <f>12300</f>
        <v>12300</v>
      </c>
      <c r="T95" s="4" t="str">
        <f t="shared" si="7"/>
        <v>－</v>
      </c>
      <c r="U95" s="4"/>
      <c r="V95" s="4"/>
      <c r="W95" s="4" t="str">
        <f t="shared" si="8"/>
        <v>－</v>
      </c>
      <c r="X95" s="4"/>
      <c r="Y95" s="4"/>
      <c r="Z95" s="3"/>
      <c r="AA95" s="2" t="str">
        <f t="shared" si="9"/>
        <v>－</v>
      </c>
      <c r="AB95" s="2" t="str">
        <f t="shared" si="6"/>
        <v>－</v>
      </c>
      <c r="AC95" s="1" t="str">
        <f t="shared" si="10"/>
        <v>－</v>
      </c>
    </row>
  </sheetData>
  <mergeCells count="32">
    <mergeCell ref="Z6:AA6"/>
    <mergeCell ref="V4:V5"/>
    <mergeCell ref="Y4:Y5"/>
    <mergeCell ref="G3:R3"/>
    <mergeCell ref="X4:X5"/>
    <mergeCell ref="A3:A5"/>
    <mergeCell ref="B3:B6"/>
    <mergeCell ref="C3:C6"/>
    <mergeCell ref="D3:D5"/>
    <mergeCell ref="E3:F5"/>
    <mergeCell ref="E6:F6"/>
    <mergeCell ref="S3:S5"/>
    <mergeCell ref="Z3:AA5"/>
    <mergeCell ref="AB3:AB5"/>
    <mergeCell ref="T3:V3"/>
    <mergeCell ref="W3:Y3"/>
    <mergeCell ref="A1:J1"/>
    <mergeCell ref="A2:C2"/>
    <mergeCell ref="AC3:AC5"/>
    <mergeCell ref="G4:G5"/>
    <mergeCell ref="H4:H5"/>
    <mergeCell ref="K4:L4"/>
    <mergeCell ref="M4:M5"/>
    <mergeCell ref="W4:W5"/>
    <mergeCell ref="I4:I5"/>
    <mergeCell ref="J4:J5"/>
    <mergeCell ref="N4:N5"/>
    <mergeCell ref="O4:P4"/>
    <mergeCell ref="Q4:Q5"/>
    <mergeCell ref="R4:R5"/>
    <mergeCell ref="T4:T5"/>
    <mergeCell ref="U4:U5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8F978-261B-4C29-9661-94407B0988AD}">
  <sheetPr>
    <pageSetUpPr fitToPage="1"/>
  </sheetPr>
  <dimension ref="A1:AD172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07" customWidth="1"/>
    <col min="2" max="2" width="25.75" style="107" bestFit="1" customWidth="1"/>
    <col min="3" max="3" width="34.5" style="107" bestFit="1" customWidth="1"/>
    <col min="4" max="4" width="10.25" style="107" bestFit="1" customWidth="1"/>
    <col min="5" max="5" width="10.25" style="107" customWidth="1"/>
    <col min="6" max="6" width="10.25" style="107" bestFit="1" customWidth="1"/>
    <col min="7" max="7" width="10.25" style="107" customWidth="1"/>
    <col min="8" max="8" width="5.25" style="107" customWidth="1"/>
    <col min="9" max="9" width="15.25" style="107" customWidth="1"/>
    <col min="10" max="10" width="5.25" style="107" customWidth="1"/>
    <col min="11" max="11" width="15.25" style="107" customWidth="1"/>
    <col min="12" max="12" width="5.25" style="107" customWidth="1"/>
    <col min="13" max="13" width="15.25" style="107" customWidth="1"/>
    <col min="14" max="14" width="5.25" style="107" customWidth="1"/>
    <col min="15" max="15" width="15.25" style="107" customWidth="1"/>
    <col min="16" max="16" width="5.25" style="107" customWidth="1"/>
    <col min="17" max="17" width="15.25" style="107" customWidth="1"/>
    <col min="18" max="18" width="5.25" style="107" customWidth="1"/>
    <col min="19" max="20" width="15.25" style="107" customWidth="1"/>
    <col min="21" max="23" width="15" style="107" customWidth="1"/>
    <col min="24" max="26" width="21.25" style="107" customWidth="1"/>
    <col min="27" max="27" width="2.375" style="107" bestFit="1" customWidth="1"/>
    <col min="28" max="28" width="15.25" style="107" customWidth="1"/>
    <col min="29" max="29" width="17.625" style="107" customWidth="1"/>
    <col min="30" max="30" width="7" style="107" bestFit="1" customWidth="1"/>
    <col min="31" max="16384" width="9" style="106"/>
  </cols>
  <sheetData>
    <row r="1" spans="1:30" s="10" customFormat="1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1"/>
      <c r="M1" s="11"/>
      <c r="N1" s="11"/>
      <c r="O1" s="11"/>
      <c r="P1" s="11"/>
      <c r="Q1" s="11"/>
      <c r="R1" s="11"/>
      <c r="S1" s="11"/>
      <c r="T1" s="11"/>
      <c r="U1" s="11"/>
      <c r="V1" s="17"/>
      <c r="W1" s="17"/>
      <c r="X1" s="17"/>
      <c r="Y1" s="18"/>
      <c r="Z1" s="18"/>
      <c r="AA1" s="18"/>
      <c r="AB1" s="18"/>
      <c r="AC1" s="18"/>
      <c r="AD1" s="19"/>
    </row>
    <row r="2" spans="1:30" s="10" customFormat="1" ht="30" customHeight="1">
      <c r="A2" s="31" t="s">
        <v>27</v>
      </c>
      <c r="B2" s="32"/>
      <c r="C2" s="32"/>
      <c r="D2" s="63"/>
      <c r="E2" s="64"/>
      <c r="F2" s="65"/>
      <c r="G2" s="64"/>
      <c r="H2" s="64"/>
      <c r="I2" s="64"/>
      <c r="J2" s="27"/>
      <c r="K2" s="27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65"/>
      <c r="Y2" s="66"/>
      <c r="Z2" s="67" t="s">
        <v>411</v>
      </c>
      <c r="AA2" s="68">
        <f>DATE(LEFT(A7,4),RIGHT(A7,2)+1,1)-1</f>
        <v>44834</v>
      </c>
      <c r="AB2" s="68"/>
      <c r="AC2" s="69"/>
      <c r="AD2" s="70" t="s">
        <v>412</v>
      </c>
    </row>
    <row r="3" spans="1:30" s="10" customFormat="1" ht="14.1" customHeight="1">
      <c r="A3" s="71" t="s">
        <v>0</v>
      </c>
      <c r="B3" s="72" t="s">
        <v>7</v>
      </c>
      <c r="C3" s="72" t="s">
        <v>25</v>
      </c>
      <c r="D3" s="44" t="s">
        <v>1</v>
      </c>
      <c r="E3" s="73" t="s">
        <v>5</v>
      </c>
      <c r="F3" s="74"/>
      <c r="G3" s="44" t="s">
        <v>413</v>
      </c>
      <c r="H3" s="75" t="s">
        <v>24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44" t="s">
        <v>414</v>
      </c>
      <c r="U3" s="77" t="s">
        <v>23</v>
      </c>
      <c r="V3" s="78"/>
      <c r="W3" s="79"/>
      <c r="X3" s="77" t="s">
        <v>22</v>
      </c>
      <c r="Y3" s="78"/>
      <c r="Z3" s="79"/>
      <c r="AA3" s="80" t="s">
        <v>415</v>
      </c>
      <c r="AB3" s="81"/>
      <c r="AC3" s="72" t="s">
        <v>28</v>
      </c>
      <c r="AD3" s="82" t="s">
        <v>416</v>
      </c>
    </row>
    <row r="4" spans="1:30" s="10" customFormat="1" ht="9" customHeight="1">
      <c r="A4" s="83"/>
      <c r="B4" s="84"/>
      <c r="C4" s="84"/>
      <c r="D4" s="45"/>
      <c r="E4" s="80"/>
      <c r="F4" s="81"/>
      <c r="G4" s="45"/>
      <c r="H4" s="85" t="s">
        <v>6</v>
      </c>
      <c r="I4" s="37" t="s">
        <v>417</v>
      </c>
      <c r="J4" s="85" t="s">
        <v>6</v>
      </c>
      <c r="K4" s="41" t="s">
        <v>418</v>
      </c>
      <c r="L4" s="86" t="s">
        <v>2</v>
      </c>
      <c r="M4" s="86"/>
      <c r="N4" s="85" t="s">
        <v>6</v>
      </c>
      <c r="O4" s="41" t="s">
        <v>419</v>
      </c>
      <c r="P4" s="86" t="s">
        <v>2</v>
      </c>
      <c r="Q4" s="86"/>
      <c r="R4" s="85" t="s">
        <v>6</v>
      </c>
      <c r="S4" s="37" t="s">
        <v>420</v>
      </c>
      <c r="T4" s="45"/>
      <c r="U4" s="44" t="s">
        <v>3</v>
      </c>
      <c r="V4" s="45" t="s">
        <v>421</v>
      </c>
      <c r="W4" s="45" t="s">
        <v>30</v>
      </c>
      <c r="X4" s="44" t="s">
        <v>3</v>
      </c>
      <c r="Y4" s="45" t="s">
        <v>422</v>
      </c>
      <c r="Z4" s="45" t="s">
        <v>32</v>
      </c>
      <c r="AA4" s="80"/>
      <c r="AB4" s="81"/>
      <c r="AC4" s="84"/>
      <c r="AD4" s="87"/>
    </row>
    <row r="5" spans="1:30" s="10" customFormat="1" ht="27" customHeight="1">
      <c r="A5" s="83"/>
      <c r="B5" s="84"/>
      <c r="C5" s="84"/>
      <c r="D5" s="45"/>
      <c r="E5" s="88"/>
      <c r="F5" s="38"/>
      <c r="G5" s="45"/>
      <c r="H5" s="89"/>
      <c r="I5" s="38"/>
      <c r="J5" s="89"/>
      <c r="K5" s="42"/>
      <c r="L5" s="90" t="s">
        <v>17</v>
      </c>
      <c r="M5" s="20" t="s">
        <v>423</v>
      </c>
      <c r="N5" s="89"/>
      <c r="O5" s="42"/>
      <c r="P5" s="90" t="s">
        <v>17</v>
      </c>
      <c r="Q5" s="20" t="s">
        <v>423</v>
      </c>
      <c r="R5" s="89"/>
      <c r="S5" s="38"/>
      <c r="T5" s="45"/>
      <c r="U5" s="44"/>
      <c r="V5" s="45"/>
      <c r="W5" s="45"/>
      <c r="X5" s="44"/>
      <c r="Y5" s="45"/>
      <c r="Z5" s="45"/>
      <c r="AA5" s="80"/>
      <c r="AB5" s="38"/>
      <c r="AC5" s="44"/>
      <c r="AD5" s="87"/>
    </row>
    <row r="6" spans="1:30" s="10" customFormat="1" ht="36" customHeight="1">
      <c r="A6" s="91" t="s">
        <v>16</v>
      </c>
      <c r="B6" s="44"/>
      <c r="C6" s="44"/>
      <c r="D6" s="28" t="s">
        <v>4</v>
      </c>
      <c r="E6" s="92" t="s">
        <v>15</v>
      </c>
      <c r="F6" s="93"/>
      <c r="G6" s="28" t="s">
        <v>424</v>
      </c>
      <c r="H6" s="90" t="s">
        <v>14</v>
      </c>
      <c r="I6" s="21" t="s">
        <v>425</v>
      </c>
      <c r="J6" s="90" t="s">
        <v>14</v>
      </c>
      <c r="K6" s="20" t="s">
        <v>426</v>
      </c>
      <c r="L6" s="90" t="s">
        <v>14</v>
      </c>
      <c r="M6" s="20" t="s">
        <v>427</v>
      </c>
      <c r="N6" s="90" t="s">
        <v>14</v>
      </c>
      <c r="O6" s="20" t="s">
        <v>428</v>
      </c>
      <c r="P6" s="90" t="s">
        <v>14</v>
      </c>
      <c r="Q6" s="20" t="s">
        <v>427</v>
      </c>
      <c r="R6" s="90" t="s">
        <v>14</v>
      </c>
      <c r="S6" s="20" t="s">
        <v>429</v>
      </c>
      <c r="T6" s="28" t="s">
        <v>430</v>
      </c>
      <c r="U6" s="28" t="s">
        <v>13</v>
      </c>
      <c r="V6" s="28" t="s">
        <v>431</v>
      </c>
      <c r="W6" s="28" t="s">
        <v>31</v>
      </c>
      <c r="X6" s="28" t="s">
        <v>11</v>
      </c>
      <c r="Y6" s="28" t="s">
        <v>427</v>
      </c>
      <c r="Z6" s="28" t="s">
        <v>33</v>
      </c>
      <c r="AA6" s="92" t="s">
        <v>9</v>
      </c>
      <c r="AB6" s="93"/>
      <c r="AC6" s="20" t="s">
        <v>29</v>
      </c>
      <c r="AD6" s="94" t="s">
        <v>8</v>
      </c>
    </row>
    <row r="7" spans="1:30">
      <c r="A7" s="95" t="s">
        <v>46</v>
      </c>
      <c r="B7" s="96" t="s">
        <v>432</v>
      </c>
      <c r="C7" s="96" t="s">
        <v>433</v>
      </c>
      <c r="D7" s="96" t="s">
        <v>49</v>
      </c>
      <c r="E7" s="97" t="s">
        <v>299</v>
      </c>
      <c r="F7" s="97" t="s">
        <v>434</v>
      </c>
      <c r="G7" s="98">
        <v>50</v>
      </c>
      <c r="H7" s="99" t="s">
        <v>150</v>
      </c>
      <c r="I7" s="100" t="s">
        <v>435</v>
      </c>
      <c r="J7" s="99" t="s">
        <v>150</v>
      </c>
      <c r="K7" s="100" t="s">
        <v>435</v>
      </c>
      <c r="L7" s="99" t="s">
        <v>148</v>
      </c>
      <c r="M7" s="100" t="s">
        <v>436</v>
      </c>
      <c r="N7" s="99" t="s">
        <v>54</v>
      </c>
      <c r="O7" s="100" t="s">
        <v>437</v>
      </c>
      <c r="P7" s="99" t="s">
        <v>148</v>
      </c>
      <c r="Q7" s="100" t="s">
        <v>436</v>
      </c>
      <c r="R7" s="99" t="s">
        <v>54</v>
      </c>
      <c r="S7" s="100" t="s">
        <v>437</v>
      </c>
      <c r="T7" s="101">
        <f>79003.33</f>
        <v>79003.33</v>
      </c>
      <c r="U7" s="102">
        <f>9</f>
        <v>9</v>
      </c>
      <c r="V7" s="102">
        <v>1</v>
      </c>
      <c r="W7" s="102"/>
      <c r="X7" s="102">
        <f>35420000</f>
        <v>35420000</v>
      </c>
      <c r="Y7" s="102">
        <v>3825000</v>
      </c>
      <c r="Z7" s="103"/>
      <c r="AA7" s="99" t="s">
        <v>238</v>
      </c>
      <c r="AB7" s="104">
        <f>6</f>
        <v>6</v>
      </c>
      <c r="AC7" s="104" t="str">
        <f t="shared" ref="AC7:AD38" si="0">"－"</f>
        <v>－</v>
      </c>
      <c r="AD7" s="105">
        <f>2</f>
        <v>2</v>
      </c>
    </row>
    <row r="8" spans="1:30">
      <c r="A8" s="95" t="s">
        <v>46</v>
      </c>
      <c r="B8" s="96" t="s">
        <v>432</v>
      </c>
      <c r="C8" s="96" t="s">
        <v>433</v>
      </c>
      <c r="D8" s="96" t="s">
        <v>244</v>
      </c>
      <c r="E8" s="97" t="s">
        <v>75</v>
      </c>
      <c r="F8" s="97" t="s">
        <v>102</v>
      </c>
      <c r="G8" s="98">
        <v>50</v>
      </c>
      <c r="H8" s="99" t="s">
        <v>150</v>
      </c>
      <c r="I8" s="100" t="s">
        <v>438</v>
      </c>
      <c r="J8" s="99" t="s">
        <v>150</v>
      </c>
      <c r="K8" s="100" t="s">
        <v>438</v>
      </c>
      <c r="L8" s="99"/>
      <c r="M8" s="100"/>
      <c r="N8" s="99" t="s">
        <v>150</v>
      </c>
      <c r="O8" s="100" t="s">
        <v>438</v>
      </c>
      <c r="P8" s="99"/>
      <c r="Q8" s="100"/>
      <c r="R8" s="99" t="s">
        <v>150</v>
      </c>
      <c r="S8" s="100" t="s">
        <v>438</v>
      </c>
      <c r="T8" s="101">
        <f>78695</f>
        <v>78695</v>
      </c>
      <c r="U8" s="102">
        <f>1</f>
        <v>1</v>
      </c>
      <c r="V8" s="102"/>
      <c r="W8" s="102"/>
      <c r="X8" s="102">
        <f>3910000</f>
        <v>3910000</v>
      </c>
      <c r="Y8" s="102"/>
      <c r="Z8" s="103"/>
      <c r="AA8" s="99"/>
      <c r="AB8" s="104">
        <f>10</f>
        <v>10</v>
      </c>
      <c r="AC8" s="104" t="str">
        <f t="shared" si="0"/>
        <v>－</v>
      </c>
      <c r="AD8" s="105">
        <f>1</f>
        <v>1</v>
      </c>
    </row>
    <row r="9" spans="1:30">
      <c r="A9" s="95" t="s">
        <v>46</v>
      </c>
      <c r="B9" s="96" t="s">
        <v>432</v>
      </c>
      <c r="C9" s="96" t="s">
        <v>433</v>
      </c>
      <c r="D9" s="96" t="s">
        <v>60</v>
      </c>
      <c r="E9" s="97" t="s">
        <v>309</v>
      </c>
      <c r="F9" s="97" t="s">
        <v>405</v>
      </c>
      <c r="G9" s="98">
        <v>50</v>
      </c>
      <c r="H9" s="99" t="s">
        <v>153</v>
      </c>
      <c r="I9" s="100" t="s">
        <v>439</v>
      </c>
      <c r="J9" s="99" t="s">
        <v>153</v>
      </c>
      <c r="K9" s="100" t="s">
        <v>439</v>
      </c>
      <c r="L9" s="99"/>
      <c r="M9" s="100"/>
      <c r="N9" s="99" t="s">
        <v>267</v>
      </c>
      <c r="O9" s="100" t="s">
        <v>440</v>
      </c>
      <c r="P9" s="99"/>
      <c r="Q9" s="100"/>
      <c r="R9" s="99" t="s">
        <v>267</v>
      </c>
      <c r="S9" s="100" t="s">
        <v>440</v>
      </c>
      <c r="T9" s="101">
        <f>79762.5</f>
        <v>79762.5</v>
      </c>
      <c r="U9" s="102">
        <f>2</f>
        <v>2</v>
      </c>
      <c r="V9" s="102"/>
      <c r="W9" s="102"/>
      <c r="X9" s="102">
        <f>7849500</f>
        <v>7849500</v>
      </c>
      <c r="Y9" s="102"/>
      <c r="Z9" s="103"/>
      <c r="AA9" s="99"/>
      <c r="AB9" s="104">
        <f>11</f>
        <v>11</v>
      </c>
      <c r="AC9" s="104" t="str">
        <f t="shared" si="0"/>
        <v>－</v>
      </c>
      <c r="AD9" s="105">
        <f>2</f>
        <v>2</v>
      </c>
    </row>
    <row r="10" spans="1:30">
      <c r="A10" s="95" t="s">
        <v>46</v>
      </c>
      <c r="B10" s="96" t="s">
        <v>432</v>
      </c>
      <c r="C10" s="96" t="s">
        <v>433</v>
      </c>
      <c r="D10" s="96" t="s">
        <v>250</v>
      </c>
      <c r="E10" s="97" t="s">
        <v>312</v>
      </c>
      <c r="F10" s="97" t="s">
        <v>62</v>
      </c>
      <c r="G10" s="98">
        <v>50</v>
      </c>
      <c r="H10" s="99" t="s">
        <v>441</v>
      </c>
      <c r="I10" s="100" t="s">
        <v>442</v>
      </c>
      <c r="J10" s="99" t="s">
        <v>441</v>
      </c>
      <c r="K10" s="100" t="s">
        <v>442</v>
      </c>
      <c r="L10" s="99"/>
      <c r="M10" s="100"/>
      <c r="N10" s="99" t="s">
        <v>441</v>
      </c>
      <c r="O10" s="100" t="s">
        <v>443</v>
      </c>
      <c r="P10" s="99"/>
      <c r="Q10" s="100"/>
      <c r="R10" s="99" t="s">
        <v>148</v>
      </c>
      <c r="S10" s="100" t="s">
        <v>444</v>
      </c>
      <c r="T10" s="101">
        <f>79997</f>
        <v>79997</v>
      </c>
      <c r="U10" s="102">
        <f>4</f>
        <v>4</v>
      </c>
      <c r="V10" s="102"/>
      <c r="W10" s="102"/>
      <c r="X10" s="102">
        <f>16002000</f>
        <v>16002000</v>
      </c>
      <c r="Y10" s="102"/>
      <c r="Z10" s="103"/>
      <c r="AA10" s="99"/>
      <c r="AB10" s="104">
        <f>6</f>
        <v>6</v>
      </c>
      <c r="AC10" s="104" t="str">
        <f t="shared" si="0"/>
        <v>－</v>
      </c>
      <c r="AD10" s="105">
        <f>2</f>
        <v>2</v>
      </c>
    </row>
    <row r="11" spans="1:30">
      <c r="A11" s="95" t="s">
        <v>46</v>
      </c>
      <c r="B11" s="96" t="s">
        <v>432</v>
      </c>
      <c r="C11" s="96" t="s">
        <v>433</v>
      </c>
      <c r="D11" s="96" t="s">
        <v>68</v>
      </c>
      <c r="E11" s="97" t="s">
        <v>317</v>
      </c>
      <c r="F11" s="97" t="s">
        <v>289</v>
      </c>
      <c r="G11" s="98">
        <v>50</v>
      </c>
      <c r="H11" s="99" t="s">
        <v>441</v>
      </c>
      <c r="I11" s="100" t="s">
        <v>445</v>
      </c>
      <c r="J11" s="99" t="s">
        <v>441</v>
      </c>
      <c r="K11" s="100" t="s">
        <v>445</v>
      </c>
      <c r="L11" s="99"/>
      <c r="M11" s="100"/>
      <c r="N11" s="99" t="s">
        <v>441</v>
      </c>
      <c r="O11" s="100" t="s">
        <v>445</v>
      </c>
      <c r="P11" s="99"/>
      <c r="Q11" s="100"/>
      <c r="R11" s="99" t="s">
        <v>441</v>
      </c>
      <c r="S11" s="100" t="s">
        <v>445</v>
      </c>
      <c r="T11" s="101">
        <f>81203</f>
        <v>81203</v>
      </c>
      <c r="U11" s="102">
        <f>1</f>
        <v>1</v>
      </c>
      <c r="V11" s="102"/>
      <c r="W11" s="102"/>
      <c r="X11" s="102">
        <f>4025500</f>
        <v>4025500</v>
      </c>
      <c r="Y11" s="102"/>
      <c r="Z11" s="103"/>
      <c r="AA11" s="99"/>
      <c r="AB11" s="104">
        <f>1</f>
        <v>1</v>
      </c>
      <c r="AC11" s="104" t="str">
        <f t="shared" si="0"/>
        <v>－</v>
      </c>
      <c r="AD11" s="105">
        <f>1</f>
        <v>1</v>
      </c>
    </row>
    <row r="12" spans="1:30">
      <c r="A12" s="95" t="s">
        <v>46</v>
      </c>
      <c r="B12" s="96" t="s">
        <v>432</v>
      </c>
      <c r="C12" s="96" t="s">
        <v>433</v>
      </c>
      <c r="D12" s="96" t="s">
        <v>255</v>
      </c>
      <c r="E12" s="97" t="s">
        <v>320</v>
      </c>
      <c r="F12" s="97" t="s">
        <v>446</v>
      </c>
      <c r="G12" s="98">
        <v>50</v>
      </c>
      <c r="H12" s="99" t="s">
        <v>54</v>
      </c>
      <c r="I12" s="100" t="s">
        <v>447</v>
      </c>
      <c r="J12" s="99" t="s">
        <v>54</v>
      </c>
      <c r="K12" s="100" t="s">
        <v>447</v>
      </c>
      <c r="L12" s="99"/>
      <c r="M12" s="100"/>
      <c r="N12" s="99" t="s">
        <v>54</v>
      </c>
      <c r="O12" s="100" t="s">
        <v>447</v>
      </c>
      <c r="P12" s="99"/>
      <c r="Q12" s="100"/>
      <c r="R12" s="99" t="s">
        <v>54</v>
      </c>
      <c r="S12" s="100" t="s">
        <v>447</v>
      </c>
      <c r="T12" s="101">
        <f>82497.5</f>
        <v>82497.5</v>
      </c>
      <c r="U12" s="102">
        <f>1</f>
        <v>1</v>
      </c>
      <c r="V12" s="102"/>
      <c r="W12" s="102"/>
      <c r="X12" s="102">
        <f>4125000</f>
        <v>4125000</v>
      </c>
      <c r="Y12" s="102"/>
      <c r="Z12" s="103"/>
      <c r="AA12" s="99"/>
      <c r="AB12" s="104">
        <f>1</f>
        <v>1</v>
      </c>
      <c r="AC12" s="104" t="str">
        <f t="shared" si="0"/>
        <v>－</v>
      </c>
      <c r="AD12" s="105">
        <f>1</f>
        <v>1</v>
      </c>
    </row>
    <row r="13" spans="1:30">
      <c r="A13" s="95" t="s">
        <v>46</v>
      </c>
      <c r="B13" s="96" t="s">
        <v>432</v>
      </c>
      <c r="C13" s="96" t="s">
        <v>433</v>
      </c>
      <c r="D13" s="96" t="s">
        <v>74</v>
      </c>
      <c r="E13" s="97" t="s">
        <v>261</v>
      </c>
      <c r="F13" s="97" t="s">
        <v>448</v>
      </c>
      <c r="G13" s="98">
        <v>50</v>
      </c>
      <c r="H13" s="99"/>
      <c r="I13" s="100" t="s">
        <v>137</v>
      </c>
      <c r="J13" s="99"/>
      <c r="K13" s="100" t="s">
        <v>137</v>
      </c>
      <c r="L13" s="99"/>
      <c r="M13" s="100"/>
      <c r="N13" s="99"/>
      <c r="O13" s="100" t="s">
        <v>137</v>
      </c>
      <c r="P13" s="99"/>
      <c r="Q13" s="100"/>
      <c r="R13" s="99"/>
      <c r="S13" s="100" t="s">
        <v>137</v>
      </c>
      <c r="T13" s="101">
        <f>82500</f>
        <v>82500</v>
      </c>
      <c r="U13" s="102" t="str">
        <f>"－"</f>
        <v>－</v>
      </c>
      <c r="V13" s="102"/>
      <c r="W13" s="102"/>
      <c r="X13" s="102" t="str">
        <f>"－"</f>
        <v>－</v>
      </c>
      <c r="Y13" s="102"/>
      <c r="Z13" s="103"/>
      <c r="AA13" s="99"/>
      <c r="AB13" s="104" t="str">
        <f>"－"</f>
        <v>－</v>
      </c>
      <c r="AC13" s="104" t="str">
        <f t="shared" si="0"/>
        <v>－</v>
      </c>
      <c r="AD13" s="105" t="str">
        <f>"－"</f>
        <v>－</v>
      </c>
    </row>
    <row r="14" spans="1:30">
      <c r="A14" s="95" t="s">
        <v>46</v>
      </c>
      <c r="B14" s="96" t="s">
        <v>449</v>
      </c>
      <c r="C14" s="96" t="s">
        <v>450</v>
      </c>
      <c r="D14" s="96" t="s">
        <v>49</v>
      </c>
      <c r="E14" s="97" t="s">
        <v>299</v>
      </c>
      <c r="F14" s="97" t="s">
        <v>434</v>
      </c>
      <c r="G14" s="98">
        <v>50</v>
      </c>
      <c r="H14" s="99" t="s">
        <v>54</v>
      </c>
      <c r="I14" s="100" t="s">
        <v>451</v>
      </c>
      <c r="J14" s="99" t="s">
        <v>306</v>
      </c>
      <c r="K14" s="100" t="s">
        <v>452</v>
      </c>
      <c r="L14" s="99" t="s">
        <v>130</v>
      </c>
      <c r="M14" s="100" t="s">
        <v>453</v>
      </c>
      <c r="N14" s="99" t="s">
        <v>54</v>
      </c>
      <c r="O14" s="100" t="s">
        <v>451</v>
      </c>
      <c r="P14" s="99" t="s">
        <v>130</v>
      </c>
      <c r="Q14" s="100" t="s">
        <v>453</v>
      </c>
      <c r="R14" s="99" t="s">
        <v>306</v>
      </c>
      <c r="S14" s="100" t="s">
        <v>452</v>
      </c>
      <c r="T14" s="101">
        <f>78600</f>
        <v>78600</v>
      </c>
      <c r="U14" s="102">
        <f>5</f>
        <v>5</v>
      </c>
      <c r="V14" s="102">
        <v>3</v>
      </c>
      <c r="W14" s="102"/>
      <c r="X14" s="102">
        <f>19402500</f>
        <v>19402500</v>
      </c>
      <c r="Y14" s="102">
        <v>11557500</v>
      </c>
      <c r="Z14" s="103"/>
      <c r="AA14" s="99" t="s">
        <v>238</v>
      </c>
      <c r="AB14" s="104" t="str">
        <f>"－"</f>
        <v>－</v>
      </c>
      <c r="AC14" s="104" t="str">
        <f t="shared" si="0"/>
        <v>－</v>
      </c>
      <c r="AD14" s="105">
        <f>2</f>
        <v>2</v>
      </c>
    </row>
    <row r="15" spans="1:30">
      <c r="A15" s="95" t="s">
        <v>46</v>
      </c>
      <c r="B15" s="96" t="s">
        <v>449</v>
      </c>
      <c r="C15" s="96" t="s">
        <v>450</v>
      </c>
      <c r="D15" s="96" t="s">
        <v>244</v>
      </c>
      <c r="E15" s="97" t="s">
        <v>75</v>
      </c>
      <c r="F15" s="97" t="s">
        <v>102</v>
      </c>
      <c r="G15" s="98">
        <v>50</v>
      </c>
      <c r="H15" s="99"/>
      <c r="I15" s="100" t="s">
        <v>137</v>
      </c>
      <c r="J15" s="99"/>
      <c r="K15" s="100" t="s">
        <v>137</v>
      </c>
      <c r="L15" s="99"/>
      <c r="M15" s="100"/>
      <c r="N15" s="99"/>
      <c r="O15" s="100" t="s">
        <v>137</v>
      </c>
      <c r="P15" s="99"/>
      <c r="Q15" s="100"/>
      <c r="R15" s="99"/>
      <c r="S15" s="100" t="s">
        <v>137</v>
      </c>
      <c r="T15" s="101">
        <f>81000</f>
        <v>81000</v>
      </c>
      <c r="U15" s="102" t="str">
        <f t="shared" ref="U15:U27" si="1">"－"</f>
        <v>－</v>
      </c>
      <c r="V15" s="102"/>
      <c r="W15" s="102"/>
      <c r="X15" s="102" t="str">
        <f t="shared" ref="X15:X27" si="2">"－"</f>
        <v>－</v>
      </c>
      <c r="Y15" s="102"/>
      <c r="Z15" s="103"/>
      <c r="AA15" s="99"/>
      <c r="AB15" s="104">
        <f>5</f>
        <v>5</v>
      </c>
      <c r="AC15" s="104" t="str">
        <f t="shared" si="0"/>
        <v>－</v>
      </c>
      <c r="AD15" s="105" t="str">
        <f t="shared" si="0"/>
        <v>－</v>
      </c>
    </row>
    <row r="16" spans="1:30">
      <c r="A16" s="95" t="s">
        <v>46</v>
      </c>
      <c r="B16" s="96" t="s">
        <v>449</v>
      </c>
      <c r="C16" s="96" t="s">
        <v>450</v>
      </c>
      <c r="D16" s="96" t="s">
        <v>60</v>
      </c>
      <c r="E16" s="97" t="s">
        <v>309</v>
      </c>
      <c r="F16" s="97" t="s">
        <v>405</v>
      </c>
      <c r="G16" s="98">
        <v>50</v>
      </c>
      <c r="H16" s="99"/>
      <c r="I16" s="100" t="s">
        <v>137</v>
      </c>
      <c r="J16" s="99"/>
      <c r="K16" s="100" t="s">
        <v>137</v>
      </c>
      <c r="L16" s="99"/>
      <c r="M16" s="100"/>
      <c r="N16" s="99"/>
      <c r="O16" s="100" t="s">
        <v>137</v>
      </c>
      <c r="P16" s="99"/>
      <c r="Q16" s="100"/>
      <c r="R16" s="99"/>
      <c r="S16" s="100" t="s">
        <v>137</v>
      </c>
      <c r="T16" s="101">
        <f>81480</f>
        <v>81480</v>
      </c>
      <c r="U16" s="102" t="str">
        <f t="shared" si="1"/>
        <v>－</v>
      </c>
      <c r="V16" s="102"/>
      <c r="W16" s="102"/>
      <c r="X16" s="102" t="str">
        <f t="shared" si="2"/>
        <v>－</v>
      </c>
      <c r="Y16" s="102"/>
      <c r="Z16" s="103"/>
      <c r="AA16" s="99"/>
      <c r="AB16" s="104">
        <f>9</f>
        <v>9</v>
      </c>
      <c r="AC16" s="104" t="str">
        <f t="shared" si="0"/>
        <v>－</v>
      </c>
      <c r="AD16" s="105" t="str">
        <f t="shared" si="0"/>
        <v>－</v>
      </c>
    </row>
    <row r="17" spans="1:30">
      <c r="A17" s="95" t="s">
        <v>46</v>
      </c>
      <c r="B17" s="96" t="s">
        <v>449</v>
      </c>
      <c r="C17" s="96" t="s">
        <v>450</v>
      </c>
      <c r="D17" s="96" t="s">
        <v>250</v>
      </c>
      <c r="E17" s="97" t="s">
        <v>312</v>
      </c>
      <c r="F17" s="97" t="s">
        <v>62</v>
      </c>
      <c r="G17" s="98">
        <v>50</v>
      </c>
      <c r="H17" s="99"/>
      <c r="I17" s="100" t="s">
        <v>137</v>
      </c>
      <c r="J17" s="99"/>
      <c r="K17" s="100" t="s">
        <v>137</v>
      </c>
      <c r="L17" s="99"/>
      <c r="M17" s="100"/>
      <c r="N17" s="99"/>
      <c r="O17" s="100" t="s">
        <v>137</v>
      </c>
      <c r="P17" s="99"/>
      <c r="Q17" s="100"/>
      <c r="R17" s="99"/>
      <c r="S17" s="100" t="s">
        <v>137</v>
      </c>
      <c r="T17" s="101">
        <f>83000</f>
        <v>83000</v>
      </c>
      <c r="U17" s="102" t="str">
        <f t="shared" si="1"/>
        <v>－</v>
      </c>
      <c r="V17" s="102"/>
      <c r="W17" s="102"/>
      <c r="X17" s="102" t="str">
        <f t="shared" si="2"/>
        <v>－</v>
      </c>
      <c r="Y17" s="102"/>
      <c r="Z17" s="103"/>
      <c r="AA17" s="99"/>
      <c r="AB17" s="104">
        <f>5</f>
        <v>5</v>
      </c>
      <c r="AC17" s="104" t="str">
        <f t="shared" si="0"/>
        <v>－</v>
      </c>
      <c r="AD17" s="105" t="str">
        <f t="shared" si="0"/>
        <v>－</v>
      </c>
    </row>
    <row r="18" spans="1:30">
      <c r="A18" s="95" t="s">
        <v>46</v>
      </c>
      <c r="B18" s="96" t="s">
        <v>449</v>
      </c>
      <c r="C18" s="96" t="s">
        <v>450</v>
      </c>
      <c r="D18" s="96" t="s">
        <v>68</v>
      </c>
      <c r="E18" s="97" t="s">
        <v>317</v>
      </c>
      <c r="F18" s="97" t="s">
        <v>289</v>
      </c>
      <c r="G18" s="98">
        <v>50</v>
      </c>
      <c r="H18" s="99"/>
      <c r="I18" s="100" t="s">
        <v>137</v>
      </c>
      <c r="J18" s="99"/>
      <c r="K18" s="100" t="s">
        <v>137</v>
      </c>
      <c r="L18" s="99"/>
      <c r="M18" s="100"/>
      <c r="N18" s="99"/>
      <c r="O18" s="100" t="s">
        <v>137</v>
      </c>
      <c r="P18" s="99"/>
      <c r="Q18" s="100"/>
      <c r="R18" s="99"/>
      <c r="S18" s="100" t="s">
        <v>137</v>
      </c>
      <c r="T18" s="101">
        <f>83000</f>
        <v>83000</v>
      </c>
      <c r="U18" s="102" t="str">
        <f t="shared" si="1"/>
        <v>－</v>
      </c>
      <c r="V18" s="102"/>
      <c r="W18" s="102"/>
      <c r="X18" s="102" t="str">
        <f t="shared" si="2"/>
        <v>－</v>
      </c>
      <c r="Y18" s="102"/>
      <c r="Z18" s="103"/>
      <c r="AA18" s="99"/>
      <c r="AB18" s="104" t="str">
        <f t="shared" ref="AB18:AB27" si="3">"－"</f>
        <v>－</v>
      </c>
      <c r="AC18" s="104" t="str">
        <f t="shared" si="0"/>
        <v>－</v>
      </c>
      <c r="AD18" s="105" t="str">
        <f t="shared" si="0"/>
        <v>－</v>
      </c>
    </row>
    <row r="19" spans="1:30">
      <c r="A19" s="95" t="s">
        <v>46</v>
      </c>
      <c r="B19" s="96" t="s">
        <v>449</v>
      </c>
      <c r="C19" s="96" t="s">
        <v>450</v>
      </c>
      <c r="D19" s="96" t="s">
        <v>255</v>
      </c>
      <c r="E19" s="97" t="s">
        <v>320</v>
      </c>
      <c r="F19" s="97" t="s">
        <v>446</v>
      </c>
      <c r="G19" s="98">
        <v>50</v>
      </c>
      <c r="H19" s="99"/>
      <c r="I19" s="100" t="s">
        <v>137</v>
      </c>
      <c r="J19" s="99"/>
      <c r="K19" s="100" t="s">
        <v>137</v>
      </c>
      <c r="L19" s="99"/>
      <c r="M19" s="100"/>
      <c r="N19" s="99"/>
      <c r="O19" s="100" t="s">
        <v>137</v>
      </c>
      <c r="P19" s="99"/>
      <c r="Q19" s="100"/>
      <c r="R19" s="99"/>
      <c r="S19" s="100" t="s">
        <v>137</v>
      </c>
      <c r="T19" s="101">
        <f>83000</f>
        <v>83000</v>
      </c>
      <c r="U19" s="102" t="str">
        <f t="shared" si="1"/>
        <v>－</v>
      </c>
      <c r="V19" s="102"/>
      <c r="W19" s="102"/>
      <c r="X19" s="102" t="str">
        <f t="shared" si="2"/>
        <v>－</v>
      </c>
      <c r="Y19" s="102"/>
      <c r="Z19" s="103"/>
      <c r="AA19" s="99"/>
      <c r="AB19" s="104" t="str">
        <f t="shared" si="3"/>
        <v>－</v>
      </c>
      <c r="AC19" s="104" t="str">
        <f t="shared" si="0"/>
        <v>－</v>
      </c>
      <c r="AD19" s="105" t="str">
        <f t="shared" si="0"/>
        <v>－</v>
      </c>
    </row>
    <row r="20" spans="1:30">
      <c r="A20" s="95" t="s">
        <v>46</v>
      </c>
      <c r="B20" s="96" t="s">
        <v>449</v>
      </c>
      <c r="C20" s="96" t="s">
        <v>450</v>
      </c>
      <c r="D20" s="96" t="s">
        <v>74</v>
      </c>
      <c r="E20" s="97" t="s">
        <v>261</v>
      </c>
      <c r="F20" s="97" t="s">
        <v>448</v>
      </c>
      <c r="G20" s="98">
        <v>50</v>
      </c>
      <c r="H20" s="99"/>
      <c r="I20" s="100" t="s">
        <v>137</v>
      </c>
      <c r="J20" s="99"/>
      <c r="K20" s="100" t="s">
        <v>137</v>
      </c>
      <c r="L20" s="99"/>
      <c r="M20" s="100"/>
      <c r="N20" s="99"/>
      <c r="O20" s="100" t="s">
        <v>137</v>
      </c>
      <c r="P20" s="99"/>
      <c r="Q20" s="100"/>
      <c r="R20" s="99"/>
      <c r="S20" s="100" t="s">
        <v>137</v>
      </c>
      <c r="T20" s="101">
        <f>83000</f>
        <v>83000</v>
      </c>
      <c r="U20" s="102" t="str">
        <f t="shared" si="1"/>
        <v>－</v>
      </c>
      <c r="V20" s="102"/>
      <c r="W20" s="102"/>
      <c r="X20" s="102" t="str">
        <f t="shared" si="2"/>
        <v>－</v>
      </c>
      <c r="Y20" s="102"/>
      <c r="Z20" s="103"/>
      <c r="AA20" s="99"/>
      <c r="AB20" s="104" t="str">
        <f t="shared" si="3"/>
        <v>－</v>
      </c>
      <c r="AC20" s="104" t="str">
        <f t="shared" si="0"/>
        <v>－</v>
      </c>
      <c r="AD20" s="105" t="str">
        <f t="shared" si="0"/>
        <v>－</v>
      </c>
    </row>
    <row r="21" spans="1:30">
      <c r="A21" s="95" t="s">
        <v>46</v>
      </c>
      <c r="B21" s="96" t="s">
        <v>454</v>
      </c>
      <c r="C21" s="96" t="s">
        <v>455</v>
      </c>
      <c r="D21" s="96" t="s">
        <v>49</v>
      </c>
      <c r="E21" s="97" t="s">
        <v>299</v>
      </c>
      <c r="F21" s="97" t="s">
        <v>434</v>
      </c>
      <c r="G21" s="98">
        <v>50</v>
      </c>
      <c r="H21" s="99"/>
      <c r="I21" s="100" t="s">
        <v>137</v>
      </c>
      <c r="J21" s="99"/>
      <c r="K21" s="100" t="s">
        <v>137</v>
      </c>
      <c r="L21" s="99"/>
      <c r="M21" s="100"/>
      <c r="N21" s="99"/>
      <c r="O21" s="100" t="s">
        <v>137</v>
      </c>
      <c r="P21" s="99"/>
      <c r="Q21" s="100"/>
      <c r="R21" s="99"/>
      <c r="S21" s="100" t="s">
        <v>137</v>
      </c>
      <c r="T21" s="101">
        <f>79746.67</f>
        <v>79746.67</v>
      </c>
      <c r="U21" s="102" t="str">
        <f t="shared" si="1"/>
        <v>－</v>
      </c>
      <c r="V21" s="102"/>
      <c r="W21" s="102"/>
      <c r="X21" s="102" t="str">
        <f t="shared" si="2"/>
        <v>－</v>
      </c>
      <c r="Y21" s="102"/>
      <c r="Z21" s="103"/>
      <c r="AA21" s="99" t="s">
        <v>238</v>
      </c>
      <c r="AB21" s="104" t="str">
        <f t="shared" si="3"/>
        <v>－</v>
      </c>
      <c r="AC21" s="104" t="str">
        <f t="shared" si="0"/>
        <v>－</v>
      </c>
      <c r="AD21" s="105" t="str">
        <f t="shared" si="0"/>
        <v>－</v>
      </c>
    </row>
    <row r="22" spans="1:30">
      <c r="A22" s="95" t="s">
        <v>46</v>
      </c>
      <c r="B22" s="96" t="s">
        <v>454</v>
      </c>
      <c r="C22" s="96" t="s">
        <v>455</v>
      </c>
      <c r="D22" s="96" t="s">
        <v>244</v>
      </c>
      <c r="E22" s="97" t="s">
        <v>75</v>
      </c>
      <c r="F22" s="97" t="s">
        <v>102</v>
      </c>
      <c r="G22" s="98">
        <v>50</v>
      </c>
      <c r="H22" s="99"/>
      <c r="I22" s="100" t="s">
        <v>137</v>
      </c>
      <c r="J22" s="99"/>
      <c r="K22" s="100" t="s">
        <v>137</v>
      </c>
      <c r="L22" s="99"/>
      <c r="M22" s="100"/>
      <c r="N22" s="99"/>
      <c r="O22" s="100" t="s">
        <v>137</v>
      </c>
      <c r="P22" s="99"/>
      <c r="Q22" s="100"/>
      <c r="R22" s="99"/>
      <c r="S22" s="100" t="s">
        <v>137</v>
      </c>
      <c r="T22" s="101">
        <f>78240</f>
        <v>78240</v>
      </c>
      <c r="U22" s="102" t="str">
        <f t="shared" si="1"/>
        <v>－</v>
      </c>
      <c r="V22" s="102"/>
      <c r="W22" s="102"/>
      <c r="X22" s="102" t="str">
        <f t="shared" si="2"/>
        <v>－</v>
      </c>
      <c r="Y22" s="102"/>
      <c r="Z22" s="103"/>
      <c r="AA22" s="99"/>
      <c r="AB22" s="104" t="str">
        <f t="shared" si="3"/>
        <v>－</v>
      </c>
      <c r="AC22" s="104" t="str">
        <f t="shared" si="0"/>
        <v>－</v>
      </c>
      <c r="AD22" s="105" t="str">
        <f t="shared" si="0"/>
        <v>－</v>
      </c>
    </row>
    <row r="23" spans="1:30">
      <c r="A23" s="95" t="s">
        <v>46</v>
      </c>
      <c r="B23" s="96" t="s">
        <v>454</v>
      </c>
      <c r="C23" s="96" t="s">
        <v>455</v>
      </c>
      <c r="D23" s="96" t="s">
        <v>60</v>
      </c>
      <c r="E23" s="97" t="s">
        <v>309</v>
      </c>
      <c r="F23" s="97" t="s">
        <v>405</v>
      </c>
      <c r="G23" s="98">
        <v>50</v>
      </c>
      <c r="H23" s="99"/>
      <c r="I23" s="100" t="s">
        <v>137</v>
      </c>
      <c r="J23" s="99"/>
      <c r="K23" s="100" t="s">
        <v>137</v>
      </c>
      <c r="L23" s="99"/>
      <c r="M23" s="100"/>
      <c r="N23" s="99"/>
      <c r="O23" s="100" t="s">
        <v>137</v>
      </c>
      <c r="P23" s="99"/>
      <c r="Q23" s="100"/>
      <c r="R23" s="99"/>
      <c r="S23" s="100" t="s">
        <v>137</v>
      </c>
      <c r="T23" s="101">
        <f>77230</f>
        <v>77230</v>
      </c>
      <c r="U23" s="102" t="str">
        <f t="shared" si="1"/>
        <v>－</v>
      </c>
      <c r="V23" s="102"/>
      <c r="W23" s="102"/>
      <c r="X23" s="102" t="str">
        <f t="shared" si="2"/>
        <v>－</v>
      </c>
      <c r="Y23" s="102"/>
      <c r="Z23" s="103"/>
      <c r="AA23" s="99"/>
      <c r="AB23" s="104" t="str">
        <f t="shared" si="3"/>
        <v>－</v>
      </c>
      <c r="AC23" s="104" t="str">
        <f t="shared" si="0"/>
        <v>－</v>
      </c>
      <c r="AD23" s="105" t="str">
        <f t="shared" si="0"/>
        <v>－</v>
      </c>
    </row>
    <row r="24" spans="1:30">
      <c r="A24" s="95" t="s">
        <v>46</v>
      </c>
      <c r="B24" s="96" t="s">
        <v>454</v>
      </c>
      <c r="C24" s="96" t="s">
        <v>455</v>
      </c>
      <c r="D24" s="96" t="s">
        <v>250</v>
      </c>
      <c r="E24" s="97" t="s">
        <v>312</v>
      </c>
      <c r="F24" s="97" t="s">
        <v>62</v>
      </c>
      <c r="G24" s="98">
        <v>50</v>
      </c>
      <c r="H24" s="99"/>
      <c r="I24" s="100" t="s">
        <v>137</v>
      </c>
      <c r="J24" s="99"/>
      <c r="K24" s="100" t="s">
        <v>137</v>
      </c>
      <c r="L24" s="99"/>
      <c r="M24" s="100"/>
      <c r="N24" s="99"/>
      <c r="O24" s="100" t="s">
        <v>137</v>
      </c>
      <c r="P24" s="99"/>
      <c r="Q24" s="100"/>
      <c r="R24" s="99"/>
      <c r="S24" s="100" t="s">
        <v>137</v>
      </c>
      <c r="T24" s="101">
        <f>76400</f>
        <v>76400</v>
      </c>
      <c r="U24" s="102" t="str">
        <f t="shared" si="1"/>
        <v>－</v>
      </c>
      <c r="V24" s="102"/>
      <c r="W24" s="102"/>
      <c r="X24" s="102" t="str">
        <f t="shared" si="2"/>
        <v>－</v>
      </c>
      <c r="Y24" s="102"/>
      <c r="Z24" s="103"/>
      <c r="AA24" s="99"/>
      <c r="AB24" s="104" t="str">
        <f t="shared" si="3"/>
        <v>－</v>
      </c>
      <c r="AC24" s="104" t="str">
        <f t="shared" si="0"/>
        <v>－</v>
      </c>
      <c r="AD24" s="105" t="str">
        <f t="shared" si="0"/>
        <v>－</v>
      </c>
    </row>
    <row r="25" spans="1:30">
      <c r="A25" s="95" t="s">
        <v>46</v>
      </c>
      <c r="B25" s="96" t="s">
        <v>454</v>
      </c>
      <c r="C25" s="96" t="s">
        <v>455</v>
      </c>
      <c r="D25" s="96" t="s">
        <v>68</v>
      </c>
      <c r="E25" s="97" t="s">
        <v>317</v>
      </c>
      <c r="F25" s="97" t="s">
        <v>289</v>
      </c>
      <c r="G25" s="98">
        <v>50</v>
      </c>
      <c r="H25" s="99"/>
      <c r="I25" s="100" t="s">
        <v>137</v>
      </c>
      <c r="J25" s="99"/>
      <c r="K25" s="100" t="s">
        <v>137</v>
      </c>
      <c r="L25" s="99"/>
      <c r="M25" s="100"/>
      <c r="N25" s="99"/>
      <c r="O25" s="100" t="s">
        <v>137</v>
      </c>
      <c r="P25" s="99"/>
      <c r="Q25" s="100"/>
      <c r="R25" s="99"/>
      <c r="S25" s="100" t="s">
        <v>137</v>
      </c>
      <c r="T25" s="101">
        <f>75290</f>
        <v>75290</v>
      </c>
      <c r="U25" s="102" t="str">
        <f t="shared" si="1"/>
        <v>－</v>
      </c>
      <c r="V25" s="102"/>
      <c r="W25" s="102"/>
      <c r="X25" s="102" t="str">
        <f t="shared" si="2"/>
        <v>－</v>
      </c>
      <c r="Y25" s="102"/>
      <c r="Z25" s="103"/>
      <c r="AA25" s="99"/>
      <c r="AB25" s="104" t="str">
        <f t="shared" si="3"/>
        <v>－</v>
      </c>
      <c r="AC25" s="104" t="str">
        <f t="shared" si="0"/>
        <v>－</v>
      </c>
      <c r="AD25" s="105" t="str">
        <f t="shared" si="0"/>
        <v>－</v>
      </c>
    </row>
    <row r="26" spans="1:30">
      <c r="A26" s="95" t="s">
        <v>46</v>
      </c>
      <c r="B26" s="96" t="s">
        <v>454</v>
      </c>
      <c r="C26" s="96" t="s">
        <v>455</v>
      </c>
      <c r="D26" s="96" t="s">
        <v>255</v>
      </c>
      <c r="E26" s="97" t="s">
        <v>320</v>
      </c>
      <c r="F26" s="97" t="s">
        <v>446</v>
      </c>
      <c r="G26" s="98">
        <v>50</v>
      </c>
      <c r="H26" s="99"/>
      <c r="I26" s="100" t="s">
        <v>137</v>
      </c>
      <c r="J26" s="99"/>
      <c r="K26" s="100" t="s">
        <v>137</v>
      </c>
      <c r="L26" s="99"/>
      <c r="M26" s="100"/>
      <c r="N26" s="99"/>
      <c r="O26" s="100" t="s">
        <v>137</v>
      </c>
      <c r="P26" s="99"/>
      <c r="Q26" s="100"/>
      <c r="R26" s="99"/>
      <c r="S26" s="100" t="s">
        <v>137</v>
      </c>
      <c r="T26" s="101">
        <f>74180</f>
        <v>74180</v>
      </c>
      <c r="U26" s="102" t="str">
        <f t="shared" si="1"/>
        <v>－</v>
      </c>
      <c r="V26" s="102"/>
      <c r="W26" s="102"/>
      <c r="X26" s="102" t="str">
        <f t="shared" si="2"/>
        <v>－</v>
      </c>
      <c r="Y26" s="102"/>
      <c r="Z26" s="103"/>
      <c r="AA26" s="99"/>
      <c r="AB26" s="104" t="str">
        <f t="shared" si="3"/>
        <v>－</v>
      </c>
      <c r="AC26" s="104" t="str">
        <f t="shared" si="0"/>
        <v>－</v>
      </c>
      <c r="AD26" s="105" t="str">
        <f t="shared" si="0"/>
        <v>－</v>
      </c>
    </row>
    <row r="27" spans="1:30">
      <c r="A27" s="95" t="s">
        <v>46</v>
      </c>
      <c r="B27" s="96" t="s">
        <v>454</v>
      </c>
      <c r="C27" s="96" t="s">
        <v>455</v>
      </c>
      <c r="D27" s="96" t="s">
        <v>74</v>
      </c>
      <c r="E27" s="97" t="s">
        <v>261</v>
      </c>
      <c r="F27" s="97" t="s">
        <v>448</v>
      </c>
      <c r="G27" s="98">
        <v>50</v>
      </c>
      <c r="H27" s="99"/>
      <c r="I27" s="100" t="s">
        <v>137</v>
      </c>
      <c r="J27" s="99"/>
      <c r="K27" s="100" t="s">
        <v>137</v>
      </c>
      <c r="L27" s="99"/>
      <c r="M27" s="100"/>
      <c r="N27" s="99"/>
      <c r="O27" s="100" t="s">
        <v>137</v>
      </c>
      <c r="P27" s="99"/>
      <c r="Q27" s="100"/>
      <c r="R27" s="99"/>
      <c r="S27" s="100" t="s">
        <v>137</v>
      </c>
      <c r="T27" s="101">
        <f>71940</f>
        <v>71940</v>
      </c>
      <c r="U27" s="102" t="str">
        <f t="shared" si="1"/>
        <v>－</v>
      </c>
      <c r="V27" s="102"/>
      <c r="W27" s="102"/>
      <c r="X27" s="102" t="str">
        <f t="shared" si="2"/>
        <v>－</v>
      </c>
      <c r="Y27" s="102"/>
      <c r="Z27" s="103"/>
      <c r="AA27" s="99"/>
      <c r="AB27" s="104" t="str">
        <f t="shared" si="3"/>
        <v>－</v>
      </c>
      <c r="AC27" s="104" t="str">
        <f t="shared" si="0"/>
        <v>－</v>
      </c>
      <c r="AD27" s="105" t="str">
        <f t="shared" si="0"/>
        <v>－</v>
      </c>
    </row>
    <row r="28" spans="1:30">
      <c r="A28" s="95" t="s">
        <v>46</v>
      </c>
      <c r="B28" s="96" t="s">
        <v>456</v>
      </c>
      <c r="C28" s="96" t="s">
        <v>457</v>
      </c>
      <c r="D28" s="96" t="s">
        <v>46</v>
      </c>
      <c r="E28" s="97" t="s">
        <v>458</v>
      </c>
      <c r="F28" s="97" t="s">
        <v>333</v>
      </c>
      <c r="G28" s="98">
        <v>50</v>
      </c>
      <c r="H28" s="99" t="s">
        <v>52</v>
      </c>
      <c r="I28" s="100" t="s">
        <v>459</v>
      </c>
      <c r="J28" s="99" t="s">
        <v>150</v>
      </c>
      <c r="K28" s="100" t="s">
        <v>460</v>
      </c>
      <c r="L28" s="99" t="s">
        <v>150</v>
      </c>
      <c r="M28" s="100" t="s">
        <v>461</v>
      </c>
      <c r="N28" s="99" t="s">
        <v>54</v>
      </c>
      <c r="O28" s="100" t="s">
        <v>462</v>
      </c>
      <c r="P28" s="99" t="s">
        <v>161</v>
      </c>
      <c r="Q28" s="100" t="s">
        <v>463</v>
      </c>
      <c r="R28" s="99" t="s">
        <v>58</v>
      </c>
      <c r="S28" s="100" t="s">
        <v>464</v>
      </c>
      <c r="T28" s="101">
        <f>82559</f>
        <v>82559</v>
      </c>
      <c r="U28" s="102">
        <f>266</f>
        <v>266</v>
      </c>
      <c r="V28" s="102">
        <v>37</v>
      </c>
      <c r="W28" s="102">
        <v>2</v>
      </c>
      <c r="X28" s="102">
        <f>1099006000</f>
        <v>1099006000</v>
      </c>
      <c r="Y28" s="102">
        <v>153900000</v>
      </c>
      <c r="Z28" s="103">
        <v>8211000</v>
      </c>
      <c r="AA28" s="99" t="s">
        <v>238</v>
      </c>
      <c r="AB28" s="104">
        <f>5178</f>
        <v>5178</v>
      </c>
      <c r="AC28" s="104" t="str">
        <f t="shared" si="0"/>
        <v>－</v>
      </c>
      <c r="AD28" s="105">
        <f>18</f>
        <v>18</v>
      </c>
    </row>
    <row r="29" spans="1:30">
      <c r="A29" s="95" t="s">
        <v>46</v>
      </c>
      <c r="B29" s="96" t="s">
        <v>456</v>
      </c>
      <c r="C29" s="96" t="s">
        <v>457</v>
      </c>
      <c r="D29" s="96" t="s">
        <v>49</v>
      </c>
      <c r="E29" s="97" t="s">
        <v>458</v>
      </c>
      <c r="F29" s="97" t="s">
        <v>335</v>
      </c>
      <c r="G29" s="98">
        <v>50</v>
      </c>
      <c r="H29" s="99" t="s">
        <v>52</v>
      </c>
      <c r="I29" s="100" t="s">
        <v>465</v>
      </c>
      <c r="J29" s="99" t="s">
        <v>148</v>
      </c>
      <c r="K29" s="100" t="s">
        <v>466</v>
      </c>
      <c r="L29" s="99" t="s">
        <v>148</v>
      </c>
      <c r="M29" s="100" t="s">
        <v>467</v>
      </c>
      <c r="N29" s="99" t="s">
        <v>277</v>
      </c>
      <c r="O29" s="100" t="s">
        <v>468</v>
      </c>
      <c r="P29" s="99" t="s">
        <v>58</v>
      </c>
      <c r="Q29" s="100" t="s">
        <v>469</v>
      </c>
      <c r="R29" s="99" t="s">
        <v>58</v>
      </c>
      <c r="S29" s="100" t="s">
        <v>470</v>
      </c>
      <c r="T29" s="101">
        <f>79068</f>
        <v>79068</v>
      </c>
      <c r="U29" s="102">
        <f>5010</f>
        <v>5010</v>
      </c>
      <c r="V29" s="102">
        <v>4503</v>
      </c>
      <c r="W29" s="102">
        <v>43</v>
      </c>
      <c r="X29" s="102">
        <f>19703816500</f>
        <v>19703816500</v>
      </c>
      <c r="Y29" s="102">
        <v>17688702500</v>
      </c>
      <c r="Z29" s="103">
        <v>174374000</v>
      </c>
      <c r="AA29" s="99"/>
      <c r="AB29" s="104">
        <f>7396</f>
        <v>7396</v>
      </c>
      <c r="AC29" s="104" t="str">
        <f t="shared" si="0"/>
        <v>－</v>
      </c>
      <c r="AD29" s="105">
        <f>20</f>
        <v>20</v>
      </c>
    </row>
    <row r="30" spans="1:30">
      <c r="A30" s="95" t="s">
        <v>46</v>
      </c>
      <c r="B30" s="96" t="s">
        <v>456</v>
      </c>
      <c r="C30" s="96" t="s">
        <v>457</v>
      </c>
      <c r="D30" s="96" t="s">
        <v>244</v>
      </c>
      <c r="E30" s="97" t="s">
        <v>458</v>
      </c>
      <c r="F30" s="97" t="s">
        <v>337</v>
      </c>
      <c r="G30" s="98">
        <v>50</v>
      </c>
      <c r="H30" s="99" t="s">
        <v>52</v>
      </c>
      <c r="I30" s="100" t="s">
        <v>471</v>
      </c>
      <c r="J30" s="99" t="s">
        <v>88</v>
      </c>
      <c r="K30" s="100" t="s">
        <v>472</v>
      </c>
      <c r="L30" s="99" t="s">
        <v>306</v>
      </c>
      <c r="M30" s="100" t="s">
        <v>473</v>
      </c>
      <c r="N30" s="99" t="s">
        <v>277</v>
      </c>
      <c r="O30" s="100" t="s">
        <v>474</v>
      </c>
      <c r="P30" s="99" t="s">
        <v>277</v>
      </c>
      <c r="Q30" s="100" t="s">
        <v>475</v>
      </c>
      <c r="R30" s="99" t="s">
        <v>58</v>
      </c>
      <c r="S30" s="100" t="s">
        <v>476</v>
      </c>
      <c r="T30" s="101">
        <f>76536.5</f>
        <v>76536.5</v>
      </c>
      <c r="U30" s="102">
        <f>1832</f>
        <v>1832</v>
      </c>
      <c r="V30" s="102">
        <v>483</v>
      </c>
      <c r="W30" s="102">
        <v>172</v>
      </c>
      <c r="X30" s="102">
        <f>7041588500</f>
        <v>7041588500</v>
      </c>
      <c r="Y30" s="102">
        <v>1857790500</v>
      </c>
      <c r="Z30" s="103">
        <v>665809500</v>
      </c>
      <c r="AA30" s="99"/>
      <c r="AB30" s="104">
        <f>2587</f>
        <v>2587</v>
      </c>
      <c r="AC30" s="104" t="str">
        <f t="shared" si="0"/>
        <v>－</v>
      </c>
      <c r="AD30" s="105">
        <f>20</f>
        <v>20</v>
      </c>
    </row>
    <row r="31" spans="1:30">
      <c r="A31" s="95" t="s">
        <v>46</v>
      </c>
      <c r="B31" s="96" t="s">
        <v>456</v>
      </c>
      <c r="C31" s="96" t="s">
        <v>457</v>
      </c>
      <c r="D31" s="96" t="s">
        <v>60</v>
      </c>
      <c r="E31" s="97" t="s">
        <v>332</v>
      </c>
      <c r="F31" s="97" t="s">
        <v>343</v>
      </c>
      <c r="G31" s="98">
        <v>50</v>
      </c>
      <c r="H31" s="99" t="s">
        <v>52</v>
      </c>
      <c r="I31" s="100" t="s">
        <v>477</v>
      </c>
      <c r="J31" s="99" t="s">
        <v>54</v>
      </c>
      <c r="K31" s="100" t="s">
        <v>478</v>
      </c>
      <c r="L31" s="99" t="s">
        <v>306</v>
      </c>
      <c r="M31" s="100" t="s">
        <v>479</v>
      </c>
      <c r="N31" s="99" t="s">
        <v>277</v>
      </c>
      <c r="O31" s="100" t="s">
        <v>480</v>
      </c>
      <c r="P31" s="99" t="s">
        <v>279</v>
      </c>
      <c r="Q31" s="100" t="s">
        <v>481</v>
      </c>
      <c r="R31" s="99" t="s">
        <v>58</v>
      </c>
      <c r="S31" s="100" t="s">
        <v>482</v>
      </c>
      <c r="T31" s="101">
        <f>74522.5</f>
        <v>74522.5</v>
      </c>
      <c r="U31" s="102">
        <f>6298</f>
        <v>6298</v>
      </c>
      <c r="V31" s="102">
        <v>548</v>
      </c>
      <c r="W31" s="102">
        <v>1145</v>
      </c>
      <c r="X31" s="102">
        <f>23654587500</f>
        <v>23654587500</v>
      </c>
      <c r="Y31" s="102">
        <v>2071079000</v>
      </c>
      <c r="Z31" s="103">
        <v>4299654000</v>
      </c>
      <c r="AA31" s="99"/>
      <c r="AB31" s="104">
        <f>3436</f>
        <v>3436</v>
      </c>
      <c r="AC31" s="104" t="str">
        <f t="shared" si="0"/>
        <v>－</v>
      </c>
      <c r="AD31" s="105">
        <f>20</f>
        <v>20</v>
      </c>
    </row>
    <row r="32" spans="1:30">
      <c r="A32" s="95" t="s">
        <v>46</v>
      </c>
      <c r="B32" s="96" t="s">
        <v>456</v>
      </c>
      <c r="C32" s="96" t="s">
        <v>457</v>
      </c>
      <c r="D32" s="96" t="s">
        <v>250</v>
      </c>
      <c r="E32" s="97" t="s">
        <v>334</v>
      </c>
      <c r="F32" s="97" t="s">
        <v>349</v>
      </c>
      <c r="G32" s="98">
        <v>50</v>
      </c>
      <c r="H32" s="99" t="s">
        <v>52</v>
      </c>
      <c r="I32" s="100" t="s">
        <v>483</v>
      </c>
      <c r="J32" s="99" t="s">
        <v>54</v>
      </c>
      <c r="K32" s="100" t="s">
        <v>484</v>
      </c>
      <c r="L32" s="99" t="s">
        <v>322</v>
      </c>
      <c r="M32" s="100" t="s">
        <v>485</v>
      </c>
      <c r="N32" s="99" t="s">
        <v>56</v>
      </c>
      <c r="O32" s="100" t="s">
        <v>486</v>
      </c>
      <c r="P32" s="99" t="s">
        <v>279</v>
      </c>
      <c r="Q32" s="100" t="s">
        <v>481</v>
      </c>
      <c r="R32" s="99" t="s">
        <v>58</v>
      </c>
      <c r="S32" s="100" t="s">
        <v>487</v>
      </c>
      <c r="T32" s="101">
        <f>72926</f>
        <v>72926</v>
      </c>
      <c r="U32" s="102">
        <f>65608</f>
        <v>65608</v>
      </c>
      <c r="V32" s="102">
        <v>350</v>
      </c>
      <c r="W32" s="102">
        <v>12662</v>
      </c>
      <c r="X32" s="102">
        <f>241603951000</f>
        <v>241603951000</v>
      </c>
      <c r="Y32" s="102">
        <v>1288513500</v>
      </c>
      <c r="Z32" s="103">
        <v>46630542000</v>
      </c>
      <c r="AA32" s="99"/>
      <c r="AB32" s="104">
        <f>6915</f>
        <v>6915</v>
      </c>
      <c r="AC32" s="104" t="str">
        <f t="shared" si="0"/>
        <v>－</v>
      </c>
      <c r="AD32" s="105">
        <f>20</f>
        <v>20</v>
      </c>
    </row>
    <row r="33" spans="1:30">
      <c r="A33" s="95" t="s">
        <v>46</v>
      </c>
      <c r="B33" s="96" t="s">
        <v>456</v>
      </c>
      <c r="C33" s="96" t="s">
        <v>457</v>
      </c>
      <c r="D33" s="96" t="s">
        <v>68</v>
      </c>
      <c r="E33" s="97" t="s">
        <v>336</v>
      </c>
      <c r="F33" s="97" t="s">
        <v>351</v>
      </c>
      <c r="G33" s="98">
        <v>50</v>
      </c>
      <c r="H33" s="99" t="s">
        <v>52</v>
      </c>
      <c r="I33" s="100" t="s">
        <v>488</v>
      </c>
      <c r="J33" s="99" t="s">
        <v>54</v>
      </c>
      <c r="K33" s="100" t="s">
        <v>489</v>
      </c>
      <c r="L33" s="99" t="s">
        <v>148</v>
      </c>
      <c r="M33" s="100" t="s">
        <v>490</v>
      </c>
      <c r="N33" s="99" t="s">
        <v>56</v>
      </c>
      <c r="O33" s="100" t="s">
        <v>491</v>
      </c>
      <c r="P33" s="99" t="s">
        <v>279</v>
      </c>
      <c r="Q33" s="100" t="s">
        <v>481</v>
      </c>
      <c r="R33" s="99" t="s">
        <v>58</v>
      </c>
      <c r="S33" s="100" t="s">
        <v>492</v>
      </c>
      <c r="T33" s="101">
        <f>71843</f>
        <v>71843</v>
      </c>
      <c r="U33" s="102">
        <f>82638</f>
        <v>82638</v>
      </c>
      <c r="V33" s="102">
        <v>346</v>
      </c>
      <c r="W33" s="102">
        <v>11736</v>
      </c>
      <c r="X33" s="102">
        <f>297360641000</f>
        <v>297360641000</v>
      </c>
      <c r="Y33" s="102">
        <v>1241379500</v>
      </c>
      <c r="Z33" s="103">
        <v>42618504000</v>
      </c>
      <c r="AA33" s="99"/>
      <c r="AB33" s="104">
        <f>29498</f>
        <v>29498</v>
      </c>
      <c r="AC33" s="104" t="str">
        <f t="shared" si="0"/>
        <v>－</v>
      </c>
      <c r="AD33" s="105">
        <f>20</f>
        <v>20</v>
      </c>
    </row>
    <row r="34" spans="1:30">
      <c r="A34" s="95" t="s">
        <v>46</v>
      </c>
      <c r="B34" s="96" t="s">
        <v>456</v>
      </c>
      <c r="C34" s="96" t="s">
        <v>457</v>
      </c>
      <c r="D34" s="96" t="s">
        <v>255</v>
      </c>
      <c r="E34" s="97" t="s">
        <v>342</v>
      </c>
      <c r="F34" s="97" t="s">
        <v>353</v>
      </c>
      <c r="G34" s="98">
        <v>50</v>
      </c>
      <c r="H34" s="99" t="s">
        <v>150</v>
      </c>
      <c r="I34" s="100" t="s">
        <v>493</v>
      </c>
      <c r="J34" s="99" t="s">
        <v>54</v>
      </c>
      <c r="K34" s="100" t="s">
        <v>494</v>
      </c>
      <c r="L34" s="99" t="s">
        <v>279</v>
      </c>
      <c r="M34" s="100" t="s">
        <v>481</v>
      </c>
      <c r="N34" s="99" t="s">
        <v>277</v>
      </c>
      <c r="O34" s="100" t="s">
        <v>495</v>
      </c>
      <c r="P34" s="99" t="s">
        <v>279</v>
      </c>
      <c r="Q34" s="100" t="s">
        <v>481</v>
      </c>
      <c r="R34" s="99" t="s">
        <v>58</v>
      </c>
      <c r="S34" s="100" t="s">
        <v>496</v>
      </c>
      <c r="T34" s="101">
        <f>71026</f>
        <v>71026</v>
      </c>
      <c r="U34" s="102">
        <f>141</f>
        <v>141</v>
      </c>
      <c r="V34" s="102">
        <v>3</v>
      </c>
      <c r="W34" s="102">
        <v>1</v>
      </c>
      <c r="X34" s="102">
        <f>493074000</f>
        <v>493074000</v>
      </c>
      <c r="Y34" s="102">
        <v>9885000</v>
      </c>
      <c r="Z34" s="103">
        <v>3663000</v>
      </c>
      <c r="AA34" s="99"/>
      <c r="AB34" s="104">
        <f>106</f>
        <v>106</v>
      </c>
      <c r="AC34" s="104" t="str">
        <f t="shared" si="0"/>
        <v>－</v>
      </c>
      <c r="AD34" s="105">
        <f>13</f>
        <v>13</v>
      </c>
    </row>
    <row r="35" spans="1:30">
      <c r="A35" s="95" t="s">
        <v>46</v>
      </c>
      <c r="B35" s="96" t="s">
        <v>456</v>
      </c>
      <c r="C35" s="96" t="s">
        <v>457</v>
      </c>
      <c r="D35" s="96" t="s">
        <v>74</v>
      </c>
      <c r="E35" s="97" t="s">
        <v>348</v>
      </c>
      <c r="F35" s="97" t="s">
        <v>355</v>
      </c>
      <c r="G35" s="98">
        <v>50</v>
      </c>
      <c r="H35" s="99"/>
      <c r="I35" s="100" t="s">
        <v>137</v>
      </c>
      <c r="J35" s="99"/>
      <c r="K35" s="100" t="s">
        <v>137</v>
      </c>
      <c r="L35" s="99" t="s">
        <v>279</v>
      </c>
      <c r="M35" s="100" t="s">
        <v>481</v>
      </c>
      <c r="N35" s="99"/>
      <c r="O35" s="100" t="s">
        <v>137</v>
      </c>
      <c r="P35" s="99" t="s">
        <v>279</v>
      </c>
      <c r="Q35" s="100" t="s">
        <v>481</v>
      </c>
      <c r="R35" s="99"/>
      <c r="S35" s="100" t="s">
        <v>137</v>
      </c>
      <c r="T35" s="101">
        <f>70223</f>
        <v>70223</v>
      </c>
      <c r="U35" s="102">
        <f>4</f>
        <v>4</v>
      </c>
      <c r="V35" s="102">
        <v>3</v>
      </c>
      <c r="W35" s="102">
        <v>1</v>
      </c>
      <c r="X35" s="102">
        <f>13503000</f>
        <v>13503000</v>
      </c>
      <c r="Y35" s="102">
        <v>9885000</v>
      </c>
      <c r="Z35" s="103">
        <v>3618000</v>
      </c>
      <c r="AA35" s="99"/>
      <c r="AB35" s="104">
        <f>45</f>
        <v>45</v>
      </c>
      <c r="AC35" s="104" t="str">
        <f t="shared" si="0"/>
        <v>－</v>
      </c>
      <c r="AD35" s="105">
        <f>1</f>
        <v>1</v>
      </c>
    </row>
    <row r="36" spans="1:30">
      <c r="A36" s="95" t="s">
        <v>46</v>
      </c>
      <c r="B36" s="96" t="s">
        <v>456</v>
      </c>
      <c r="C36" s="96" t="s">
        <v>457</v>
      </c>
      <c r="D36" s="96" t="s">
        <v>308</v>
      </c>
      <c r="E36" s="97" t="s">
        <v>350</v>
      </c>
      <c r="F36" s="97" t="s">
        <v>357</v>
      </c>
      <c r="G36" s="98">
        <v>50</v>
      </c>
      <c r="H36" s="99" t="s">
        <v>161</v>
      </c>
      <c r="I36" s="100" t="s">
        <v>497</v>
      </c>
      <c r="J36" s="99" t="s">
        <v>161</v>
      </c>
      <c r="K36" s="100" t="s">
        <v>497</v>
      </c>
      <c r="L36" s="99" t="s">
        <v>279</v>
      </c>
      <c r="M36" s="100" t="s">
        <v>481</v>
      </c>
      <c r="N36" s="99" t="s">
        <v>54</v>
      </c>
      <c r="O36" s="100" t="s">
        <v>498</v>
      </c>
      <c r="P36" s="99" t="s">
        <v>279</v>
      </c>
      <c r="Q36" s="100" t="s">
        <v>481</v>
      </c>
      <c r="R36" s="99" t="s">
        <v>54</v>
      </c>
      <c r="S36" s="100" t="s">
        <v>498</v>
      </c>
      <c r="T36" s="101">
        <f>69281.5</f>
        <v>69281.5</v>
      </c>
      <c r="U36" s="102">
        <f>7</f>
        <v>7</v>
      </c>
      <c r="V36" s="102">
        <v>3</v>
      </c>
      <c r="W36" s="102">
        <v>2</v>
      </c>
      <c r="X36" s="102">
        <f>24034000</f>
        <v>24034000</v>
      </c>
      <c r="Y36" s="102">
        <v>9885000</v>
      </c>
      <c r="Z36" s="103">
        <v>7145000</v>
      </c>
      <c r="AA36" s="99"/>
      <c r="AB36" s="104">
        <f>112</f>
        <v>112</v>
      </c>
      <c r="AC36" s="104" t="str">
        <f t="shared" si="0"/>
        <v>－</v>
      </c>
      <c r="AD36" s="105">
        <f>4</f>
        <v>4</v>
      </c>
    </row>
    <row r="37" spans="1:30">
      <c r="A37" s="95" t="s">
        <v>46</v>
      </c>
      <c r="B37" s="96" t="s">
        <v>456</v>
      </c>
      <c r="C37" s="96" t="s">
        <v>457</v>
      </c>
      <c r="D37" s="96" t="s">
        <v>80</v>
      </c>
      <c r="E37" s="97" t="s">
        <v>352</v>
      </c>
      <c r="F37" s="97" t="s">
        <v>359</v>
      </c>
      <c r="G37" s="98">
        <v>50</v>
      </c>
      <c r="H37" s="99" t="s">
        <v>54</v>
      </c>
      <c r="I37" s="100" t="s">
        <v>499</v>
      </c>
      <c r="J37" s="99" t="s">
        <v>322</v>
      </c>
      <c r="K37" s="100" t="s">
        <v>500</v>
      </c>
      <c r="L37" s="99" t="s">
        <v>279</v>
      </c>
      <c r="M37" s="100" t="s">
        <v>481</v>
      </c>
      <c r="N37" s="99" t="s">
        <v>56</v>
      </c>
      <c r="O37" s="100" t="s">
        <v>501</v>
      </c>
      <c r="P37" s="99" t="s">
        <v>279</v>
      </c>
      <c r="Q37" s="100" t="s">
        <v>481</v>
      </c>
      <c r="R37" s="99" t="s">
        <v>56</v>
      </c>
      <c r="S37" s="100" t="s">
        <v>501</v>
      </c>
      <c r="T37" s="101">
        <f>68700.5</f>
        <v>68700.5</v>
      </c>
      <c r="U37" s="102">
        <f>11</f>
        <v>11</v>
      </c>
      <c r="V37" s="102">
        <v>3</v>
      </c>
      <c r="W37" s="102">
        <v>1</v>
      </c>
      <c r="X37" s="102">
        <f>37358000</f>
        <v>37358000</v>
      </c>
      <c r="Y37" s="102">
        <v>9885000</v>
      </c>
      <c r="Z37" s="103">
        <v>3544000</v>
      </c>
      <c r="AA37" s="99"/>
      <c r="AB37" s="104">
        <f>28</f>
        <v>28</v>
      </c>
      <c r="AC37" s="104" t="str">
        <f t="shared" si="0"/>
        <v>－</v>
      </c>
      <c r="AD37" s="105">
        <f>7</f>
        <v>7</v>
      </c>
    </row>
    <row r="38" spans="1:30">
      <c r="A38" s="95" t="s">
        <v>46</v>
      </c>
      <c r="B38" s="96" t="s">
        <v>456</v>
      </c>
      <c r="C38" s="96" t="s">
        <v>457</v>
      </c>
      <c r="D38" s="96" t="s">
        <v>316</v>
      </c>
      <c r="E38" s="97" t="s">
        <v>354</v>
      </c>
      <c r="F38" s="97" t="s">
        <v>361</v>
      </c>
      <c r="G38" s="98">
        <v>50</v>
      </c>
      <c r="H38" s="99" t="s">
        <v>52</v>
      </c>
      <c r="I38" s="100" t="s">
        <v>502</v>
      </c>
      <c r="J38" s="99" t="s">
        <v>52</v>
      </c>
      <c r="K38" s="100" t="s">
        <v>502</v>
      </c>
      <c r="L38" s="99" t="s">
        <v>279</v>
      </c>
      <c r="M38" s="100" t="s">
        <v>481</v>
      </c>
      <c r="N38" s="99" t="s">
        <v>279</v>
      </c>
      <c r="O38" s="100" t="s">
        <v>503</v>
      </c>
      <c r="P38" s="99" t="s">
        <v>279</v>
      </c>
      <c r="Q38" s="100" t="s">
        <v>481</v>
      </c>
      <c r="R38" s="99" t="s">
        <v>56</v>
      </c>
      <c r="S38" s="100" t="s">
        <v>504</v>
      </c>
      <c r="T38" s="101">
        <f>68345.5</f>
        <v>68345.5</v>
      </c>
      <c r="U38" s="102">
        <f>11</f>
        <v>11</v>
      </c>
      <c r="V38" s="102">
        <v>3</v>
      </c>
      <c r="W38" s="102">
        <v>1</v>
      </c>
      <c r="X38" s="102">
        <f>37299000</f>
        <v>37299000</v>
      </c>
      <c r="Y38" s="102">
        <v>9885000</v>
      </c>
      <c r="Z38" s="103">
        <v>3496500</v>
      </c>
      <c r="AA38" s="99"/>
      <c r="AB38" s="104">
        <f>33</f>
        <v>33</v>
      </c>
      <c r="AC38" s="104" t="str">
        <f t="shared" si="0"/>
        <v>－</v>
      </c>
      <c r="AD38" s="105">
        <f>5</f>
        <v>5</v>
      </c>
    </row>
    <row r="39" spans="1:30">
      <c r="A39" s="95" t="s">
        <v>46</v>
      </c>
      <c r="B39" s="96" t="s">
        <v>456</v>
      </c>
      <c r="C39" s="96" t="s">
        <v>457</v>
      </c>
      <c r="D39" s="96" t="s">
        <v>91</v>
      </c>
      <c r="E39" s="97" t="s">
        <v>356</v>
      </c>
      <c r="F39" s="97" t="s">
        <v>362</v>
      </c>
      <c r="G39" s="98">
        <v>50</v>
      </c>
      <c r="H39" s="99" t="s">
        <v>52</v>
      </c>
      <c r="I39" s="100" t="s">
        <v>505</v>
      </c>
      <c r="J39" s="99" t="s">
        <v>52</v>
      </c>
      <c r="K39" s="100" t="s">
        <v>505</v>
      </c>
      <c r="L39" s="99" t="s">
        <v>279</v>
      </c>
      <c r="M39" s="100" t="s">
        <v>481</v>
      </c>
      <c r="N39" s="99" t="s">
        <v>52</v>
      </c>
      <c r="O39" s="100" t="s">
        <v>505</v>
      </c>
      <c r="P39" s="99" t="s">
        <v>279</v>
      </c>
      <c r="Q39" s="100" t="s">
        <v>481</v>
      </c>
      <c r="R39" s="99" t="s">
        <v>52</v>
      </c>
      <c r="S39" s="100" t="s">
        <v>505</v>
      </c>
      <c r="T39" s="101">
        <f>67251.5</f>
        <v>67251.5</v>
      </c>
      <c r="U39" s="102">
        <f>5</f>
        <v>5</v>
      </c>
      <c r="V39" s="102">
        <v>3</v>
      </c>
      <c r="W39" s="102"/>
      <c r="X39" s="102">
        <f>16885000</f>
        <v>16885000</v>
      </c>
      <c r="Y39" s="102">
        <v>9885000</v>
      </c>
      <c r="Z39" s="103"/>
      <c r="AA39" s="99"/>
      <c r="AB39" s="104">
        <f>17</f>
        <v>17</v>
      </c>
      <c r="AC39" s="104" t="str">
        <f t="shared" ref="AC39:AD70" si="4">"－"</f>
        <v>－</v>
      </c>
      <c r="AD39" s="105">
        <f>1</f>
        <v>1</v>
      </c>
    </row>
    <row r="40" spans="1:30">
      <c r="A40" s="95" t="s">
        <v>46</v>
      </c>
      <c r="B40" s="96" t="s">
        <v>456</v>
      </c>
      <c r="C40" s="96" t="s">
        <v>457</v>
      </c>
      <c r="D40" s="96" t="s">
        <v>325</v>
      </c>
      <c r="E40" s="97" t="s">
        <v>358</v>
      </c>
      <c r="F40" s="97" t="s">
        <v>506</v>
      </c>
      <c r="G40" s="98">
        <v>50</v>
      </c>
      <c r="H40" s="99" t="s">
        <v>52</v>
      </c>
      <c r="I40" s="100" t="s">
        <v>507</v>
      </c>
      <c r="J40" s="99" t="s">
        <v>52</v>
      </c>
      <c r="K40" s="100" t="s">
        <v>507</v>
      </c>
      <c r="L40" s="99" t="s">
        <v>279</v>
      </c>
      <c r="M40" s="100" t="s">
        <v>481</v>
      </c>
      <c r="N40" s="99" t="s">
        <v>277</v>
      </c>
      <c r="O40" s="100" t="s">
        <v>508</v>
      </c>
      <c r="P40" s="99" t="s">
        <v>279</v>
      </c>
      <c r="Q40" s="100" t="s">
        <v>481</v>
      </c>
      <c r="R40" s="99" t="s">
        <v>277</v>
      </c>
      <c r="S40" s="100" t="s">
        <v>508</v>
      </c>
      <c r="T40" s="101">
        <f>66634</f>
        <v>66634</v>
      </c>
      <c r="U40" s="102">
        <f>6</f>
        <v>6</v>
      </c>
      <c r="V40" s="102">
        <v>3</v>
      </c>
      <c r="W40" s="102"/>
      <c r="X40" s="102">
        <f>19979000</f>
        <v>19979000</v>
      </c>
      <c r="Y40" s="102">
        <v>9885000</v>
      </c>
      <c r="Z40" s="103"/>
      <c r="AA40" s="99"/>
      <c r="AB40" s="104">
        <f>10</f>
        <v>10</v>
      </c>
      <c r="AC40" s="104" t="str">
        <f t="shared" si="4"/>
        <v>－</v>
      </c>
      <c r="AD40" s="105">
        <f>2</f>
        <v>2</v>
      </c>
    </row>
    <row r="41" spans="1:30">
      <c r="A41" s="95" t="s">
        <v>46</v>
      </c>
      <c r="B41" s="96" t="s">
        <v>456</v>
      </c>
      <c r="C41" s="96" t="s">
        <v>457</v>
      </c>
      <c r="D41" s="96" t="s">
        <v>509</v>
      </c>
      <c r="E41" s="97" t="s">
        <v>360</v>
      </c>
      <c r="F41" s="97" t="s">
        <v>510</v>
      </c>
      <c r="G41" s="98">
        <v>50</v>
      </c>
      <c r="H41" s="99" t="s">
        <v>267</v>
      </c>
      <c r="I41" s="100" t="s">
        <v>511</v>
      </c>
      <c r="J41" s="99" t="s">
        <v>267</v>
      </c>
      <c r="K41" s="100" t="s">
        <v>511</v>
      </c>
      <c r="L41" s="99" t="s">
        <v>279</v>
      </c>
      <c r="M41" s="100" t="s">
        <v>481</v>
      </c>
      <c r="N41" s="99" t="s">
        <v>267</v>
      </c>
      <c r="O41" s="100" t="s">
        <v>512</v>
      </c>
      <c r="P41" s="99" t="s">
        <v>279</v>
      </c>
      <c r="Q41" s="100" t="s">
        <v>481</v>
      </c>
      <c r="R41" s="99" t="s">
        <v>267</v>
      </c>
      <c r="S41" s="100" t="s">
        <v>512</v>
      </c>
      <c r="T41" s="101">
        <f>65977</f>
        <v>65977</v>
      </c>
      <c r="U41" s="102">
        <f>7</f>
        <v>7</v>
      </c>
      <c r="V41" s="102">
        <v>3</v>
      </c>
      <c r="W41" s="102"/>
      <c r="X41" s="102">
        <f>22606500</f>
        <v>22606500</v>
      </c>
      <c r="Y41" s="102">
        <v>9885000</v>
      </c>
      <c r="Z41" s="103"/>
      <c r="AA41" s="99"/>
      <c r="AB41" s="104">
        <f>7</f>
        <v>7</v>
      </c>
      <c r="AC41" s="104" t="str">
        <f t="shared" si="4"/>
        <v>－</v>
      </c>
      <c r="AD41" s="105">
        <f>1</f>
        <v>1</v>
      </c>
    </row>
    <row r="42" spans="1:30">
      <c r="A42" s="95" t="s">
        <v>46</v>
      </c>
      <c r="B42" s="96" t="s">
        <v>456</v>
      </c>
      <c r="C42" s="96" t="s">
        <v>457</v>
      </c>
      <c r="D42" s="96" t="s">
        <v>513</v>
      </c>
      <c r="E42" s="97" t="s">
        <v>237</v>
      </c>
      <c r="F42" s="97" t="s">
        <v>514</v>
      </c>
      <c r="G42" s="98">
        <v>50</v>
      </c>
      <c r="H42" s="99" t="s">
        <v>161</v>
      </c>
      <c r="I42" s="100" t="s">
        <v>515</v>
      </c>
      <c r="J42" s="99" t="s">
        <v>85</v>
      </c>
      <c r="K42" s="100" t="s">
        <v>516</v>
      </c>
      <c r="L42" s="99" t="s">
        <v>279</v>
      </c>
      <c r="M42" s="100" t="s">
        <v>481</v>
      </c>
      <c r="N42" s="99" t="s">
        <v>277</v>
      </c>
      <c r="O42" s="100" t="s">
        <v>517</v>
      </c>
      <c r="P42" s="99" t="s">
        <v>279</v>
      </c>
      <c r="Q42" s="100" t="s">
        <v>481</v>
      </c>
      <c r="R42" s="99" t="s">
        <v>277</v>
      </c>
      <c r="S42" s="100" t="s">
        <v>517</v>
      </c>
      <c r="T42" s="101">
        <f>65364.5</f>
        <v>65364.5</v>
      </c>
      <c r="U42" s="102">
        <f>17</f>
        <v>17</v>
      </c>
      <c r="V42" s="102">
        <v>3</v>
      </c>
      <c r="W42" s="102"/>
      <c r="X42" s="102">
        <f>55285000</f>
        <v>55285000</v>
      </c>
      <c r="Y42" s="102">
        <v>9885000</v>
      </c>
      <c r="Z42" s="103"/>
      <c r="AA42" s="99"/>
      <c r="AB42" s="104">
        <f>10</f>
        <v>10</v>
      </c>
      <c r="AC42" s="104" t="str">
        <f t="shared" si="4"/>
        <v>－</v>
      </c>
      <c r="AD42" s="105">
        <f>7</f>
        <v>7</v>
      </c>
    </row>
    <row r="43" spans="1:30">
      <c r="A43" s="95" t="s">
        <v>46</v>
      </c>
      <c r="B43" s="96" t="s">
        <v>518</v>
      </c>
      <c r="C43" s="96" t="s">
        <v>519</v>
      </c>
      <c r="D43" s="96" t="s">
        <v>46</v>
      </c>
      <c r="E43" s="97" t="s">
        <v>520</v>
      </c>
      <c r="F43" s="97" t="s">
        <v>521</v>
      </c>
      <c r="G43" s="98">
        <v>72000</v>
      </c>
      <c r="H43" s="99" t="s">
        <v>52</v>
      </c>
      <c r="I43" s="100" t="s">
        <v>522</v>
      </c>
      <c r="J43" s="99" t="s">
        <v>85</v>
      </c>
      <c r="K43" s="100" t="s">
        <v>523</v>
      </c>
      <c r="L43" s="99" t="s">
        <v>64</v>
      </c>
      <c r="M43" s="100" t="s">
        <v>524</v>
      </c>
      <c r="N43" s="99" t="s">
        <v>52</v>
      </c>
      <c r="O43" s="100" t="s">
        <v>522</v>
      </c>
      <c r="P43" s="99" t="s">
        <v>64</v>
      </c>
      <c r="Q43" s="100" t="s">
        <v>524</v>
      </c>
      <c r="R43" s="99" t="s">
        <v>85</v>
      </c>
      <c r="S43" s="100" t="s">
        <v>523</v>
      </c>
      <c r="T43" s="101">
        <f>32.55</f>
        <v>32.549999999999997</v>
      </c>
      <c r="U43" s="102">
        <f>150</f>
        <v>150</v>
      </c>
      <c r="V43" s="102">
        <v>130</v>
      </c>
      <c r="W43" s="102"/>
      <c r="X43" s="102">
        <f>367200000</f>
        <v>367200000</v>
      </c>
      <c r="Y43" s="102">
        <v>318240000</v>
      </c>
      <c r="Z43" s="103"/>
      <c r="AA43" s="99" t="s">
        <v>238</v>
      </c>
      <c r="AB43" s="104">
        <f>365</f>
        <v>365</v>
      </c>
      <c r="AC43" s="104" t="str">
        <f t="shared" si="4"/>
        <v>－</v>
      </c>
      <c r="AD43" s="105">
        <f>2</f>
        <v>2</v>
      </c>
    </row>
    <row r="44" spans="1:30">
      <c r="A44" s="95" t="s">
        <v>46</v>
      </c>
      <c r="B44" s="96" t="s">
        <v>518</v>
      </c>
      <c r="C44" s="96" t="s">
        <v>519</v>
      </c>
      <c r="D44" s="96" t="s">
        <v>49</v>
      </c>
      <c r="E44" s="97" t="s">
        <v>525</v>
      </c>
      <c r="F44" s="97" t="s">
        <v>526</v>
      </c>
      <c r="G44" s="98">
        <v>74400</v>
      </c>
      <c r="H44" s="99" t="s">
        <v>142</v>
      </c>
      <c r="I44" s="100" t="s">
        <v>527</v>
      </c>
      <c r="J44" s="99" t="s">
        <v>142</v>
      </c>
      <c r="K44" s="100" t="s">
        <v>527</v>
      </c>
      <c r="L44" s="99" t="s">
        <v>54</v>
      </c>
      <c r="M44" s="100" t="s">
        <v>528</v>
      </c>
      <c r="N44" s="99" t="s">
        <v>153</v>
      </c>
      <c r="O44" s="100" t="s">
        <v>529</v>
      </c>
      <c r="P44" s="99" t="s">
        <v>54</v>
      </c>
      <c r="Q44" s="100" t="s">
        <v>528</v>
      </c>
      <c r="R44" s="99" t="s">
        <v>153</v>
      </c>
      <c r="S44" s="100" t="s">
        <v>529</v>
      </c>
      <c r="T44" s="101">
        <f>37.06</f>
        <v>37.06</v>
      </c>
      <c r="U44" s="102">
        <f>71</f>
        <v>71</v>
      </c>
      <c r="V44" s="102">
        <v>10</v>
      </c>
      <c r="W44" s="102"/>
      <c r="X44" s="102">
        <f>203409600</f>
        <v>203409600</v>
      </c>
      <c r="Y44" s="102">
        <v>29388000</v>
      </c>
      <c r="Z44" s="103"/>
      <c r="AA44" s="99"/>
      <c r="AB44" s="104">
        <f>340</f>
        <v>340</v>
      </c>
      <c r="AC44" s="104" t="str">
        <f t="shared" si="4"/>
        <v>－</v>
      </c>
      <c r="AD44" s="105">
        <f>4</f>
        <v>4</v>
      </c>
    </row>
    <row r="45" spans="1:30">
      <c r="A45" s="95" t="s">
        <v>46</v>
      </c>
      <c r="B45" s="96" t="s">
        <v>518</v>
      </c>
      <c r="C45" s="96" t="s">
        <v>519</v>
      </c>
      <c r="D45" s="96" t="s">
        <v>244</v>
      </c>
      <c r="E45" s="97" t="s">
        <v>530</v>
      </c>
      <c r="F45" s="97" t="s">
        <v>531</v>
      </c>
      <c r="G45" s="98">
        <v>72000</v>
      </c>
      <c r="H45" s="99" t="s">
        <v>142</v>
      </c>
      <c r="I45" s="100" t="s">
        <v>532</v>
      </c>
      <c r="J45" s="99" t="s">
        <v>142</v>
      </c>
      <c r="K45" s="100" t="s">
        <v>532</v>
      </c>
      <c r="L45" s="99"/>
      <c r="M45" s="100"/>
      <c r="N45" s="99" t="s">
        <v>148</v>
      </c>
      <c r="O45" s="100" t="s">
        <v>533</v>
      </c>
      <c r="P45" s="99"/>
      <c r="Q45" s="100"/>
      <c r="R45" s="99" t="s">
        <v>148</v>
      </c>
      <c r="S45" s="100" t="s">
        <v>533</v>
      </c>
      <c r="T45" s="101">
        <f>39.47</f>
        <v>39.47</v>
      </c>
      <c r="U45" s="102">
        <f>40</f>
        <v>40</v>
      </c>
      <c r="V45" s="102"/>
      <c r="W45" s="102"/>
      <c r="X45" s="102">
        <f>115200000</f>
        <v>115200000</v>
      </c>
      <c r="Y45" s="102"/>
      <c r="Z45" s="103"/>
      <c r="AA45" s="99"/>
      <c r="AB45" s="104">
        <f>160</f>
        <v>160</v>
      </c>
      <c r="AC45" s="104" t="str">
        <f t="shared" si="4"/>
        <v>－</v>
      </c>
      <c r="AD45" s="105">
        <f>2</f>
        <v>2</v>
      </c>
    </row>
    <row r="46" spans="1:30">
      <c r="A46" s="95" t="s">
        <v>46</v>
      </c>
      <c r="B46" s="96" t="s">
        <v>518</v>
      </c>
      <c r="C46" s="96" t="s">
        <v>519</v>
      </c>
      <c r="D46" s="96" t="s">
        <v>60</v>
      </c>
      <c r="E46" s="97" t="s">
        <v>534</v>
      </c>
      <c r="F46" s="97" t="s">
        <v>343</v>
      </c>
      <c r="G46" s="98">
        <v>74400</v>
      </c>
      <c r="H46" s="99" t="s">
        <v>142</v>
      </c>
      <c r="I46" s="100" t="s">
        <v>535</v>
      </c>
      <c r="J46" s="99" t="s">
        <v>54</v>
      </c>
      <c r="K46" s="100" t="s">
        <v>536</v>
      </c>
      <c r="L46" s="99" t="s">
        <v>161</v>
      </c>
      <c r="M46" s="100" t="s">
        <v>537</v>
      </c>
      <c r="N46" s="99" t="s">
        <v>148</v>
      </c>
      <c r="O46" s="100" t="s">
        <v>538</v>
      </c>
      <c r="P46" s="99" t="s">
        <v>130</v>
      </c>
      <c r="Q46" s="100" t="s">
        <v>539</v>
      </c>
      <c r="R46" s="99" t="s">
        <v>148</v>
      </c>
      <c r="S46" s="100" t="s">
        <v>538</v>
      </c>
      <c r="T46" s="101">
        <f>43.28</f>
        <v>43.28</v>
      </c>
      <c r="U46" s="102">
        <f>170</f>
        <v>170</v>
      </c>
      <c r="V46" s="102">
        <v>120</v>
      </c>
      <c r="W46" s="102"/>
      <c r="X46" s="102">
        <f>546393600</f>
        <v>546393600</v>
      </c>
      <c r="Y46" s="102">
        <v>383234400</v>
      </c>
      <c r="Z46" s="103"/>
      <c r="AA46" s="99"/>
      <c r="AB46" s="104">
        <f>631</f>
        <v>631</v>
      </c>
      <c r="AC46" s="104" t="str">
        <f t="shared" si="4"/>
        <v>－</v>
      </c>
      <c r="AD46" s="105">
        <f>3</f>
        <v>3</v>
      </c>
    </row>
    <row r="47" spans="1:30">
      <c r="A47" s="95" t="s">
        <v>46</v>
      </c>
      <c r="B47" s="96" t="s">
        <v>518</v>
      </c>
      <c r="C47" s="96" t="s">
        <v>519</v>
      </c>
      <c r="D47" s="96" t="s">
        <v>250</v>
      </c>
      <c r="E47" s="97" t="s">
        <v>334</v>
      </c>
      <c r="F47" s="97" t="s">
        <v>540</v>
      </c>
      <c r="G47" s="98">
        <v>74400</v>
      </c>
      <c r="H47" s="99" t="s">
        <v>150</v>
      </c>
      <c r="I47" s="100" t="s">
        <v>541</v>
      </c>
      <c r="J47" s="99" t="s">
        <v>85</v>
      </c>
      <c r="K47" s="100" t="s">
        <v>542</v>
      </c>
      <c r="L47" s="99" t="s">
        <v>85</v>
      </c>
      <c r="M47" s="100" t="s">
        <v>543</v>
      </c>
      <c r="N47" s="99" t="s">
        <v>150</v>
      </c>
      <c r="O47" s="100" t="s">
        <v>541</v>
      </c>
      <c r="P47" s="99" t="s">
        <v>58</v>
      </c>
      <c r="Q47" s="100" t="s">
        <v>544</v>
      </c>
      <c r="R47" s="99" t="s">
        <v>148</v>
      </c>
      <c r="S47" s="100" t="s">
        <v>545</v>
      </c>
      <c r="T47" s="101">
        <f>46.65</f>
        <v>46.65</v>
      </c>
      <c r="U47" s="102">
        <f>220</f>
        <v>220</v>
      </c>
      <c r="V47" s="102">
        <v>185</v>
      </c>
      <c r="W47" s="102"/>
      <c r="X47" s="102">
        <f>761696040</f>
        <v>761696040</v>
      </c>
      <c r="Y47" s="102">
        <v>638787240</v>
      </c>
      <c r="Z47" s="103"/>
      <c r="AA47" s="99"/>
      <c r="AB47" s="104">
        <f>742</f>
        <v>742</v>
      </c>
      <c r="AC47" s="104" t="str">
        <f t="shared" si="4"/>
        <v>－</v>
      </c>
      <c r="AD47" s="105">
        <f>3</f>
        <v>3</v>
      </c>
    </row>
    <row r="48" spans="1:30">
      <c r="A48" s="95" t="s">
        <v>46</v>
      </c>
      <c r="B48" s="96" t="s">
        <v>518</v>
      </c>
      <c r="C48" s="96" t="s">
        <v>519</v>
      </c>
      <c r="D48" s="96" t="s">
        <v>68</v>
      </c>
      <c r="E48" s="97" t="s">
        <v>546</v>
      </c>
      <c r="F48" s="97" t="s">
        <v>547</v>
      </c>
      <c r="G48" s="98">
        <v>67200</v>
      </c>
      <c r="H48" s="99" t="s">
        <v>85</v>
      </c>
      <c r="I48" s="100" t="s">
        <v>536</v>
      </c>
      <c r="J48" s="99" t="s">
        <v>85</v>
      </c>
      <c r="K48" s="100" t="s">
        <v>536</v>
      </c>
      <c r="L48" s="99" t="s">
        <v>161</v>
      </c>
      <c r="M48" s="100" t="s">
        <v>548</v>
      </c>
      <c r="N48" s="99" t="s">
        <v>148</v>
      </c>
      <c r="O48" s="100" t="s">
        <v>549</v>
      </c>
      <c r="P48" s="99" t="s">
        <v>130</v>
      </c>
      <c r="Q48" s="100" t="s">
        <v>550</v>
      </c>
      <c r="R48" s="99" t="s">
        <v>148</v>
      </c>
      <c r="S48" s="100" t="s">
        <v>549</v>
      </c>
      <c r="T48" s="101">
        <f>43.34</f>
        <v>43.34</v>
      </c>
      <c r="U48" s="102">
        <f>160</f>
        <v>160</v>
      </c>
      <c r="V48" s="102">
        <v>120</v>
      </c>
      <c r="W48" s="102"/>
      <c r="X48" s="102">
        <f>470971200</f>
        <v>470971200</v>
      </c>
      <c r="Y48" s="102">
        <v>350515200</v>
      </c>
      <c r="Z48" s="103"/>
      <c r="AA48" s="99"/>
      <c r="AB48" s="104">
        <f>668</f>
        <v>668</v>
      </c>
      <c r="AC48" s="104" t="str">
        <f t="shared" si="4"/>
        <v>－</v>
      </c>
      <c r="AD48" s="105">
        <f>2</f>
        <v>2</v>
      </c>
    </row>
    <row r="49" spans="1:30">
      <c r="A49" s="95" t="s">
        <v>46</v>
      </c>
      <c r="B49" s="96" t="s">
        <v>518</v>
      </c>
      <c r="C49" s="96" t="s">
        <v>519</v>
      </c>
      <c r="D49" s="96" t="s">
        <v>255</v>
      </c>
      <c r="E49" s="97" t="s">
        <v>342</v>
      </c>
      <c r="F49" s="97" t="s">
        <v>551</v>
      </c>
      <c r="G49" s="98">
        <v>74400</v>
      </c>
      <c r="H49" s="99" t="s">
        <v>142</v>
      </c>
      <c r="I49" s="100" t="s">
        <v>523</v>
      </c>
      <c r="J49" s="99" t="s">
        <v>142</v>
      </c>
      <c r="K49" s="100" t="s">
        <v>552</v>
      </c>
      <c r="L49" s="99"/>
      <c r="M49" s="100"/>
      <c r="N49" s="99" t="s">
        <v>142</v>
      </c>
      <c r="O49" s="100" t="s">
        <v>523</v>
      </c>
      <c r="P49" s="99"/>
      <c r="Q49" s="100"/>
      <c r="R49" s="99" t="s">
        <v>142</v>
      </c>
      <c r="S49" s="100" t="s">
        <v>552</v>
      </c>
      <c r="T49" s="101">
        <f>34.7</f>
        <v>34.700000000000003</v>
      </c>
      <c r="U49" s="102">
        <f>31</f>
        <v>31</v>
      </c>
      <c r="V49" s="102"/>
      <c r="W49" s="102"/>
      <c r="X49" s="102">
        <f>81468000</f>
        <v>81468000</v>
      </c>
      <c r="Y49" s="102"/>
      <c r="Z49" s="103"/>
      <c r="AA49" s="99"/>
      <c r="AB49" s="104">
        <f>230</f>
        <v>230</v>
      </c>
      <c r="AC49" s="104" t="str">
        <f t="shared" si="4"/>
        <v>－</v>
      </c>
      <c r="AD49" s="105">
        <f>1</f>
        <v>1</v>
      </c>
    </row>
    <row r="50" spans="1:30">
      <c r="A50" s="95" t="s">
        <v>46</v>
      </c>
      <c r="B50" s="96" t="s">
        <v>518</v>
      </c>
      <c r="C50" s="96" t="s">
        <v>519</v>
      </c>
      <c r="D50" s="96" t="s">
        <v>74</v>
      </c>
      <c r="E50" s="97" t="s">
        <v>553</v>
      </c>
      <c r="F50" s="97" t="s">
        <v>355</v>
      </c>
      <c r="G50" s="98">
        <v>72000</v>
      </c>
      <c r="H50" s="99"/>
      <c r="I50" s="100" t="s">
        <v>137</v>
      </c>
      <c r="J50" s="99"/>
      <c r="K50" s="100" t="s">
        <v>137</v>
      </c>
      <c r="L50" s="99"/>
      <c r="M50" s="100"/>
      <c r="N50" s="99"/>
      <c r="O50" s="100" t="s">
        <v>137</v>
      </c>
      <c r="P50" s="99"/>
      <c r="Q50" s="100"/>
      <c r="R50" s="99"/>
      <c r="S50" s="100" t="s">
        <v>137</v>
      </c>
      <c r="T50" s="101">
        <f>31.19</f>
        <v>31.19</v>
      </c>
      <c r="U50" s="102" t="str">
        <f t="shared" ref="U50:U68" si="5">"－"</f>
        <v>－</v>
      </c>
      <c r="V50" s="102"/>
      <c r="W50" s="102"/>
      <c r="X50" s="102" t="str">
        <f t="shared" ref="X50:X68" si="6">"－"</f>
        <v>－</v>
      </c>
      <c r="Y50" s="102"/>
      <c r="Z50" s="103"/>
      <c r="AA50" s="99"/>
      <c r="AB50" s="104" t="str">
        <f t="shared" ref="AB50:AB67" si="7">"－"</f>
        <v>－</v>
      </c>
      <c r="AC50" s="104" t="str">
        <f t="shared" si="4"/>
        <v>－</v>
      </c>
      <c r="AD50" s="105" t="str">
        <f t="shared" si="4"/>
        <v>－</v>
      </c>
    </row>
    <row r="51" spans="1:30">
      <c r="A51" s="95" t="s">
        <v>46</v>
      </c>
      <c r="B51" s="96" t="s">
        <v>518</v>
      </c>
      <c r="C51" s="96" t="s">
        <v>519</v>
      </c>
      <c r="D51" s="96" t="s">
        <v>308</v>
      </c>
      <c r="E51" s="97" t="s">
        <v>554</v>
      </c>
      <c r="F51" s="97" t="s">
        <v>555</v>
      </c>
      <c r="G51" s="98">
        <v>74400</v>
      </c>
      <c r="H51" s="99"/>
      <c r="I51" s="100" t="s">
        <v>137</v>
      </c>
      <c r="J51" s="99"/>
      <c r="K51" s="100" t="s">
        <v>137</v>
      </c>
      <c r="L51" s="99"/>
      <c r="M51" s="100"/>
      <c r="N51" s="99"/>
      <c r="O51" s="100" t="s">
        <v>137</v>
      </c>
      <c r="P51" s="99"/>
      <c r="Q51" s="100"/>
      <c r="R51" s="99"/>
      <c r="S51" s="100" t="s">
        <v>137</v>
      </c>
      <c r="T51" s="101">
        <f>29.01</f>
        <v>29.01</v>
      </c>
      <c r="U51" s="102" t="str">
        <f t="shared" si="5"/>
        <v>－</v>
      </c>
      <c r="V51" s="102"/>
      <c r="W51" s="102"/>
      <c r="X51" s="102" t="str">
        <f t="shared" si="6"/>
        <v>－</v>
      </c>
      <c r="Y51" s="102"/>
      <c r="Z51" s="103"/>
      <c r="AA51" s="99"/>
      <c r="AB51" s="104" t="str">
        <f t="shared" si="7"/>
        <v>－</v>
      </c>
      <c r="AC51" s="104" t="str">
        <f t="shared" si="4"/>
        <v>－</v>
      </c>
      <c r="AD51" s="105" t="str">
        <f t="shared" si="4"/>
        <v>－</v>
      </c>
    </row>
    <row r="52" spans="1:30">
      <c r="A52" s="95" t="s">
        <v>46</v>
      </c>
      <c r="B52" s="96" t="s">
        <v>518</v>
      </c>
      <c r="C52" s="96" t="s">
        <v>519</v>
      </c>
      <c r="D52" s="96" t="s">
        <v>80</v>
      </c>
      <c r="E52" s="97" t="s">
        <v>556</v>
      </c>
      <c r="F52" s="97" t="s">
        <v>557</v>
      </c>
      <c r="G52" s="98">
        <v>72000</v>
      </c>
      <c r="H52" s="99"/>
      <c r="I52" s="100" t="s">
        <v>137</v>
      </c>
      <c r="J52" s="99"/>
      <c r="K52" s="100" t="s">
        <v>137</v>
      </c>
      <c r="L52" s="99"/>
      <c r="M52" s="100"/>
      <c r="N52" s="99"/>
      <c r="O52" s="100" t="s">
        <v>137</v>
      </c>
      <c r="P52" s="99"/>
      <c r="Q52" s="100"/>
      <c r="R52" s="99"/>
      <c r="S52" s="100" t="s">
        <v>137</v>
      </c>
      <c r="T52" s="101">
        <f>31.33</f>
        <v>31.33</v>
      </c>
      <c r="U52" s="102" t="str">
        <f t="shared" si="5"/>
        <v>－</v>
      </c>
      <c r="V52" s="102"/>
      <c r="W52" s="102"/>
      <c r="X52" s="102" t="str">
        <f t="shared" si="6"/>
        <v>－</v>
      </c>
      <c r="Y52" s="102"/>
      <c r="Z52" s="103"/>
      <c r="AA52" s="99"/>
      <c r="AB52" s="104" t="str">
        <f t="shared" si="7"/>
        <v>－</v>
      </c>
      <c r="AC52" s="104" t="str">
        <f t="shared" si="4"/>
        <v>－</v>
      </c>
      <c r="AD52" s="105" t="str">
        <f t="shared" si="4"/>
        <v>－</v>
      </c>
    </row>
    <row r="53" spans="1:30">
      <c r="A53" s="95" t="s">
        <v>46</v>
      </c>
      <c r="B53" s="96" t="s">
        <v>518</v>
      </c>
      <c r="C53" s="96" t="s">
        <v>519</v>
      </c>
      <c r="D53" s="96" t="s">
        <v>316</v>
      </c>
      <c r="E53" s="97" t="s">
        <v>239</v>
      </c>
      <c r="F53" s="97" t="s">
        <v>558</v>
      </c>
      <c r="G53" s="98">
        <v>74400</v>
      </c>
      <c r="H53" s="99"/>
      <c r="I53" s="100" t="s">
        <v>137</v>
      </c>
      <c r="J53" s="99"/>
      <c r="K53" s="100" t="s">
        <v>137</v>
      </c>
      <c r="L53" s="99"/>
      <c r="M53" s="100"/>
      <c r="N53" s="99"/>
      <c r="O53" s="100" t="s">
        <v>137</v>
      </c>
      <c r="P53" s="99"/>
      <c r="Q53" s="100"/>
      <c r="R53" s="99"/>
      <c r="S53" s="100" t="s">
        <v>137</v>
      </c>
      <c r="T53" s="101">
        <f>38.36</f>
        <v>38.36</v>
      </c>
      <c r="U53" s="102" t="str">
        <f t="shared" si="5"/>
        <v>－</v>
      </c>
      <c r="V53" s="102"/>
      <c r="W53" s="102"/>
      <c r="X53" s="102" t="str">
        <f t="shared" si="6"/>
        <v>－</v>
      </c>
      <c r="Y53" s="102"/>
      <c r="Z53" s="103"/>
      <c r="AA53" s="99"/>
      <c r="AB53" s="104" t="str">
        <f t="shared" si="7"/>
        <v>－</v>
      </c>
      <c r="AC53" s="104" t="str">
        <f t="shared" si="4"/>
        <v>－</v>
      </c>
      <c r="AD53" s="105" t="str">
        <f t="shared" si="4"/>
        <v>－</v>
      </c>
    </row>
    <row r="54" spans="1:30">
      <c r="A54" s="95" t="s">
        <v>46</v>
      </c>
      <c r="B54" s="96" t="s">
        <v>518</v>
      </c>
      <c r="C54" s="96" t="s">
        <v>519</v>
      </c>
      <c r="D54" s="96" t="s">
        <v>91</v>
      </c>
      <c r="E54" s="97" t="s">
        <v>239</v>
      </c>
      <c r="F54" s="97" t="s">
        <v>559</v>
      </c>
      <c r="G54" s="98">
        <v>74400</v>
      </c>
      <c r="H54" s="99"/>
      <c r="I54" s="100" t="s">
        <v>137</v>
      </c>
      <c r="J54" s="99"/>
      <c r="K54" s="100" t="s">
        <v>137</v>
      </c>
      <c r="L54" s="99"/>
      <c r="M54" s="100"/>
      <c r="N54" s="99"/>
      <c r="O54" s="100" t="s">
        <v>137</v>
      </c>
      <c r="P54" s="99"/>
      <c r="Q54" s="100"/>
      <c r="R54" s="99"/>
      <c r="S54" s="100" t="s">
        <v>137</v>
      </c>
      <c r="T54" s="101">
        <f>42.32</f>
        <v>42.32</v>
      </c>
      <c r="U54" s="102" t="str">
        <f t="shared" si="5"/>
        <v>－</v>
      </c>
      <c r="V54" s="102"/>
      <c r="W54" s="102"/>
      <c r="X54" s="102" t="str">
        <f t="shared" si="6"/>
        <v>－</v>
      </c>
      <c r="Y54" s="102"/>
      <c r="Z54" s="103"/>
      <c r="AA54" s="99"/>
      <c r="AB54" s="104" t="str">
        <f t="shared" si="7"/>
        <v>－</v>
      </c>
      <c r="AC54" s="104" t="str">
        <f t="shared" si="4"/>
        <v>－</v>
      </c>
      <c r="AD54" s="105" t="str">
        <f t="shared" si="4"/>
        <v>－</v>
      </c>
    </row>
    <row r="55" spans="1:30">
      <c r="A55" s="95" t="s">
        <v>46</v>
      </c>
      <c r="B55" s="96" t="s">
        <v>518</v>
      </c>
      <c r="C55" s="96" t="s">
        <v>519</v>
      </c>
      <c r="D55" s="96" t="s">
        <v>325</v>
      </c>
      <c r="E55" s="97" t="s">
        <v>239</v>
      </c>
      <c r="F55" s="97" t="s">
        <v>506</v>
      </c>
      <c r="G55" s="98">
        <v>72000</v>
      </c>
      <c r="H55" s="99"/>
      <c r="I55" s="100" t="s">
        <v>137</v>
      </c>
      <c r="J55" s="99"/>
      <c r="K55" s="100" t="s">
        <v>137</v>
      </c>
      <c r="L55" s="99"/>
      <c r="M55" s="100"/>
      <c r="N55" s="99"/>
      <c r="O55" s="100" t="s">
        <v>137</v>
      </c>
      <c r="P55" s="99"/>
      <c r="Q55" s="100"/>
      <c r="R55" s="99"/>
      <c r="S55" s="100" t="s">
        <v>137</v>
      </c>
      <c r="T55" s="101">
        <f>34.95</f>
        <v>34.950000000000003</v>
      </c>
      <c r="U55" s="102" t="str">
        <f t="shared" si="5"/>
        <v>－</v>
      </c>
      <c r="V55" s="102"/>
      <c r="W55" s="102"/>
      <c r="X55" s="102" t="str">
        <f t="shared" si="6"/>
        <v>－</v>
      </c>
      <c r="Y55" s="102"/>
      <c r="Z55" s="103"/>
      <c r="AA55" s="99"/>
      <c r="AB55" s="104" t="str">
        <f t="shared" si="7"/>
        <v>－</v>
      </c>
      <c r="AC55" s="104" t="str">
        <f t="shared" si="4"/>
        <v>－</v>
      </c>
      <c r="AD55" s="105" t="str">
        <f t="shared" si="4"/>
        <v>－</v>
      </c>
    </row>
    <row r="56" spans="1:30">
      <c r="A56" s="95" t="s">
        <v>46</v>
      </c>
      <c r="B56" s="96" t="s">
        <v>518</v>
      </c>
      <c r="C56" s="96" t="s">
        <v>519</v>
      </c>
      <c r="D56" s="96" t="s">
        <v>509</v>
      </c>
      <c r="E56" s="97" t="s">
        <v>239</v>
      </c>
      <c r="F56" s="97" t="s">
        <v>560</v>
      </c>
      <c r="G56" s="98">
        <v>74400</v>
      </c>
      <c r="H56" s="99"/>
      <c r="I56" s="100" t="s">
        <v>137</v>
      </c>
      <c r="J56" s="99"/>
      <c r="K56" s="100" t="s">
        <v>137</v>
      </c>
      <c r="L56" s="99"/>
      <c r="M56" s="100"/>
      <c r="N56" s="99"/>
      <c r="O56" s="100" t="s">
        <v>137</v>
      </c>
      <c r="P56" s="99"/>
      <c r="Q56" s="100"/>
      <c r="R56" s="99"/>
      <c r="S56" s="100" t="s">
        <v>137</v>
      </c>
      <c r="T56" s="101">
        <f>32.39</f>
        <v>32.39</v>
      </c>
      <c r="U56" s="102" t="str">
        <f t="shared" si="5"/>
        <v>－</v>
      </c>
      <c r="V56" s="102"/>
      <c r="W56" s="102"/>
      <c r="X56" s="102" t="str">
        <f t="shared" si="6"/>
        <v>－</v>
      </c>
      <c r="Y56" s="102"/>
      <c r="Z56" s="103"/>
      <c r="AA56" s="99"/>
      <c r="AB56" s="104" t="str">
        <f t="shared" si="7"/>
        <v>－</v>
      </c>
      <c r="AC56" s="104" t="str">
        <f t="shared" si="4"/>
        <v>－</v>
      </c>
      <c r="AD56" s="105" t="str">
        <f t="shared" si="4"/>
        <v>－</v>
      </c>
    </row>
    <row r="57" spans="1:30">
      <c r="A57" s="95" t="s">
        <v>46</v>
      </c>
      <c r="B57" s="96" t="s">
        <v>518</v>
      </c>
      <c r="C57" s="96" t="s">
        <v>519</v>
      </c>
      <c r="D57" s="96" t="s">
        <v>513</v>
      </c>
      <c r="E57" s="97" t="s">
        <v>239</v>
      </c>
      <c r="F57" s="97" t="s">
        <v>561</v>
      </c>
      <c r="G57" s="98">
        <v>72000</v>
      </c>
      <c r="H57" s="99"/>
      <c r="I57" s="100" t="s">
        <v>137</v>
      </c>
      <c r="J57" s="99"/>
      <c r="K57" s="100" t="s">
        <v>137</v>
      </c>
      <c r="L57" s="99"/>
      <c r="M57" s="100"/>
      <c r="N57" s="99"/>
      <c r="O57" s="100" t="s">
        <v>137</v>
      </c>
      <c r="P57" s="99"/>
      <c r="Q57" s="100"/>
      <c r="R57" s="99"/>
      <c r="S57" s="100" t="s">
        <v>137</v>
      </c>
      <c r="T57" s="101">
        <f>33.69</f>
        <v>33.69</v>
      </c>
      <c r="U57" s="102" t="str">
        <f t="shared" si="5"/>
        <v>－</v>
      </c>
      <c r="V57" s="102"/>
      <c r="W57" s="102"/>
      <c r="X57" s="102" t="str">
        <f t="shared" si="6"/>
        <v>－</v>
      </c>
      <c r="Y57" s="102"/>
      <c r="Z57" s="103"/>
      <c r="AA57" s="99"/>
      <c r="AB57" s="104" t="str">
        <f t="shared" si="7"/>
        <v>－</v>
      </c>
      <c r="AC57" s="104" t="str">
        <f t="shared" si="4"/>
        <v>－</v>
      </c>
      <c r="AD57" s="105" t="str">
        <f t="shared" si="4"/>
        <v>－</v>
      </c>
    </row>
    <row r="58" spans="1:30">
      <c r="A58" s="95" t="s">
        <v>46</v>
      </c>
      <c r="B58" s="96" t="s">
        <v>518</v>
      </c>
      <c r="C58" s="96" t="s">
        <v>519</v>
      </c>
      <c r="D58" s="96" t="s">
        <v>562</v>
      </c>
      <c r="E58" s="97" t="s">
        <v>239</v>
      </c>
      <c r="F58" s="97" t="s">
        <v>563</v>
      </c>
      <c r="G58" s="98">
        <v>74400</v>
      </c>
      <c r="H58" s="99"/>
      <c r="I58" s="100" t="s">
        <v>137</v>
      </c>
      <c r="J58" s="99"/>
      <c r="K58" s="100" t="s">
        <v>137</v>
      </c>
      <c r="L58" s="99"/>
      <c r="M58" s="100"/>
      <c r="N58" s="99"/>
      <c r="O58" s="100" t="s">
        <v>137</v>
      </c>
      <c r="P58" s="99"/>
      <c r="Q58" s="100"/>
      <c r="R58" s="99"/>
      <c r="S58" s="100" t="s">
        <v>137</v>
      </c>
      <c r="T58" s="101">
        <f>38.08</f>
        <v>38.08</v>
      </c>
      <c r="U58" s="102" t="str">
        <f t="shared" si="5"/>
        <v>－</v>
      </c>
      <c r="V58" s="102"/>
      <c r="W58" s="102"/>
      <c r="X58" s="102" t="str">
        <f t="shared" si="6"/>
        <v>－</v>
      </c>
      <c r="Y58" s="102"/>
      <c r="Z58" s="103"/>
      <c r="AA58" s="99"/>
      <c r="AB58" s="104" t="str">
        <f t="shared" si="7"/>
        <v>－</v>
      </c>
      <c r="AC58" s="104" t="str">
        <f t="shared" si="4"/>
        <v>－</v>
      </c>
      <c r="AD58" s="105" t="str">
        <f t="shared" si="4"/>
        <v>－</v>
      </c>
    </row>
    <row r="59" spans="1:30">
      <c r="A59" s="95" t="s">
        <v>46</v>
      </c>
      <c r="B59" s="96" t="s">
        <v>518</v>
      </c>
      <c r="C59" s="96" t="s">
        <v>519</v>
      </c>
      <c r="D59" s="96" t="s">
        <v>564</v>
      </c>
      <c r="E59" s="97" t="s">
        <v>239</v>
      </c>
      <c r="F59" s="97" t="s">
        <v>565</v>
      </c>
      <c r="G59" s="98">
        <v>74400</v>
      </c>
      <c r="H59" s="99"/>
      <c r="I59" s="100" t="s">
        <v>137</v>
      </c>
      <c r="J59" s="99"/>
      <c r="K59" s="100" t="s">
        <v>137</v>
      </c>
      <c r="L59" s="99"/>
      <c r="M59" s="100"/>
      <c r="N59" s="99"/>
      <c r="O59" s="100" t="s">
        <v>137</v>
      </c>
      <c r="P59" s="99"/>
      <c r="Q59" s="100"/>
      <c r="R59" s="99"/>
      <c r="S59" s="100" t="s">
        <v>137</v>
      </c>
      <c r="T59" s="101">
        <f>39.26</f>
        <v>39.26</v>
      </c>
      <c r="U59" s="102" t="str">
        <f t="shared" si="5"/>
        <v>－</v>
      </c>
      <c r="V59" s="102"/>
      <c r="W59" s="102"/>
      <c r="X59" s="102" t="str">
        <f t="shared" si="6"/>
        <v>－</v>
      </c>
      <c r="Y59" s="102"/>
      <c r="Z59" s="103"/>
      <c r="AA59" s="99"/>
      <c r="AB59" s="104" t="str">
        <f t="shared" si="7"/>
        <v>－</v>
      </c>
      <c r="AC59" s="104" t="str">
        <f t="shared" si="4"/>
        <v>－</v>
      </c>
      <c r="AD59" s="105" t="str">
        <f t="shared" si="4"/>
        <v>－</v>
      </c>
    </row>
    <row r="60" spans="1:30">
      <c r="A60" s="95" t="s">
        <v>46</v>
      </c>
      <c r="B60" s="96" t="s">
        <v>518</v>
      </c>
      <c r="C60" s="96" t="s">
        <v>519</v>
      </c>
      <c r="D60" s="96" t="s">
        <v>566</v>
      </c>
      <c r="E60" s="97" t="s">
        <v>239</v>
      </c>
      <c r="F60" s="97" t="s">
        <v>567</v>
      </c>
      <c r="G60" s="98">
        <v>69600</v>
      </c>
      <c r="H60" s="99"/>
      <c r="I60" s="100" t="s">
        <v>137</v>
      </c>
      <c r="J60" s="99"/>
      <c r="K60" s="100" t="s">
        <v>137</v>
      </c>
      <c r="L60" s="99"/>
      <c r="M60" s="100"/>
      <c r="N60" s="99"/>
      <c r="O60" s="100" t="s">
        <v>137</v>
      </c>
      <c r="P60" s="99"/>
      <c r="Q60" s="100"/>
      <c r="R60" s="99"/>
      <c r="S60" s="100" t="s">
        <v>137</v>
      </c>
      <c r="T60" s="101">
        <f>38.07</f>
        <v>38.07</v>
      </c>
      <c r="U60" s="102" t="str">
        <f t="shared" si="5"/>
        <v>－</v>
      </c>
      <c r="V60" s="102"/>
      <c r="W60" s="102"/>
      <c r="X60" s="102" t="str">
        <f t="shared" si="6"/>
        <v>－</v>
      </c>
      <c r="Y60" s="102"/>
      <c r="Z60" s="103"/>
      <c r="AA60" s="99"/>
      <c r="AB60" s="104" t="str">
        <f t="shared" si="7"/>
        <v>－</v>
      </c>
      <c r="AC60" s="104" t="str">
        <f t="shared" si="4"/>
        <v>－</v>
      </c>
      <c r="AD60" s="105" t="str">
        <f t="shared" si="4"/>
        <v>－</v>
      </c>
    </row>
    <row r="61" spans="1:30">
      <c r="A61" s="95" t="s">
        <v>46</v>
      </c>
      <c r="B61" s="96" t="s">
        <v>518</v>
      </c>
      <c r="C61" s="96" t="s">
        <v>519</v>
      </c>
      <c r="D61" s="96" t="s">
        <v>568</v>
      </c>
      <c r="E61" s="97" t="s">
        <v>239</v>
      </c>
      <c r="F61" s="97" t="s">
        <v>569</v>
      </c>
      <c r="G61" s="98">
        <v>74400</v>
      </c>
      <c r="H61" s="99"/>
      <c r="I61" s="100" t="s">
        <v>137</v>
      </c>
      <c r="J61" s="99"/>
      <c r="K61" s="100" t="s">
        <v>137</v>
      </c>
      <c r="L61" s="99"/>
      <c r="M61" s="100"/>
      <c r="N61" s="99"/>
      <c r="O61" s="100" t="s">
        <v>137</v>
      </c>
      <c r="P61" s="99"/>
      <c r="Q61" s="100"/>
      <c r="R61" s="99"/>
      <c r="S61" s="100" t="s">
        <v>137</v>
      </c>
      <c r="T61" s="101">
        <f>32.04</f>
        <v>32.04</v>
      </c>
      <c r="U61" s="102" t="str">
        <f t="shared" si="5"/>
        <v>－</v>
      </c>
      <c r="V61" s="102"/>
      <c r="W61" s="102"/>
      <c r="X61" s="102" t="str">
        <f t="shared" si="6"/>
        <v>－</v>
      </c>
      <c r="Y61" s="102"/>
      <c r="Z61" s="103"/>
      <c r="AA61" s="99"/>
      <c r="AB61" s="104" t="str">
        <f t="shared" si="7"/>
        <v>－</v>
      </c>
      <c r="AC61" s="104" t="str">
        <f t="shared" si="4"/>
        <v>－</v>
      </c>
      <c r="AD61" s="105" t="str">
        <f t="shared" si="4"/>
        <v>－</v>
      </c>
    </row>
    <row r="62" spans="1:30">
      <c r="A62" s="95" t="s">
        <v>46</v>
      </c>
      <c r="B62" s="96" t="s">
        <v>518</v>
      </c>
      <c r="C62" s="96" t="s">
        <v>519</v>
      </c>
      <c r="D62" s="96" t="s">
        <v>570</v>
      </c>
      <c r="E62" s="97" t="s">
        <v>354</v>
      </c>
      <c r="F62" s="97" t="s">
        <v>571</v>
      </c>
      <c r="G62" s="98">
        <v>72000</v>
      </c>
      <c r="H62" s="99"/>
      <c r="I62" s="100" t="s">
        <v>137</v>
      </c>
      <c r="J62" s="99"/>
      <c r="K62" s="100" t="s">
        <v>137</v>
      </c>
      <c r="L62" s="99"/>
      <c r="M62" s="100"/>
      <c r="N62" s="99"/>
      <c r="O62" s="100" t="s">
        <v>137</v>
      </c>
      <c r="P62" s="99"/>
      <c r="Q62" s="100"/>
      <c r="R62" s="99"/>
      <c r="S62" s="100" t="s">
        <v>137</v>
      </c>
      <c r="T62" s="101">
        <f>20.59</f>
        <v>20.59</v>
      </c>
      <c r="U62" s="102" t="str">
        <f t="shared" si="5"/>
        <v>－</v>
      </c>
      <c r="V62" s="102"/>
      <c r="W62" s="102"/>
      <c r="X62" s="102" t="str">
        <f t="shared" si="6"/>
        <v>－</v>
      </c>
      <c r="Y62" s="102"/>
      <c r="Z62" s="103"/>
      <c r="AA62" s="99"/>
      <c r="AB62" s="104" t="str">
        <f t="shared" si="7"/>
        <v>－</v>
      </c>
      <c r="AC62" s="104" t="str">
        <f t="shared" si="4"/>
        <v>－</v>
      </c>
      <c r="AD62" s="105" t="str">
        <f t="shared" si="4"/>
        <v>－</v>
      </c>
    </row>
    <row r="63" spans="1:30">
      <c r="A63" s="95" t="s">
        <v>46</v>
      </c>
      <c r="B63" s="96" t="s">
        <v>518</v>
      </c>
      <c r="C63" s="96" t="s">
        <v>519</v>
      </c>
      <c r="D63" s="96" t="s">
        <v>572</v>
      </c>
      <c r="E63" s="97" t="s">
        <v>573</v>
      </c>
      <c r="F63" s="97" t="s">
        <v>574</v>
      </c>
      <c r="G63" s="98">
        <v>74400</v>
      </c>
      <c r="H63" s="99"/>
      <c r="I63" s="100" t="s">
        <v>137</v>
      </c>
      <c r="J63" s="99"/>
      <c r="K63" s="100" t="s">
        <v>137</v>
      </c>
      <c r="L63" s="99"/>
      <c r="M63" s="100"/>
      <c r="N63" s="99"/>
      <c r="O63" s="100" t="s">
        <v>137</v>
      </c>
      <c r="P63" s="99"/>
      <c r="Q63" s="100"/>
      <c r="R63" s="99"/>
      <c r="S63" s="100" t="s">
        <v>137</v>
      </c>
      <c r="T63" s="101">
        <f>19.02</f>
        <v>19.02</v>
      </c>
      <c r="U63" s="102" t="str">
        <f t="shared" si="5"/>
        <v>－</v>
      </c>
      <c r="V63" s="102"/>
      <c r="W63" s="102"/>
      <c r="X63" s="102" t="str">
        <f t="shared" si="6"/>
        <v>－</v>
      </c>
      <c r="Y63" s="102"/>
      <c r="Z63" s="103"/>
      <c r="AA63" s="99"/>
      <c r="AB63" s="104" t="str">
        <f t="shared" si="7"/>
        <v>－</v>
      </c>
      <c r="AC63" s="104" t="str">
        <f t="shared" si="4"/>
        <v>－</v>
      </c>
      <c r="AD63" s="105" t="str">
        <f t="shared" si="4"/>
        <v>－</v>
      </c>
    </row>
    <row r="64" spans="1:30">
      <c r="A64" s="95" t="s">
        <v>46</v>
      </c>
      <c r="B64" s="96" t="s">
        <v>518</v>
      </c>
      <c r="C64" s="96" t="s">
        <v>519</v>
      </c>
      <c r="D64" s="96" t="s">
        <v>575</v>
      </c>
      <c r="E64" s="97" t="s">
        <v>576</v>
      </c>
      <c r="F64" s="97" t="s">
        <v>577</v>
      </c>
      <c r="G64" s="98">
        <v>72000</v>
      </c>
      <c r="H64" s="99"/>
      <c r="I64" s="100" t="s">
        <v>137</v>
      </c>
      <c r="J64" s="99"/>
      <c r="K64" s="100" t="s">
        <v>137</v>
      </c>
      <c r="L64" s="99"/>
      <c r="M64" s="100"/>
      <c r="N64" s="99"/>
      <c r="O64" s="100" t="s">
        <v>137</v>
      </c>
      <c r="P64" s="99"/>
      <c r="Q64" s="100"/>
      <c r="R64" s="99"/>
      <c r="S64" s="100" t="s">
        <v>137</v>
      </c>
      <c r="T64" s="101">
        <f>19.68</f>
        <v>19.68</v>
      </c>
      <c r="U64" s="102" t="str">
        <f t="shared" si="5"/>
        <v>－</v>
      </c>
      <c r="V64" s="102"/>
      <c r="W64" s="102"/>
      <c r="X64" s="102" t="str">
        <f t="shared" si="6"/>
        <v>－</v>
      </c>
      <c r="Y64" s="102"/>
      <c r="Z64" s="103"/>
      <c r="AA64" s="99"/>
      <c r="AB64" s="104" t="str">
        <f t="shared" si="7"/>
        <v>－</v>
      </c>
      <c r="AC64" s="104" t="str">
        <f t="shared" si="4"/>
        <v>－</v>
      </c>
      <c r="AD64" s="105" t="str">
        <f t="shared" si="4"/>
        <v>－</v>
      </c>
    </row>
    <row r="65" spans="1:30">
      <c r="A65" s="95" t="s">
        <v>46</v>
      </c>
      <c r="B65" s="96" t="s">
        <v>518</v>
      </c>
      <c r="C65" s="96" t="s">
        <v>519</v>
      </c>
      <c r="D65" s="96" t="s">
        <v>578</v>
      </c>
      <c r="E65" s="97" t="s">
        <v>360</v>
      </c>
      <c r="F65" s="97" t="s">
        <v>579</v>
      </c>
      <c r="G65" s="98">
        <v>74400</v>
      </c>
      <c r="H65" s="99"/>
      <c r="I65" s="100" t="s">
        <v>137</v>
      </c>
      <c r="J65" s="99"/>
      <c r="K65" s="100" t="s">
        <v>137</v>
      </c>
      <c r="L65" s="99"/>
      <c r="M65" s="100"/>
      <c r="N65" s="99"/>
      <c r="O65" s="100" t="s">
        <v>137</v>
      </c>
      <c r="P65" s="99"/>
      <c r="Q65" s="100"/>
      <c r="R65" s="99"/>
      <c r="S65" s="100" t="s">
        <v>137</v>
      </c>
      <c r="T65" s="101">
        <f>24.18</f>
        <v>24.18</v>
      </c>
      <c r="U65" s="102" t="str">
        <f t="shared" si="5"/>
        <v>－</v>
      </c>
      <c r="V65" s="102"/>
      <c r="W65" s="102"/>
      <c r="X65" s="102" t="str">
        <f t="shared" si="6"/>
        <v>－</v>
      </c>
      <c r="Y65" s="102"/>
      <c r="Z65" s="103"/>
      <c r="AA65" s="99"/>
      <c r="AB65" s="104" t="str">
        <f t="shared" si="7"/>
        <v>－</v>
      </c>
      <c r="AC65" s="104" t="str">
        <f t="shared" si="4"/>
        <v>－</v>
      </c>
      <c r="AD65" s="105" t="str">
        <f t="shared" si="4"/>
        <v>－</v>
      </c>
    </row>
    <row r="66" spans="1:30">
      <c r="A66" s="95" t="s">
        <v>46</v>
      </c>
      <c r="B66" s="96" t="s">
        <v>518</v>
      </c>
      <c r="C66" s="96" t="s">
        <v>519</v>
      </c>
      <c r="D66" s="96" t="s">
        <v>580</v>
      </c>
      <c r="E66" s="97" t="s">
        <v>581</v>
      </c>
      <c r="F66" s="97" t="s">
        <v>582</v>
      </c>
      <c r="G66" s="98">
        <v>74400</v>
      </c>
      <c r="H66" s="99"/>
      <c r="I66" s="100" t="s">
        <v>137</v>
      </c>
      <c r="J66" s="99"/>
      <c r="K66" s="100" t="s">
        <v>137</v>
      </c>
      <c r="L66" s="99"/>
      <c r="M66" s="100"/>
      <c r="N66" s="99"/>
      <c r="O66" s="100" t="s">
        <v>137</v>
      </c>
      <c r="P66" s="99"/>
      <c r="Q66" s="100"/>
      <c r="R66" s="99"/>
      <c r="S66" s="100" t="s">
        <v>137</v>
      </c>
      <c r="T66" s="101">
        <f>26.82</f>
        <v>26.82</v>
      </c>
      <c r="U66" s="102" t="str">
        <f t="shared" si="5"/>
        <v>－</v>
      </c>
      <c r="V66" s="102"/>
      <c r="W66" s="102"/>
      <c r="X66" s="102" t="str">
        <f t="shared" si="6"/>
        <v>－</v>
      </c>
      <c r="Y66" s="102"/>
      <c r="Z66" s="103"/>
      <c r="AA66" s="99"/>
      <c r="AB66" s="104" t="str">
        <f t="shared" si="7"/>
        <v>－</v>
      </c>
      <c r="AC66" s="104" t="str">
        <f t="shared" si="4"/>
        <v>－</v>
      </c>
      <c r="AD66" s="105" t="str">
        <f t="shared" si="4"/>
        <v>－</v>
      </c>
    </row>
    <row r="67" spans="1:30">
      <c r="A67" s="95" t="s">
        <v>46</v>
      </c>
      <c r="B67" s="96" t="s">
        <v>518</v>
      </c>
      <c r="C67" s="96" t="s">
        <v>519</v>
      </c>
      <c r="D67" s="96" t="s">
        <v>583</v>
      </c>
      <c r="E67" s="97" t="s">
        <v>333</v>
      </c>
      <c r="F67" s="97" t="s">
        <v>584</v>
      </c>
      <c r="G67" s="98">
        <v>72000</v>
      </c>
      <c r="H67" s="99"/>
      <c r="I67" s="100" t="s">
        <v>137</v>
      </c>
      <c r="J67" s="99"/>
      <c r="K67" s="100" t="s">
        <v>137</v>
      </c>
      <c r="L67" s="99"/>
      <c r="M67" s="100"/>
      <c r="N67" s="99"/>
      <c r="O67" s="100" t="s">
        <v>137</v>
      </c>
      <c r="P67" s="99"/>
      <c r="Q67" s="100"/>
      <c r="R67" s="99"/>
      <c r="S67" s="100" t="s">
        <v>137</v>
      </c>
      <c r="T67" s="101">
        <f>21.65</f>
        <v>21.65</v>
      </c>
      <c r="U67" s="102" t="str">
        <f t="shared" si="5"/>
        <v>－</v>
      </c>
      <c r="V67" s="102"/>
      <c r="W67" s="102"/>
      <c r="X67" s="102" t="str">
        <f t="shared" si="6"/>
        <v>－</v>
      </c>
      <c r="Y67" s="102"/>
      <c r="Z67" s="103"/>
      <c r="AA67" s="99"/>
      <c r="AB67" s="104" t="str">
        <f t="shared" si="7"/>
        <v>－</v>
      </c>
      <c r="AC67" s="104" t="str">
        <f t="shared" si="4"/>
        <v>－</v>
      </c>
      <c r="AD67" s="105" t="str">
        <f t="shared" si="4"/>
        <v>－</v>
      </c>
    </row>
    <row r="68" spans="1:30">
      <c r="A68" s="95" t="s">
        <v>46</v>
      </c>
      <c r="B68" s="96" t="s">
        <v>585</v>
      </c>
      <c r="C68" s="96" t="s">
        <v>586</v>
      </c>
      <c r="D68" s="96" t="s">
        <v>46</v>
      </c>
      <c r="E68" s="97" t="s">
        <v>520</v>
      </c>
      <c r="F68" s="97" t="s">
        <v>521</v>
      </c>
      <c r="G68" s="98">
        <v>72000</v>
      </c>
      <c r="H68" s="99"/>
      <c r="I68" s="100" t="s">
        <v>137</v>
      </c>
      <c r="J68" s="99"/>
      <c r="K68" s="100" t="s">
        <v>137</v>
      </c>
      <c r="L68" s="99"/>
      <c r="M68" s="100"/>
      <c r="N68" s="99"/>
      <c r="O68" s="100" t="s">
        <v>137</v>
      </c>
      <c r="P68" s="99"/>
      <c r="Q68" s="100"/>
      <c r="R68" s="99"/>
      <c r="S68" s="100" t="s">
        <v>137</v>
      </c>
      <c r="T68" s="101">
        <f>27.34</f>
        <v>27.34</v>
      </c>
      <c r="U68" s="102" t="str">
        <f t="shared" si="5"/>
        <v>－</v>
      </c>
      <c r="V68" s="102"/>
      <c r="W68" s="102"/>
      <c r="X68" s="102" t="str">
        <f t="shared" si="6"/>
        <v>－</v>
      </c>
      <c r="Y68" s="102"/>
      <c r="Z68" s="103"/>
      <c r="AA68" s="99" t="s">
        <v>238</v>
      </c>
      <c r="AB68" s="104">
        <f>130</f>
        <v>130</v>
      </c>
      <c r="AC68" s="104" t="str">
        <f t="shared" si="4"/>
        <v>－</v>
      </c>
      <c r="AD68" s="105" t="str">
        <f t="shared" si="4"/>
        <v>－</v>
      </c>
    </row>
    <row r="69" spans="1:30">
      <c r="A69" s="95" t="s">
        <v>46</v>
      </c>
      <c r="B69" s="96" t="s">
        <v>585</v>
      </c>
      <c r="C69" s="96" t="s">
        <v>586</v>
      </c>
      <c r="D69" s="96" t="s">
        <v>49</v>
      </c>
      <c r="E69" s="97" t="s">
        <v>525</v>
      </c>
      <c r="F69" s="97" t="s">
        <v>526</v>
      </c>
      <c r="G69" s="98">
        <v>74400</v>
      </c>
      <c r="H69" s="99" t="s">
        <v>52</v>
      </c>
      <c r="I69" s="100" t="s">
        <v>587</v>
      </c>
      <c r="J69" s="99" t="s">
        <v>52</v>
      </c>
      <c r="K69" s="100" t="s">
        <v>587</v>
      </c>
      <c r="L69" s="99" t="s">
        <v>85</v>
      </c>
      <c r="M69" s="100" t="s">
        <v>588</v>
      </c>
      <c r="N69" s="99" t="s">
        <v>279</v>
      </c>
      <c r="O69" s="100" t="s">
        <v>589</v>
      </c>
      <c r="P69" s="99" t="s">
        <v>150</v>
      </c>
      <c r="Q69" s="100" t="s">
        <v>590</v>
      </c>
      <c r="R69" s="99" t="s">
        <v>279</v>
      </c>
      <c r="S69" s="100" t="s">
        <v>589</v>
      </c>
      <c r="T69" s="101">
        <f>31.77</f>
        <v>31.77</v>
      </c>
      <c r="U69" s="102">
        <f>211</f>
        <v>211</v>
      </c>
      <c r="V69" s="102">
        <v>180</v>
      </c>
      <c r="W69" s="102"/>
      <c r="X69" s="102">
        <f>542673600</f>
        <v>542673600</v>
      </c>
      <c r="Y69" s="102">
        <v>474076800</v>
      </c>
      <c r="Z69" s="103"/>
      <c r="AA69" s="99"/>
      <c r="AB69" s="104">
        <f>194</f>
        <v>194</v>
      </c>
      <c r="AC69" s="104" t="str">
        <f t="shared" si="4"/>
        <v>－</v>
      </c>
      <c r="AD69" s="105">
        <f>4</f>
        <v>4</v>
      </c>
    </row>
    <row r="70" spans="1:30">
      <c r="A70" s="95" t="s">
        <v>46</v>
      </c>
      <c r="B70" s="96" t="s">
        <v>585</v>
      </c>
      <c r="C70" s="96" t="s">
        <v>586</v>
      </c>
      <c r="D70" s="96" t="s">
        <v>244</v>
      </c>
      <c r="E70" s="97" t="s">
        <v>530</v>
      </c>
      <c r="F70" s="97" t="s">
        <v>531</v>
      </c>
      <c r="G70" s="98">
        <v>72000</v>
      </c>
      <c r="H70" s="99"/>
      <c r="I70" s="100" t="s">
        <v>137</v>
      </c>
      <c r="J70" s="99"/>
      <c r="K70" s="100" t="s">
        <v>137</v>
      </c>
      <c r="L70" s="99" t="s">
        <v>85</v>
      </c>
      <c r="M70" s="100" t="s">
        <v>588</v>
      </c>
      <c r="N70" s="99"/>
      <c r="O70" s="100" t="s">
        <v>137</v>
      </c>
      <c r="P70" s="99" t="s">
        <v>150</v>
      </c>
      <c r="Q70" s="100" t="s">
        <v>591</v>
      </c>
      <c r="R70" s="99"/>
      <c r="S70" s="100" t="s">
        <v>137</v>
      </c>
      <c r="T70" s="101">
        <f>34.09</f>
        <v>34.090000000000003</v>
      </c>
      <c r="U70" s="102">
        <f>180</f>
        <v>180</v>
      </c>
      <c r="V70" s="102">
        <v>180</v>
      </c>
      <c r="W70" s="102"/>
      <c r="X70" s="102">
        <f>465624000</f>
        <v>465624000</v>
      </c>
      <c r="Y70" s="102">
        <v>465624000</v>
      </c>
      <c r="Z70" s="103"/>
      <c r="AA70" s="99"/>
      <c r="AB70" s="104">
        <f>194</f>
        <v>194</v>
      </c>
      <c r="AC70" s="104" t="str">
        <f t="shared" si="4"/>
        <v>－</v>
      </c>
      <c r="AD70" s="105" t="str">
        <f>"－"</f>
        <v>－</v>
      </c>
    </row>
    <row r="71" spans="1:30">
      <c r="A71" s="95" t="s">
        <v>46</v>
      </c>
      <c r="B71" s="96" t="s">
        <v>585</v>
      </c>
      <c r="C71" s="96" t="s">
        <v>586</v>
      </c>
      <c r="D71" s="96" t="s">
        <v>60</v>
      </c>
      <c r="E71" s="97" t="s">
        <v>534</v>
      </c>
      <c r="F71" s="97" t="s">
        <v>343</v>
      </c>
      <c r="G71" s="98">
        <v>74400</v>
      </c>
      <c r="H71" s="99" t="s">
        <v>322</v>
      </c>
      <c r="I71" s="100" t="s">
        <v>592</v>
      </c>
      <c r="J71" s="99" t="s">
        <v>322</v>
      </c>
      <c r="K71" s="100" t="s">
        <v>592</v>
      </c>
      <c r="L71" s="99" t="s">
        <v>322</v>
      </c>
      <c r="M71" s="100" t="s">
        <v>593</v>
      </c>
      <c r="N71" s="99" t="s">
        <v>322</v>
      </c>
      <c r="O71" s="100" t="s">
        <v>592</v>
      </c>
      <c r="P71" s="99" t="s">
        <v>54</v>
      </c>
      <c r="Q71" s="100" t="s">
        <v>594</v>
      </c>
      <c r="R71" s="99" t="s">
        <v>322</v>
      </c>
      <c r="S71" s="100" t="s">
        <v>592</v>
      </c>
      <c r="T71" s="101">
        <f>37.81</f>
        <v>37.81</v>
      </c>
      <c r="U71" s="102">
        <f>158</f>
        <v>158</v>
      </c>
      <c r="V71" s="102">
        <v>156</v>
      </c>
      <c r="W71" s="102"/>
      <c r="X71" s="102">
        <f>428119920</f>
        <v>428119920</v>
      </c>
      <c r="Y71" s="102">
        <v>422391120</v>
      </c>
      <c r="Z71" s="103"/>
      <c r="AA71" s="99"/>
      <c r="AB71" s="104">
        <f>416</f>
        <v>416</v>
      </c>
      <c r="AC71" s="104" t="str">
        <f t="shared" ref="AC71:AD102" si="8">"－"</f>
        <v>－</v>
      </c>
      <c r="AD71" s="105">
        <f>1</f>
        <v>1</v>
      </c>
    </row>
    <row r="72" spans="1:30">
      <c r="A72" s="95" t="s">
        <v>46</v>
      </c>
      <c r="B72" s="96" t="s">
        <v>585</v>
      </c>
      <c r="C72" s="96" t="s">
        <v>586</v>
      </c>
      <c r="D72" s="96" t="s">
        <v>250</v>
      </c>
      <c r="E72" s="97" t="s">
        <v>334</v>
      </c>
      <c r="F72" s="97" t="s">
        <v>540</v>
      </c>
      <c r="G72" s="98">
        <v>74400</v>
      </c>
      <c r="H72" s="99"/>
      <c r="I72" s="100" t="s">
        <v>137</v>
      </c>
      <c r="J72" s="99"/>
      <c r="K72" s="100" t="s">
        <v>137</v>
      </c>
      <c r="L72" s="99" t="s">
        <v>322</v>
      </c>
      <c r="M72" s="100" t="s">
        <v>595</v>
      </c>
      <c r="N72" s="99"/>
      <c r="O72" s="100" t="s">
        <v>137</v>
      </c>
      <c r="P72" s="99" t="s">
        <v>267</v>
      </c>
      <c r="Q72" s="100" t="s">
        <v>596</v>
      </c>
      <c r="R72" s="99"/>
      <c r="S72" s="100" t="s">
        <v>137</v>
      </c>
      <c r="T72" s="101">
        <f>40.06</f>
        <v>40.06</v>
      </c>
      <c r="U72" s="102">
        <f>50</f>
        <v>50</v>
      </c>
      <c r="V72" s="102">
        <v>50</v>
      </c>
      <c r="W72" s="102"/>
      <c r="X72" s="102">
        <f>143517600</f>
        <v>143517600</v>
      </c>
      <c r="Y72" s="102">
        <v>143517600</v>
      </c>
      <c r="Z72" s="103"/>
      <c r="AA72" s="99"/>
      <c r="AB72" s="104">
        <f>230</f>
        <v>230</v>
      </c>
      <c r="AC72" s="104" t="str">
        <f t="shared" si="8"/>
        <v>－</v>
      </c>
      <c r="AD72" s="105" t="str">
        <f t="shared" si="8"/>
        <v>－</v>
      </c>
    </row>
    <row r="73" spans="1:30">
      <c r="A73" s="95" t="s">
        <v>46</v>
      </c>
      <c r="B73" s="96" t="s">
        <v>585</v>
      </c>
      <c r="C73" s="96" t="s">
        <v>586</v>
      </c>
      <c r="D73" s="96" t="s">
        <v>68</v>
      </c>
      <c r="E73" s="97" t="s">
        <v>546</v>
      </c>
      <c r="F73" s="97" t="s">
        <v>547</v>
      </c>
      <c r="G73" s="98">
        <v>67200</v>
      </c>
      <c r="H73" s="99"/>
      <c r="I73" s="100" t="s">
        <v>137</v>
      </c>
      <c r="J73" s="99"/>
      <c r="K73" s="100" t="s">
        <v>137</v>
      </c>
      <c r="L73" s="99" t="s">
        <v>277</v>
      </c>
      <c r="M73" s="100" t="s">
        <v>597</v>
      </c>
      <c r="N73" s="99"/>
      <c r="O73" s="100" t="s">
        <v>137</v>
      </c>
      <c r="P73" s="99" t="s">
        <v>267</v>
      </c>
      <c r="Q73" s="100" t="s">
        <v>596</v>
      </c>
      <c r="R73" s="99"/>
      <c r="S73" s="100" t="s">
        <v>137</v>
      </c>
      <c r="T73" s="101">
        <f>38.29</f>
        <v>38.29</v>
      </c>
      <c r="U73" s="102">
        <f>12</f>
        <v>12</v>
      </c>
      <c r="V73" s="102">
        <v>12</v>
      </c>
      <c r="W73" s="102"/>
      <c r="X73" s="102">
        <f>28224000</f>
        <v>28224000</v>
      </c>
      <c r="Y73" s="102">
        <v>28224000</v>
      </c>
      <c r="Z73" s="103"/>
      <c r="AA73" s="99"/>
      <c r="AB73" s="104">
        <f>49</f>
        <v>49</v>
      </c>
      <c r="AC73" s="104" t="str">
        <f t="shared" si="8"/>
        <v>－</v>
      </c>
      <c r="AD73" s="105" t="str">
        <f t="shared" si="8"/>
        <v>－</v>
      </c>
    </row>
    <row r="74" spans="1:30">
      <c r="A74" s="95" t="s">
        <v>46</v>
      </c>
      <c r="B74" s="96" t="s">
        <v>585</v>
      </c>
      <c r="C74" s="96" t="s">
        <v>586</v>
      </c>
      <c r="D74" s="96" t="s">
        <v>255</v>
      </c>
      <c r="E74" s="97" t="s">
        <v>342</v>
      </c>
      <c r="F74" s="97" t="s">
        <v>551</v>
      </c>
      <c r="G74" s="98">
        <v>74400</v>
      </c>
      <c r="H74" s="99"/>
      <c r="I74" s="100" t="s">
        <v>137</v>
      </c>
      <c r="J74" s="99"/>
      <c r="K74" s="100" t="s">
        <v>137</v>
      </c>
      <c r="L74" s="99" t="s">
        <v>267</v>
      </c>
      <c r="M74" s="100" t="s">
        <v>596</v>
      </c>
      <c r="N74" s="99"/>
      <c r="O74" s="100" t="s">
        <v>137</v>
      </c>
      <c r="P74" s="99" t="s">
        <v>161</v>
      </c>
      <c r="Q74" s="100" t="s">
        <v>598</v>
      </c>
      <c r="R74" s="99"/>
      <c r="S74" s="100" t="s">
        <v>137</v>
      </c>
      <c r="T74" s="101">
        <f>28.95</f>
        <v>28.95</v>
      </c>
      <c r="U74" s="102">
        <f>30</f>
        <v>30</v>
      </c>
      <c r="V74" s="102">
        <v>30</v>
      </c>
      <c r="W74" s="102"/>
      <c r="X74" s="102">
        <f>69192000</f>
        <v>69192000</v>
      </c>
      <c r="Y74" s="102">
        <v>69192000</v>
      </c>
      <c r="Z74" s="103"/>
      <c r="AA74" s="99"/>
      <c r="AB74" s="104">
        <f>100</f>
        <v>100</v>
      </c>
      <c r="AC74" s="104" t="str">
        <f t="shared" si="8"/>
        <v>－</v>
      </c>
      <c r="AD74" s="105" t="str">
        <f t="shared" si="8"/>
        <v>－</v>
      </c>
    </row>
    <row r="75" spans="1:30">
      <c r="A75" s="95" t="s">
        <v>46</v>
      </c>
      <c r="B75" s="96" t="s">
        <v>585</v>
      </c>
      <c r="C75" s="96" t="s">
        <v>586</v>
      </c>
      <c r="D75" s="96" t="s">
        <v>74</v>
      </c>
      <c r="E75" s="97" t="s">
        <v>553</v>
      </c>
      <c r="F75" s="97" t="s">
        <v>355</v>
      </c>
      <c r="G75" s="98">
        <v>72000</v>
      </c>
      <c r="H75" s="99"/>
      <c r="I75" s="100" t="s">
        <v>137</v>
      </c>
      <c r="J75" s="99"/>
      <c r="K75" s="100" t="s">
        <v>137</v>
      </c>
      <c r="L75" s="99" t="s">
        <v>277</v>
      </c>
      <c r="M75" s="100" t="s">
        <v>599</v>
      </c>
      <c r="N75" s="99"/>
      <c r="O75" s="100" t="s">
        <v>137</v>
      </c>
      <c r="P75" s="99" t="s">
        <v>277</v>
      </c>
      <c r="Q75" s="100" t="s">
        <v>599</v>
      </c>
      <c r="R75" s="99"/>
      <c r="S75" s="100" t="s">
        <v>137</v>
      </c>
      <c r="T75" s="101">
        <f>26.93</f>
        <v>26.93</v>
      </c>
      <c r="U75" s="102">
        <f>20</f>
        <v>20</v>
      </c>
      <c r="V75" s="102">
        <v>20</v>
      </c>
      <c r="W75" s="102"/>
      <c r="X75" s="102">
        <f>37440000</f>
        <v>37440000</v>
      </c>
      <c r="Y75" s="102">
        <v>37440000</v>
      </c>
      <c r="Z75" s="103"/>
      <c r="AA75" s="99"/>
      <c r="AB75" s="104">
        <f>20</f>
        <v>20</v>
      </c>
      <c r="AC75" s="104" t="str">
        <f t="shared" si="8"/>
        <v>－</v>
      </c>
      <c r="AD75" s="105" t="str">
        <f t="shared" si="8"/>
        <v>－</v>
      </c>
    </row>
    <row r="76" spans="1:30">
      <c r="A76" s="95" t="s">
        <v>46</v>
      </c>
      <c r="B76" s="96" t="s">
        <v>585</v>
      </c>
      <c r="C76" s="96" t="s">
        <v>586</v>
      </c>
      <c r="D76" s="96" t="s">
        <v>308</v>
      </c>
      <c r="E76" s="97" t="s">
        <v>554</v>
      </c>
      <c r="F76" s="97" t="s">
        <v>555</v>
      </c>
      <c r="G76" s="98">
        <v>74400</v>
      </c>
      <c r="H76" s="99"/>
      <c r="I76" s="100" t="s">
        <v>137</v>
      </c>
      <c r="J76" s="99"/>
      <c r="K76" s="100" t="s">
        <v>137</v>
      </c>
      <c r="L76" s="99"/>
      <c r="M76" s="100"/>
      <c r="N76" s="99"/>
      <c r="O76" s="100" t="s">
        <v>137</v>
      </c>
      <c r="P76" s="99"/>
      <c r="Q76" s="100"/>
      <c r="R76" s="99"/>
      <c r="S76" s="100" t="s">
        <v>137</v>
      </c>
      <c r="T76" s="101">
        <f>24.7</f>
        <v>24.7</v>
      </c>
      <c r="U76" s="102" t="str">
        <f t="shared" ref="U76:U93" si="9">"－"</f>
        <v>－</v>
      </c>
      <c r="V76" s="102"/>
      <c r="W76" s="102"/>
      <c r="X76" s="102" t="str">
        <f t="shared" ref="X76:X93" si="10">"－"</f>
        <v>－</v>
      </c>
      <c r="Y76" s="102"/>
      <c r="Z76" s="103"/>
      <c r="AA76" s="99"/>
      <c r="AB76" s="104" t="str">
        <f t="shared" ref="AB76:AB92" si="11">"－"</f>
        <v>－</v>
      </c>
      <c r="AC76" s="104" t="str">
        <f t="shared" si="8"/>
        <v>－</v>
      </c>
      <c r="AD76" s="105" t="str">
        <f t="shared" si="8"/>
        <v>－</v>
      </c>
    </row>
    <row r="77" spans="1:30">
      <c r="A77" s="95" t="s">
        <v>46</v>
      </c>
      <c r="B77" s="96" t="s">
        <v>585</v>
      </c>
      <c r="C77" s="96" t="s">
        <v>586</v>
      </c>
      <c r="D77" s="96" t="s">
        <v>80</v>
      </c>
      <c r="E77" s="97" t="s">
        <v>556</v>
      </c>
      <c r="F77" s="97" t="s">
        <v>557</v>
      </c>
      <c r="G77" s="98">
        <v>72000</v>
      </c>
      <c r="H77" s="99"/>
      <c r="I77" s="100" t="s">
        <v>137</v>
      </c>
      <c r="J77" s="99"/>
      <c r="K77" s="100" t="s">
        <v>137</v>
      </c>
      <c r="L77" s="99"/>
      <c r="M77" s="100"/>
      <c r="N77" s="99"/>
      <c r="O77" s="100" t="s">
        <v>137</v>
      </c>
      <c r="P77" s="99"/>
      <c r="Q77" s="100"/>
      <c r="R77" s="99"/>
      <c r="S77" s="100" t="s">
        <v>137</v>
      </c>
      <c r="T77" s="101">
        <f>26.91</f>
        <v>26.91</v>
      </c>
      <c r="U77" s="102" t="str">
        <f t="shared" si="9"/>
        <v>－</v>
      </c>
      <c r="V77" s="102"/>
      <c r="W77" s="102"/>
      <c r="X77" s="102" t="str">
        <f t="shared" si="10"/>
        <v>－</v>
      </c>
      <c r="Y77" s="102"/>
      <c r="Z77" s="103"/>
      <c r="AA77" s="99"/>
      <c r="AB77" s="104" t="str">
        <f t="shared" si="11"/>
        <v>－</v>
      </c>
      <c r="AC77" s="104" t="str">
        <f t="shared" si="8"/>
        <v>－</v>
      </c>
      <c r="AD77" s="105" t="str">
        <f t="shared" si="8"/>
        <v>－</v>
      </c>
    </row>
    <row r="78" spans="1:30">
      <c r="A78" s="95" t="s">
        <v>46</v>
      </c>
      <c r="B78" s="96" t="s">
        <v>585</v>
      </c>
      <c r="C78" s="96" t="s">
        <v>586</v>
      </c>
      <c r="D78" s="96" t="s">
        <v>316</v>
      </c>
      <c r="E78" s="97" t="s">
        <v>239</v>
      </c>
      <c r="F78" s="97" t="s">
        <v>558</v>
      </c>
      <c r="G78" s="98">
        <v>74400</v>
      </c>
      <c r="H78" s="99"/>
      <c r="I78" s="100" t="s">
        <v>137</v>
      </c>
      <c r="J78" s="99"/>
      <c r="K78" s="100" t="s">
        <v>137</v>
      </c>
      <c r="L78" s="99"/>
      <c r="M78" s="100"/>
      <c r="N78" s="99"/>
      <c r="O78" s="100" t="s">
        <v>137</v>
      </c>
      <c r="P78" s="99"/>
      <c r="Q78" s="100"/>
      <c r="R78" s="99"/>
      <c r="S78" s="100" t="s">
        <v>137</v>
      </c>
      <c r="T78" s="101">
        <f>29.77</f>
        <v>29.77</v>
      </c>
      <c r="U78" s="102" t="str">
        <f t="shared" si="9"/>
        <v>－</v>
      </c>
      <c r="V78" s="102"/>
      <c r="W78" s="102"/>
      <c r="X78" s="102" t="str">
        <f t="shared" si="10"/>
        <v>－</v>
      </c>
      <c r="Y78" s="102"/>
      <c r="Z78" s="103"/>
      <c r="AA78" s="99"/>
      <c r="AB78" s="104" t="str">
        <f t="shared" si="11"/>
        <v>－</v>
      </c>
      <c r="AC78" s="104" t="str">
        <f t="shared" si="8"/>
        <v>－</v>
      </c>
      <c r="AD78" s="105" t="str">
        <f t="shared" si="8"/>
        <v>－</v>
      </c>
    </row>
    <row r="79" spans="1:30">
      <c r="A79" s="95" t="s">
        <v>46</v>
      </c>
      <c r="B79" s="96" t="s">
        <v>585</v>
      </c>
      <c r="C79" s="96" t="s">
        <v>586</v>
      </c>
      <c r="D79" s="96" t="s">
        <v>91</v>
      </c>
      <c r="E79" s="97" t="s">
        <v>239</v>
      </c>
      <c r="F79" s="97" t="s">
        <v>559</v>
      </c>
      <c r="G79" s="98">
        <v>74400</v>
      </c>
      <c r="H79" s="99"/>
      <c r="I79" s="100" t="s">
        <v>137</v>
      </c>
      <c r="J79" s="99"/>
      <c r="K79" s="100" t="s">
        <v>137</v>
      </c>
      <c r="L79" s="99"/>
      <c r="M79" s="100"/>
      <c r="N79" s="99"/>
      <c r="O79" s="100" t="s">
        <v>137</v>
      </c>
      <c r="P79" s="99"/>
      <c r="Q79" s="100"/>
      <c r="R79" s="99"/>
      <c r="S79" s="100" t="s">
        <v>137</v>
      </c>
      <c r="T79" s="101">
        <f>33.29</f>
        <v>33.29</v>
      </c>
      <c r="U79" s="102" t="str">
        <f t="shared" si="9"/>
        <v>－</v>
      </c>
      <c r="V79" s="102"/>
      <c r="W79" s="102"/>
      <c r="X79" s="102" t="str">
        <f t="shared" si="10"/>
        <v>－</v>
      </c>
      <c r="Y79" s="102"/>
      <c r="Z79" s="103"/>
      <c r="AA79" s="99"/>
      <c r="AB79" s="104" t="str">
        <f t="shared" si="11"/>
        <v>－</v>
      </c>
      <c r="AC79" s="104" t="str">
        <f t="shared" si="8"/>
        <v>－</v>
      </c>
      <c r="AD79" s="105" t="str">
        <f t="shared" si="8"/>
        <v>－</v>
      </c>
    </row>
    <row r="80" spans="1:30">
      <c r="A80" s="95" t="s">
        <v>46</v>
      </c>
      <c r="B80" s="96" t="s">
        <v>585</v>
      </c>
      <c r="C80" s="96" t="s">
        <v>586</v>
      </c>
      <c r="D80" s="96" t="s">
        <v>325</v>
      </c>
      <c r="E80" s="97" t="s">
        <v>239</v>
      </c>
      <c r="F80" s="97" t="s">
        <v>506</v>
      </c>
      <c r="G80" s="98">
        <v>72000</v>
      </c>
      <c r="H80" s="99"/>
      <c r="I80" s="100" t="s">
        <v>137</v>
      </c>
      <c r="J80" s="99"/>
      <c r="K80" s="100" t="s">
        <v>137</v>
      </c>
      <c r="L80" s="99"/>
      <c r="M80" s="100"/>
      <c r="N80" s="99"/>
      <c r="O80" s="100" t="s">
        <v>137</v>
      </c>
      <c r="P80" s="99"/>
      <c r="Q80" s="100"/>
      <c r="R80" s="99"/>
      <c r="S80" s="100" t="s">
        <v>137</v>
      </c>
      <c r="T80" s="101">
        <f>26.38</f>
        <v>26.38</v>
      </c>
      <c r="U80" s="102" t="str">
        <f t="shared" si="9"/>
        <v>－</v>
      </c>
      <c r="V80" s="102"/>
      <c r="W80" s="102"/>
      <c r="X80" s="102" t="str">
        <f t="shared" si="10"/>
        <v>－</v>
      </c>
      <c r="Y80" s="102"/>
      <c r="Z80" s="103"/>
      <c r="AA80" s="99"/>
      <c r="AB80" s="104" t="str">
        <f t="shared" si="11"/>
        <v>－</v>
      </c>
      <c r="AC80" s="104" t="str">
        <f t="shared" si="8"/>
        <v>－</v>
      </c>
      <c r="AD80" s="105" t="str">
        <f t="shared" si="8"/>
        <v>－</v>
      </c>
    </row>
    <row r="81" spans="1:30">
      <c r="A81" s="95" t="s">
        <v>46</v>
      </c>
      <c r="B81" s="96" t="s">
        <v>585</v>
      </c>
      <c r="C81" s="96" t="s">
        <v>586</v>
      </c>
      <c r="D81" s="96" t="s">
        <v>509</v>
      </c>
      <c r="E81" s="97" t="s">
        <v>239</v>
      </c>
      <c r="F81" s="97" t="s">
        <v>560</v>
      </c>
      <c r="G81" s="98">
        <v>74400</v>
      </c>
      <c r="H81" s="99"/>
      <c r="I81" s="100" t="s">
        <v>137</v>
      </c>
      <c r="J81" s="99"/>
      <c r="K81" s="100" t="s">
        <v>137</v>
      </c>
      <c r="L81" s="99"/>
      <c r="M81" s="100"/>
      <c r="N81" s="99"/>
      <c r="O81" s="100" t="s">
        <v>137</v>
      </c>
      <c r="P81" s="99"/>
      <c r="Q81" s="100"/>
      <c r="R81" s="99"/>
      <c r="S81" s="100" t="s">
        <v>137</v>
      </c>
      <c r="T81" s="101">
        <f>23.93</f>
        <v>23.93</v>
      </c>
      <c r="U81" s="102" t="str">
        <f t="shared" si="9"/>
        <v>－</v>
      </c>
      <c r="V81" s="102"/>
      <c r="W81" s="102"/>
      <c r="X81" s="102" t="str">
        <f t="shared" si="10"/>
        <v>－</v>
      </c>
      <c r="Y81" s="102"/>
      <c r="Z81" s="103"/>
      <c r="AA81" s="99"/>
      <c r="AB81" s="104" t="str">
        <f t="shared" si="11"/>
        <v>－</v>
      </c>
      <c r="AC81" s="104" t="str">
        <f t="shared" si="8"/>
        <v>－</v>
      </c>
      <c r="AD81" s="105" t="str">
        <f t="shared" si="8"/>
        <v>－</v>
      </c>
    </row>
    <row r="82" spans="1:30">
      <c r="A82" s="95" t="s">
        <v>46</v>
      </c>
      <c r="B82" s="96" t="s">
        <v>585</v>
      </c>
      <c r="C82" s="96" t="s">
        <v>586</v>
      </c>
      <c r="D82" s="96" t="s">
        <v>513</v>
      </c>
      <c r="E82" s="97" t="s">
        <v>239</v>
      </c>
      <c r="F82" s="97" t="s">
        <v>561</v>
      </c>
      <c r="G82" s="98">
        <v>72000</v>
      </c>
      <c r="H82" s="99"/>
      <c r="I82" s="100" t="s">
        <v>137</v>
      </c>
      <c r="J82" s="99"/>
      <c r="K82" s="100" t="s">
        <v>137</v>
      </c>
      <c r="L82" s="99"/>
      <c r="M82" s="100"/>
      <c r="N82" s="99"/>
      <c r="O82" s="100" t="s">
        <v>137</v>
      </c>
      <c r="P82" s="99"/>
      <c r="Q82" s="100"/>
      <c r="R82" s="99"/>
      <c r="S82" s="100" t="s">
        <v>137</v>
      </c>
      <c r="T82" s="101">
        <f>25.35</f>
        <v>25.35</v>
      </c>
      <c r="U82" s="102" t="str">
        <f t="shared" si="9"/>
        <v>－</v>
      </c>
      <c r="V82" s="102"/>
      <c r="W82" s="102"/>
      <c r="X82" s="102" t="str">
        <f t="shared" si="10"/>
        <v>－</v>
      </c>
      <c r="Y82" s="102"/>
      <c r="Z82" s="103"/>
      <c r="AA82" s="99"/>
      <c r="AB82" s="104" t="str">
        <f t="shared" si="11"/>
        <v>－</v>
      </c>
      <c r="AC82" s="104" t="str">
        <f t="shared" si="8"/>
        <v>－</v>
      </c>
      <c r="AD82" s="105" t="str">
        <f t="shared" si="8"/>
        <v>－</v>
      </c>
    </row>
    <row r="83" spans="1:30">
      <c r="A83" s="95" t="s">
        <v>46</v>
      </c>
      <c r="B83" s="96" t="s">
        <v>585</v>
      </c>
      <c r="C83" s="96" t="s">
        <v>586</v>
      </c>
      <c r="D83" s="96" t="s">
        <v>562</v>
      </c>
      <c r="E83" s="97" t="s">
        <v>239</v>
      </c>
      <c r="F83" s="97" t="s">
        <v>563</v>
      </c>
      <c r="G83" s="98">
        <v>74400</v>
      </c>
      <c r="H83" s="99"/>
      <c r="I83" s="100" t="s">
        <v>137</v>
      </c>
      <c r="J83" s="99"/>
      <c r="K83" s="100" t="s">
        <v>137</v>
      </c>
      <c r="L83" s="99"/>
      <c r="M83" s="100"/>
      <c r="N83" s="99"/>
      <c r="O83" s="100" t="s">
        <v>137</v>
      </c>
      <c r="P83" s="99"/>
      <c r="Q83" s="100"/>
      <c r="R83" s="99"/>
      <c r="S83" s="100" t="s">
        <v>137</v>
      </c>
      <c r="T83" s="101">
        <f>30.1</f>
        <v>30.1</v>
      </c>
      <c r="U83" s="102" t="str">
        <f t="shared" si="9"/>
        <v>－</v>
      </c>
      <c r="V83" s="102"/>
      <c r="W83" s="102"/>
      <c r="X83" s="102" t="str">
        <f t="shared" si="10"/>
        <v>－</v>
      </c>
      <c r="Y83" s="102"/>
      <c r="Z83" s="103"/>
      <c r="AA83" s="99"/>
      <c r="AB83" s="104" t="str">
        <f t="shared" si="11"/>
        <v>－</v>
      </c>
      <c r="AC83" s="104" t="str">
        <f t="shared" si="8"/>
        <v>－</v>
      </c>
      <c r="AD83" s="105" t="str">
        <f t="shared" si="8"/>
        <v>－</v>
      </c>
    </row>
    <row r="84" spans="1:30">
      <c r="A84" s="95" t="s">
        <v>46</v>
      </c>
      <c r="B84" s="96" t="s">
        <v>585</v>
      </c>
      <c r="C84" s="96" t="s">
        <v>586</v>
      </c>
      <c r="D84" s="96" t="s">
        <v>564</v>
      </c>
      <c r="E84" s="97" t="s">
        <v>239</v>
      </c>
      <c r="F84" s="97" t="s">
        <v>565</v>
      </c>
      <c r="G84" s="98">
        <v>74400</v>
      </c>
      <c r="H84" s="99"/>
      <c r="I84" s="100" t="s">
        <v>137</v>
      </c>
      <c r="J84" s="99"/>
      <c r="K84" s="100" t="s">
        <v>137</v>
      </c>
      <c r="L84" s="99"/>
      <c r="M84" s="100"/>
      <c r="N84" s="99"/>
      <c r="O84" s="100" t="s">
        <v>137</v>
      </c>
      <c r="P84" s="99"/>
      <c r="Q84" s="100"/>
      <c r="R84" s="99"/>
      <c r="S84" s="100" t="s">
        <v>137</v>
      </c>
      <c r="T84" s="101">
        <f>30.84</f>
        <v>30.84</v>
      </c>
      <c r="U84" s="102" t="str">
        <f t="shared" si="9"/>
        <v>－</v>
      </c>
      <c r="V84" s="102"/>
      <c r="W84" s="102"/>
      <c r="X84" s="102" t="str">
        <f t="shared" si="10"/>
        <v>－</v>
      </c>
      <c r="Y84" s="102"/>
      <c r="Z84" s="103"/>
      <c r="AA84" s="99"/>
      <c r="AB84" s="104" t="str">
        <f t="shared" si="11"/>
        <v>－</v>
      </c>
      <c r="AC84" s="104" t="str">
        <f t="shared" si="8"/>
        <v>－</v>
      </c>
      <c r="AD84" s="105" t="str">
        <f t="shared" si="8"/>
        <v>－</v>
      </c>
    </row>
    <row r="85" spans="1:30">
      <c r="A85" s="95" t="s">
        <v>46</v>
      </c>
      <c r="B85" s="96" t="s">
        <v>585</v>
      </c>
      <c r="C85" s="96" t="s">
        <v>586</v>
      </c>
      <c r="D85" s="96" t="s">
        <v>566</v>
      </c>
      <c r="E85" s="97" t="s">
        <v>239</v>
      </c>
      <c r="F85" s="97" t="s">
        <v>567</v>
      </c>
      <c r="G85" s="98">
        <v>69600</v>
      </c>
      <c r="H85" s="99"/>
      <c r="I85" s="100" t="s">
        <v>137</v>
      </c>
      <c r="J85" s="99"/>
      <c r="K85" s="100" t="s">
        <v>137</v>
      </c>
      <c r="L85" s="99"/>
      <c r="M85" s="100"/>
      <c r="N85" s="99"/>
      <c r="O85" s="100" t="s">
        <v>137</v>
      </c>
      <c r="P85" s="99"/>
      <c r="Q85" s="100"/>
      <c r="R85" s="99"/>
      <c r="S85" s="100" t="s">
        <v>137</v>
      </c>
      <c r="T85" s="101">
        <f>29.81</f>
        <v>29.81</v>
      </c>
      <c r="U85" s="102" t="str">
        <f t="shared" si="9"/>
        <v>－</v>
      </c>
      <c r="V85" s="102"/>
      <c r="W85" s="102"/>
      <c r="X85" s="102" t="str">
        <f t="shared" si="10"/>
        <v>－</v>
      </c>
      <c r="Y85" s="102"/>
      <c r="Z85" s="103"/>
      <c r="AA85" s="99"/>
      <c r="AB85" s="104" t="str">
        <f t="shared" si="11"/>
        <v>－</v>
      </c>
      <c r="AC85" s="104" t="str">
        <f t="shared" si="8"/>
        <v>－</v>
      </c>
      <c r="AD85" s="105" t="str">
        <f t="shared" si="8"/>
        <v>－</v>
      </c>
    </row>
    <row r="86" spans="1:30">
      <c r="A86" s="95" t="s">
        <v>46</v>
      </c>
      <c r="B86" s="96" t="s">
        <v>585</v>
      </c>
      <c r="C86" s="96" t="s">
        <v>586</v>
      </c>
      <c r="D86" s="96" t="s">
        <v>568</v>
      </c>
      <c r="E86" s="97" t="s">
        <v>239</v>
      </c>
      <c r="F86" s="97" t="s">
        <v>569</v>
      </c>
      <c r="G86" s="98">
        <v>74400</v>
      </c>
      <c r="H86" s="99"/>
      <c r="I86" s="100" t="s">
        <v>137</v>
      </c>
      <c r="J86" s="99"/>
      <c r="K86" s="100" t="s">
        <v>137</v>
      </c>
      <c r="L86" s="99"/>
      <c r="M86" s="100"/>
      <c r="N86" s="99"/>
      <c r="O86" s="100" t="s">
        <v>137</v>
      </c>
      <c r="P86" s="99"/>
      <c r="Q86" s="100"/>
      <c r="R86" s="99"/>
      <c r="S86" s="100" t="s">
        <v>137</v>
      </c>
      <c r="T86" s="101">
        <f>24.84</f>
        <v>24.84</v>
      </c>
      <c r="U86" s="102" t="str">
        <f t="shared" si="9"/>
        <v>－</v>
      </c>
      <c r="V86" s="102"/>
      <c r="W86" s="102"/>
      <c r="X86" s="102" t="str">
        <f t="shared" si="10"/>
        <v>－</v>
      </c>
      <c r="Y86" s="102"/>
      <c r="Z86" s="103"/>
      <c r="AA86" s="99"/>
      <c r="AB86" s="104" t="str">
        <f t="shared" si="11"/>
        <v>－</v>
      </c>
      <c r="AC86" s="104" t="str">
        <f t="shared" si="8"/>
        <v>－</v>
      </c>
      <c r="AD86" s="105" t="str">
        <f t="shared" si="8"/>
        <v>－</v>
      </c>
    </row>
    <row r="87" spans="1:30">
      <c r="A87" s="95" t="s">
        <v>46</v>
      </c>
      <c r="B87" s="96" t="s">
        <v>585</v>
      </c>
      <c r="C87" s="96" t="s">
        <v>586</v>
      </c>
      <c r="D87" s="96" t="s">
        <v>570</v>
      </c>
      <c r="E87" s="97" t="s">
        <v>354</v>
      </c>
      <c r="F87" s="97" t="s">
        <v>571</v>
      </c>
      <c r="G87" s="98">
        <v>72000</v>
      </c>
      <c r="H87" s="99"/>
      <c r="I87" s="100" t="s">
        <v>137</v>
      </c>
      <c r="J87" s="99"/>
      <c r="K87" s="100" t="s">
        <v>137</v>
      </c>
      <c r="L87" s="99"/>
      <c r="M87" s="100"/>
      <c r="N87" s="99"/>
      <c r="O87" s="100" t="s">
        <v>137</v>
      </c>
      <c r="P87" s="99"/>
      <c r="Q87" s="100"/>
      <c r="R87" s="99"/>
      <c r="S87" s="100" t="s">
        <v>137</v>
      </c>
      <c r="T87" s="101">
        <f>14.44</f>
        <v>14.44</v>
      </c>
      <c r="U87" s="102" t="str">
        <f t="shared" si="9"/>
        <v>－</v>
      </c>
      <c r="V87" s="102"/>
      <c r="W87" s="102"/>
      <c r="X87" s="102" t="str">
        <f t="shared" si="10"/>
        <v>－</v>
      </c>
      <c r="Y87" s="102"/>
      <c r="Z87" s="103"/>
      <c r="AA87" s="99"/>
      <c r="AB87" s="104" t="str">
        <f t="shared" si="11"/>
        <v>－</v>
      </c>
      <c r="AC87" s="104" t="str">
        <f t="shared" si="8"/>
        <v>－</v>
      </c>
      <c r="AD87" s="105" t="str">
        <f t="shared" si="8"/>
        <v>－</v>
      </c>
    </row>
    <row r="88" spans="1:30">
      <c r="A88" s="95" t="s">
        <v>46</v>
      </c>
      <c r="B88" s="96" t="s">
        <v>585</v>
      </c>
      <c r="C88" s="96" t="s">
        <v>586</v>
      </c>
      <c r="D88" s="96" t="s">
        <v>572</v>
      </c>
      <c r="E88" s="97" t="s">
        <v>573</v>
      </c>
      <c r="F88" s="97" t="s">
        <v>574</v>
      </c>
      <c r="G88" s="98">
        <v>74400</v>
      </c>
      <c r="H88" s="99"/>
      <c r="I88" s="100" t="s">
        <v>137</v>
      </c>
      <c r="J88" s="99"/>
      <c r="K88" s="100" t="s">
        <v>137</v>
      </c>
      <c r="L88" s="99"/>
      <c r="M88" s="100"/>
      <c r="N88" s="99"/>
      <c r="O88" s="100" t="s">
        <v>137</v>
      </c>
      <c r="P88" s="99"/>
      <c r="Q88" s="100"/>
      <c r="R88" s="99"/>
      <c r="S88" s="100" t="s">
        <v>137</v>
      </c>
      <c r="T88" s="101">
        <f>14.06</f>
        <v>14.06</v>
      </c>
      <c r="U88" s="102" t="str">
        <f t="shared" si="9"/>
        <v>－</v>
      </c>
      <c r="V88" s="102"/>
      <c r="W88" s="102"/>
      <c r="X88" s="102" t="str">
        <f t="shared" si="10"/>
        <v>－</v>
      </c>
      <c r="Y88" s="102"/>
      <c r="Z88" s="103"/>
      <c r="AA88" s="99"/>
      <c r="AB88" s="104" t="str">
        <f t="shared" si="11"/>
        <v>－</v>
      </c>
      <c r="AC88" s="104" t="str">
        <f t="shared" si="8"/>
        <v>－</v>
      </c>
      <c r="AD88" s="105" t="str">
        <f t="shared" si="8"/>
        <v>－</v>
      </c>
    </row>
    <row r="89" spans="1:30">
      <c r="A89" s="95" t="s">
        <v>46</v>
      </c>
      <c r="B89" s="96" t="s">
        <v>585</v>
      </c>
      <c r="C89" s="96" t="s">
        <v>586</v>
      </c>
      <c r="D89" s="96" t="s">
        <v>575</v>
      </c>
      <c r="E89" s="97" t="s">
        <v>576</v>
      </c>
      <c r="F89" s="97" t="s">
        <v>577</v>
      </c>
      <c r="G89" s="98">
        <v>72000</v>
      </c>
      <c r="H89" s="99"/>
      <c r="I89" s="100" t="s">
        <v>137</v>
      </c>
      <c r="J89" s="99"/>
      <c r="K89" s="100" t="s">
        <v>137</v>
      </c>
      <c r="L89" s="99"/>
      <c r="M89" s="100"/>
      <c r="N89" s="99"/>
      <c r="O89" s="100" t="s">
        <v>137</v>
      </c>
      <c r="P89" s="99"/>
      <c r="Q89" s="100"/>
      <c r="R89" s="99"/>
      <c r="S89" s="100" t="s">
        <v>137</v>
      </c>
      <c r="T89" s="101">
        <f>13.62</f>
        <v>13.62</v>
      </c>
      <c r="U89" s="102" t="str">
        <f t="shared" si="9"/>
        <v>－</v>
      </c>
      <c r="V89" s="102"/>
      <c r="W89" s="102"/>
      <c r="X89" s="102" t="str">
        <f t="shared" si="10"/>
        <v>－</v>
      </c>
      <c r="Y89" s="102"/>
      <c r="Z89" s="103"/>
      <c r="AA89" s="99"/>
      <c r="AB89" s="104" t="str">
        <f t="shared" si="11"/>
        <v>－</v>
      </c>
      <c r="AC89" s="104" t="str">
        <f t="shared" si="8"/>
        <v>－</v>
      </c>
      <c r="AD89" s="105" t="str">
        <f t="shared" si="8"/>
        <v>－</v>
      </c>
    </row>
    <row r="90" spans="1:30">
      <c r="A90" s="95" t="s">
        <v>46</v>
      </c>
      <c r="B90" s="96" t="s">
        <v>585</v>
      </c>
      <c r="C90" s="96" t="s">
        <v>586</v>
      </c>
      <c r="D90" s="96" t="s">
        <v>578</v>
      </c>
      <c r="E90" s="97" t="s">
        <v>360</v>
      </c>
      <c r="F90" s="97" t="s">
        <v>579</v>
      </c>
      <c r="G90" s="98">
        <v>74400</v>
      </c>
      <c r="H90" s="99"/>
      <c r="I90" s="100" t="s">
        <v>137</v>
      </c>
      <c r="J90" s="99"/>
      <c r="K90" s="100" t="s">
        <v>137</v>
      </c>
      <c r="L90" s="99"/>
      <c r="M90" s="100"/>
      <c r="N90" s="99"/>
      <c r="O90" s="100" t="s">
        <v>137</v>
      </c>
      <c r="P90" s="99"/>
      <c r="Q90" s="100"/>
      <c r="R90" s="99"/>
      <c r="S90" s="100" t="s">
        <v>137</v>
      </c>
      <c r="T90" s="101">
        <f>16.66</f>
        <v>16.66</v>
      </c>
      <c r="U90" s="102" t="str">
        <f t="shared" si="9"/>
        <v>－</v>
      </c>
      <c r="V90" s="102"/>
      <c r="W90" s="102"/>
      <c r="X90" s="102" t="str">
        <f t="shared" si="10"/>
        <v>－</v>
      </c>
      <c r="Y90" s="102"/>
      <c r="Z90" s="103"/>
      <c r="AA90" s="99"/>
      <c r="AB90" s="104" t="str">
        <f t="shared" si="11"/>
        <v>－</v>
      </c>
      <c r="AC90" s="104" t="str">
        <f t="shared" si="8"/>
        <v>－</v>
      </c>
      <c r="AD90" s="105" t="str">
        <f t="shared" si="8"/>
        <v>－</v>
      </c>
    </row>
    <row r="91" spans="1:30">
      <c r="A91" s="95" t="s">
        <v>46</v>
      </c>
      <c r="B91" s="96" t="s">
        <v>585</v>
      </c>
      <c r="C91" s="96" t="s">
        <v>586</v>
      </c>
      <c r="D91" s="96" t="s">
        <v>580</v>
      </c>
      <c r="E91" s="97" t="s">
        <v>581</v>
      </c>
      <c r="F91" s="97" t="s">
        <v>582</v>
      </c>
      <c r="G91" s="98">
        <v>74400</v>
      </c>
      <c r="H91" s="99"/>
      <c r="I91" s="100" t="s">
        <v>137</v>
      </c>
      <c r="J91" s="99"/>
      <c r="K91" s="100" t="s">
        <v>137</v>
      </c>
      <c r="L91" s="99"/>
      <c r="M91" s="100"/>
      <c r="N91" s="99"/>
      <c r="O91" s="100" t="s">
        <v>137</v>
      </c>
      <c r="P91" s="99"/>
      <c r="Q91" s="100"/>
      <c r="R91" s="99"/>
      <c r="S91" s="100" t="s">
        <v>137</v>
      </c>
      <c r="T91" s="101">
        <f>18.79</f>
        <v>18.79</v>
      </c>
      <c r="U91" s="102" t="str">
        <f t="shared" si="9"/>
        <v>－</v>
      </c>
      <c r="V91" s="102"/>
      <c r="W91" s="102"/>
      <c r="X91" s="102" t="str">
        <f t="shared" si="10"/>
        <v>－</v>
      </c>
      <c r="Y91" s="102"/>
      <c r="Z91" s="103"/>
      <c r="AA91" s="99"/>
      <c r="AB91" s="104" t="str">
        <f t="shared" si="11"/>
        <v>－</v>
      </c>
      <c r="AC91" s="104" t="str">
        <f t="shared" si="8"/>
        <v>－</v>
      </c>
      <c r="AD91" s="105" t="str">
        <f t="shared" si="8"/>
        <v>－</v>
      </c>
    </row>
    <row r="92" spans="1:30">
      <c r="A92" s="95" t="s">
        <v>46</v>
      </c>
      <c r="B92" s="96" t="s">
        <v>585</v>
      </c>
      <c r="C92" s="96" t="s">
        <v>586</v>
      </c>
      <c r="D92" s="96" t="s">
        <v>583</v>
      </c>
      <c r="E92" s="97" t="s">
        <v>333</v>
      </c>
      <c r="F92" s="97" t="s">
        <v>584</v>
      </c>
      <c r="G92" s="98">
        <v>72000</v>
      </c>
      <c r="H92" s="99"/>
      <c r="I92" s="100" t="s">
        <v>137</v>
      </c>
      <c r="J92" s="99"/>
      <c r="K92" s="100" t="s">
        <v>137</v>
      </c>
      <c r="L92" s="99"/>
      <c r="M92" s="100"/>
      <c r="N92" s="99"/>
      <c r="O92" s="100" t="s">
        <v>137</v>
      </c>
      <c r="P92" s="99"/>
      <c r="Q92" s="100"/>
      <c r="R92" s="99"/>
      <c r="S92" s="100" t="s">
        <v>137</v>
      </c>
      <c r="T92" s="101">
        <f>14.89</f>
        <v>14.89</v>
      </c>
      <c r="U92" s="102" t="str">
        <f t="shared" si="9"/>
        <v>－</v>
      </c>
      <c r="V92" s="102"/>
      <c r="W92" s="102"/>
      <c r="X92" s="102" t="str">
        <f t="shared" si="10"/>
        <v>－</v>
      </c>
      <c r="Y92" s="102"/>
      <c r="Z92" s="103"/>
      <c r="AA92" s="99"/>
      <c r="AB92" s="104" t="str">
        <f t="shared" si="11"/>
        <v>－</v>
      </c>
      <c r="AC92" s="104" t="str">
        <f t="shared" si="8"/>
        <v>－</v>
      </c>
      <c r="AD92" s="105" t="str">
        <f t="shared" si="8"/>
        <v>－</v>
      </c>
    </row>
    <row r="93" spans="1:30">
      <c r="A93" s="95" t="s">
        <v>46</v>
      </c>
      <c r="B93" s="96" t="s">
        <v>600</v>
      </c>
      <c r="C93" s="96" t="s">
        <v>601</v>
      </c>
      <c r="D93" s="96" t="s">
        <v>46</v>
      </c>
      <c r="E93" s="97" t="s">
        <v>520</v>
      </c>
      <c r="F93" s="97" t="s">
        <v>521</v>
      </c>
      <c r="G93" s="98">
        <v>24000</v>
      </c>
      <c r="H93" s="99"/>
      <c r="I93" s="100" t="s">
        <v>137</v>
      </c>
      <c r="J93" s="99"/>
      <c r="K93" s="100" t="s">
        <v>137</v>
      </c>
      <c r="L93" s="99"/>
      <c r="M93" s="100"/>
      <c r="N93" s="99"/>
      <c r="O93" s="100" t="s">
        <v>137</v>
      </c>
      <c r="P93" s="99"/>
      <c r="Q93" s="100"/>
      <c r="R93" s="99"/>
      <c r="S93" s="100" t="s">
        <v>137</v>
      </c>
      <c r="T93" s="101">
        <f>44.07</f>
        <v>44.07</v>
      </c>
      <c r="U93" s="102" t="str">
        <f t="shared" si="9"/>
        <v>－</v>
      </c>
      <c r="V93" s="102"/>
      <c r="W93" s="102"/>
      <c r="X93" s="102" t="str">
        <f t="shared" si="10"/>
        <v>－</v>
      </c>
      <c r="Y93" s="102"/>
      <c r="Z93" s="103"/>
      <c r="AA93" s="99" t="s">
        <v>238</v>
      </c>
      <c r="AB93" s="104">
        <f>240</f>
        <v>240</v>
      </c>
      <c r="AC93" s="104" t="str">
        <f t="shared" si="8"/>
        <v>－</v>
      </c>
      <c r="AD93" s="105" t="str">
        <f t="shared" si="8"/>
        <v>－</v>
      </c>
    </row>
    <row r="94" spans="1:30">
      <c r="A94" s="95" t="s">
        <v>46</v>
      </c>
      <c r="B94" s="96" t="s">
        <v>600</v>
      </c>
      <c r="C94" s="96" t="s">
        <v>601</v>
      </c>
      <c r="D94" s="96" t="s">
        <v>49</v>
      </c>
      <c r="E94" s="97" t="s">
        <v>602</v>
      </c>
      <c r="F94" s="97" t="s">
        <v>526</v>
      </c>
      <c r="G94" s="98">
        <v>24000</v>
      </c>
      <c r="H94" s="99" t="s">
        <v>441</v>
      </c>
      <c r="I94" s="100" t="s">
        <v>603</v>
      </c>
      <c r="J94" s="99" t="s">
        <v>441</v>
      </c>
      <c r="K94" s="100" t="s">
        <v>603</v>
      </c>
      <c r="L94" s="99" t="s">
        <v>54</v>
      </c>
      <c r="M94" s="100" t="s">
        <v>604</v>
      </c>
      <c r="N94" s="99" t="s">
        <v>267</v>
      </c>
      <c r="O94" s="100" t="s">
        <v>605</v>
      </c>
      <c r="P94" s="99" t="s">
        <v>54</v>
      </c>
      <c r="Q94" s="100" t="s">
        <v>604</v>
      </c>
      <c r="R94" s="99" t="s">
        <v>267</v>
      </c>
      <c r="S94" s="100" t="s">
        <v>605</v>
      </c>
      <c r="T94" s="101">
        <f>45.09</f>
        <v>45.09</v>
      </c>
      <c r="U94" s="102">
        <f>16</f>
        <v>16</v>
      </c>
      <c r="V94" s="102">
        <v>10</v>
      </c>
      <c r="W94" s="102"/>
      <c r="X94" s="102">
        <f>19296000</f>
        <v>19296000</v>
      </c>
      <c r="Y94" s="102">
        <v>12756000</v>
      </c>
      <c r="Z94" s="103"/>
      <c r="AA94" s="99"/>
      <c r="AB94" s="104">
        <f>67</f>
        <v>67</v>
      </c>
      <c r="AC94" s="104" t="str">
        <f t="shared" si="8"/>
        <v>－</v>
      </c>
      <c r="AD94" s="105">
        <f>2</f>
        <v>2</v>
      </c>
    </row>
    <row r="95" spans="1:30">
      <c r="A95" s="95" t="s">
        <v>46</v>
      </c>
      <c r="B95" s="96" t="s">
        <v>600</v>
      </c>
      <c r="C95" s="96" t="s">
        <v>601</v>
      </c>
      <c r="D95" s="96" t="s">
        <v>244</v>
      </c>
      <c r="E95" s="97" t="s">
        <v>530</v>
      </c>
      <c r="F95" s="97" t="s">
        <v>531</v>
      </c>
      <c r="G95" s="98">
        <v>24000</v>
      </c>
      <c r="H95" s="99" t="s">
        <v>267</v>
      </c>
      <c r="I95" s="100" t="s">
        <v>542</v>
      </c>
      <c r="J95" s="99" t="s">
        <v>267</v>
      </c>
      <c r="K95" s="100" t="s">
        <v>542</v>
      </c>
      <c r="L95" s="99"/>
      <c r="M95" s="100"/>
      <c r="N95" s="99" t="s">
        <v>267</v>
      </c>
      <c r="O95" s="100" t="s">
        <v>606</v>
      </c>
      <c r="P95" s="99"/>
      <c r="Q95" s="100"/>
      <c r="R95" s="99" t="s">
        <v>267</v>
      </c>
      <c r="S95" s="100" t="s">
        <v>606</v>
      </c>
      <c r="T95" s="101">
        <f>47.98</f>
        <v>47.98</v>
      </c>
      <c r="U95" s="102">
        <f>10</f>
        <v>10</v>
      </c>
      <c r="V95" s="102"/>
      <c r="W95" s="102"/>
      <c r="X95" s="102">
        <f>11340000</f>
        <v>11340000</v>
      </c>
      <c r="Y95" s="102"/>
      <c r="Z95" s="103"/>
      <c r="AA95" s="99"/>
      <c r="AB95" s="104">
        <f>16</f>
        <v>16</v>
      </c>
      <c r="AC95" s="104" t="str">
        <f t="shared" si="8"/>
        <v>－</v>
      </c>
      <c r="AD95" s="105">
        <f>1</f>
        <v>1</v>
      </c>
    </row>
    <row r="96" spans="1:30">
      <c r="A96" s="95" t="s">
        <v>46</v>
      </c>
      <c r="B96" s="96" t="s">
        <v>600</v>
      </c>
      <c r="C96" s="96" t="s">
        <v>601</v>
      </c>
      <c r="D96" s="96" t="s">
        <v>60</v>
      </c>
      <c r="E96" s="97" t="s">
        <v>534</v>
      </c>
      <c r="F96" s="97" t="s">
        <v>607</v>
      </c>
      <c r="G96" s="98">
        <v>25200</v>
      </c>
      <c r="H96" s="99" t="s">
        <v>267</v>
      </c>
      <c r="I96" s="100" t="s">
        <v>608</v>
      </c>
      <c r="J96" s="99" t="s">
        <v>267</v>
      </c>
      <c r="K96" s="100" t="s">
        <v>608</v>
      </c>
      <c r="L96" s="99" t="s">
        <v>130</v>
      </c>
      <c r="M96" s="100" t="s">
        <v>609</v>
      </c>
      <c r="N96" s="99" t="s">
        <v>279</v>
      </c>
      <c r="O96" s="100" t="s">
        <v>610</v>
      </c>
      <c r="P96" s="99" t="s">
        <v>277</v>
      </c>
      <c r="Q96" s="100" t="s">
        <v>611</v>
      </c>
      <c r="R96" s="99" t="s">
        <v>279</v>
      </c>
      <c r="S96" s="100" t="s">
        <v>610</v>
      </c>
      <c r="T96" s="101">
        <f>53.13</f>
        <v>53.13</v>
      </c>
      <c r="U96" s="102">
        <f>285</f>
        <v>285</v>
      </c>
      <c r="V96" s="102">
        <v>265</v>
      </c>
      <c r="W96" s="102"/>
      <c r="X96" s="102">
        <f>381528000</f>
        <v>381528000</v>
      </c>
      <c r="Y96" s="102">
        <v>355017600</v>
      </c>
      <c r="Z96" s="103"/>
      <c r="AA96" s="99"/>
      <c r="AB96" s="104">
        <f>410</f>
        <v>410</v>
      </c>
      <c r="AC96" s="104" t="str">
        <f t="shared" si="8"/>
        <v>－</v>
      </c>
      <c r="AD96" s="105">
        <f>2</f>
        <v>2</v>
      </c>
    </row>
    <row r="97" spans="1:30">
      <c r="A97" s="95" t="s">
        <v>46</v>
      </c>
      <c r="B97" s="96" t="s">
        <v>600</v>
      </c>
      <c r="C97" s="96" t="s">
        <v>601</v>
      </c>
      <c r="D97" s="96" t="s">
        <v>250</v>
      </c>
      <c r="E97" s="97" t="s">
        <v>612</v>
      </c>
      <c r="F97" s="97" t="s">
        <v>540</v>
      </c>
      <c r="G97" s="98">
        <v>22800</v>
      </c>
      <c r="H97" s="99" t="s">
        <v>267</v>
      </c>
      <c r="I97" s="100" t="s">
        <v>613</v>
      </c>
      <c r="J97" s="99" t="s">
        <v>267</v>
      </c>
      <c r="K97" s="100" t="s">
        <v>613</v>
      </c>
      <c r="L97" s="99" t="s">
        <v>322</v>
      </c>
      <c r="M97" s="100" t="s">
        <v>614</v>
      </c>
      <c r="N97" s="99" t="s">
        <v>58</v>
      </c>
      <c r="O97" s="100" t="s">
        <v>615</v>
      </c>
      <c r="P97" s="99" t="s">
        <v>130</v>
      </c>
      <c r="Q97" s="100" t="s">
        <v>616</v>
      </c>
      <c r="R97" s="99" t="s">
        <v>58</v>
      </c>
      <c r="S97" s="100" t="s">
        <v>615</v>
      </c>
      <c r="T97" s="101">
        <f>61.74</f>
        <v>61.74</v>
      </c>
      <c r="U97" s="102">
        <f>196</f>
        <v>196</v>
      </c>
      <c r="V97" s="102">
        <v>176</v>
      </c>
      <c r="W97" s="102"/>
      <c r="X97" s="102">
        <f>271994880</f>
        <v>271994880</v>
      </c>
      <c r="Y97" s="102">
        <v>245364480</v>
      </c>
      <c r="Z97" s="103"/>
      <c r="AA97" s="99"/>
      <c r="AB97" s="104">
        <f>476</f>
        <v>476</v>
      </c>
      <c r="AC97" s="104" t="str">
        <f t="shared" si="8"/>
        <v>－</v>
      </c>
      <c r="AD97" s="105">
        <f>2</f>
        <v>2</v>
      </c>
    </row>
    <row r="98" spans="1:30">
      <c r="A98" s="95" t="s">
        <v>46</v>
      </c>
      <c r="B98" s="96" t="s">
        <v>600</v>
      </c>
      <c r="C98" s="96" t="s">
        <v>601</v>
      </c>
      <c r="D98" s="96" t="s">
        <v>68</v>
      </c>
      <c r="E98" s="97" t="s">
        <v>546</v>
      </c>
      <c r="F98" s="97" t="s">
        <v>547</v>
      </c>
      <c r="G98" s="98">
        <v>22800</v>
      </c>
      <c r="H98" s="99"/>
      <c r="I98" s="100" t="s">
        <v>137</v>
      </c>
      <c r="J98" s="99"/>
      <c r="K98" s="100" t="s">
        <v>137</v>
      </c>
      <c r="L98" s="99" t="s">
        <v>322</v>
      </c>
      <c r="M98" s="100" t="s">
        <v>617</v>
      </c>
      <c r="N98" s="99"/>
      <c r="O98" s="100" t="s">
        <v>137</v>
      </c>
      <c r="P98" s="99" t="s">
        <v>130</v>
      </c>
      <c r="Q98" s="100" t="s">
        <v>618</v>
      </c>
      <c r="R98" s="99"/>
      <c r="S98" s="100" t="s">
        <v>137</v>
      </c>
      <c r="T98" s="101">
        <f>56.13</f>
        <v>56.13</v>
      </c>
      <c r="U98" s="102">
        <f>186</f>
        <v>186</v>
      </c>
      <c r="V98" s="102">
        <v>186</v>
      </c>
      <c r="W98" s="102"/>
      <c r="X98" s="102">
        <f>237845952</f>
        <v>237845952</v>
      </c>
      <c r="Y98" s="102">
        <v>237845952</v>
      </c>
      <c r="Z98" s="103"/>
      <c r="AA98" s="99"/>
      <c r="AB98" s="104">
        <f>467</f>
        <v>467</v>
      </c>
      <c r="AC98" s="104" t="str">
        <f t="shared" si="8"/>
        <v>－</v>
      </c>
      <c r="AD98" s="105" t="str">
        <f t="shared" si="8"/>
        <v>－</v>
      </c>
    </row>
    <row r="99" spans="1:30">
      <c r="A99" s="95" t="s">
        <v>46</v>
      </c>
      <c r="B99" s="96" t="s">
        <v>600</v>
      </c>
      <c r="C99" s="96" t="s">
        <v>601</v>
      </c>
      <c r="D99" s="96" t="s">
        <v>255</v>
      </c>
      <c r="E99" s="97" t="s">
        <v>619</v>
      </c>
      <c r="F99" s="97" t="s">
        <v>551</v>
      </c>
      <c r="G99" s="98">
        <v>26400</v>
      </c>
      <c r="H99" s="99"/>
      <c r="I99" s="100" t="s">
        <v>137</v>
      </c>
      <c r="J99" s="99"/>
      <c r="K99" s="100" t="s">
        <v>137</v>
      </c>
      <c r="L99" s="99" t="s">
        <v>267</v>
      </c>
      <c r="M99" s="100" t="s">
        <v>537</v>
      </c>
      <c r="N99" s="99"/>
      <c r="O99" s="100" t="s">
        <v>137</v>
      </c>
      <c r="P99" s="99" t="s">
        <v>267</v>
      </c>
      <c r="Q99" s="100" t="s">
        <v>537</v>
      </c>
      <c r="R99" s="99"/>
      <c r="S99" s="100" t="s">
        <v>137</v>
      </c>
      <c r="T99" s="101">
        <f>43.95</f>
        <v>43.95</v>
      </c>
      <c r="U99" s="102">
        <f>10</f>
        <v>10</v>
      </c>
      <c r="V99" s="102">
        <v>10</v>
      </c>
      <c r="W99" s="102"/>
      <c r="X99" s="102">
        <f>11352000</f>
        <v>11352000</v>
      </c>
      <c r="Y99" s="102">
        <v>11352000</v>
      </c>
      <c r="Z99" s="103"/>
      <c r="AA99" s="99"/>
      <c r="AB99" s="104">
        <f>10</f>
        <v>10</v>
      </c>
      <c r="AC99" s="104" t="str">
        <f t="shared" si="8"/>
        <v>－</v>
      </c>
      <c r="AD99" s="105" t="str">
        <f t="shared" si="8"/>
        <v>－</v>
      </c>
    </row>
    <row r="100" spans="1:30">
      <c r="A100" s="95" t="s">
        <v>46</v>
      </c>
      <c r="B100" s="96" t="s">
        <v>600</v>
      </c>
      <c r="C100" s="96" t="s">
        <v>601</v>
      </c>
      <c r="D100" s="96" t="s">
        <v>74</v>
      </c>
      <c r="E100" s="97" t="s">
        <v>553</v>
      </c>
      <c r="F100" s="97" t="s">
        <v>620</v>
      </c>
      <c r="G100" s="98">
        <v>24000</v>
      </c>
      <c r="H100" s="99"/>
      <c r="I100" s="100" t="s">
        <v>137</v>
      </c>
      <c r="J100" s="99"/>
      <c r="K100" s="100" t="s">
        <v>137</v>
      </c>
      <c r="L100" s="99"/>
      <c r="M100" s="100"/>
      <c r="N100" s="99"/>
      <c r="O100" s="100" t="s">
        <v>137</v>
      </c>
      <c r="P100" s="99"/>
      <c r="Q100" s="100"/>
      <c r="R100" s="99"/>
      <c r="S100" s="100" t="s">
        <v>137</v>
      </c>
      <c r="T100" s="101">
        <f>34.98</f>
        <v>34.979999999999997</v>
      </c>
      <c r="U100" s="102" t="str">
        <f t="shared" ref="U100:U118" si="12">"－"</f>
        <v>－</v>
      </c>
      <c r="V100" s="102"/>
      <c r="W100" s="102"/>
      <c r="X100" s="102" t="str">
        <f t="shared" ref="X100:X118" si="13">"－"</f>
        <v>－</v>
      </c>
      <c r="Y100" s="102"/>
      <c r="Z100" s="103"/>
      <c r="AA100" s="99"/>
      <c r="AB100" s="104" t="str">
        <f t="shared" ref="AB100:AD117" si="14">"－"</f>
        <v>－</v>
      </c>
      <c r="AC100" s="104" t="str">
        <f t="shared" si="8"/>
        <v>－</v>
      </c>
      <c r="AD100" s="105" t="str">
        <f t="shared" si="8"/>
        <v>－</v>
      </c>
    </row>
    <row r="101" spans="1:30">
      <c r="A101" s="95" t="s">
        <v>46</v>
      </c>
      <c r="B101" s="96" t="s">
        <v>600</v>
      </c>
      <c r="C101" s="96" t="s">
        <v>601</v>
      </c>
      <c r="D101" s="96" t="s">
        <v>308</v>
      </c>
      <c r="E101" s="97" t="s">
        <v>554</v>
      </c>
      <c r="F101" s="97" t="s">
        <v>555</v>
      </c>
      <c r="G101" s="98">
        <v>21600</v>
      </c>
      <c r="H101" s="99"/>
      <c r="I101" s="100" t="s">
        <v>137</v>
      </c>
      <c r="J101" s="99"/>
      <c r="K101" s="100" t="s">
        <v>137</v>
      </c>
      <c r="L101" s="99"/>
      <c r="M101" s="100"/>
      <c r="N101" s="99"/>
      <c r="O101" s="100" t="s">
        <v>137</v>
      </c>
      <c r="P101" s="99"/>
      <c r="Q101" s="100"/>
      <c r="R101" s="99"/>
      <c r="S101" s="100" t="s">
        <v>137</v>
      </c>
      <c r="T101" s="101">
        <f>32.33</f>
        <v>32.33</v>
      </c>
      <c r="U101" s="102" t="str">
        <f t="shared" si="12"/>
        <v>－</v>
      </c>
      <c r="V101" s="102"/>
      <c r="W101" s="102"/>
      <c r="X101" s="102" t="str">
        <f t="shared" si="13"/>
        <v>－</v>
      </c>
      <c r="Y101" s="102"/>
      <c r="Z101" s="103"/>
      <c r="AA101" s="99"/>
      <c r="AB101" s="104" t="str">
        <f t="shared" si="14"/>
        <v>－</v>
      </c>
      <c r="AC101" s="104" t="str">
        <f t="shared" si="8"/>
        <v>－</v>
      </c>
      <c r="AD101" s="105" t="str">
        <f t="shared" si="8"/>
        <v>－</v>
      </c>
    </row>
    <row r="102" spans="1:30">
      <c r="A102" s="95" t="s">
        <v>46</v>
      </c>
      <c r="B102" s="96" t="s">
        <v>600</v>
      </c>
      <c r="C102" s="96" t="s">
        <v>601</v>
      </c>
      <c r="D102" s="96" t="s">
        <v>80</v>
      </c>
      <c r="E102" s="97" t="s">
        <v>556</v>
      </c>
      <c r="F102" s="97" t="s">
        <v>557</v>
      </c>
      <c r="G102" s="98">
        <v>26400</v>
      </c>
      <c r="H102" s="99"/>
      <c r="I102" s="100" t="s">
        <v>137</v>
      </c>
      <c r="J102" s="99"/>
      <c r="K102" s="100" t="s">
        <v>137</v>
      </c>
      <c r="L102" s="99"/>
      <c r="M102" s="100"/>
      <c r="N102" s="99"/>
      <c r="O102" s="100" t="s">
        <v>137</v>
      </c>
      <c r="P102" s="99"/>
      <c r="Q102" s="100"/>
      <c r="R102" s="99"/>
      <c r="S102" s="100" t="s">
        <v>137</v>
      </c>
      <c r="T102" s="101">
        <f>34.53</f>
        <v>34.53</v>
      </c>
      <c r="U102" s="102" t="str">
        <f t="shared" si="12"/>
        <v>－</v>
      </c>
      <c r="V102" s="102"/>
      <c r="W102" s="102"/>
      <c r="X102" s="102" t="str">
        <f t="shared" si="13"/>
        <v>－</v>
      </c>
      <c r="Y102" s="102"/>
      <c r="Z102" s="103"/>
      <c r="AA102" s="99"/>
      <c r="AB102" s="104" t="str">
        <f t="shared" si="14"/>
        <v>－</v>
      </c>
      <c r="AC102" s="104" t="str">
        <f t="shared" si="8"/>
        <v>－</v>
      </c>
      <c r="AD102" s="105" t="str">
        <f t="shared" si="8"/>
        <v>－</v>
      </c>
    </row>
    <row r="103" spans="1:30">
      <c r="A103" s="95" t="s">
        <v>46</v>
      </c>
      <c r="B103" s="96" t="s">
        <v>600</v>
      </c>
      <c r="C103" s="96" t="s">
        <v>601</v>
      </c>
      <c r="D103" s="96" t="s">
        <v>316</v>
      </c>
      <c r="E103" s="97" t="s">
        <v>239</v>
      </c>
      <c r="F103" s="97" t="s">
        <v>558</v>
      </c>
      <c r="G103" s="98">
        <v>24000</v>
      </c>
      <c r="H103" s="99"/>
      <c r="I103" s="100" t="s">
        <v>137</v>
      </c>
      <c r="J103" s="99"/>
      <c r="K103" s="100" t="s">
        <v>137</v>
      </c>
      <c r="L103" s="99"/>
      <c r="M103" s="100"/>
      <c r="N103" s="99"/>
      <c r="O103" s="100" t="s">
        <v>137</v>
      </c>
      <c r="P103" s="99"/>
      <c r="Q103" s="100"/>
      <c r="R103" s="99"/>
      <c r="S103" s="100" t="s">
        <v>137</v>
      </c>
      <c r="T103" s="101">
        <f>46.02</f>
        <v>46.02</v>
      </c>
      <c r="U103" s="102" t="str">
        <f t="shared" si="12"/>
        <v>－</v>
      </c>
      <c r="V103" s="102"/>
      <c r="W103" s="102"/>
      <c r="X103" s="102" t="str">
        <f t="shared" si="13"/>
        <v>－</v>
      </c>
      <c r="Y103" s="102"/>
      <c r="Z103" s="103"/>
      <c r="AA103" s="99"/>
      <c r="AB103" s="104" t="str">
        <f t="shared" si="14"/>
        <v>－</v>
      </c>
      <c r="AC103" s="104" t="str">
        <f t="shared" si="14"/>
        <v>－</v>
      </c>
      <c r="AD103" s="105" t="str">
        <f t="shared" si="14"/>
        <v>－</v>
      </c>
    </row>
    <row r="104" spans="1:30">
      <c r="A104" s="95" t="s">
        <v>46</v>
      </c>
      <c r="B104" s="96" t="s">
        <v>600</v>
      </c>
      <c r="C104" s="96" t="s">
        <v>601</v>
      </c>
      <c r="D104" s="96" t="s">
        <v>91</v>
      </c>
      <c r="E104" s="97" t="s">
        <v>239</v>
      </c>
      <c r="F104" s="97" t="s">
        <v>559</v>
      </c>
      <c r="G104" s="98">
        <v>26400</v>
      </c>
      <c r="H104" s="99"/>
      <c r="I104" s="100" t="s">
        <v>137</v>
      </c>
      <c r="J104" s="99"/>
      <c r="K104" s="100" t="s">
        <v>137</v>
      </c>
      <c r="L104" s="99"/>
      <c r="M104" s="100"/>
      <c r="N104" s="99"/>
      <c r="O104" s="100" t="s">
        <v>137</v>
      </c>
      <c r="P104" s="99"/>
      <c r="Q104" s="100"/>
      <c r="R104" s="99"/>
      <c r="S104" s="100" t="s">
        <v>137</v>
      </c>
      <c r="T104" s="101">
        <f>53</f>
        <v>53</v>
      </c>
      <c r="U104" s="102" t="str">
        <f t="shared" si="12"/>
        <v>－</v>
      </c>
      <c r="V104" s="102"/>
      <c r="W104" s="102"/>
      <c r="X104" s="102" t="str">
        <f t="shared" si="13"/>
        <v>－</v>
      </c>
      <c r="Y104" s="102"/>
      <c r="Z104" s="103"/>
      <c r="AA104" s="99"/>
      <c r="AB104" s="104" t="str">
        <f t="shared" si="14"/>
        <v>－</v>
      </c>
      <c r="AC104" s="104" t="str">
        <f t="shared" si="14"/>
        <v>－</v>
      </c>
      <c r="AD104" s="105" t="str">
        <f t="shared" si="14"/>
        <v>－</v>
      </c>
    </row>
    <row r="105" spans="1:30">
      <c r="A105" s="95" t="s">
        <v>46</v>
      </c>
      <c r="B105" s="96" t="s">
        <v>600</v>
      </c>
      <c r="C105" s="96" t="s">
        <v>601</v>
      </c>
      <c r="D105" s="96" t="s">
        <v>325</v>
      </c>
      <c r="E105" s="97" t="s">
        <v>239</v>
      </c>
      <c r="F105" s="97" t="s">
        <v>621</v>
      </c>
      <c r="G105" s="98">
        <v>24000</v>
      </c>
      <c r="H105" s="99"/>
      <c r="I105" s="100" t="s">
        <v>137</v>
      </c>
      <c r="J105" s="99"/>
      <c r="K105" s="100" t="s">
        <v>137</v>
      </c>
      <c r="L105" s="99"/>
      <c r="M105" s="100"/>
      <c r="N105" s="99"/>
      <c r="O105" s="100" t="s">
        <v>137</v>
      </c>
      <c r="P105" s="99"/>
      <c r="Q105" s="100"/>
      <c r="R105" s="99"/>
      <c r="S105" s="100" t="s">
        <v>137</v>
      </c>
      <c r="T105" s="101">
        <f>40.64</f>
        <v>40.64</v>
      </c>
      <c r="U105" s="102" t="str">
        <f t="shared" si="12"/>
        <v>－</v>
      </c>
      <c r="V105" s="102"/>
      <c r="W105" s="102"/>
      <c r="X105" s="102" t="str">
        <f t="shared" si="13"/>
        <v>－</v>
      </c>
      <c r="Y105" s="102"/>
      <c r="Z105" s="103"/>
      <c r="AA105" s="99"/>
      <c r="AB105" s="104" t="str">
        <f t="shared" si="14"/>
        <v>－</v>
      </c>
      <c r="AC105" s="104" t="str">
        <f t="shared" si="14"/>
        <v>－</v>
      </c>
      <c r="AD105" s="105" t="str">
        <f t="shared" si="14"/>
        <v>－</v>
      </c>
    </row>
    <row r="106" spans="1:30">
      <c r="A106" s="95" t="s">
        <v>46</v>
      </c>
      <c r="B106" s="96" t="s">
        <v>600</v>
      </c>
      <c r="C106" s="96" t="s">
        <v>601</v>
      </c>
      <c r="D106" s="96" t="s">
        <v>509</v>
      </c>
      <c r="E106" s="97" t="s">
        <v>239</v>
      </c>
      <c r="F106" s="97" t="s">
        <v>560</v>
      </c>
      <c r="G106" s="98">
        <v>25200</v>
      </c>
      <c r="H106" s="99"/>
      <c r="I106" s="100" t="s">
        <v>137</v>
      </c>
      <c r="J106" s="99"/>
      <c r="K106" s="100" t="s">
        <v>137</v>
      </c>
      <c r="L106" s="99"/>
      <c r="M106" s="100"/>
      <c r="N106" s="99"/>
      <c r="O106" s="100" t="s">
        <v>137</v>
      </c>
      <c r="P106" s="99"/>
      <c r="Q106" s="100"/>
      <c r="R106" s="99"/>
      <c r="S106" s="100" t="s">
        <v>137</v>
      </c>
      <c r="T106" s="101">
        <f>35.84</f>
        <v>35.840000000000003</v>
      </c>
      <c r="U106" s="102" t="str">
        <f t="shared" si="12"/>
        <v>－</v>
      </c>
      <c r="V106" s="102"/>
      <c r="W106" s="102"/>
      <c r="X106" s="102" t="str">
        <f t="shared" si="13"/>
        <v>－</v>
      </c>
      <c r="Y106" s="102"/>
      <c r="Z106" s="103"/>
      <c r="AA106" s="99"/>
      <c r="AB106" s="104" t="str">
        <f t="shared" si="14"/>
        <v>－</v>
      </c>
      <c r="AC106" s="104" t="str">
        <f t="shared" si="14"/>
        <v>－</v>
      </c>
      <c r="AD106" s="105" t="str">
        <f t="shared" si="14"/>
        <v>－</v>
      </c>
    </row>
    <row r="107" spans="1:30">
      <c r="A107" s="95" t="s">
        <v>46</v>
      </c>
      <c r="B107" s="96" t="s">
        <v>600</v>
      </c>
      <c r="C107" s="96" t="s">
        <v>601</v>
      </c>
      <c r="D107" s="96" t="s">
        <v>513</v>
      </c>
      <c r="E107" s="97" t="s">
        <v>239</v>
      </c>
      <c r="F107" s="97" t="s">
        <v>561</v>
      </c>
      <c r="G107" s="98">
        <v>24000</v>
      </c>
      <c r="H107" s="99"/>
      <c r="I107" s="100" t="s">
        <v>137</v>
      </c>
      <c r="J107" s="99"/>
      <c r="K107" s="100" t="s">
        <v>137</v>
      </c>
      <c r="L107" s="99"/>
      <c r="M107" s="100"/>
      <c r="N107" s="99"/>
      <c r="O107" s="100" t="s">
        <v>137</v>
      </c>
      <c r="P107" s="99"/>
      <c r="Q107" s="100"/>
      <c r="R107" s="99"/>
      <c r="S107" s="100" t="s">
        <v>137</v>
      </c>
      <c r="T107" s="101">
        <f>36.71</f>
        <v>36.71</v>
      </c>
      <c r="U107" s="102" t="str">
        <f t="shared" si="12"/>
        <v>－</v>
      </c>
      <c r="V107" s="102"/>
      <c r="W107" s="102"/>
      <c r="X107" s="102" t="str">
        <f t="shared" si="13"/>
        <v>－</v>
      </c>
      <c r="Y107" s="102"/>
      <c r="Z107" s="103"/>
      <c r="AA107" s="99"/>
      <c r="AB107" s="104" t="str">
        <f t="shared" si="14"/>
        <v>－</v>
      </c>
      <c r="AC107" s="104" t="str">
        <f t="shared" si="14"/>
        <v>－</v>
      </c>
      <c r="AD107" s="105" t="str">
        <f t="shared" si="14"/>
        <v>－</v>
      </c>
    </row>
    <row r="108" spans="1:30">
      <c r="A108" s="95" t="s">
        <v>46</v>
      </c>
      <c r="B108" s="96" t="s">
        <v>600</v>
      </c>
      <c r="C108" s="96" t="s">
        <v>601</v>
      </c>
      <c r="D108" s="96" t="s">
        <v>562</v>
      </c>
      <c r="E108" s="97" t="s">
        <v>239</v>
      </c>
      <c r="F108" s="97" t="s">
        <v>622</v>
      </c>
      <c r="G108" s="98">
        <v>25200</v>
      </c>
      <c r="H108" s="99"/>
      <c r="I108" s="100" t="s">
        <v>137</v>
      </c>
      <c r="J108" s="99"/>
      <c r="K108" s="100" t="s">
        <v>137</v>
      </c>
      <c r="L108" s="99"/>
      <c r="M108" s="100"/>
      <c r="N108" s="99"/>
      <c r="O108" s="100" t="s">
        <v>137</v>
      </c>
      <c r="P108" s="99"/>
      <c r="Q108" s="100"/>
      <c r="R108" s="99"/>
      <c r="S108" s="100" t="s">
        <v>137</v>
      </c>
      <c r="T108" s="101">
        <f>41.78</f>
        <v>41.78</v>
      </c>
      <c r="U108" s="102" t="str">
        <f t="shared" si="12"/>
        <v>－</v>
      </c>
      <c r="V108" s="102"/>
      <c r="W108" s="102"/>
      <c r="X108" s="102" t="str">
        <f t="shared" si="13"/>
        <v>－</v>
      </c>
      <c r="Y108" s="102"/>
      <c r="Z108" s="103"/>
      <c r="AA108" s="99"/>
      <c r="AB108" s="104" t="str">
        <f t="shared" si="14"/>
        <v>－</v>
      </c>
      <c r="AC108" s="104" t="str">
        <f t="shared" si="14"/>
        <v>－</v>
      </c>
      <c r="AD108" s="105" t="str">
        <f t="shared" si="14"/>
        <v>－</v>
      </c>
    </row>
    <row r="109" spans="1:30">
      <c r="A109" s="95" t="s">
        <v>46</v>
      </c>
      <c r="B109" s="96" t="s">
        <v>600</v>
      </c>
      <c r="C109" s="96" t="s">
        <v>601</v>
      </c>
      <c r="D109" s="96" t="s">
        <v>564</v>
      </c>
      <c r="E109" s="97" t="s">
        <v>239</v>
      </c>
      <c r="F109" s="97" t="s">
        <v>565</v>
      </c>
      <c r="G109" s="98">
        <v>22800</v>
      </c>
      <c r="H109" s="99"/>
      <c r="I109" s="100" t="s">
        <v>137</v>
      </c>
      <c r="J109" s="99"/>
      <c r="K109" s="100" t="s">
        <v>137</v>
      </c>
      <c r="L109" s="99"/>
      <c r="M109" s="100"/>
      <c r="N109" s="99"/>
      <c r="O109" s="100" t="s">
        <v>137</v>
      </c>
      <c r="P109" s="99"/>
      <c r="Q109" s="100"/>
      <c r="R109" s="99"/>
      <c r="S109" s="100" t="s">
        <v>137</v>
      </c>
      <c r="T109" s="101">
        <f>46.85</f>
        <v>46.85</v>
      </c>
      <c r="U109" s="102" t="str">
        <f t="shared" si="12"/>
        <v>－</v>
      </c>
      <c r="V109" s="102"/>
      <c r="W109" s="102"/>
      <c r="X109" s="102" t="str">
        <f t="shared" si="13"/>
        <v>－</v>
      </c>
      <c r="Y109" s="102"/>
      <c r="Z109" s="103"/>
      <c r="AA109" s="99"/>
      <c r="AB109" s="104" t="str">
        <f t="shared" si="14"/>
        <v>－</v>
      </c>
      <c r="AC109" s="104" t="str">
        <f t="shared" si="14"/>
        <v>－</v>
      </c>
      <c r="AD109" s="105" t="str">
        <f t="shared" si="14"/>
        <v>－</v>
      </c>
    </row>
    <row r="110" spans="1:30">
      <c r="A110" s="95" t="s">
        <v>46</v>
      </c>
      <c r="B110" s="96" t="s">
        <v>600</v>
      </c>
      <c r="C110" s="96" t="s">
        <v>601</v>
      </c>
      <c r="D110" s="96" t="s">
        <v>566</v>
      </c>
      <c r="E110" s="97" t="s">
        <v>239</v>
      </c>
      <c r="F110" s="97" t="s">
        <v>567</v>
      </c>
      <c r="G110" s="98">
        <v>22800</v>
      </c>
      <c r="H110" s="99"/>
      <c r="I110" s="100" t="s">
        <v>137</v>
      </c>
      <c r="J110" s="99"/>
      <c r="K110" s="100" t="s">
        <v>137</v>
      </c>
      <c r="L110" s="99"/>
      <c r="M110" s="100"/>
      <c r="N110" s="99"/>
      <c r="O110" s="100" t="s">
        <v>137</v>
      </c>
      <c r="P110" s="99"/>
      <c r="Q110" s="100"/>
      <c r="R110" s="99"/>
      <c r="S110" s="100" t="s">
        <v>137</v>
      </c>
      <c r="T110" s="101">
        <f>43.51</f>
        <v>43.51</v>
      </c>
      <c r="U110" s="102" t="str">
        <f t="shared" si="12"/>
        <v>－</v>
      </c>
      <c r="V110" s="102"/>
      <c r="W110" s="102"/>
      <c r="X110" s="102" t="str">
        <f t="shared" si="13"/>
        <v>－</v>
      </c>
      <c r="Y110" s="102"/>
      <c r="Z110" s="103"/>
      <c r="AA110" s="99"/>
      <c r="AB110" s="104" t="str">
        <f t="shared" si="14"/>
        <v>－</v>
      </c>
      <c r="AC110" s="104" t="str">
        <f t="shared" si="14"/>
        <v>－</v>
      </c>
      <c r="AD110" s="105" t="str">
        <f t="shared" si="14"/>
        <v>－</v>
      </c>
    </row>
    <row r="111" spans="1:30">
      <c r="A111" s="95" t="s">
        <v>46</v>
      </c>
      <c r="B111" s="96" t="s">
        <v>600</v>
      </c>
      <c r="C111" s="96" t="s">
        <v>601</v>
      </c>
      <c r="D111" s="96" t="s">
        <v>568</v>
      </c>
      <c r="E111" s="97" t="s">
        <v>239</v>
      </c>
      <c r="F111" s="97" t="s">
        <v>623</v>
      </c>
      <c r="G111" s="98">
        <v>24000</v>
      </c>
      <c r="H111" s="99"/>
      <c r="I111" s="100" t="s">
        <v>137</v>
      </c>
      <c r="J111" s="99"/>
      <c r="K111" s="100" t="s">
        <v>137</v>
      </c>
      <c r="L111" s="99"/>
      <c r="M111" s="100"/>
      <c r="N111" s="99"/>
      <c r="O111" s="100" t="s">
        <v>137</v>
      </c>
      <c r="P111" s="99"/>
      <c r="Q111" s="100"/>
      <c r="R111" s="99"/>
      <c r="S111" s="100" t="s">
        <v>137</v>
      </c>
      <c r="T111" s="101">
        <f>35.56</f>
        <v>35.56</v>
      </c>
      <c r="U111" s="102" t="str">
        <f t="shared" si="12"/>
        <v>－</v>
      </c>
      <c r="V111" s="102"/>
      <c r="W111" s="102"/>
      <c r="X111" s="102" t="str">
        <f t="shared" si="13"/>
        <v>－</v>
      </c>
      <c r="Y111" s="102"/>
      <c r="Z111" s="103"/>
      <c r="AA111" s="99"/>
      <c r="AB111" s="104" t="str">
        <f t="shared" si="14"/>
        <v>－</v>
      </c>
      <c r="AC111" s="104" t="str">
        <f t="shared" si="14"/>
        <v>－</v>
      </c>
      <c r="AD111" s="105" t="str">
        <f t="shared" si="14"/>
        <v>－</v>
      </c>
    </row>
    <row r="112" spans="1:30">
      <c r="A112" s="95" t="s">
        <v>46</v>
      </c>
      <c r="B112" s="96" t="s">
        <v>600</v>
      </c>
      <c r="C112" s="96" t="s">
        <v>601</v>
      </c>
      <c r="D112" s="96" t="s">
        <v>570</v>
      </c>
      <c r="E112" s="97" t="s">
        <v>624</v>
      </c>
      <c r="F112" s="97" t="s">
        <v>571</v>
      </c>
      <c r="G112" s="98">
        <v>25200</v>
      </c>
      <c r="H112" s="99"/>
      <c r="I112" s="100" t="s">
        <v>137</v>
      </c>
      <c r="J112" s="99"/>
      <c r="K112" s="100" t="s">
        <v>137</v>
      </c>
      <c r="L112" s="99"/>
      <c r="M112" s="100"/>
      <c r="N112" s="99"/>
      <c r="O112" s="100" t="s">
        <v>137</v>
      </c>
      <c r="P112" s="99"/>
      <c r="Q112" s="100"/>
      <c r="R112" s="99"/>
      <c r="S112" s="100" t="s">
        <v>137</v>
      </c>
      <c r="T112" s="101">
        <f>21.64</f>
        <v>21.64</v>
      </c>
      <c r="U112" s="102" t="str">
        <f t="shared" si="12"/>
        <v>－</v>
      </c>
      <c r="V112" s="102"/>
      <c r="W112" s="102"/>
      <c r="X112" s="102" t="str">
        <f t="shared" si="13"/>
        <v>－</v>
      </c>
      <c r="Y112" s="102"/>
      <c r="Z112" s="103"/>
      <c r="AA112" s="99"/>
      <c r="AB112" s="104" t="str">
        <f t="shared" si="14"/>
        <v>－</v>
      </c>
      <c r="AC112" s="104" t="str">
        <f t="shared" si="14"/>
        <v>－</v>
      </c>
      <c r="AD112" s="105" t="str">
        <f t="shared" si="14"/>
        <v>－</v>
      </c>
    </row>
    <row r="113" spans="1:30">
      <c r="A113" s="95" t="s">
        <v>46</v>
      </c>
      <c r="B113" s="96" t="s">
        <v>600</v>
      </c>
      <c r="C113" s="96" t="s">
        <v>601</v>
      </c>
      <c r="D113" s="96" t="s">
        <v>572</v>
      </c>
      <c r="E113" s="97" t="s">
        <v>573</v>
      </c>
      <c r="F113" s="97" t="s">
        <v>574</v>
      </c>
      <c r="G113" s="98">
        <v>22800</v>
      </c>
      <c r="H113" s="99"/>
      <c r="I113" s="100" t="s">
        <v>137</v>
      </c>
      <c r="J113" s="99"/>
      <c r="K113" s="100" t="s">
        <v>137</v>
      </c>
      <c r="L113" s="99"/>
      <c r="M113" s="100"/>
      <c r="N113" s="99"/>
      <c r="O113" s="100" t="s">
        <v>137</v>
      </c>
      <c r="P113" s="99"/>
      <c r="Q113" s="100"/>
      <c r="R113" s="99"/>
      <c r="S113" s="100" t="s">
        <v>137</v>
      </c>
      <c r="T113" s="101">
        <f>20.3</f>
        <v>20.3</v>
      </c>
      <c r="U113" s="102" t="str">
        <f t="shared" si="12"/>
        <v>－</v>
      </c>
      <c r="V113" s="102"/>
      <c r="W113" s="102"/>
      <c r="X113" s="102" t="str">
        <f t="shared" si="13"/>
        <v>－</v>
      </c>
      <c r="Y113" s="102"/>
      <c r="Z113" s="103"/>
      <c r="AA113" s="99"/>
      <c r="AB113" s="104" t="str">
        <f t="shared" si="14"/>
        <v>－</v>
      </c>
      <c r="AC113" s="104" t="str">
        <f t="shared" si="14"/>
        <v>－</v>
      </c>
      <c r="AD113" s="105" t="str">
        <f t="shared" si="14"/>
        <v>－</v>
      </c>
    </row>
    <row r="114" spans="1:30">
      <c r="A114" s="95" t="s">
        <v>46</v>
      </c>
      <c r="B114" s="96" t="s">
        <v>600</v>
      </c>
      <c r="C114" s="96" t="s">
        <v>601</v>
      </c>
      <c r="D114" s="96" t="s">
        <v>575</v>
      </c>
      <c r="E114" s="97" t="s">
        <v>576</v>
      </c>
      <c r="F114" s="97" t="s">
        <v>625</v>
      </c>
      <c r="G114" s="98">
        <v>24000</v>
      </c>
      <c r="H114" s="99"/>
      <c r="I114" s="100" t="s">
        <v>137</v>
      </c>
      <c r="J114" s="99"/>
      <c r="K114" s="100" t="s">
        <v>137</v>
      </c>
      <c r="L114" s="99"/>
      <c r="M114" s="100"/>
      <c r="N114" s="99"/>
      <c r="O114" s="100" t="s">
        <v>137</v>
      </c>
      <c r="P114" s="99"/>
      <c r="Q114" s="100"/>
      <c r="R114" s="99"/>
      <c r="S114" s="100" t="s">
        <v>137</v>
      </c>
      <c r="T114" s="101">
        <f>21.04</f>
        <v>21.04</v>
      </c>
      <c r="U114" s="102" t="str">
        <f t="shared" si="12"/>
        <v>－</v>
      </c>
      <c r="V114" s="102"/>
      <c r="W114" s="102"/>
      <c r="X114" s="102" t="str">
        <f t="shared" si="13"/>
        <v>－</v>
      </c>
      <c r="Y114" s="102"/>
      <c r="Z114" s="103"/>
      <c r="AA114" s="99"/>
      <c r="AB114" s="104" t="str">
        <f t="shared" si="14"/>
        <v>－</v>
      </c>
      <c r="AC114" s="104" t="str">
        <f t="shared" si="14"/>
        <v>－</v>
      </c>
      <c r="AD114" s="105" t="str">
        <f t="shared" si="14"/>
        <v>－</v>
      </c>
    </row>
    <row r="115" spans="1:30">
      <c r="A115" s="95" t="s">
        <v>46</v>
      </c>
      <c r="B115" s="96" t="s">
        <v>600</v>
      </c>
      <c r="C115" s="96" t="s">
        <v>601</v>
      </c>
      <c r="D115" s="96" t="s">
        <v>578</v>
      </c>
      <c r="E115" s="97" t="s">
        <v>626</v>
      </c>
      <c r="F115" s="97" t="s">
        <v>579</v>
      </c>
      <c r="G115" s="98">
        <v>26400</v>
      </c>
      <c r="H115" s="99"/>
      <c r="I115" s="100" t="s">
        <v>137</v>
      </c>
      <c r="J115" s="99"/>
      <c r="K115" s="100" t="s">
        <v>137</v>
      </c>
      <c r="L115" s="99"/>
      <c r="M115" s="100"/>
      <c r="N115" s="99"/>
      <c r="O115" s="100" t="s">
        <v>137</v>
      </c>
      <c r="P115" s="99"/>
      <c r="Q115" s="100"/>
      <c r="R115" s="99"/>
      <c r="S115" s="100" t="s">
        <v>137</v>
      </c>
      <c r="T115" s="101">
        <f>28.48</f>
        <v>28.48</v>
      </c>
      <c r="U115" s="102" t="str">
        <f t="shared" si="12"/>
        <v>－</v>
      </c>
      <c r="V115" s="102"/>
      <c r="W115" s="102"/>
      <c r="X115" s="102" t="str">
        <f t="shared" si="13"/>
        <v>－</v>
      </c>
      <c r="Y115" s="102"/>
      <c r="Z115" s="103"/>
      <c r="AA115" s="99"/>
      <c r="AB115" s="104" t="str">
        <f t="shared" si="14"/>
        <v>－</v>
      </c>
      <c r="AC115" s="104" t="str">
        <f t="shared" si="14"/>
        <v>－</v>
      </c>
      <c r="AD115" s="105" t="str">
        <f t="shared" si="14"/>
        <v>－</v>
      </c>
    </row>
    <row r="116" spans="1:30">
      <c r="A116" s="95" t="s">
        <v>46</v>
      </c>
      <c r="B116" s="96" t="s">
        <v>600</v>
      </c>
      <c r="C116" s="96" t="s">
        <v>601</v>
      </c>
      <c r="D116" s="96" t="s">
        <v>580</v>
      </c>
      <c r="E116" s="97" t="s">
        <v>581</v>
      </c>
      <c r="F116" s="97" t="s">
        <v>627</v>
      </c>
      <c r="G116" s="98">
        <v>25200</v>
      </c>
      <c r="H116" s="99"/>
      <c r="I116" s="100" t="s">
        <v>137</v>
      </c>
      <c r="J116" s="99"/>
      <c r="K116" s="100" t="s">
        <v>137</v>
      </c>
      <c r="L116" s="99"/>
      <c r="M116" s="100"/>
      <c r="N116" s="99"/>
      <c r="O116" s="100" t="s">
        <v>137</v>
      </c>
      <c r="P116" s="99"/>
      <c r="Q116" s="100"/>
      <c r="R116" s="99"/>
      <c r="S116" s="100" t="s">
        <v>137</v>
      </c>
      <c r="T116" s="101">
        <f>33.07</f>
        <v>33.07</v>
      </c>
      <c r="U116" s="102" t="str">
        <f t="shared" si="12"/>
        <v>－</v>
      </c>
      <c r="V116" s="102"/>
      <c r="W116" s="102"/>
      <c r="X116" s="102" t="str">
        <f t="shared" si="13"/>
        <v>－</v>
      </c>
      <c r="Y116" s="102"/>
      <c r="Z116" s="103"/>
      <c r="AA116" s="99"/>
      <c r="AB116" s="104" t="str">
        <f t="shared" si="14"/>
        <v>－</v>
      </c>
      <c r="AC116" s="104" t="str">
        <f t="shared" si="14"/>
        <v>－</v>
      </c>
      <c r="AD116" s="105" t="str">
        <f t="shared" si="14"/>
        <v>－</v>
      </c>
    </row>
    <row r="117" spans="1:30">
      <c r="A117" s="95" t="s">
        <v>46</v>
      </c>
      <c r="B117" s="96" t="s">
        <v>600</v>
      </c>
      <c r="C117" s="96" t="s">
        <v>601</v>
      </c>
      <c r="D117" s="96" t="s">
        <v>583</v>
      </c>
      <c r="E117" s="97" t="s">
        <v>333</v>
      </c>
      <c r="F117" s="97" t="s">
        <v>584</v>
      </c>
      <c r="G117" s="98">
        <v>22800</v>
      </c>
      <c r="H117" s="99"/>
      <c r="I117" s="100" t="s">
        <v>137</v>
      </c>
      <c r="J117" s="99"/>
      <c r="K117" s="100" t="s">
        <v>137</v>
      </c>
      <c r="L117" s="99"/>
      <c r="M117" s="100"/>
      <c r="N117" s="99"/>
      <c r="O117" s="100" t="s">
        <v>137</v>
      </c>
      <c r="P117" s="99"/>
      <c r="Q117" s="100"/>
      <c r="R117" s="99"/>
      <c r="S117" s="100" t="s">
        <v>137</v>
      </c>
      <c r="T117" s="101">
        <f>24.78</f>
        <v>24.78</v>
      </c>
      <c r="U117" s="102" t="str">
        <f t="shared" si="12"/>
        <v>－</v>
      </c>
      <c r="V117" s="102"/>
      <c r="W117" s="102"/>
      <c r="X117" s="102" t="str">
        <f t="shared" si="13"/>
        <v>－</v>
      </c>
      <c r="Y117" s="102"/>
      <c r="Z117" s="103"/>
      <c r="AA117" s="99"/>
      <c r="AB117" s="104" t="str">
        <f t="shared" si="14"/>
        <v>－</v>
      </c>
      <c r="AC117" s="104" t="str">
        <f t="shared" si="14"/>
        <v>－</v>
      </c>
      <c r="AD117" s="105" t="str">
        <f t="shared" si="14"/>
        <v>－</v>
      </c>
    </row>
    <row r="118" spans="1:30">
      <c r="A118" s="95" t="s">
        <v>46</v>
      </c>
      <c r="B118" s="96" t="s">
        <v>628</v>
      </c>
      <c r="C118" s="96" t="s">
        <v>629</v>
      </c>
      <c r="D118" s="96" t="s">
        <v>46</v>
      </c>
      <c r="E118" s="97" t="s">
        <v>520</v>
      </c>
      <c r="F118" s="97" t="s">
        <v>521</v>
      </c>
      <c r="G118" s="98">
        <v>24000</v>
      </c>
      <c r="H118" s="99"/>
      <c r="I118" s="100" t="s">
        <v>137</v>
      </c>
      <c r="J118" s="99"/>
      <c r="K118" s="100" t="s">
        <v>137</v>
      </c>
      <c r="L118" s="99"/>
      <c r="M118" s="100"/>
      <c r="N118" s="99"/>
      <c r="O118" s="100" t="s">
        <v>137</v>
      </c>
      <c r="P118" s="99"/>
      <c r="Q118" s="100"/>
      <c r="R118" s="99"/>
      <c r="S118" s="100" t="s">
        <v>137</v>
      </c>
      <c r="T118" s="101">
        <f>34.61</f>
        <v>34.61</v>
      </c>
      <c r="U118" s="102" t="str">
        <f t="shared" si="12"/>
        <v>－</v>
      </c>
      <c r="V118" s="102"/>
      <c r="W118" s="102"/>
      <c r="X118" s="102" t="str">
        <f t="shared" si="13"/>
        <v>－</v>
      </c>
      <c r="Y118" s="102"/>
      <c r="Z118" s="103"/>
      <c r="AA118" s="99" t="s">
        <v>238</v>
      </c>
      <c r="AB118" s="104">
        <f>90</f>
        <v>90</v>
      </c>
      <c r="AC118" s="104" t="str">
        <f t="shared" ref="AC118:AD149" si="15">"－"</f>
        <v>－</v>
      </c>
      <c r="AD118" s="105" t="str">
        <f t="shared" si="15"/>
        <v>－</v>
      </c>
    </row>
    <row r="119" spans="1:30">
      <c r="A119" s="95" t="s">
        <v>46</v>
      </c>
      <c r="B119" s="96" t="s">
        <v>628</v>
      </c>
      <c r="C119" s="96" t="s">
        <v>629</v>
      </c>
      <c r="D119" s="96" t="s">
        <v>49</v>
      </c>
      <c r="E119" s="97" t="s">
        <v>602</v>
      </c>
      <c r="F119" s="97" t="s">
        <v>526</v>
      </c>
      <c r="G119" s="98">
        <v>24000</v>
      </c>
      <c r="H119" s="99"/>
      <c r="I119" s="100" t="s">
        <v>137</v>
      </c>
      <c r="J119" s="99"/>
      <c r="K119" s="100" t="s">
        <v>137</v>
      </c>
      <c r="L119" s="99" t="s">
        <v>130</v>
      </c>
      <c r="M119" s="100" t="s">
        <v>630</v>
      </c>
      <c r="N119" s="99"/>
      <c r="O119" s="100" t="s">
        <v>137</v>
      </c>
      <c r="P119" s="99" t="s">
        <v>130</v>
      </c>
      <c r="Q119" s="100" t="s">
        <v>631</v>
      </c>
      <c r="R119" s="99"/>
      <c r="S119" s="100" t="s">
        <v>137</v>
      </c>
      <c r="T119" s="101">
        <f>37.99</f>
        <v>37.99</v>
      </c>
      <c r="U119" s="102">
        <f>150</f>
        <v>150</v>
      </c>
      <c r="V119" s="102">
        <v>150</v>
      </c>
      <c r="W119" s="102"/>
      <c r="X119" s="102">
        <f>139500000</f>
        <v>139500000</v>
      </c>
      <c r="Y119" s="102">
        <v>139500000</v>
      </c>
      <c r="Z119" s="103"/>
      <c r="AA119" s="99"/>
      <c r="AB119" s="104">
        <f>210</f>
        <v>210</v>
      </c>
      <c r="AC119" s="104" t="str">
        <f t="shared" si="15"/>
        <v>－</v>
      </c>
      <c r="AD119" s="105" t="str">
        <f t="shared" si="15"/>
        <v>－</v>
      </c>
    </row>
    <row r="120" spans="1:30">
      <c r="A120" s="95" t="s">
        <v>46</v>
      </c>
      <c r="B120" s="96" t="s">
        <v>628</v>
      </c>
      <c r="C120" s="96" t="s">
        <v>629</v>
      </c>
      <c r="D120" s="96" t="s">
        <v>244</v>
      </c>
      <c r="E120" s="97" t="s">
        <v>530</v>
      </c>
      <c r="F120" s="97" t="s">
        <v>531</v>
      </c>
      <c r="G120" s="98">
        <v>24000</v>
      </c>
      <c r="H120" s="99"/>
      <c r="I120" s="100" t="s">
        <v>137</v>
      </c>
      <c r="J120" s="99"/>
      <c r="K120" s="100" t="s">
        <v>137</v>
      </c>
      <c r="L120" s="99"/>
      <c r="M120" s="100"/>
      <c r="N120" s="99"/>
      <c r="O120" s="100" t="s">
        <v>137</v>
      </c>
      <c r="P120" s="99"/>
      <c r="Q120" s="100"/>
      <c r="R120" s="99"/>
      <c r="S120" s="100" t="s">
        <v>137</v>
      </c>
      <c r="T120" s="101">
        <f>39.92</f>
        <v>39.92</v>
      </c>
      <c r="U120" s="102" t="str">
        <f>"－"</f>
        <v>－</v>
      </c>
      <c r="V120" s="102"/>
      <c r="W120" s="102"/>
      <c r="X120" s="102" t="str">
        <f>"－"</f>
        <v>－</v>
      </c>
      <c r="Y120" s="102"/>
      <c r="Z120" s="103"/>
      <c r="AA120" s="99"/>
      <c r="AB120" s="104">
        <f>90</f>
        <v>90</v>
      </c>
      <c r="AC120" s="104" t="str">
        <f t="shared" si="15"/>
        <v>－</v>
      </c>
      <c r="AD120" s="105" t="str">
        <f t="shared" si="15"/>
        <v>－</v>
      </c>
    </row>
    <row r="121" spans="1:30">
      <c r="A121" s="95" t="s">
        <v>46</v>
      </c>
      <c r="B121" s="96" t="s">
        <v>628</v>
      </c>
      <c r="C121" s="96" t="s">
        <v>629</v>
      </c>
      <c r="D121" s="96" t="s">
        <v>60</v>
      </c>
      <c r="E121" s="97" t="s">
        <v>534</v>
      </c>
      <c r="F121" s="97" t="s">
        <v>607</v>
      </c>
      <c r="G121" s="98">
        <v>25200</v>
      </c>
      <c r="H121" s="99"/>
      <c r="I121" s="100" t="s">
        <v>137</v>
      </c>
      <c r="J121" s="99"/>
      <c r="K121" s="100" t="s">
        <v>137</v>
      </c>
      <c r="L121" s="99" t="s">
        <v>153</v>
      </c>
      <c r="M121" s="100" t="s">
        <v>632</v>
      </c>
      <c r="N121" s="99"/>
      <c r="O121" s="100" t="s">
        <v>137</v>
      </c>
      <c r="P121" s="99" t="s">
        <v>153</v>
      </c>
      <c r="Q121" s="100" t="s">
        <v>632</v>
      </c>
      <c r="R121" s="99"/>
      <c r="S121" s="100" t="s">
        <v>137</v>
      </c>
      <c r="T121" s="101">
        <f>43.13</f>
        <v>43.13</v>
      </c>
      <c r="U121" s="102">
        <f>150</f>
        <v>150</v>
      </c>
      <c r="V121" s="102">
        <v>150</v>
      </c>
      <c r="W121" s="102"/>
      <c r="X121" s="102">
        <f>170100000</f>
        <v>170100000</v>
      </c>
      <c r="Y121" s="102">
        <v>170100000</v>
      </c>
      <c r="Z121" s="103"/>
      <c r="AA121" s="99"/>
      <c r="AB121" s="104">
        <f>150</f>
        <v>150</v>
      </c>
      <c r="AC121" s="104" t="str">
        <f t="shared" si="15"/>
        <v>－</v>
      </c>
      <c r="AD121" s="105" t="str">
        <f t="shared" si="15"/>
        <v>－</v>
      </c>
    </row>
    <row r="122" spans="1:30">
      <c r="A122" s="95" t="s">
        <v>46</v>
      </c>
      <c r="B122" s="96" t="s">
        <v>628</v>
      </c>
      <c r="C122" s="96" t="s">
        <v>629</v>
      </c>
      <c r="D122" s="96" t="s">
        <v>250</v>
      </c>
      <c r="E122" s="97" t="s">
        <v>612</v>
      </c>
      <c r="F122" s="97" t="s">
        <v>540</v>
      </c>
      <c r="G122" s="98">
        <v>22800</v>
      </c>
      <c r="H122" s="99"/>
      <c r="I122" s="100" t="s">
        <v>137</v>
      </c>
      <c r="J122" s="99"/>
      <c r="K122" s="100" t="s">
        <v>137</v>
      </c>
      <c r="L122" s="99" t="s">
        <v>130</v>
      </c>
      <c r="M122" s="100" t="s">
        <v>596</v>
      </c>
      <c r="N122" s="99"/>
      <c r="O122" s="100" t="s">
        <v>137</v>
      </c>
      <c r="P122" s="99" t="s">
        <v>130</v>
      </c>
      <c r="Q122" s="100" t="s">
        <v>596</v>
      </c>
      <c r="R122" s="99"/>
      <c r="S122" s="100" t="s">
        <v>137</v>
      </c>
      <c r="T122" s="101">
        <f>47.7</f>
        <v>47.7</v>
      </c>
      <c r="U122" s="102">
        <f>20</f>
        <v>20</v>
      </c>
      <c r="V122" s="102">
        <v>20</v>
      </c>
      <c r="W122" s="102"/>
      <c r="X122" s="102">
        <f>15732000</f>
        <v>15732000</v>
      </c>
      <c r="Y122" s="102">
        <v>15732000</v>
      </c>
      <c r="Z122" s="103"/>
      <c r="AA122" s="99"/>
      <c r="AB122" s="104">
        <f>110</f>
        <v>110</v>
      </c>
      <c r="AC122" s="104" t="str">
        <f t="shared" si="15"/>
        <v>－</v>
      </c>
      <c r="AD122" s="105" t="str">
        <f t="shared" si="15"/>
        <v>－</v>
      </c>
    </row>
    <row r="123" spans="1:30">
      <c r="A123" s="95" t="s">
        <v>46</v>
      </c>
      <c r="B123" s="96" t="s">
        <v>628</v>
      </c>
      <c r="C123" s="96" t="s">
        <v>629</v>
      </c>
      <c r="D123" s="96" t="s">
        <v>68</v>
      </c>
      <c r="E123" s="97" t="s">
        <v>546</v>
      </c>
      <c r="F123" s="97" t="s">
        <v>547</v>
      </c>
      <c r="G123" s="98">
        <v>22800</v>
      </c>
      <c r="H123" s="99"/>
      <c r="I123" s="100" t="s">
        <v>137</v>
      </c>
      <c r="J123" s="99"/>
      <c r="K123" s="100" t="s">
        <v>137</v>
      </c>
      <c r="L123" s="99" t="s">
        <v>130</v>
      </c>
      <c r="M123" s="100" t="s">
        <v>596</v>
      </c>
      <c r="N123" s="99"/>
      <c r="O123" s="100" t="s">
        <v>137</v>
      </c>
      <c r="P123" s="99" t="s">
        <v>130</v>
      </c>
      <c r="Q123" s="100" t="s">
        <v>596</v>
      </c>
      <c r="R123" s="99"/>
      <c r="S123" s="100" t="s">
        <v>137</v>
      </c>
      <c r="T123" s="101">
        <f>44.17</f>
        <v>44.17</v>
      </c>
      <c r="U123" s="102">
        <f>20</f>
        <v>20</v>
      </c>
      <c r="V123" s="102">
        <v>20</v>
      </c>
      <c r="W123" s="102"/>
      <c r="X123" s="102">
        <f>15732000</f>
        <v>15732000</v>
      </c>
      <c r="Y123" s="102">
        <v>15732000</v>
      </c>
      <c r="Z123" s="103"/>
      <c r="AA123" s="99"/>
      <c r="AB123" s="104">
        <f>110</f>
        <v>110</v>
      </c>
      <c r="AC123" s="104" t="str">
        <f t="shared" si="15"/>
        <v>－</v>
      </c>
      <c r="AD123" s="105" t="str">
        <f t="shared" si="15"/>
        <v>－</v>
      </c>
    </row>
    <row r="124" spans="1:30">
      <c r="A124" s="95" t="s">
        <v>46</v>
      </c>
      <c r="B124" s="96" t="s">
        <v>628</v>
      </c>
      <c r="C124" s="96" t="s">
        <v>629</v>
      </c>
      <c r="D124" s="96" t="s">
        <v>255</v>
      </c>
      <c r="E124" s="97" t="s">
        <v>619</v>
      </c>
      <c r="F124" s="97" t="s">
        <v>551</v>
      </c>
      <c r="G124" s="98">
        <v>26400</v>
      </c>
      <c r="H124" s="99"/>
      <c r="I124" s="100" t="s">
        <v>137</v>
      </c>
      <c r="J124" s="99"/>
      <c r="K124" s="100" t="s">
        <v>137</v>
      </c>
      <c r="L124" s="99" t="s">
        <v>130</v>
      </c>
      <c r="M124" s="100" t="s">
        <v>596</v>
      </c>
      <c r="N124" s="99"/>
      <c r="O124" s="100" t="s">
        <v>137</v>
      </c>
      <c r="P124" s="99" t="s">
        <v>130</v>
      </c>
      <c r="Q124" s="100" t="s">
        <v>596</v>
      </c>
      <c r="R124" s="99"/>
      <c r="S124" s="100" t="s">
        <v>137</v>
      </c>
      <c r="T124" s="101">
        <f>33.35</f>
        <v>33.35</v>
      </c>
      <c r="U124" s="102">
        <f>20</f>
        <v>20</v>
      </c>
      <c r="V124" s="102">
        <v>20</v>
      </c>
      <c r="W124" s="102"/>
      <c r="X124" s="102">
        <f>18216000</f>
        <v>18216000</v>
      </c>
      <c r="Y124" s="102">
        <v>18216000</v>
      </c>
      <c r="Z124" s="103"/>
      <c r="AA124" s="99"/>
      <c r="AB124" s="104">
        <f>30</f>
        <v>30</v>
      </c>
      <c r="AC124" s="104" t="str">
        <f t="shared" si="15"/>
        <v>－</v>
      </c>
      <c r="AD124" s="105" t="str">
        <f t="shared" si="15"/>
        <v>－</v>
      </c>
    </row>
    <row r="125" spans="1:30">
      <c r="A125" s="95" t="s">
        <v>46</v>
      </c>
      <c r="B125" s="96" t="s">
        <v>628</v>
      </c>
      <c r="C125" s="96" t="s">
        <v>629</v>
      </c>
      <c r="D125" s="96" t="s">
        <v>74</v>
      </c>
      <c r="E125" s="97" t="s">
        <v>553</v>
      </c>
      <c r="F125" s="97" t="s">
        <v>620</v>
      </c>
      <c r="G125" s="98">
        <v>24000</v>
      </c>
      <c r="H125" s="99"/>
      <c r="I125" s="100" t="s">
        <v>137</v>
      </c>
      <c r="J125" s="99"/>
      <c r="K125" s="100" t="s">
        <v>137</v>
      </c>
      <c r="L125" s="99"/>
      <c r="M125" s="100"/>
      <c r="N125" s="99"/>
      <c r="O125" s="100" t="s">
        <v>137</v>
      </c>
      <c r="P125" s="99"/>
      <c r="Q125" s="100"/>
      <c r="R125" s="99"/>
      <c r="S125" s="100" t="s">
        <v>137</v>
      </c>
      <c r="T125" s="101">
        <f>30.26</f>
        <v>30.26</v>
      </c>
      <c r="U125" s="102" t="str">
        <f t="shared" ref="U125:U158" si="16">"－"</f>
        <v>－</v>
      </c>
      <c r="V125" s="102"/>
      <c r="W125" s="102"/>
      <c r="X125" s="102" t="str">
        <f t="shared" ref="X125:X158" si="17">"－"</f>
        <v>－</v>
      </c>
      <c r="Y125" s="102"/>
      <c r="Z125" s="103"/>
      <c r="AA125" s="99"/>
      <c r="AB125" s="104" t="str">
        <f t="shared" ref="AB125:AB142" si="18">"－"</f>
        <v>－</v>
      </c>
      <c r="AC125" s="104" t="str">
        <f t="shared" si="15"/>
        <v>－</v>
      </c>
      <c r="AD125" s="105" t="str">
        <f t="shared" si="15"/>
        <v>－</v>
      </c>
    </row>
    <row r="126" spans="1:30">
      <c r="A126" s="95" t="s">
        <v>46</v>
      </c>
      <c r="B126" s="96" t="s">
        <v>628</v>
      </c>
      <c r="C126" s="96" t="s">
        <v>629</v>
      </c>
      <c r="D126" s="96" t="s">
        <v>308</v>
      </c>
      <c r="E126" s="97" t="s">
        <v>554</v>
      </c>
      <c r="F126" s="97" t="s">
        <v>555</v>
      </c>
      <c r="G126" s="98">
        <v>21600</v>
      </c>
      <c r="H126" s="99"/>
      <c r="I126" s="100" t="s">
        <v>137</v>
      </c>
      <c r="J126" s="99"/>
      <c r="K126" s="100" t="s">
        <v>137</v>
      </c>
      <c r="L126" s="99"/>
      <c r="M126" s="100"/>
      <c r="N126" s="99"/>
      <c r="O126" s="100" t="s">
        <v>137</v>
      </c>
      <c r="P126" s="99"/>
      <c r="Q126" s="100"/>
      <c r="R126" s="99"/>
      <c r="S126" s="100" t="s">
        <v>137</v>
      </c>
      <c r="T126" s="101">
        <f>27.65</f>
        <v>27.65</v>
      </c>
      <c r="U126" s="102" t="str">
        <f t="shared" si="16"/>
        <v>－</v>
      </c>
      <c r="V126" s="102"/>
      <c r="W126" s="102"/>
      <c r="X126" s="102" t="str">
        <f t="shared" si="17"/>
        <v>－</v>
      </c>
      <c r="Y126" s="102"/>
      <c r="Z126" s="103"/>
      <c r="AA126" s="99"/>
      <c r="AB126" s="104" t="str">
        <f t="shared" si="18"/>
        <v>－</v>
      </c>
      <c r="AC126" s="104" t="str">
        <f t="shared" si="15"/>
        <v>－</v>
      </c>
      <c r="AD126" s="105" t="str">
        <f t="shared" si="15"/>
        <v>－</v>
      </c>
    </row>
    <row r="127" spans="1:30">
      <c r="A127" s="95" t="s">
        <v>46</v>
      </c>
      <c r="B127" s="96" t="s">
        <v>628</v>
      </c>
      <c r="C127" s="96" t="s">
        <v>629</v>
      </c>
      <c r="D127" s="96" t="s">
        <v>80</v>
      </c>
      <c r="E127" s="97" t="s">
        <v>556</v>
      </c>
      <c r="F127" s="97" t="s">
        <v>557</v>
      </c>
      <c r="G127" s="98">
        <v>26400</v>
      </c>
      <c r="H127" s="99"/>
      <c r="I127" s="100" t="s">
        <v>137</v>
      </c>
      <c r="J127" s="99"/>
      <c r="K127" s="100" t="s">
        <v>137</v>
      </c>
      <c r="L127" s="99"/>
      <c r="M127" s="100"/>
      <c r="N127" s="99"/>
      <c r="O127" s="100" t="s">
        <v>137</v>
      </c>
      <c r="P127" s="99"/>
      <c r="Q127" s="100"/>
      <c r="R127" s="99"/>
      <c r="S127" s="100" t="s">
        <v>137</v>
      </c>
      <c r="T127" s="101">
        <f>29.86</f>
        <v>29.86</v>
      </c>
      <c r="U127" s="102" t="str">
        <f t="shared" si="16"/>
        <v>－</v>
      </c>
      <c r="V127" s="102"/>
      <c r="W127" s="102"/>
      <c r="X127" s="102" t="str">
        <f t="shared" si="17"/>
        <v>－</v>
      </c>
      <c r="Y127" s="102"/>
      <c r="Z127" s="103"/>
      <c r="AA127" s="99"/>
      <c r="AB127" s="104" t="str">
        <f t="shared" si="18"/>
        <v>－</v>
      </c>
      <c r="AC127" s="104" t="str">
        <f t="shared" si="15"/>
        <v>－</v>
      </c>
      <c r="AD127" s="105" t="str">
        <f t="shared" si="15"/>
        <v>－</v>
      </c>
    </row>
    <row r="128" spans="1:30">
      <c r="A128" s="95" t="s">
        <v>46</v>
      </c>
      <c r="B128" s="96" t="s">
        <v>628</v>
      </c>
      <c r="C128" s="96" t="s">
        <v>629</v>
      </c>
      <c r="D128" s="96" t="s">
        <v>316</v>
      </c>
      <c r="E128" s="97" t="s">
        <v>239</v>
      </c>
      <c r="F128" s="97" t="s">
        <v>558</v>
      </c>
      <c r="G128" s="98">
        <v>24000</v>
      </c>
      <c r="H128" s="99"/>
      <c r="I128" s="100" t="s">
        <v>137</v>
      </c>
      <c r="J128" s="99"/>
      <c r="K128" s="100" t="s">
        <v>137</v>
      </c>
      <c r="L128" s="99"/>
      <c r="M128" s="100"/>
      <c r="N128" s="99"/>
      <c r="O128" s="100" t="s">
        <v>137</v>
      </c>
      <c r="P128" s="99"/>
      <c r="Q128" s="100"/>
      <c r="R128" s="99"/>
      <c r="S128" s="100" t="s">
        <v>137</v>
      </c>
      <c r="T128" s="101">
        <f>36.26</f>
        <v>36.26</v>
      </c>
      <c r="U128" s="102" t="str">
        <f t="shared" si="16"/>
        <v>－</v>
      </c>
      <c r="V128" s="102"/>
      <c r="W128" s="102"/>
      <c r="X128" s="102" t="str">
        <f t="shared" si="17"/>
        <v>－</v>
      </c>
      <c r="Y128" s="102"/>
      <c r="Z128" s="103"/>
      <c r="AA128" s="99"/>
      <c r="AB128" s="104" t="str">
        <f t="shared" si="18"/>
        <v>－</v>
      </c>
      <c r="AC128" s="104" t="str">
        <f t="shared" si="15"/>
        <v>－</v>
      </c>
      <c r="AD128" s="105" t="str">
        <f t="shared" si="15"/>
        <v>－</v>
      </c>
    </row>
    <row r="129" spans="1:30">
      <c r="A129" s="95" t="s">
        <v>46</v>
      </c>
      <c r="B129" s="96" t="s">
        <v>628</v>
      </c>
      <c r="C129" s="96" t="s">
        <v>629</v>
      </c>
      <c r="D129" s="96" t="s">
        <v>91</v>
      </c>
      <c r="E129" s="97" t="s">
        <v>239</v>
      </c>
      <c r="F129" s="97" t="s">
        <v>559</v>
      </c>
      <c r="G129" s="98">
        <v>26400</v>
      </c>
      <c r="H129" s="99"/>
      <c r="I129" s="100" t="s">
        <v>137</v>
      </c>
      <c r="J129" s="99"/>
      <c r="K129" s="100" t="s">
        <v>137</v>
      </c>
      <c r="L129" s="99"/>
      <c r="M129" s="100"/>
      <c r="N129" s="99"/>
      <c r="O129" s="100" t="s">
        <v>137</v>
      </c>
      <c r="P129" s="99"/>
      <c r="Q129" s="100"/>
      <c r="R129" s="99"/>
      <c r="S129" s="100" t="s">
        <v>137</v>
      </c>
      <c r="T129" s="101">
        <f>40.77</f>
        <v>40.770000000000003</v>
      </c>
      <c r="U129" s="102" t="str">
        <f t="shared" si="16"/>
        <v>－</v>
      </c>
      <c r="V129" s="102"/>
      <c r="W129" s="102"/>
      <c r="X129" s="102" t="str">
        <f t="shared" si="17"/>
        <v>－</v>
      </c>
      <c r="Y129" s="102"/>
      <c r="Z129" s="103"/>
      <c r="AA129" s="99"/>
      <c r="AB129" s="104" t="str">
        <f t="shared" si="18"/>
        <v>－</v>
      </c>
      <c r="AC129" s="104" t="str">
        <f t="shared" si="15"/>
        <v>－</v>
      </c>
      <c r="AD129" s="105" t="str">
        <f t="shared" si="15"/>
        <v>－</v>
      </c>
    </row>
    <row r="130" spans="1:30">
      <c r="A130" s="95" t="s">
        <v>46</v>
      </c>
      <c r="B130" s="96" t="s">
        <v>628</v>
      </c>
      <c r="C130" s="96" t="s">
        <v>629</v>
      </c>
      <c r="D130" s="96" t="s">
        <v>325</v>
      </c>
      <c r="E130" s="97" t="s">
        <v>239</v>
      </c>
      <c r="F130" s="97" t="s">
        <v>621</v>
      </c>
      <c r="G130" s="98">
        <v>24000</v>
      </c>
      <c r="H130" s="99"/>
      <c r="I130" s="100" t="s">
        <v>137</v>
      </c>
      <c r="J130" s="99"/>
      <c r="K130" s="100" t="s">
        <v>137</v>
      </c>
      <c r="L130" s="99"/>
      <c r="M130" s="100"/>
      <c r="N130" s="99"/>
      <c r="O130" s="100" t="s">
        <v>137</v>
      </c>
      <c r="P130" s="99"/>
      <c r="Q130" s="100"/>
      <c r="R130" s="99"/>
      <c r="S130" s="100" t="s">
        <v>137</v>
      </c>
      <c r="T130" s="101">
        <f>32.01</f>
        <v>32.01</v>
      </c>
      <c r="U130" s="102" t="str">
        <f t="shared" si="16"/>
        <v>－</v>
      </c>
      <c r="V130" s="102"/>
      <c r="W130" s="102"/>
      <c r="X130" s="102" t="str">
        <f t="shared" si="17"/>
        <v>－</v>
      </c>
      <c r="Y130" s="102"/>
      <c r="Z130" s="103"/>
      <c r="AA130" s="99"/>
      <c r="AB130" s="104" t="str">
        <f t="shared" si="18"/>
        <v>－</v>
      </c>
      <c r="AC130" s="104" t="str">
        <f t="shared" si="15"/>
        <v>－</v>
      </c>
      <c r="AD130" s="105" t="str">
        <f t="shared" si="15"/>
        <v>－</v>
      </c>
    </row>
    <row r="131" spans="1:30">
      <c r="A131" s="95" t="s">
        <v>46</v>
      </c>
      <c r="B131" s="96" t="s">
        <v>628</v>
      </c>
      <c r="C131" s="96" t="s">
        <v>629</v>
      </c>
      <c r="D131" s="96" t="s">
        <v>509</v>
      </c>
      <c r="E131" s="97" t="s">
        <v>239</v>
      </c>
      <c r="F131" s="97" t="s">
        <v>560</v>
      </c>
      <c r="G131" s="98">
        <v>25200</v>
      </c>
      <c r="H131" s="99"/>
      <c r="I131" s="100" t="s">
        <v>137</v>
      </c>
      <c r="J131" s="99"/>
      <c r="K131" s="100" t="s">
        <v>137</v>
      </c>
      <c r="L131" s="99"/>
      <c r="M131" s="100"/>
      <c r="N131" s="99"/>
      <c r="O131" s="100" t="s">
        <v>137</v>
      </c>
      <c r="P131" s="99"/>
      <c r="Q131" s="100"/>
      <c r="R131" s="99"/>
      <c r="S131" s="100" t="s">
        <v>137</v>
      </c>
      <c r="T131" s="101">
        <f>27.56</f>
        <v>27.56</v>
      </c>
      <c r="U131" s="102" t="str">
        <f t="shared" si="16"/>
        <v>－</v>
      </c>
      <c r="V131" s="102"/>
      <c r="W131" s="102"/>
      <c r="X131" s="102" t="str">
        <f t="shared" si="17"/>
        <v>－</v>
      </c>
      <c r="Y131" s="102"/>
      <c r="Z131" s="103"/>
      <c r="AA131" s="99"/>
      <c r="AB131" s="104" t="str">
        <f t="shared" si="18"/>
        <v>－</v>
      </c>
      <c r="AC131" s="104" t="str">
        <f t="shared" si="15"/>
        <v>－</v>
      </c>
      <c r="AD131" s="105" t="str">
        <f t="shared" si="15"/>
        <v>－</v>
      </c>
    </row>
    <row r="132" spans="1:30">
      <c r="A132" s="95" t="s">
        <v>46</v>
      </c>
      <c r="B132" s="96" t="s">
        <v>628</v>
      </c>
      <c r="C132" s="96" t="s">
        <v>629</v>
      </c>
      <c r="D132" s="96" t="s">
        <v>513</v>
      </c>
      <c r="E132" s="97" t="s">
        <v>239</v>
      </c>
      <c r="F132" s="97" t="s">
        <v>561</v>
      </c>
      <c r="G132" s="98">
        <v>24000</v>
      </c>
      <c r="H132" s="99"/>
      <c r="I132" s="100" t="s">
        <v>137</v>
      </c>
      <c r="J132" s="99"/>
      <c r="K132" s="100" t="s">
        <v>137</v>
      </c>
      <c r="L132" s="99"/>
      <c r="M132" s="100"/>
      <c r="N132" s="99"/>
      <c r="O132" s="100" t="s">
        <v>137</v>
      </c>
      <c r="P132" s="99"/>
      <c r="Q132" s="100"/>
      <c r="R132" s="99"/>
      <c r="S132" s="100" t="s">
        <v>137</v>
      </c>
      <c r="T132" s="101">
        <f>28.32</f>
        <v>28.32</v>
      </c>
      <c r="U132" s="102" t="str">
        <f t="shared" si="16"/>
        <v>－</v>
      </c>
      <c r="V132" s="102"/>
      <c r="W132" s="102"/>
      <c r="X132" s="102" t="str">
        <f t="shared" si="17"/>
        <v>－</v>
      </c>
      <c r="Y132" s="102"/>
      <c r="Z132" s="103"/>
      <c r="AA132" s="99"/>
      <c r="AB132" s="104" t="str">
        <f t="shared" si="18"/>
        <v>－</v>
      </c>
      <c r="AC132" s="104" t="str">
        <f t="shared" si="15"/>
        <v>－</v>
      </c>
      <c r="AD132" s="105" t="str">
        <f t="shared" si="15"/>
        <v>－</v>
      </c>
    </row>
    <row r="133" spans="1:30">
      <c r="A133" s="95" t="s">
        <v>46</v>
      </c>
      <c r="B133" s="96" t="s">
        <v>628</v>
      </c>
      <c r="C133" s="96" t="s">
        <v>629</v>
      </c>
      <c r="D133" s="96" t="s">
        <v>562</v>
      </c>
      <c r="E133" s="97" t="s">
        <v>239</v>
      </c>
      <c r="F133" s="97" t="s">
        <v>622</v>
      </c>
      <c r="G133" s="98">
        <v>25200</v>
      </c>
      <c r="H133" s="99"/>
      <c r="I133" s="100" t="s">
        <v>137</v>
      </c>
      <c r="J133" s="99"/>
      <c r="K133" s="100" t="s">
        <v>137</v>
      </c>
      <c r="L133" s="99"/>
      <c r="M133" s="100"/>
      <c r="N133" s="99"/>
      <c r="O133" s="100" t="s">
        <v>137</v>
      </c>
      <c r="P133" s="99"/>
      <c r="Q133" s="100"/>
      <c r="R133" s="99"/>
      <c r="S133" s="100" t="s">
        <v>137</v>
      </c>
      <c r="T133" s="101">
        <f>33.54</f>
        <v>33.54</v>
      </c>
      <c r="U133" s="102" t="str">
        <f t="shared" si="16"/>
        <v>－</v>
      </c>
      <c r="V133" s="102"/>
      <c r="W133" s="102"/>
      <c r="X133" s="102" t="str">
        <f t="shared" si="17"/>
        <v>－</v>
      </c>
      <c r="Y133" s="102"/>
      <c r="Z133" s="103"/>
      <c r="AA133" s="99"/>
      <c r="AB133" s="104" t="str">
        <f t="shared" si="18"/>
        <v>－</v>
      </c>
      <c r="AC133" s="104" t="str">
        <f t="shared" si="15"/>
        <v>－</v>
      </c>
      <c r="AD133" s="105" t="str">
        <f t="shared" si="15"/>
        <v>－</v>
      </c>
    </row>
    <row r="134" spans="1:30">
      <c r="A134" s="95" t="s">
        <v>46</v>
      </c>
      <c r="B134" s="96" t="s">
        <v>628</v>
      </c>
      <c r="C134" s="96" t="s">
        <v>629</v>
      </c>
      <c r="D134" s="96" t="s">
        <v>564</v>
      </c>
      <c r="E134" s="97" t="s">
        <v>239</v>
      </c>
      <c r="F134" s="97" t="s">
        <v>565</v>
      </c>
      <c r="G134" s="98">
        <v>22800</v>
      </c>
      <c r="H134" s="99"/>
      <c r="I134" s="100" t="s">
        <v>137</v>
      </c>
      <c r="J134" s="99"/>
      <c r="K134" s="100" t="s">
        <v>137</v>
      </c>
      <c r="L134" s="99"/>
      <c r="M134" s="100"/>
      <c r="N134" s="99"/>
      <c r="O134" s="100" t="s">
        <v>137</v>
      </c>
      <c r="P134" s="99"/>
      <c r="Q134" s="100"/>
      <c r="R134" s="99"/>
      <c r="S134" s="100" t="s">
        <v>137</v>
      </c>
      <c r="T134" s="101">
        <f>35.59</f>
        <v>35.590000000000003</v>
      </c>
      <c r="U134" s="102" t="str">
        <f t="shared" si="16"/>
        <v>－</v>
      </c>
      <c r="V134" s="102"/>
      <c r="W134" s="102"/>
      <c r="X134" s="102" t="str">
        <f t="shared" si="17"/>
        <v>－</v>
      </c>
      <c r="Y134" s="102"/>
      <c r="Z134" s="103"/>
      <c r="AA134" s="99"/>
      <c r="AB134" s="104" t="str">
        <f t="shared" si="18"/>
        <v>－</v>
      </c>
      <c r="AC134" s="104" t="str">
        <f t="shared" si="15"/>
        <v>－</v>
      </c>
      <c r="AD134" s="105" t="str">
        <f t="shared" si="15"/>
        <v>－</v>
      </c>
    </row>
    <row r="135" spans="1:30">
      <c r="A135" s="95" t="s">
        <v>46</v>
      </c>
      <c r="B135" s="96" t="s">
        <v>628</v>
      </c>
      <c r="C135" s="96" t="s">
        <v>629</v>
      </c>
      <c r="D135" s="96" t="s">
        <v>566</v>
      </c>
      <c r="E135" s="97" t="s">
        <v>239</v>
      </c>
      <c r="F135" s="97" t="s">
        <v>567</v>
      </c>
      <c r="G135" s="98">
        <v>22800</v>
      </c>
      <c r="H135" s="99"/>
      <c r="I135" s="100" t="s">
        <v>137</v>
      </c>
      <c r="J135" s="99"/>
      <c r="K135" s="100" t="s">
        <v>137</v>
      </c>
      <c r="L135" s="99"/>
      <c r="M135" s="100"/>
      <c r="N135" s="99"/>
      <c r="O135" s="100" t="s">
        <v>137</v>
      </c>
      <c r="P135" s="99"/>
      <c r="Q135" s="100"/>
      <c r="R135" s="99"/>
      <c r="S135" s="100" t="s">
        <v>137</v>
      </c>
      <c r="T135" s="101">
        <f>33.95</f>
        <v>33.950000000000003</v>
      </c>
      <c r="U135" s="102" t="str">
        <f t="shared" si="16"/>
        <v>－</v>
      </c>
      <c r="V135" s="102"/>
      <c r="W135" s="102"/>
      <c r="X135" s="102" t="str">
        <f t="shared" si="17"/>
        <v>－</v>
      </c>
      <c r="Y135" s="102"/>
      <c r="Z135" s="103"/>
      <c r="AA135" s="99"/>
      <c r="AB135" s="104" t="str">
        <f t="shared" si="18"/>
        <v>－</v>
      </c>
      <c r="AC135" s="104" t="str">
        <f t="shared" si="15"/>
        <v>－</v>
      </c>
      <c r="AD135" s="105" t="str">
        <f t="shared" si="15"/>
        <v>－</v>
      </c>
    </row>
    <row r="136" spans="1:30">
      <c r="A136" s="95" t="s">
        <v>46</v>
      </c>
      <c r="B136" s="96" t="s">
        <v>628</v>
      </c>
      <c r="C136" s="96" t="s">
        <v>629</v>
      </c>
      <c r="D136" s="96" t="s">
        <v>568</v>
      </c>
      <c r="E136" s="97" t="s">
        <v>239</v>
      </c>
      <c r="F136" s="97" t="s">
        <v>623</v>
      </c>
      <c r="G136" s="98">
        <v>24000</v>
      </c>
      <c r="H136" s="99"/>
      <c r="I136" s="100" t="s">
        <v>137</v>
      </c>
      <c r="J136" s="99"/>
      <c r="K136" s="100" t="s">
        <v>137</v>
      </c>
      <c r="L136" s="99"/>
      <c r="M136" s="100"/>
      <c r="N136" s="99"/>
      <c r="O136" s="100" t="s">
        <v>137</v>
      </c>
      <c r="P136" s="99"/>
      <c r="Q136" s="100"/>
      <c r="R136" s="99"/>
      <c r="S136" s="100" t="s">
        <v>137</v>
      </c>
      <c r="T136" s="101">
        <f>27.91</f>
        <v>27.91</v>
      </c>
      <c r="U136" s="102" t="str">
        <f t="shared" si="16"/>
        <v>－</v>
      </c>
      <c r="V136" s="102"/>
      <c r="W136" s="102"/>
      <c r="X136" s="102" t="str">
        <f t="shared" si="17"/>
        <v>－</v>
      </c>
      <c r="Y136" s="102"/>
      <c r="Z136" s="103"/>
      <c r="AA136" s="99"/>
      <c r="AB136" s="104" t="str">
        <f t="shared" si="18"/>
        <v>－</v>
      </c>
      <c r="AC136" s="104" t="str">
        <f t="shared" si="15"/>
        <v>－</v>
      </c>
      <c r="AD136" s="105" t="str">
        <f t="shared" si="15"/>
        <v>－</v>
      </c>
    </row>
    <row r="137" spans="1:30">
      <c r="A137" s="95" t="s">
        <v>46</v>
      </c>
      <c r="B137" s="96" t="s">
        <v>628</v>
      </c>
      <c r="C137" s="96" t="s">
        <v>629</v>
      </c>
      <c r="D137" s="96" t="s">
        <v>570</v>
      </c>
      <c r="E137" s="97" t="s">
        <v>624</v>
      </c>
      <c r="F137" s="97" t="s">
        <v>571</v>
      </c>
      <c r="G137" s="98">
        <v>25200</v>
      </c>
      <c r="H137" s="99"/>
      <c r="I137" s="100" t="s">
        <v>137</v>
      </c>
      <c r="J137" s="99"/>
      <c r="K137" s="100" t="s">
        <v>137</v>
      </c>
      <c r="L137" s="99"/>
      <c r="M137" s="100"/>
      <c r="N137" s="99"/>
      <c r="O137" s="100" t="s">
        <v>137</v>
      </c>
      <c r="P137" s="99"/>
      <c r="Q137" s="100"/>
      <c r="R137" s="99"/>
      <c r="S137" s="100" t="s">
        <v>137</v>
      </c>
      <c r="T137" s="101">
        <f>16.71</f>
        <v>16.71</v>
      </c>
      <c r="U137" s="102" t="str">
        <f t="shared" si="16"/>
        <v>－</v>
      </c>
      <c r="V137" s="102"/>
      <c r="W137" s="102"/>
      <c r="X137" s="102" t="str">
        <f t="shared" si="17"/>
        <v>－</v>
      </c>
      <c r="Y137" s="102"/>
      <c r="Z137" s="103"/>
      <c r="AA137" s="99"/>
      <c r="AB137" s="104" t="str">
        <f t="shared" si="18"/>
        <v>－</v>
      </c>
      <c r="AC137" s="104" t="str">
        <f t="shared" si="15"/>
        <v>－</v>
      </c>
      <c r="AD137" s="105" t="str">
        <f t="shared" si="15"/>
        <v>－</v>
      </c>
    </row>
    <row r="138" spans="1:30">
      <c r="A138" s="95" t="s">
        <v>46</v>
      </c>
      <c r="B138" s="96" t="s">
        <v>628</v>
      </c>
      <c r="C138" s="96" t="s">
        <v>629</v>
      </c>
      <c r="D138" s="96" t="s">
        <v>572</v>
      </c>
      <c r="E138" s="97" t="s">
        <v>573</v>
      </c>
      <c r="F138" s="97" t="s">
        <v>574</v>
      </c>
      <c r="G138" s="98">
        <v>22800</v>
      </c>
      <c r="H138" s="99"/>
      <c r="I138" s="100" t="s">
        <v>137</v>
      </c>
      <c r="J138" s="99"/>
      <c r="K138" s="100" t="s">
        <v>137</v>
      </c>
      <c r="L138" s="99"/>
      <c r="M138" s="100"/>
      <c r="N138" s="99"/>
      <c r="O138" s="100" t="s">
        <v>137</v>
      </c>
      <c r="P138" s="99"/>
      <c r="Q138" s="100"/>
      <c r="R138" s="99"/>
      <c r="S138" s="100" t="s">
        <v>137</v>
      </c>
      <c r="T138" s="101">
        <f>16.17</f>
        <v>16.170000000000002</v>
      </c>
      <c r="U138" s="102" t="str">
        <f t="shared" si="16"/>
        <v>－</v>
      </c>
      <c r="V138" s="102"/>
      <c r="W138" s="102"/>
      <c r="X138" s="102" t="str">
        <f t="shared" si="17"/>
        <v>－</v>
      </c>
      <c r="Y138" s="102"/>
      <c r="Z138" s="103"/>
      <c r="AA138" s="99"/>
      <c r="AB138" s="104" t="str">
        <f t="shared" si="18"/>
        <v>－</v>
      </c>
      <c r="AC138" s="104" t="str">
        <f t="shared" si="15"/>
        <v>－</v>
      </c>
      <c r="AD138" s="105" t="str">
        <f t="shared" si="15"/>
        <v>－</v>
      </c>
    </row>
    <row r="139" spans="1:30">
      <c r="A139" s="95" t="s">
        <v>46</v>
      </c>
      <c r="B139" s="96" t="s">
        <v>628</v>
      </c>
      <c r="C139" s="96" t="s">
        <v>629</v>
      </c>
      <c r="D139" s="96" t="s">
        <v>575</v>
      </c>
      <c r="E139" s="97" t="s">
        <v>576</v>
      </c>
      <c r="F139" s="97" t="s">
        <v>625</v>
      </c>
      <c r="G139" s="98">
        <v>24000</v>
      </c>
      <c r="H139" s="99"/>
      <c r="I139" s="100" t="s">
        <v>137</v>
      </c>
      <c r="J139" s="99"/>
      <c r="K139" s="100" t="s">
        <v>137</v>
      </c>
      <c r="L139" s="99"/>
      <c r="M139" s="100"/>
      <c r="N139" s="99"/>
      <c r="O139" s="100" t="s">
        <v>137</v>
      </c>
      <c r="P139" s="99"/>
      <c r="Q139" s="100"/>
      <c r="R139" s="99"/>
      <c r="S139" s="100" t="s">
        <v>137</v>
      </c>
      <c r="T139" s="101">
        <f>15.78</f>
        <v>15.78</v>
      </c>
      <c r="U139" s="102" t="str">
        <f t="shared" si="16"/>
        <v>－</v>
      </c>
      <c r="V139" s="102"/>
      <c r="W139" s="102"/>
      <c r="X139" s="102" t="str">
        <f t="shared" si="17"/>
        <v>－</v>
      </c>
      <c r="Y139" s="102"/>
      <c r="Z139" s="103"/>
      <c r="AA139" s="99"/>
      <c r="AB139" s="104" t="str">
        <f t="shared" si="18"/>
        <v>－</v>
      </c>
      <c r="AC139" s="104" t="str">
        <f t="shared" si="15"/>
        <v>－</v>
      </c>
      <c r="AD139" s="105" t="str">
        <f t="shared" si="15"/>
        <v>－</v>
      </c>
    </row>
    <row r="140" spans="1:30">
      <c r="A140" s="95" t="s">
        <v>46</v>
      </c>
      <c r="B140" s="96" t="s">
        <v>628</v>
      </c>
      <c r="C140" s="96" t="s">
        <v>629</v>
      </c>
      <c r="D140" s="96" t="s">
        <v>578</v>
      </c>
      <c r="E140" s="97" t="s">
        <v>626</v>
      </c>
      <c r="F140" s="97" t="s">
        <v>579</v>
      </c>
      <c r="G140" s="98">
        <v>26400</v>
      </c>
      <c r="H140" s="99"/>
      <c r="I140" s="100" t="s">
        <v>137</v>
      </c>
      <c r="J140" s="99"/>
      <c r="K140" s="100" t="s">
        <v>137</v>
      </c>
      <c r="L140" s="99"/>
      <c r="M140" s="100"/>
      <c r="N140" s="99"/>
      <c r="O140" s="100" t="s">
        <v>137</v>
      </c>
      <c r="P140" s="99"/>
      <c r="Q140" s="100"/>
      <c r="R140" s="99"/>
      <c r="S140" s="100" t="s">
        <v>137</v>
      </c>
      <c r="T140" s="101">
        <f>21.91</f>
        <v>21.91</v>
      </c>
      <c r="U140" s="102" t="str">
        <f t="shared" si="16"/>
        <v>－</v>
      </c>
      <c r="V140" s="102"/>
      <c r="W140" s="102"/>
      <c r="X140" s="102" t="str">
        <f t="shared" si="17"/>
        <v>－</v>
      </c>
      <c r="Y140" s="102"/>
      <c r="Z140" s="103"/>
      <c r="AA140" s="99"/>
      <c r="AB140" s="104" t="str">
        <f t="shared" si="18"/>
        <v>－</v>
      </c>
      <c r="AC140" s="104" t="str">
        <f t="shared" si="15"/>
        <v>－</v>
      </c>
      <c r="AD140" s="105" t="str">
        <f t="shared" si="15"/>
        <v>－</v>
      </c>
    </row>
    <row r="141" spans="1:30">
      <c r="A141" s="95" t="s">
        <v>46</v>
      </c>
      <c r="B141" s="96" t="s">
        <v>628</v>
      </c>
      <c r="C141" s="96" t="s">
        <v>629</v>
      </c>
      <c r="D141" s="96" t="s">
        <v>580</v>
      </c>
      <c r="E141" s="97" t="s">
        <v>581</v>
      </c>
      <c r="F141" s="97" t="s">
        <v>627</v>
      </c>
      <c r="G141" s="98">
        <v>25200</v>
      </c>
      <c r="H141" s="99"/>
      <c r="I141" s="100" t="s">
        <v>137</v>
      </c>
      <c r="J141" s="99"/>
      <c r="K141" s="100" t="s">
        <v>137</v>
      </c>
      <c r="L141" s="99"/>
      <c r="M141" s="100"/>
      <c r="N141" s="99"/>
      <c r="O141" s="100" t="s">
        <v>137</v>
      </c>
      <c r="P141" s="99"/>
      <c r="Q141" s="100"/>
      <c r="R141" s="99"/>
      <c r="S141" s="100" t="s">
        <v>137</v>
      </c>
      <c r="T141" s="101">
        <f>24.84</f>
        <v>24.84</v>
      </c>
      <c r="U141" s="102" t="str">
        <f t="shared" si="16"/>
        <v>－</v>
      </c>
      <c r="V141" s="102"/>
      <c r="W141" s="102"/>
      <c r="X141" s="102" t="str">
        <f t="shared" si="17"/>
        <v>－</v>
      </c>
      <c r="Y141" s="102"/>
      <c r="Z141" s="103"/>
      <c r="AA141" s="99"/>
      <c r="AB141" s="104" t="str">
        <f t="shared" si="18"/>
        <v>－</v>
      </c>
      <c r="AC141" s="104" t="str">
        <f t="shared" si="15"/>
        <v>－</v>
      </c>
      <c r="AD141" s="105" t="str">
        <f t="shared" si="15"/>
        <v>－</v>
      </c>
    </row>
    <row r="142" spans="1:30">
      <c r="A142" s="95" t="s">
        <v>46</v>
      </c>
      <c r="B142" s="96" t="s">
        <v>628</v>
      </c>
      <c r="C142" s="96" t="s">
        <v>629</v>
      </c>
      <c r="D142" s="96" t="s">
        <v>583</v>
      </c>
      <c r="E142" s="97" t="s">
        <v>333</v>
      </c>
      <c r="F142" s="97" t="s">
        <v>584</v>
      </c>
      <c r="G142" s="98">
        <v>22800</v>
      </c>
      <c r="H142" s="99"/>
      <c r="I142" s="100" t="s">
        <v>137</v>
      </c>
      <c r="J142" s="99"/>
      <c r="K142" s="100" t="s">
        <v>137</v>
      </c>
      <c r="L142" s="99"/>
      <c r="M142" s="100"/>
      <c r="N142" s="99"/>
      <c r="O142" s="100" t="s">
        <v>137</v>
      </c>
      <c r="P142" s="99"/>
      <c r="Q142" s="100"/>
      <c r="R142" s="99"/>
      <c r="S142" s="100" t="s">
        <v>137</v>
      </c>
      <c r="T142" s="101">
        <f>19.45</f>
        <v>19.45</v>
      </c>
      <c r="U142" s="102" t="str">
        <f t="shared" si="16"/>
        <v>－</v>
      </c>
      <c r="V142" s="102"/>
      <c r="W142" s="102"/>
      <c r="X142" s="102" t="str">
        <f t="shared" si="17"/>
        <v>－</v>
      </c>
      <c r="Y142" s="102"/>
      <c r="Z142" s="103"/>
      <c r="AA142" s="99"/>
      <c r="AB142" s="104" t="str">
        <f t="shared" si="18"/>
        <v>－</v>
      </c>
      <c r="AC142" s="104" t="str">
        <f t="shared" si="15"/>
        <v>－</v>
      </c>
      <c r="AD142" s="105" t="str">
        <f t="shared" si="15"/>
        <v>－</v>
      </c>
    </row>
    <row r="143" spans="1:30">
      <c r="A143" s="95" t="s">
        <v>46</v>
      </c>
      <c r="B143" s="96" t="s">
        <v>633</v>
      </c>
      <c r="C143" s="96" t="s">
        <v>634</v>
      </c>
      <c r="D143" s="96" t="s">
        <v>49</v>
      </c>
      <c r="E143" s="97" t="s">
        <v>239</v>
      </c>
      <c r="F143" s="97" t="s">
        <v>635</v>
      </c>
      <c r="G143" s="98">
        <v>1000</v>
      </c>
      <c r="H143" s="99"/>
      <c r="I143" s="100" t="s">
        <v>137</v>
      </c>
      <c r="J143" s="99"/>
      <c r="K143" s="100" t="s">
        <v>137</v>
      </c>
      <c r="L143" s="99"/>
      <c r="M143" s="100"/>
      <c r="N143" s="99"/>
      <c r="O143" s="100" t="s">
        <v>137</v>
      </c>
      <c r="P143" s="99"/>
      <c r="Q143" s="100"/>
      <c r="R143" s="99"/>
      <c r="S143" s="100" t="s">
        <v>137</v>
      </c>
      <c r="T143" s="101">
        <f>7519.83</f>
        <v>7519.83</v>
      </c>
      <c r="U143" s="102" t="str">
        <f t="shared" si="16"/>
        <v>－</v>
      </c>
      <c r="V143" s="102"/>
      <c r="W143" s="102"/>
      <c r="X143" s="102" t="str">
        <f t="shared" si="17"/>
        <v>－</v>
      </c>
      <c r="Y143" s="102"/>
      <c r="Z143" s="103"/>
      <c r="AA143" s="99" t="s">
        <v>238</v>
      </c>
      <c r="AB143" s="104">
        <f>1</f>
        <v>1</v>
      </c>
      <c r="AC143" s="104" t="str">
        <f t="shared" si="15"/>
        <v>－</v>
      </c>
      <c r="AD143" s="105" t="str">
        <f t="shared" si="15"/>
        <v>－</v>
      </c>
    </row>
    <row r="144" spans="1:30">
      <c r="A144" s="95" t="s">
        <v>46</v>
      </c>
      <c r="B144" s="96" t="s">
        <v>633</v>
      </c>
      <c r="C144" s="96" t="s">
        <v>634</v>
      </c>
      <c r="D144" s="96" t="s">
        <v>244</v>
      </c>
      <c r="E144" s="97" t="s">
        <v>239</v>
      </c>
      <c r="F144" s="97" t="s">
        <v>366</v>
      </c>
      <c r="G144" s="98">
        <v>1000</v>
      </c>
      <c r="H144" s="99"/>
      <c r="I144" s="100" t="s">
        <v>137</v>
      </c>
      <c r="J144" s="99"/>
      <c r="K144" s="100" t="s">
        <v>137</v>
      </c>
      <c r="L144" s="99"/>
      <c r="M144" s="100"/>
      <c r="N144" s="99"/>
      <c r="O144" s="100" t="s">
        <v>137</v>
      </c>
      <c r="P144" s="99"/>
      <c r="Q144" s="100"/>
      <c r="R144" s="99"/>
      <c r="S144" s="100" t="s">
        <v>137</v>
      </c>
      <c r="T144" s="101">
        <f>6352.98</f>
        <v>6352.98</v>
      </c>
      <c r="U144" s="102" t="str">
        <f t="shared" si="16"/>
        <v>－</v>
      </c>
      <c r="V144" s="102"/>
      <c r="W144" s="102"/>
      <c r="X144" s="102" t="str">
        <f t="shared" si="17"/>
        <v>－</v>
      </c>
      <c r="Y144" s="102"/>
      <c r="Z144" s="103"/>
      <c r="AA144" s="99"/>
      <c r="AB144" s="104" t="str">
        <f t="shared" ref="AB144:AD159" si="19">"－"</f>
        <v>－</v>
      </c>
      <c r="AC144" s="104" t="str">
        <f t="shared" si="15"/>
        <v>－</v>
      </c>
      <c r="AD144" s="105" t="str">
        <f t="shared" si="15"/>
        <v>－</v>
      </c>
    </row>
    <row r="145" spans="1:30">
      <c r="A145" s="95" t="s">
        <v>46</v>
      </c>
      <c r="B145" s="96" t="s">
        <v>633</v>
      </c>
      <c r="C145" s="96" t="s">
        <v>634</v>
      </c>
      <c r="D145" s="96" t="s">
        <v>60</v>
      </c>
      <c r="E145" s="97" t="s">
        <v>239</v>
      </c>
      <c r="F145" s="97" t="s">
        <v>636</v>
      </c>
      <c r="G145" s="98">
        <v>1000</v>
      </c>
      <c r="H145" s="99"/>
      <c r="I145" s="100" t="s">
        <v>137</v>
      </c>
      <c r="J145" s="99"/>
      <c r="K145" s="100" t="s">
        <v>137</v>
      </c>
      <c r="L145" s="99"/>
      <c r="M145" s="100"/>
      <c r="N145" s="99"/>
      <c r="O145" s="100" t="s">
        <v>137</v>
      </c>
      <c r="P145" s="99"/>
      <c r="Q145" s="100"/>
      <c r="R145" s="99"/>
      <c r="S145" s="100" t="s">
        <v>137</v>
      </c>
      <c r="T145" s="101">
        <f>7041.57</f>
        <v>7041.57</v>
      </c>
      <c r="U145" s="102" t="str">
        <f t="shared" si="16"/>
        <v>－</v>
      </c>
      <c r="V145" s="102"/>
      <c r="W145" s="102"/>
      <c r="X145" s="102" t="str">
        <f t="shared" si="17"/>
        <v>－</v>
      </c>
      <c r="Y145" s="102"/>
      <c r="Z145" s="103"/>
      <c r="AA145" s="99"/>
      <c r="AB145" s="104" t="str">
        <f t="shared" si="19"/>
        <v>－</v>
      </c>
      <c r="AC145" s="104" t="str">
        <f t="shared" si="15"/>
        <v>－</v>
      </c>
      <c r="AD145" s="105" t="str">
        <f t="shared" si="15"/>
        <v>－</v>
      </c>
    </row>
    <row r="146" spans="1:30">
      <c r="A146" s="95" t="s">
        <v>46</v>
      </c>
      <c r="B146" s="96" t="s">
        <v>633</v>
      </c>
      <c r="C146" s="96" t="s">
        <v>634</v>
      </c>
      <c r="D146" s="96" t="s">
        <v>250</v>
      </c>
      <c r="E146" s="97" t="s">
        <v>239</v>
      </c>
      <c r="F146" s="97" t="s">
        <v>371</v>
      </c>
      <c r="G146" s="98">
        <v>1000</v>
      </c>
      <c r="H146" s="99"/>
      <c r="I146" s="100" t="s">
        <v>137</v>
      </c>
      <c r="J146" s="99"/>
      <c r="K146" s="100" t="s">
        <v>137</v>
      </c>
      <c r="L146" s="99"/>
      <c r="M146" s="100"/>
      <c r="N146" s="99"/>
      <c r="O146" s="100" t="s">
        <v>137</v>
      </c>
      <c r="P146" s="99"/>
      <c r="Q146" s="100"/>
      <c r="R146" s="99"/>
      <c r="S146" s="100" t="s">
        <v>137</v>
      </c>
      <c r="T146" s="101">
        <f>7468.38</f>
        <v>7468.38</v>
      </c>
      <c r="U146" s="102" t="str">
        <f t="shared" si="16"/>
        <v>－</v>
      </c>
      <c r="V146" s="102"/>
      <c r="W146" s="102"/>
      <c r="X146" s="102" t="str">
        <f t="shared" si="17"/>
        <v>－</v>
      </c>
      <c r="Y146" s="102"/>
      <c r="Z146" s="103"/>
      <c r="AA146" s="99"/>
      <c r="AB146" s="104" t="str">
        <f t="shared" si="19"/>
        <v>－</v>
      </c>
      <c r="AC146" s="104" t="str">
        <f t="shared" si="15"/>
        <v>－</v>
      </c>
      <c r="AD146" s="105" t="str">
        <f t="shared" si="15"/>
        <v>－</v>
      </c>
    </row>
    <row r="147" spans="1:30">
      <c r="A147" s="95" t="s">
        <v>46</v>
      </c>
      <c r="B147" s="96" t="s">
        <v>633</v>
      </c>
      <c r="C147" s="96" t="s">
        <v>634</v>
      </c>
      <c r="D147" s="96" t="s">
        <v>68</v>
      </c>
      <c r="E147" s="97" t="s">
        <v>239</v>
      </c>
      <c r="F147" s="97" t="s">
        <v>637</v>
      </c>
      <c r="G147" s="98">
        <v>1000</v>
      </c>
      <c r="H147" s="99"/>
      <c r="I147" s="100" t="s">
        <v>137</v>
      </c>
      <c r="J147" s="99"/>
      <c r="K147" s="100" t="s">
        <v>137</v>
      </c>
      <c r="L147" s="99"/>
      <c r="M147" s="100"/>
      <c r="N147" s="99"/>
      <c r="O147" s="100" t="s">
        <v>137</v>
      </c>
      <c r="P147" s="99"/>
      <c r="Q147" s="100"/>
      <c r="R147" s="99"/>
      <c r="S147" s="100" t="s">
        <v>137</v>
      </c>
      <c r="T147" s="101">
        <f>7255.36</f>
        <v>7255.36</v>
      </c>
      <c r="U147" s="102" t="str">
        <f t="shared" si="16"/>
        <v>－</v>
      </c>
      <c r="V147" s="102"/>
      <c r="W147" s="102"/>
      <c r="X147" s="102" t="str">
        <f t="shared" si="17"/>
        <v>－</v>
      </c>
      <c r="Y147" s="102"/>
      <c r="Z147" s="103"/>
      <c r="AA147" s="99"/>
      <c r="AB147" s="104" t="str">
        <f t="shared" si="19"/>
        <v>－</v>
      </c>
      <c r="AC147" s="104" t="str">
        <f t="shared" si="15"/>
        <v>－</v>
      </c>
      <c r="AD147" s="105" t="str">
        <f t="shared" si="15"/>
        <v>－</v>
      </c>
    </row>
    <row r="148" spans="1:30">
      <c r="A148" s="95" t="s">
        <v>46</v>
      </c>
      <c r="B148" s="96" t="s">
        <v>633</v>
      </c>
      <c r="C148" s="96" t="s">
        <v>634</v>
      </c>
      <c r="D148" s="96" t="s">
        <v>255</v>
      </c>
      <c r="E148" s="97" t="s">
        <v>239</v>
      </c>
      <c r="F148" s="97" t="s">
        <v>375</v>
      </c>
      <c r="G148" s="98">
        <v>1000</v>
      </c>
      <c r="H148" s="99"/>
      <c r="I148" s="100" t="s">
        <v>137</v>
      </c>
      <c r="J148" s="99"/>
      <c r="K148" s="100" t="s">
        <v>137</v>
      </c>
      <c r="L148" s="99"/>
      <c r="M148" s="100"/>
      <c r="N148" s="99"/>
      <c r="O148" s="100" t="s">
        <v>137</v>
      </c>
      <c r="P148" s="99"/>
      <c r="Q148" s="100"/>
      <c r="R148" s="99"/>
      <c r="S148" s="100" t="s">
        <v>137</v>
      </c>
      <c r="T148" s="101">
        <f>6468.27</f>
        <v>6468.27</v>
      </c>
      <c r="U148" s="102" t="str">
        <f t="shared" si="16"/>
        <v>－</v>
      </c>
      <c r="V148" s="102"/>
      <c r="W148" s="102"/>
      <c r="X148" s="102" t="str">
        <f t="shared" si="17"/>
        <v>－</v>
      </c>
      <c r="Y148" s="102"/>
      <c r="Z148" s="103"/>
      <c r="AA148" s="99"/>
      <c r="AB148" s="104" t="str">
        <f t="shared" si="19"/>
        <v>－</v>
      </c>
      <c r="AC148" s="104" t="str">
        <f t="shared" si="15"/>
        <v>－</v>
      </c>
      <c r="AD148" s="105" t="str">
        <f t="shared" si="15"/>
        <v>－</v>
      </c>
    </row>
    <row r="149" spans="1:30">
      <c r="A149" s="95" t="s">
        <v>46</v>
      </c>
      <c r="B149" s="96" t="s">
        <v>633</v>
      </c>
      <c r="C149" s="96" t="s">
        <v>634</v>
      </c>
      <c r="D149" s="96" t="s">
        <v>74</v>
      </c>
      <c r="E149" s="97" t="s">
        <v>239</v>
      </c>
      <c r="F149" s="97" t="s">
        <v>638</v>
      </c>
      <c r="G149" s="98">
        <v>1000</v>
      </c>
      <c r="H149" s="99"/>
      <c r="I149" s="100" t="s">
        <v>137</v>
      </c>
      <c r="J149" s="99"/>
      <c r="K149" s="100" t="s">
        <v>137</v>
      </c>
      <c r="L149" s="99"/>
      <c r="M149" s="100"/>
      <c r="N149" s="99"/>
      <c r="O149" s="100" t="s">
        <v>137</v>
      </c>
      <c r="P149" s="99"/>
      <c r="Q149" s="100"/>
      <c r="R149" s="99"/>
      <c r="S149" s="100" t="s">
        <v>137</v>
      </c>
      <c r="T149" s="101">
        <f>6438.92</f>
        <v>6438.92</v>
      </c>
      <c r="U149" s="102" t="str">
        <f t="shared" si="16"/>
        <v>－</v>
      </c>
      <c r="V149" s="102"/>
      <c r="W149" s="102"/>
      <c r="X149" s="102" t="str">
        <f t="shared" si="17"/>
        <v>－</v>
      </c>
      <c r="Y149" s="102"/>
      <c r="Z149" s="103"/>
      <c r="AA149" s="99"/>
      <c r="AB149" s="104" t="str">
        <f t="shared" si="19"/>
        <v>－</v>
      </c>
      <c r="AC149" s="104" t="str">
        <f t="shared" si="15"/>
        <v>－</v>
      </c>
      <c r="AD149" s="105" t="str">
        <f t="shared" si="15"/>
        <v>－</v>
      </c>
    </row>
    <row r="150" spans="1:30">
      <c r="A150" s="95" t="s">
        <v>46</v>
      </c>
      <c r="B150" s="96" t="s">
        <v>633</v>
      </c>
      <c r="C150" s="96" t="s">
        <v>634</v>
      </c>
      <c r="D150" s="96" t="s">
        <v>308</v>
      </c>
      <c r="E150" s="97" t="s">
        <v>239</v>
      </c>
      <c r="F150" s="97" t="s">
        <v>381</v>
      </c>
      <c r="G150" s="98">
        <v>1000</v>
      </c>
      <c r="H150" s="99"/>
      <c r="I150" s="100" t="s">
        <v>137</v>
      </c>
      <c r="J150" s="99"/>
      <c r="K150" s="100" t="s">
        <v>137</v>
      </c>
      <c r="L150" s="99"/>
      <c r="M150" s="100"/>
      <c r="N150" s="99"/>
      <c r="O150" s="100" t="s">
        <v>137</v>
      </c>
      <c r="P150" s="99"/>
      <c r="Q150" s="100"/>
      <c r="R150" s="99"/>
      <c r="S150" s="100" t="s">
        <v>137</v>
      </c>
      <c r="T150" s="101">
        <f>6311.5</f>
        <v>6311.5</v>
      </c>
      <c r="U150" s="102" t="str">
        <f t="shared" si="16"/>
        <v>－</v>
      </c>
      <c r="V150" s="102"/>
      <c r="W150" s="102"/>
      <c r="X150" s="102" t="str">
        <f t="shared" si="17"/>
        <v>－</v>
      </c>
      <c r="Y150" s="102"/>
      <c r="Z150" s="103"/>
      <c r="AA150" s="99"/>
      <c r="AB150" s="104" t="str">
        <f t="shared" si="19"/>
        <v>－</v>
      </c>
      <c r="AC150" s="104" t="str">
        <f t="shared" si="19"/>
        <v>－</v>
      </c>
      <c r="AD150" s="105" t="str">
        <f t="shared" si="19"/>
        <v>－</v>
      </c>
    </row>
    <row r="151" spans="1:30">
      <c r="A151" s="95" t="s">
        <v>46</v>
      </c>
      <c r="B151" s="96" t="s">
        <v>633</v>
      </c>
      <c r="C151" s="96" t="s">
        <v>634</v>
      </c>
      <c r="D151" s="96" t="s">
        <v>80</v>
      </c>
      <c r="E151" s="97" t="s">
        <v>239</v>
      </c>
      <c r="F151" s="97" t="s">
        <v>639</v>
      </c>
      <c r="G151" s="98">
        <v>1000</v>
      </c>
      <c r="H151" s="99"/>
      <c r="I151" s="100" t="s">
        <v>137</v>
      </c>
      <c r="J151" s="99"/>
      <c r="K151" s="100" t="s">
        <v>137</v>
      </c>
      <c r="L151" s="99"/>
      <c r="M151" s="100"/>
      <c r="N151" s="99"/>
      <c r="O151" s="100" t="s">
        <v>137</v>
      </c>
      <c r="P151" s="99"/>
      <c r="Q151" s="100"/>
      <c r="R151" s="99"/>
      <c r="S151" s="100" t="s">
        <v>137</v>
      </c>
      <c r="T151" s="101">
        <f>6373.65</f>
        <v>6373.65</v>
      </c>
      <c r="U151" s="102" t="str">
        <f t="shared" si="16"/>
        <v>－</v>
      </c>
      <c r="V151" s="102"/>
      <c r="W151" s="102"/>
      <c r="X151" s="102" t="str">
        <f t="shared" si="17"/>
        <v>－</v>
      </c>
      <c r="Y151" s="102"/>
      <c r="Z151" s="103"/>
      <c r="AA151" s="99"/>
      <c r="AB151" s="104" t="str">
        <f t="shared" si="19"/>
        <v>－</v>
      </c>
      <c r="AC151" s="104" t="str">
        <f t="shared" si="19"/>
        <v>－</v>
      </c>
      <c r="AD151" s="105" t="str">
        <f t="shared" si="19"/>
        <v>－</v>
      </c>
    </row>
    <row r="152" spans="1:30">
      <c r="A152" s="95" t="s">
        <v>46</v>
      </c>
      <c r="B152" s="96" t="s">
        <v>633</v>
      </c>
      <c r="C152" s="96" t="s">
        <v>634</v>
      </c>
      <c r="D152" s="96" t="s">
        <v>316</v>
      </c>
      <c r="E152" s="97" t="s">
        <v>239</v>
      </c>
      <c r="F152" s="97" t="s">
        <v>387</v>
      </c>
      <c r="G152" s="98">
        <v>1000</v>
      </c>
      <c r="H152" s="99"/>
      <c r="I152" s="100" t="s">
        <v>137</v>
      </c>
      <c r="J152" s="99"/>
      <c r="K152" s="100" t="s">
        <v>137</v>
      </c>
      <c r="L152" s="99"/>
      <c r="M152" s="100"/>
      <c r="N152" s="99"/>
      <c r="O152" s="100" t="s">
        <v>137</v>
      </c>
      <c r="P152" s="99"/>
      <c r="Q152" s="100"/>
      <c r="R152" s="99"/>
      <c r="S152" s="100" t="s">
        <v>137</v>
      </c>
      <c r="T152" s="101">
        <f>6512.51</f>
        <v>6512.51</v>
      </c>
      <c r="U152" s="102" t="str">
        <f t="shared" si="16"/>
        <v>－</v>
      </c>
      <c r="V152" s="102"/>
      <c r="W152" s="102"/>
      <c r="X152" s="102" t="str">
        <f t="shared" si="17"/>
        <v>－</v>
      </c>
      <c r="Y152" s="102"/>
      <c r="Z152" s="103"/>
      <c r="AA152" s="99"/>
      <c r="AB152" s="104" t="str">
        <f t="shared" si="19"/>
        <v>－</v>
      </c>
      <c r="AC152" s="104" t="str">
        <f t="shared" si="19"/>
        <v>－</v>
      </c>
      <c r="AD152" s="105" t="str">
        <f t="shared" si="19"/>
        <v>－</v>
      </c>
    </row>
    <row r="153" spans="1:30">
      <c r="A153" s="95" t="s">
        <v>46</v>
      </c>
      <c r="B153" s="96" t="s">
        <v>633</v>
      </c>
      <c r="C153" s="96" t="s">
        <v>634</v>
      </c>
      <c r="D153" s="96" t="s">
        <v>91</v>
      </c>
      <c r="E153" s="97" t="s">
        <v>380</v>
      </c>
      <c r="F153" s="97" t="s">
        <v>640</v>
      </c>
      <c r="G153" s="98">
        <v>1000</v>
      </c>
      <c r="H153" s="99"/>
      <c r="I153" s="100" t="s">
        <v>137</v>
      </c>
      <c r="J153" s="99"/>
      <c r="K153" s="100" t="s">
        <v>137</v>
      </c>
      <c r="L153" s="99"/>
      <c r="M153" s="100"/>
      <c r="N153" s="99"/>
      <c r="O153" s="100" t="s">
        <v>137</v>
      </c>
      <c r="P153" s="99"/>
      <c r="Q153" s="100"/>
      <c r="R153" s="99"/>
      <c r="S153" s="100" t="s">
        <v>137</v>
      </c>
      <c r="T153" s="101">
        <f>6531.05</f>
        <v>6531.05</v>
      </c>
      <c r="U153" s="102" t="str">
        <f t="shared" si="16"/>
        <v>－</v>
      </c>
      <c r="V153" s="102"/>
      <c r="W153" s="102"/>
      <c r="X153" s="102" t="str">
        <f t="shared" si="17"/>
        <v>－</v>
      </c>
      <c r="Y153" s="102"/>
      <c r="Z153" s="103"/>
      <c r="AA153" s="99"/>
      <c r="AB153" s="104" t="str">
        <f t="shared" si="19"/>
        <v>－</v>
      </c>
      <c r="AC153" s="104" t="str">
        <f t="shared" si="19"/>
        <v>－</v>
      </c>
      <c r="AD153" s="105" t="str">
        <f t="shared" si="19"/>
        <v>－</v>
      </c>
    </row>
    <row r="154" spans="1:30">
      <c r="A154" s="95" t="s">
        <v>46</v>
      </c>
      <c r="B154" s="96" t="s">
        <v>633</v>
      </c>
      <c r="C154" s="96" t="s">
        <v>634</v>
      </c>
      <c r="D154" s="96" t="s">
        <v>325</v>
      </c>
      <c r="E154" s="97" t="s">
        <v>641</v>
      </c>
      <c r="F154" s="97" t="s">
        <v>393</v>
      </c>
      <c r="G154" s="98">
        <v>1000</v>
      </c>
      <c r="H154" s="99"/>
      <c r="I154" s="100" t="s">
        <v>137</v>
      </c>
      <c r="J154" s="99"/>
      <c r="K154" s="100" t="s">
        <v>137</v>
      </c>
      <c r="L154" s="99"/>
      <c r="M154" s="100"/>
      <c r="N154" s="99"/>
      <c r="O154" s="100" t="s">
        <v>137</v>
      </c>
      <c r="P154" s="99"/>
      <c r="Q154" s="100"/>
      <c r="R154" s="99"/>
      <c r="S154" s="100" t="s">
        <v>137</v>
      </c>
      <c r="T154" s="101">
        <f>6549.67</f>
        <v>6549.67</v>
      </c>
      <c r="U154" s="102" t="str">
        <f t="shared" si="16"/>
        <v>－</v>
      </c>
      <c r="V154" s="102"/>
      <c r="W154" s="102"/>
      <c r="X154" s="102" t="str">
        <f t="shared" si="17"/>
        <v>－</v>
      </c>
      <c r="Y154" s="102"/>
      <c r="Z154" s="103"/>
      <c r="AA154" s="99"/>
      <c r="AB154" s="104" t="str">
        <f t="shared" si="19"/>
        <v>－</v>
      </c>
      <c r="AC154" s="104" t="str">
        <f t="shared" si="19"/>
        <v>－</v>
      </c>
      <c r="AD154" s="105" t="str">
        <f t="shared" si="19"/>
        <v>－</v>
      </c>
    </row>
    <row r="155" spans="1:30">
      <c r="A155" s="95" t="s">
        <v>46</v>
      </c>
      <c r="B155" s="96" t="s">
        <v>633</v>
      </c>
      <c r="C155" s="96" t="s">
        <v>634</v>
      </c>
      <c r="D155" s="96" t="s">
        <v>509</v>
      </c>
      <c r="E155" s="97" t="s">
        <v>386</v>
      </c>
      <c r="F155" s="97" t="s">
        <v>642</v>
      </c>
      <c r="G155" s="98">
        <v>1000</v>
      </c>
      <c r="H155" s="99"/>
      <c r="I155" s="100" t="s">
        <v>137</v>
      </c>
      <c r="J155" s="99"/>
      <c r="K155" s="100" t="s">
        <v>137</v>
      </c>
      <c r="L155" s="99"/>
      <c r="M155" s="100"/>
      <c r="N155" s="99"/>
      <c r="O155" s="100" t="s">
        <v>137</v>
      </c>
      <c r="P155" s="99"/>
      <c r="Q155" s="100"/>
      <c r="R155" s="99"/>
      <c r="S155" s="100" t="s">
        <v>137</v>
      </c>
      <c r="T155" s="101">
        <f>6541.66</f>
        <v>6541.66</v>
      </c>
      <c r="U155" s="102" t="str">
        <f t="shared" si="16"/>
        <v>－</v>
      </c>
      <c r="V155" s="102"/>
      <c r="W155" s="102"/>
      <c r="X155" s="102" t="str">
        <f t="shared" si="17"/>
        <v>－</v>
      </c>
      <c r="Y155" s="102"/>
      <c r="Z155" s="103"/>
      <c r="AA155" s="99"/>
      <c r="AB155" s="104" t="str">
        <f t="shared" si="19"/>
        <v>－</v>
      </c>
      <c r="AC155" s="104" t="str">
        <f t="shared" si="19"/>
        <v>－</v>
      </c>
      <c r="AD155" s="105" t="str">
        <f t="shared" si="19"/>
        <v>－</v>
      </c>
    </row>
    <row r="156" spans="1:30">
      <c r="A156" s="95" t="s">
        <v>46</v>
      </c>
      <c r="B156" s="96" t="s">
        <v>633</v>
      </c>
      <c r="C156" s="96" t="s">
        <v>634</v>
      </c>
      <c r="D156" s="96" t="s">
        <v>513</v>
      </c>
      <c r="E156" s="97" t="s">
        <v>643</v>
      </c>
      <c r="F156" s="97" t="s">
        <v>644</v>
      </c>
      <c r="G156" s="98">
        <v>1000</v>
      </c>
      <c r="H156" s="99"/>
      <c r="I156" s="100" t="s">
        <v>137</v>
      </c>
      <c r="J156" s="99"/>
      <c r="K156" s="100" t="s">
        <v>137</v>
      </c>
      <c r="L156" s="99"/>
      <c r="M156" s="100"/>
      <c r="N156" s="99"/>
      <c r="O156" s="100" t="s">
        <v>137</v>
      </c>
      <c r="P156" s="99"/>
      <c r="Q156" s="100"/>
      <c r="R156" s="99"/>
      <c r="S156" s="100" t="s">
        <v>137</v>
      </c>
      <c r="T156" s="101">
        <f>6525.88</f>
        <v>6525.88</v>
      </c>
      <c r="U156" s="102" t="str">
        <f t="shared" si="16"/>
        <v>－</v>
      </c>
      <c r="V156" s="102"/>
      <c r="W156" s="102"/>
      <c r="X156" s="102" t="str">
        <f t="shared" si="17"/>
        <v>－</v>
      </c>
      <c r="Y156" s="102"/>
      <c r="Z156" s="103"/>
      <c r="AA156" s="99"/>
      <c r="AB156" s="104" t="str">
        <f t="shared" si="19"/>
        <v>－</v>
      </c>
      <c r="AC156" s="104" t="str">
        <f t="shared" si="19"/>
        <v>－</v>
      </c>
      <c r="AD156" s="105" t="str">
        <f t="shared" si="19"/>
        <v>－</v>
      </c>
    </row>
    <row r="157" spans="1:30">
      <c r="A157" s="95" t="s">
        <v>46</v>
      </c>
      <c r="B157" s="96" t="s">
        <v>633</v>
      </c>
      <c r="C157" s="96" t="s">
        <v>634</v>
      </c>
      <c r="D157" s="96" t="s">
        <v>562</v>
      </c>
      <c r="E157" s="97" t="s">
        <v>392</v>
      </c>
      <c r="F157" s="97" t="s">
        <v>645</v>
      </c>
      <c r="G157" s="98">
        <v>1000</v>
      </c>
      <c r="H157" s="99"/>
      <c r="I157" s="100" t="s">
        <v>137</v>
      </c>
      <c r="J157" s="99"/>
      <c r="K157" s="100" t="s">
        <v>137</v>
      </c>
      <c r="L157" s="99"/>
      <c r="M157" s="100"/>
      <c r="N157" s="99"/>
      <c r="O157" s="100" t="s">
        <v>137</v>
      </c>
      <c r="P157" s="99"/>
      <c r="Q157" s="100"/>
      <c r="R157" s="99"/>
      <c r="S157" s="100" t="s">
        <v>137</v>
      </c>
      <c r="T157" s="101">
        <f>6462.01</f>
        <v>6462.01</v>
      </c>
      <c r="U157" s="102" t="str">
        <f t="shared" si="16"/>
        <v>－</v>
      </c>
      <c r="V157" s="102"/>
      <c r="W157" s="102"/>
      <c r="X157" s="102" t="str">
        <f t="shared" si="17"/>
        <v>－</v>
      </c>
      <c r="Y157" s="102"/>
      <c r="Z157" s="103"/>
      <c r="AA157" s="99"/>
      <c r="AB157" s="104" t="str">
        <f t="shared" si="19"/>
        <v>－</v>
      </c>
      <c r="AC157" s="104" t="str">
        <f t="shared" si="19"/>
        <v>－</v>
      </c>
      <c r="AD157" s="105" t="str">
        <f t="shared" si="19"/>
        <v>－</v>
      </c>
    </row>
    <row r="158" spans="1:30">
      <c r="A158" s="95" t="s">
        <v>46</v>
      </c>
      <c r="B158" s="96" t="s">
        <v>633</v>
      </c>
      <c r="C158" s="96" t="s">
        <v>634</v>
      </c>
      <c r="D158" s="96" t="s">
        <v>564</v>
      </c>
      <c r="E158" s="97" t="s">
        <v>646</v>
      </c>
      <c r="F158" s="97" t="s">
        <v>647</v>
      </c>
      <c r="G158" s="98">
        <v>1000</v>
      </c>
      <c r="H158" s="99"/>
      <c r="I158" s="100" t="s">
        <v>137</v>
      </c>
      <c r="J158" s="99"/>
      <c r="K158" s="100" t="s">
        <v>137</v>
      </c>
      <c r="L158" s="99"/>
      <c r="M158" s="100"/>
      <c r="N158" s="99"/>
      <c r="O158" s="100" t="s">
        <v>137</v>
      </c>
      <c r="P158" s="99"/>
      <c r="Q158" s="100"/>
      <c r="R158" s="99"/>
      <c r="S158" s="100" t="s">
        <v>137</v>
      </c>
      <c r="T158" s="101">
        <f>6505.48</f>
        <v>6505.48</v>
      </c>
      <c r="U158" s="102" t="str">
        <f t="shared" si="16"/>
        <v>－</v>
      </c>
      <c r="V158" s="102"/>
      <c r="W158" s="102"/>
      <c r="X158" s="102" t="str">
        <f t="shared" si="17"/>
        <v>－</v>
      </c>
      <c r="Y158" s="102"/>
      <c r="Z158" s="103"/>
      <c r="AA158" s="99"/>
      <c r="AB158" s="104" t="str">
        <f t="shared" si="19"/>
        <v>－</v>
      </c>
      <c r="AC158" s="104" t="str">
        <f t="shared" si="19"/>
        <v>－</v>
      </c>
      <c r="AD158" s="105" t="str">
        <f t="shared" si="19"/>
        <v>－</v>
      </c>
    </row>
    <row r="159" spans="1:30">
      <c r="A159" s="95" t="s">
        <v>46</v>
      </c>
      <c r="B159" s="96" t="s">
        <v>648</v>
      </c>
      <c r="C159" s="96" t="s">
        <v>649</v>
      </c>
      <c r="D159" s="96" t="s">
        <v>49</v>
      </c>
      <c r="E159" s="97" t="s">
        <v>299</v>
      </c>
      <c r="F159" s="97" t="s">
        <v>434</v>
      </c>
      <c r="G159" s="98">
        <v>10</v>
      </c>
      <c r="H159" s="99" t="s">
        <v>54</v>
      </c>
      <c r="I159" s="100" t="s">
        <v>650</v>
      </c>
      <c r="J159" s="99" t="s">
        <v>54</v>
      </c>
      <c r="K159" s="100" t="s">
        <v>650</v>
      </c>
      <c r="L159" s="99" t="s">
        <v>231</v>
      </c>
      <c r="M159" s="100" t="s">
        <v>651</v>
      </c>
      <c r="N159" s="99" t="s">
        <v>153</v>
      </c>
      <c r="O159" s="100" t="s">
        <v>652</v>
      </c>
      <c r="P159" s="99" t="s">
        <v>153</v>
      </c>
      <c r="Q159" s="100" t="s">
        <v>653</v>
      </c>
      <c r="R159" s="99" t="s">
        <v>130</v>
      </c>
      <c r="S159" s="100" t="s">
        <v>654</v>
      </c>
      <c r="T159" s="101">
        <f>76584</f>
        <v>76584</v>
      </c>
      <c r="U159" s="102">
        <f>202</f>
        <v>202</v>
      </c>
      <c r="V159" s="102">
        <v>86</v>
      </c>
      <c r="W159" s="102"/>
      <c r="X159" s="102">
        <f>150596000</f>
        <v>150596000</v>
      </c>
      <c r="Y159" s="102">
        <v>64052000</v>
      </c>
      <c r="Z159" s="103"/>
      <c r="AA159" s="99" t="s">
        <v>238</v>
      </c>
      <c r="AB159" s="104">
        <f>192</f>
        <v>192</v>
      </c>
      <c r="AC159" s="104" t="str">
        <f t="shared" si="19"/>
        <v>－</v>
      </c>
      <c r="AD159" s="105">
        <f>6</f>
        <v>6</v>
      </c>
    </row>
    <row r="160" spans="1:30">
      <c r="A160" s="95" t="s">
        <v>46</v>
      </c>
      <c r="B160" s="96" t="s">
        <v>648</v>
      </c>
      <c r="C160" s="96" t="s">
        <v>649</v>
      </c>
      <c r="D160" s="96" t="s">
        <v>244</v>
      </c>
      <c r="E160" s="97" t="s">
        <v>75</v>
      </c>
      <c r="F160" s="97" t="s">
        <v>102</v>
      </c>
      <c r="G160" s="98">
        <v>10</v>
      </c>
      <c r="H160" s="99" t="s">
        <v>64</v>
      </c>
      <c r="I160" s="100" t="s">
        <v>650</v>
      </c>
      <c r="J160" s="99" t="s">
        <v>64</v>
      </c>
      <c r="K160" s="100" t="s">
        <v>650</v>
      </c>
      <c r="L160" s="99"/>
      <c r="M160" s="100"/>
      <c r="N160" s="99" t="s">
        <v>277</v>
      </c>
      <c r="O160" s="100" t="s">
        <v>655</v>
      </c>
      <c r="P160" s="99"/>
      <c r="Q160" s="100"/>
      <c r="R160" s="99" t="s">
        <v>277</v>
      </c>
      <c r="S160" s="100" t="s">
        <v>655</v>
      </c>
      <c r="T160" s="101">
        <f>75905</f>
        <v>75905</v>
      </c>
      <c r="U160" s="102">
        <f>12</f>
        <v>12</v>
      </c>
      <c r="V160" s="102"/>
      <c r="W160" s="102"/>
      <c r="X160" s="102">
        <f>9210000</f>
        <v>9210000</v>
      </c>
      <c r="Y160" s="102"/>
      <c r="Z160" s="103"/>
      <c r="AA160" s="99"/>
      <c r="AB160" s="104">
        <f>12</f>
        <v>12</v>
      </c>
      <c r="AC160" s="104" t="str">
        <f t="shared" ref="AC160:AC191" si="20">"－"</f>
        <v>－</v>
      </c>
      <c r="AD160" s="105">
        <f>4</f>
        <v>4</v>
      </c>
    </row>
    <row r="161" spans="1:30">
      <c r="A161" s="95" t="s">
        <v>46</v>
      </c>
      <c r="B161" s="96" t="s">
        <v>648</v>
      </c>
      <c r="C161" s="96" t="s">
        <v>649</v>
      </c>
      <c r="D161" s="96" t="s">
        <v>60</v>
      </c>
      <c r="E161" s="97" t="s">
        <v>309</v>
      </c>
      <c r="F161" s="97" t="s">
        <v>405</v>
      </c>
      <c r="G161" s="98">
        <v>10</v>
      </c>
      <c r="H161" s="99" t="s">
        <v>64</v>
      </c>
      <c r="I161" s="100" t="s">
        <v>650</v>
      </c>
      <c r="J161" s="99" t="s">
        <v>64</v>
      </c>
      <c r="K161" s="100" t="s">
        <v>650</v>
      </c>
      <c r="L161" s="99"/>
      <c r="M161" s="100"/>
      <c r="N161" s="99" t="s">
        <v>153</v>
      </c>
      <c r="O161" s="100" t="s">
        <v>656</v>
      </c>
      <c r="P161" s="99"/>
      <c r="Q161" s="100"/>
      <c r="R161" s="99" t="s">
        <v>153</v>
      </c>
      <c r="S161" s="100" t="s">
        <v>656</v>
      </c>
      <c r="T161" s="101">
        <f>76000</f>
        <v>76000</v>
      </c>
      <c r="U161" s="102">
        <f>12</f>
        <v>12</v>
      </c>
      <c r="V161" s="102"/>
      <c r="W161" s="102"/>
      <c r="X161" s="102">
        <f>9252000</f>
        <v>9252000</v>
      </c>
      <c r="Y161" s="102"/>
      <c r="Z161" s="103"/>
      <c r="AA161" s="99"/>
      <c r="AB161" s="104">
        <f>12</f>
        <v>12</v>
      </c>
      <c r="AC161" s="104" t="str">
        <f t="shared" si="20"/>
        <v>－</v>
      </c>
      <c r="AD161" s="105">
        <f>3</f>
        <v>3</v>
      </c>
    </row>
    <row r="162" spans="1:30">
      <c r="A162" s="95" t="s">
        <v>46</v>
      </c>
      <c r="B162" s="96" t="s">
        <v>648</v>
      </c>
      <c r="C162" s="96" t="s">
        <v>649</v>
      </c>
      <c r="D162" s="96" t="s">
        <v>250</v>
      </c>
      <c r="E162" s="97" t="s">
        <v>312</v>
      </c>
      <c r="F162" s="97" t="s">
        <v>62</v>
      </c>
      <c r="G162" s="98">
        <v>10</v>
      </c>
      <c r="H162" s="99"/>
      <c r="I162" s="100" t="s">
        <v>137</v>
      </c>
      <c r="J162" s="99"/>
      <c r="K162" s="100" t="s">
        <v>137</v>
      </c>
      <c r="L162" s="99"/>
      <c r="M162" s="100"/>
      <c r="N162" s="99"/>
      <c r="O162" s="100" t="s">
        <v>137</v>
      </c>
      <c r="P162" s="99"/>
      <c r="Q162" s="100"/>
      <c r="R162" s="99"/>
      <c r="S162" s="100" t="s">
        <v>137</v>
      </c>
      <c r="T162" s="101">
        <f>76915</f>
        <v>76915</v>
      </c>
      <c r="U162" s="102" t="str">
        <f>"－"</f>
        <v>－</v>
      </c>
      <c r="V162" s="102"/>
      <c r="W162" s="102"/>
      <c r="X162" s="102" t="str">
        <f>"－"</f>
        <v>－</v>
      </c>
      <c r="Y162" s="102"/>
      <c r="Z162" s="103"/>
      <c r="AA162" s="99"/>
      <c r="AB162" s="104" t="str">
        <f>"－"</f>
        <v>－</v>
      </c>
      <c r="AC162" s="104" t="str">
        <f t="shared" si="20"/>
        <v>－</v>
      </c>
      <c r="AD162" s="105" t="str">
        <f>"－"</f>
        <v>－</v>
      </c>
    </row>
    <row r="163" spans="1:30">
      <c r="A163" s="95" t="s">
        <v>46</v>
      </c>
      <c r="B163" s="96" t="s">
        <v>648</v>
      </c>
      <c r="C163" s="96" t="s">
        <v>649</v>
      </c>
      <c r="D163" s="96" t="s">
        <v>68</v>
      </c>
      <c r="E163" s="97" t="s">
        <v>317</v>
      </c>
      <c r="F163" s="97" t="s">
        <v>289</v>
      </c>
      <c r="G163" s="98">
        <v>10</v>
      </c>
      <c r="H163" s="99"/>
      <c r="I163" s="100" t="s">
        <v>137</v>
      </c>
      <c r="J163" s="99"/>
      <c r="K163" s="100" t="s">
        <v>137</v>
      </c>
      <c r="L163" s="99"/>
      <c r="M163" s="100"/>
      <c r="N163" s="99"/>
      <c r="O163" s="100" t="s">
        <v>137</v>
      </c>
      <c r="P163" s="99"/>
      <c r="Q163" s="100"/>
      <c r="R163" s="99"/>
      <c r="S163" s="100" t="s">
        <v>137</v>
      </c>
      <c r="T163" s="101">
        <f>76915</f>
        <v>76915</v>
      </c>
      <c r="U163" s="102" t="str">
        <f>"－"</f>
        <v>－</v>
      </c>
      <c r="V163" s="102"/>
      <c r="W163" s="102"/>
      <c r="X163" s="102" t="str">
        <f>"－"</f>
        <v>－</v>
      </c>
      <c r="Y163" s="102"/>
      <c r="Z163" s="103"/>
      <c r="AA163" s="99"/>
      <c r="AB163" s="104" t="str">
        <f>"－"</f>
        <v>－</v>
      </c>
      <c r="AC163" s="104" t="str">
        <f t="shared" si="20"/>
        <v>－</v>
      </c>
      <c r="AD163" s="105" t="str">
        <f>"－"</f>
        <v>－</v>
      </c>
    </row>
    <row r="164" spans="1:30">
      <c r="A164" s="95" t="s">
        <v>46</v>
      </c>
      <c r="B164" s="96" t="s">
        <v>648</v>
      </c>
      <c r="C164" s="96" t="s">
        <v>649</v>
      </c>
      <c r="D164" s="96" t="s">
        <v>255</v>
      </c>
      <c r="E164" s="97" t="s">
        <v>320</v>
      </c>
      <c r="F164" s="97" t="s">
        <v>446</v>
      </c>
      <c r="G164" s="98">
        <v>10</v>
      </c>
      <c r="H164" s="99"/>
      <c r="I164" s="100" t="s">
        <v>137</v>
      </c>
      <c r="J164" s="99"/>
      <c r="K164" s="100" t="s">
        <v>137</v>
      </c>
      <c r="L164" s="99"/>
      <c r="M164" s="100"/>
      <c r="N164" s="99"/>
      <c r="O164" s="100" t="s">
        <v>137</v>
      </c>
      <c r="P164" s="99"/>
      <c r="Q164" s="100"/>
      <c r="R164" s="99"/>
      <c r="S164" s="100" t="s">
        <v>137</v>
      </c>
      <c r="T164" s="101">
        <f>76915</f>
        <v>76915</v>
      </c>
      <c r="U164" s="102" t="str">
        <f>"－"</f>
        <v>－</v>
      </c>
      <c r="V164" s="102"/>
      <c r="W164" s="102"/>
      <c r="X164" s="102" t="str">
        <f>"－"</f>
        <v>－</v>
      </c>
      <c r="Y164" s="102"/>
      <c r="Z164" s="103"/>
      <c r="AA164" s="99"/>
      <c r="AB164" s="104" t="str">
        <f>"－"</f>
        <v>－</v>
      </c>
      <c r="AC164" s="104" t="str">
        <f t="shared" si="20"/>
        <v>－</v>
      </c>
      <c r="AD164" s="105" t="str">
        <f>"－"</f>
        <v>－</v>
      </c>
    </row>
    <row r="165" spans="1:30">
      <c r="A165" s="95" t="s">
        <v>46</v>
      </c>
      <c r="B165" s="96" t="s">
        <v>648</v>
      </c>
      <c r="C165" s="96" t="s">
        <v>649</v>
      </c>
      <c r="D165" s="96" t="s">
        <v>74</v>
      </c>
      <c r="E165" s="97" t="s">
        <v>261</v>
      </c>
      <c r="F165" s="97" t="s">
        <v>448</v>
      </c>
      <c r="G165" s="98">
        <v>10</v>
      </c>
      <c r="H165" s="99"/>
      <c r="I165" s="100" t="s">
        <v>137</v>
      </c>
      <c r="J165" s="99"/>
      <c r="K165" s="100" t="s">
        <v>137</v>
      </c>
      <c r="L165" s="99"/>
      <c r="M165" s="100"/>
      <c r="N165" s="99"/>
      <c r="O165" s="100" t="s">
        <v>137</v>
      </c>
      <c r="P165" s="99"/>
      <c r="Q165" s="100"/>
      <c r="R165" s="99"/>
      <c r="S165" s="100" t="s">
        <v>137</v>
      </c>
      <c r="T165" s="101">
        <f>76200</f>
        <v>76200</v>
      </c>
      <c r="U165" s="102" t="str">
        <f>"－"</f>
        <v>－</v>
      </c>
      <c r="V165" s="102"/>
      <c r="W165" s="102"/>
      <c r="X165" s="102" t="str">
        <f>"－"</f>
        <v>－</v>
      </c>
      <c r="Y165" s="102"/>
      <c r="Z165" s="103"/>
      <c r="AA165" s="99"/>
      <c r="AB165" s="104" t="str">
        <f>"－"</f>
        <v>－</v>
      </c>
      <c r="AC165" s="104" t="str">
        <f t="shared" si="20"/>
        <v>－</v>
      </c>
      <c r="AD165" s="105" t="str">
        <f>"－"</f>
        <v>－</v>
      </c>
    </row>
    <row r="166" spans="1:30">
      <c r="A166" s="95" t="s">
        <v>46</v>
      </c>
      <c r="B166" s="96" t="s">
        <v>657</v>
      </c>
      <c r="C166" s="96" t="s">
        <v>658</v>
      </c>
      <c r="D166" s="96" t="s">
        <v>49</v>
      </c>
      <c r="E166" s="97" t="s">
        <v>299</v>
      </c>
      <c r="F166" s="97" t="s">
        <v>434</v>
      </c>
      <c r="G166" s="98">
        <v>10</v>
      </c>
      <c r="H166" s="99" t="s">
        <v>231</v>
      </c>
      <c r="I166" s="100" t="s">
        <v>451</v>
      </c>
      <c r="J166" s="99" t="s">
        <v>231</v>
      </c>
      <c r="K166" s="100" t="s">
        <v>451</v>
      </c>
      <c r="L166" s="99"/>
      <c r="M166" s="100"/>
      <c r="N166" s="99" t="s">
        <v>153</v>
      </c>
      <c r="O166" s="100" t="s">
        <v>659</v>
      </c>
      <c r="P166" s="99"/>
      <c r="Q166" s="100"/>
      <c r="R166" s="99" t="s">
        <v>130</v>
      </c>
      <c r="S166" s="100" t="s">
        <v>660</v>
      </c>
      <c r="T166" s="101">
        <f>76385.33</f>
        <v>76385.33</v>
      </c>
      <c r="U166" s="102">
        <f>77</f>
        <v>77</v>
      </c>
      <c r="V166" s="102"/>
      <c r="W166" s="102"/>
      <c r="X166" s="102">
        <f>59674000</f>
        <v>59674000</v>
      </c>
      <c r="Y166" s="102"/>
      <c r="Z166" s="103"/>
      <c r="AA166" s="99" t="s">
        <v>238</v>
      </c>
      <c r="AB166" s="104">
        <f>74</f>
        <v>74</v>
      </c>
      <c r="AC166" s="104" t="str">
        <f t="shared" si="20"/>
        <v>－</v>
      </c>
      <c r="AD166" s="105">
        <f>3</f>
        <v>3</v>
      </c>
    </row>
    <row r="167" spans="1:30">
      <c r="A167" s="95" t="s">
        <v>46</v>
      </c>
      <c r="B167" s="96" t="s">
        <v>657</v>
      </c>
      <c r="C167" s="96" t="s">
        <v>658</v>
      </c>
      <c r="D167" s="96" t="s">
        <v>244</v>
      </c>
      <c r="E167" s="97" t="s">
        <v>75</v>
      </c>
      <c r="F167" s="97" t="s">
        <v>102</v>
      </c>
      <c r="G167" s="98">
        <v>10</v>
      </c>
      <c r="H167" s="99" t="s">
        <v>277</v>
      </c>
      <c r="I167" s="100" t="s">
        <v>661</v>
      </c>
      <c r="J167" s="99" t="s">
        <v>277</v>
      </c>
      <c r="K167" s="100" t="s">
        <v>661</v>
      </c>
      <c r="L167" s="99"/>
      <c r="M167" s="100"/>
      <c r="N167" s="99" t="s">
        <v>279</v>
      </c>
      <c r="O167" s="100" t="s">
        <v>662</v>
      </c>
      <c r="P167" s="99"/>
      <c r="Q167" s="100"/>
      <c r="R167" s="99" t="s">
        <v>279</v>
      </c>
      <c r="S167" s="100" t="s">
        <v>662</v>
      </c>
      <c r="T167" s="101">
        <f>76430</f>
        <v>76430</v>
      </c>
      <c r="U167" s="102">
        <f>3</f>
        <v>3</v>
      </c>
      <c r="V167" s="102"/>
      <c r="W167" s="102"/>
      <c r="X167" s="102">
        <f>2308000</f>
        <v>2308000</v>
      </c>
      <c r="Y167" s="102"/>
      <c r="Z167" s="103"/>
      <c r="AA167" s="99"/>
      <c r="AB167" s="104">
        <f>3</f>
        <v>3</v>
      </c>
      <c r="AC167" s="104" t="str">
        <f t="shared" si="20"/>
        <v>－</v>
      </c>
      <c r="AD167" s="105">
        <f>2</f>
        <v>2</v>
      </c>
    </row>
    <row r="168" spans="1:30">
      <c r="A168" s="95" t="s">
        <v>46</v>
      </c>
      <c r="B168" s="96" t="s">
        <v>657</v>
      </c>
      <c r="C168" s="96" t="s">
        <v>658</v>
      </c>
      <c r="D168" s="96" t="s">
        <v>60</v>
      </c>
      <c r="E168" s="97" t="s">
        <v>309</v>
      </c>
      <c r="F168" s="97" t="s">
        <v>405</v>
      </c>
      <c r="G168" s="98">
        <v>10</v>
      </c>
      <c r="H168" s="99" t="s">
        <v>64</v>
      </c>
      <c r="I168" s="100" t="s">
        <v>451</v>
      </c>
      <c r="J168" s="99" t="s">
        <v>153</v>
      </c>
      <c r="K168" s="100" t="s">
        <v>470</v>
      </c>
      <c r="L168" s="99"/>
      <c r="M168" s="100"/>
      <c r="N168" s="99" t="s">
        <v>279</v>
      </c>
      <c r="O168" s="100" t="s">
        <v>663</v>
      </c>
      <c r="P168" s="99"/>
      <c r="Q168" s="100"/>
      <c r="R168" s="99" t="s">
        <v>279</v>
      </c>
      <c r="S168" s="100" t="s">
        <v>663</v>
      </c>
      <c r="T168" s="101">
        <f>77150</f>
        <v>77150</v>
      </c>
      <c r="U168" s="102">
        <f>25</f>
        <v>25</v>
      </c>
      <c r="V168" s="102"/>
      <c r="W168" s="102"/>
      <c r="X168" s="102">
        <f>19495000</f>
        <v>19495000</v>
      </c>
      <c r="Y168" s="102"/>
      <c r="Z168" s="103"/>
      <c r="AA168" s="99"/>
      <c r="AB168" s="104">
        <f>25</f>
        <v>25</v>
      </c>
      <c r="AC168" s="104" t="str">
        <f t="shared" si="20"/>
        <v>－</v>
      </c>
      <c r="AD168" s="105">
        <f>3</f>
        <v>3</v>
      </c>
    </row>
    <row r="169" spans="1:30">
      <c r="A169" s="95" t="s">
        <v>46</v>
      </c>
      <c r="B169" s="96" t="s">
        <v>657</v>
      </c>
      <c r="C169" s="96" t="s">
        <v>658</v>
      </c>
      <c r="D169" s="96" t="s">
        <v>250</v>
      </c>
      <c r="E169" s="97" t="s">
        <v>312</v>
      </c>
      <c r="F169" s="97" t="s">
        <v>62</v>
      </c>
      <c r="G169" s="98">
        <v>10</v>
      </c>
      <c r="H169" s="99"/>
      <c r="I169" s="100" t="s">
        <v>137</v>
      </c>
      <c r="J169" s="99"/>
      <c r="K169" s="100" t="s">
        <v>137</v>
      </c>
      <c r="L169" s="99"/>
      <c r="M169" s="100"/>
      <c r="N169" s="99"/>
      <c r="O169" s="100" t="s">
        <v>137</v>
      </c>
      <c r="P169" s="99"/>
      <c r="Q169" s="100"/>
      <c r="R169" s="99"/>
      <c r="S169" s="100" t="s">
        <v>137</v>
      </c>
      <c r="T169" s="101">
        <f>76675</f>
        <v>76675</v>
      </c>
      <c r="U169" s="102" t="str">
        <f>"－"</f>
        <v>－</v>
      </c>
      <c r="V169" s="102"/>
      <c r="W169" s="102"/>
      <c r="X169" s="102" t="str">
        <f>"－"</f>
        <v>－</v>
      </c>
      <c r="Y169" s="102"/>
      <c r="Z169" s="103"/>
      <c r="AA169" s="99"/>
      <c r="AB169" s="104" t="str">
        <f>"－"</f>
        <v>－</v>
      </c>
      <c r="AC169" s="104" t="str">
        <f t="shared" si="20"/>
        <v>－</v>
      </c>
      <c r="AD169" s="105" t="str">
        <f>"－"</f>
        <v>－</v>
      </c>
    </row>
    <row r="170" spans="1:30">
      <c r="A170" s="95" t="s">
        <v>46</v>
      </c>
      <c r="B170" s="96" t="s">
        <v>657</v>
      </c>
      <c r="C170" s="96" t="s">
        <v>658</v>
      </c>
      <c r="D170" s="96" t="s">
        <v>68</v>
      </c>
      <c r="E170" s="97" t="s">
        <v>317</v>
      </c>
      <c r="F170" s="97" t="s">
        <v>289</v>
      </c>
      <c r="G170" s="98">
        <v>10</v>
      </c>
      <c r="H170" s="99"/>
      <c r="I170" s="100" t="s">
        <v>137</v>
      </c>
      <c r="J170" s="99"/>
      <c r="K170" s="100" t="s">
        <v>137</v>
      </c>
      <c r="L170" s="99"/>
      <c r="M170" s="100"/>
      <c r="N170" s="99"/>
      <c r="O170" s="100" t="s">
        <v>137</v>
      </c>
      <c r="P170" s="99"/>
      <c r="Q170" s="100"/>
      <c r="R170" s="99"/>
      <c r="S170" s="100" t="s">
        <v>137</v>
      </c>
      <c r="T170" s="101">
        <f>76675</f>
        <v>76675</v>
      </c>
      <c r="U170" s="102" t="str">
        <f>"－"</f>
        <v>－</v>
      </c>
      <c r="V170" s="102"/>
      <c r="W170" s="102"/>
      <c r="X170" s="102" t="str">
        <f>"－"</f>
        <v>－</v>
      </c>
      <c r="Y170" s="102"/>
      <c r="Z170" s="103"/>
      <c r="AA170" s="99"/>
      <c r="AB170" s="104" t="str">
        <f>"－"</f>
        <v>－</v>
      </c>
      <c r="AC170" s="104" t="str">
        <f t="shared" si="20"/>
        <v>－</v>
      </c>
      <c r="AD170" s="105" t="str">
        <f>"－"</f>
        <v>－</v>
      </c>
    </row>
    <row r="171" spans="1:30">
      <c r="A171" s="95" t="s">
        <v>46</v>
      </c>
      <c r="B171" s="96" t="s">
        <v>657</v>
      </c>
      <c r="C171" s="96" t="s">
        <v>658</v>
      </c>
      <c r="D171" s="96" t="s">
        <v>255</v>
      </c>
      <c r="E171" s="97" t="s">
        <v>320</v>
      </c>
      <c r="F171" s="97" t="s">
        <v>446</v>
      </c>
      <c r="G171" s="98">
        <v>10</v>
      </c>
      <c r="H171" s="99"/>
      <c r="I171" s="100" t="s">
        <v>137</v>
      </c>
      <c r="J171" s="99"/>
      <c r="K171" s="100" t="s">
        <v>137</v>
      </c>
      <c r="L171" s="99"/>
      <c r="M171" s="100"/>
      <c r="N171" s="99"/>
      <c r="O171" s="100" t="s">
        <v>137</v>
      </c>
      <c r="P171" s="99"/>
      <c r="Q171" s="100"/>
      <c r="R171" s="99"/>
      <c r="S171" s="100" t="s">
        <v>137</v>
      </c>
      <c r="T171" s="101">
        <f>76450</f>
        <v>76450</v>
      </c>
      <c r="U171" s="102" t="str">
        <f>"－"</f>
        <v>－</v>
      </c>
      <c r="V171" s="102"/>
      <c r="W171" s="102"/>
      <c r="X171" s="102" t="str">
        <f>"－"</f>
        <v>－</v>
      </c>
      <c r="Y171" s="102"/>
      <c r="Z171" s="103"/>
      <c r="AA171" s="99"/>
      <c r="AB171" s="104" t="str">
        <f>"－"</f>
        <v>－</v>
      </c>
      <c r="AC171" s="104" t="str">
        <f t="shared" si="20"/>
        <v>－</v>
      </c>
      <c r="AD171" s="105" t="str">
        <f>"－"</f>
        <v>－</v>
      </c>
    </row>
    <row r="172" spans="1:30">
      <c r="A172" s="95" t="s">
        <v>46</v>
      </c>
      <c r="B172" s="96" t="s">
        <v>657</v>
      </c>
      <c r="C172" s="96" t="s">
        <v>658</v>
      </c>
      <c r="D172" s="96" t="s">
        <v>74</v>
      </c>
      <c r="E172" s="97" t="s">
        <v>261</v>
      </c>
      <c r="F172" s="97" t="s">
        <v>448</v>
      </c>
      <c r="G172" s="98">
        <v>10</v>
      </c>
      <c r="H172" s="99"/>
      <c r="I172" s="100" t="s">
        <v>137</v>
      </c>
      <c r="J172" s="99"/>
      <c r="K172" s="100" t="s">
        <v>137</v>
      </c>
      <c r="L172" s="99"/>
      <c r="M172" s="100"/>
      <c r="N172" s="99"/>
      <c r="O172" s="100" t="s">
        <v>137</v>
      </c>
      <c r="P172" s="99"/>
      <c r="Q172" s="100"/>
      <c r="R172" s="99"/>
      <c r="S172" s="100" t="s">
        <v>137</v>
      </c>
      <c r="T172" s="101">
        <f>77000</f>
        <v>77000</v>
      </c>
      <c r="U172" s="102" t="str">
        <f>"－"</f>
        <v>－</v>
      </c>
      <c r="V172" s="102"/>
      <c r="W172" s="102"/>
      <c r="X172" s="102" t="str">
        <f>"－"</f>
        <v>－</v>
      </c>
      <c r="Y172" s="102"/>
      <c r="Z172" s="103"/>
      <c r="AA172" s="99"/>
      <c r="AB172" s="104" t="str">
        <f>"－"</f>
        <v>－</v>
      </c>
      <c r="AC172" s="104" t="str">
        <f t="shared" si="20"/>
        <v>－</v>
      </c>
      <c r="AD172" s="105" t="str">
        <f>"－"</f>
        <v>－</v>
      </c>
    </row>
  </sheetData>
  <mergeCells count="34">
    <mergeCell ref="E6:F6"/>
    <mergeCell ref="AA6:AB6"/>
    <mergeCell ref="O4:O5"/>
    <mergeCell ref="P4:Q4"/>
    <mergeCell ref="R4:R5"/>
    <mergeCell ref="S4:S5"/>
    <mergeCell ref="U4:U5"/>
    <mergeCell ref="V4:V5"/>
    <mergeCell ref="H4:H5"/>
    <mergeCell ref="I4:I5"/>
    <mergeCell ref="J4:J5"/>
    <mergeCell ref="K4:K5"/>
    <mergeCell ref="L4:M4"/>
    <mergeCell ref="N4:N5"/>
    <mergeCell ref="T3:T5"/>
    <mergeCell ref="U3:W3"/>
    <mergeCell ref="X3:Z3"/>
    <mergeCell ref="AA3:AB5"/>
    <mergeCell ref="AC3:AC5"/>
    <mergeCell ref="AD3:AD5"/>
    <mergeCell ref="W4:W5"/>
    <mergeCell ref="X4:X5"/>
    <mergeCell ref="Y4:Y5"/>
    <mergeCell ref="Z4:Z5"/>
    <mergeCell ref="A1:K1"/>
    <mergeCell ref="A2:C2"/>
    <mergeCell ref="AA2:AB2"/>
    <mergeCell ref="A3:A5"/>
    <mergeCell ref="B3:B6"/>
    <mergeCell ref="C3:C6"/>
    <mergeCell ref="D3:D5"/>
    <mergeCell ref="E3:F5"/>
    <mergeCell ref="G3:G5"/>
    <mergeCell ref="H3:S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3" fitToHeight="0" orientation="landscape" useFirstPageNumber="1" r:id="rId1"/>
  <headerFooter>
    <oddFooter xml:space="preserve">&amp;C&amp;P/&amp;N&amp;RCopyright (c) Japan Exchange Group, Inc. All Rights Reserved.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BO_DM0005</vt:lpstr>
      <vt:lpstr>BO_DM0007</vt:lpstr>
      <vt:lpstr>BO_DM0005!Print_Titles</vt:lpstr>
      <vt:lpstr>BO_DM0007!Print_Titles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T_情報サービス部1(RPA)</cp:lastModifiedBy>
  <cp:lastPrinted>2020-10-20T00:01:10Z</cp:lastPrinted>
  <dcterms:created xsi:type="dcterms:W3CDTF">2017-12-14T02:19:15Z</dcterms:created>
  <dcterms:modified xsi:type="dcterms:W3CDTF">2022-10-06T01:12:11Z</dcterms:modified>
</cp:coreProperties>
</file>