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3328"/>
  <workbookPr defaultThemeVersion="124226"/>
  <mc:AlternateContent>
    <mc:Choice Requires="x15">
      <x15ac:absPath xmlns:x15ac="http://schemas.microsoft.com/office/spreadsheetml/2010/11/ac" url="C:\Users\BOX-DEV-22\Desktop\設計書\src\05_contents\04_xlsx\"/>
    </mc:Choice>
  </mc:AlternateContent>
  <xr:revisionPtr documentId="13_ncr:1_{7CC55A63-2C9B-418F-94EE-FD33B83DA6C7}" revIDLastSave="0" xr10:uidLastSave="{00000000-0000-0000-0000-000000000000}" xr6:coauthVersionLast="45" xr6:coauthVersionMax="45"/>
  <bookViews>
    <workbookView windowHeight="11160" windowWidth="20730" xWindow="-120" xr2:uid="{00000000-000D-0000-FFFF-FFFF00000000}" yWindow="-120"/>
  </bookViews>
  <sheets>
    <sheet name="BO_DM0000" r:id="rId1" sheetId="8"/>
  </sheets>
  <definedNames>
    <definedName localSheetId="0" name="_xlnm.Print_Titles">BO_DM0000!$1:$6</definedName>
  </definedNames>
  <calcPr calcId="191029"/>
</workbook>
</file>

<file path=xl/sharedStrings.xml><?xml version="1.0" encoding="utf-8"?>
<sst xmlns="http://schemas.openxmlformats.org/spreadsheetml/2006/main" count="1691" uniqueCount="466">
  <si>
    <t>年月</t>
  </si>
  <si>
    <t>限月取引</t>
  </si>
  <si>
    <t xml:space="preserve"> </t>
  </si>
  <si>
    <t>　</t>
  </si>
  <si>
    <t>Contract Month</t>
  </si>
  <si>
    <t>Trading Volume(unit)</t>
    <phoneticPr fontId="6"/>
  </si>
  <si>
    <t>J-NET(unit)</t>
    <phoneticPr fontId="6"/>
  </si>
  <si>
    <t>J-NET(￥)</t>
    <phoneticPr fontId="6"/>
  </si>
  <si>
    <t>取引期間</t>
    <rPh eb="2" sb="0">
      <t>トリヒキ</t>
    </rPh>
    <rPh eb="4" sb="2">
      <t>キカン</t>
    </rPh>
    <phoneticPr fontId="6"/>
  </si>
  <si>
    <t>Trading
Period</t>
    <phoneticPr fontId="6"/>
  </si>
  <si>
    <t>取引金額（円）</t>
    <phoneticPr fontId="6"/>
  </si>
  <si>
    <t>取引高（単位）</t>
    <phoneticPr fontId="6"/>
  </si>
  <si>
    <t>うちJ-NET
取引（単位）</t>
    <phoneticPr fontId="6"/>
  </si>
  <si>
    <t>うちJ-NET
取引（円）</t>
    <phoneticPr fontId="6"/>
  </si>
  <si>
    <t>Open 
Interest(unit)</t>
    <phoneticPr fontId="6"/>
  </si>
  <si>
    <t>建玉現在高
（単位）</t>
    <phoneticPr fontId="6"/>
  </si>
  <si>
    <t>値付
日数</t>
    <phoneticPr fontId="6"/>
  </si>
  <si>
    <t>指数先物相場表</t>
    <rPh eb="2" sb="0">
      <t>シスウ</t>
    </rPh>
    <phoneticPr fontId="6"/>
  </si>
  <si>
    <t>Index Futures Quotations</t>
    <phoneticPr fontId="6"/>
  </si>
  <si>
    <t>Trading 
Value(￥)</t>
    <phoneticPr fontId="6"/>
  </si>
  <si>
    <t>始　値
（円/ポイント）</t>
    <phoneticPr fontId="6"/>
  </si>
  <si>
    <t>高　値
（円/ポイント）</t>
    <phoneticPr fontId="6"/>
  </si>
  <si>
    <t>High(￥/point)</t>
    <phoneticPr fontId="6"/>
  </si>
  <si>
    <t>うちJ-NET取引
（円/ポイント）</t>
    <phoneticPr fontId="6"/>
  </si>
  <si>
    <t>J-NET(￥/point)</t>
    <phoneticPr fontId="6"/>
  </si>
  <si>
    <t>安　値
（円/ポイント）</t>
    <phoneticPr fontId="6"/>
  </si>
  <si>
    <t>Low(￥/point)</t>
    <phoneticPr fontId="6"/>
  </si>
  <si>
    <t>終　値
（円/ポイント）</t>
    <phoneticPr fontId="6"/>
  </si>
  <si>
    <t>Close(￥/point)</t>
    <phoneticPr fontId="6"/>
  </si>
  <si>
    <t>平均清算数値
（円/ポイント）</t>
    <rPh eb="6" sb="4">
      <t>スウチ</t>
    </rPh>
    <phoneticPr fontId="6"/>
  </si>
  <si>
    <t>Average
Settlement
Price(￥/point)</t>
    <phoneticPr fontId="6"/>
  </si>
  <si>
    <t>日</t>
    <rPh eb="1" sb="0">
      <t>ヒ</t>
    </rPh>
    <phoneticPr fontId="6"/>
  </si>
  <si>
    <t>Open(￥/point)</t>
    <phoneticPr fontId="6"/>
  </si>
  <si>
    <t>日</t>
    <phoneticPr fontId="6"/>
  </si>
  <si>
    <t>Days 
Traded</t>
    <phoneticPr fontId="6"/>
  </si>
  <si>
    <t>Year/Month</t>
    <phoneticPr fontId="6"/>
  </si>
  <si>
    <t>商品等</t>
    <rPh eb="2" sb="0">
      <t>ショウヒン</t>
    </rPh>
    <rPh eb="3" sb="2">
      <t>トウ</t>
    </rPh>
    <phoneticPr fontId="6"/>
  </si>
  <si>
    <t>Products</t>
    <phoneticPr fontId="6"/>
  </si>
  <si>
    <t>値  段  Price</t>
    <phoneticPr fontId="6"/>
  </si>
  <si>
    <t>Date</t>
    <phoneticPr fontId="6"/>
  </si>
  <si>
    <t>フレックス
決済区分</t>
    <phoneticPr fontId="6"/>
  </si>
  <si>
    <t>FLEX
Settlement
Type</t>
    <phoneticPr fontId="6"/>
  </si>
  <si>
    <t>うちストラテジー
取引（単位）</t>
    <phoneticPr fontId="6"/>
  </si>
  <si>
    <t>Strategy(unit)</t>
    <phoneticPr fontId="6"/>
  </si>
  <si>
    <t>うちストラテジー
取引（円）</t>
    <phoneticPr fontId="6"/>
  </si>
  <si>
    <t>Strategy(￥)</t>
    <phoneticPr fontId="6"/>
  </si>
  <si>
    <t>2023/12</t>
  </si>
  <si>
    <t>日経225先物</t>
  </si>
  <si>
    <t>Nikkei 225 Futures</t>
  </si>
  <si>
    <t>2018/07/17</t>
  </si>
  <si>
    <t>2023/12/07</t>
  </si>
  <si>
    <t>01</t>
  </si>
  <si>
    <t>33,500</t>
  </si>
  <si>
    <t>33,590</t>
  </si>
  <si>
    <t>33,580.0000</t>
  </si>
  <si>
    <t>06</t>
  </si>
  <si>
    <t>32,700</t>
  </si>
  <si>
    <t>32,700.0000</t>
  </si>
  <si>
    <t>07</t>
  </si>
  <si>
    <t>33,010</t>
  </si>
  <si>
    <t>*</t>
  </si>
  <si>
    <t>2024/03</t>
  </si>
  <si>
    <t>2022/09/09</t>
  </si>
  <si>
    <t>2024/03/07</t>
  </si>
  <si>
    <t>33,410</t>
  </si>
  <si>
    <t>20</t>
  </si>
  <si>
    <t>33,750</t>
  </si>
  <si>
    <t>35,200.0000</t>
  </si>
  <si>
    <t>08</t>
  </si>
  <si>
    <t>32,090</t>
  </si>
  <si>
    <t>18</t>
  </si>
  <si>
    <t>31,000.0000</t>
  </si>
  <si>
    <t>29</t>
  </si>
  <si>
    <t>33,420</t>
  </si>
  <si>
    <t>2024/06</t>
  </si>
  <si>
    <t>2024/06/13</t>
  </si>
  <si>
    <t>33,170</t>
  </si>
  <si>
    <t>33,450.0000</t>
  </si>
  <si>
    <t>31,850</t>
  </si>
  <si>
    <t>31,928.0000</t>
  </si>
  <si>
    <t>33,150</t>
  </si>
  <si>
    <t>2024/09</t>
  </si>
  <si>
    <t>2023/03/10</t>
  </si>
  <si>
    <t>2024/09/12</t>
  </si>
  <si>
    <t>33,130</t>
  </si>
  <si>
    <t>33,450</t>
  </si>
  <si>
    <t>33,397.0000</t>
  </si>
  <si>
    <t>31,900</t>
  </si>
  <si>
    <t>11</t>
  </si>
  <si>
    <t>31,900.0000</t>
  </si>
  <si>
    <t>33,000</t>
  </si>
  <si>
    <t>2024/12</t>
  </si>
  <si>
    <t>2024/12/12</t>
  </si>
  <si>
    <t>04</t>
  </si>
  <si>
    <t>32,800</t>
  </si>
  <si>
    <t>33,210</t>
  </si>
  <si>
    <t>32,945.0000</t>
  </si>
  <si>
    <t>31,630</t>
  </si>
  <si>
    <t>31,669.0000</t>
  </si>
  <si>
    <t>32,890</t>
  </si>
  <si>
    <t>2025/03</t>
  </si>
  <si>
    <t>2023/09/08</t>
  </si>
  <si>
    <t>2025/03/13</t>
  </si>
  <si>
    <t>12</t>
  </si>
  <si>
    <t>32,300</t>
  </si>
  <si>
    <t>33,160</t>
  </si>
  <si>
    <t>32,290</t>
  </si>
  <si>
    <t>28</t>
  </si>
  <si>
    <t>32,970</t>
  </si>
  <si>
    <t>2025/06</t>
  </si>
  <si>
    <t>2025/06/12</t>
  </si>
  <si>
    <t>32,730</t>
  </si>
  <si>
    <t>32,800.0000</t>
  </si>
  <si>
    <t>32,720</t>
  </si>
  <si>
    <t>31,850.0000</t>
  </si>
  <si>
    <t>2025/12</t>
  </si>
  <si>
    <t>2025/12/11</t>
  </si>
  <si>
    <t>05</t>
  </si>
  <si>
    <t>32,690</t>
  </si>
  <si>
    <t>32,650.0000</t>
  </si>
  <si>
    <t>14</t>
  </si>
  <si>
    <t>31,488.0000</t>
  </si>
  <si>
    <t>32,470</t>
  </si>
  <si>
    <t>2026/06</t>
  </si>
  <si>
    <t>2026/06/11</t>
  </si>
  <si>
    <t>31,000</t>
  </si>
  <si>
    <t>31,810</t>
  </si>
  <si>
    <t>2026/12</t>
  </si>
  <si>
    <t>2018/12/14</t>
  </si>
  <si>
    <t>2026/12/10</t>
  </si>
  <si>
    <t>－</t>
  </si>
  <si>
    <t>32,150.0000</t>
  </si>
  <si>
    <t>31,038.0000</t>
  </si>
  <si>
    <t>2027/06</t>
  </si>
  <si>
    <t>2019/06/14</t>
  </si>
  <si>
    <t>2027/06/10</t>
  </si>
  <si>
    <t>2027/12</t>
  </si>
  <si>
    <t>2019/12/13</t>
  </si>
  <si>
    <t>2027/12/09</t>
  </si>
  <si>
    <t>2028/06</t>
  </si>
  <si>
    <t>2020/06/12</t>
  </si>
  <si>
    <t>2028/06/08</t>
  </si>
  <si>
    <t>30,420</t>
  </si>
  <si>
    <t>2028/12</t>
  </si>
  <si>
    <t>2020/12/11</t>
  </si>
  <si>
    <t>2028/12/07</t>
  </si>
  <si>
    <t>31,300.0000</t>
  </si>
  <si>
    <t>2029/06</t>
  </si>
  <si>
    <t>2021/06/11</t>
  </si>
  <si>
    <t>2029/06/07</t>
  </si>
  <si>
    <t>2029/12</t>
  </si>
  <si>
    <t>2021/12/10</t>
  </si>
  <si>
    <t>2029/12/13</t>
  </si>
  <si>
    <t>2030/06</t>
  </si>
  <si>
    <t>2022/06/10</t>
  </si>
  <si>
    <t>2030/06/13</t>
  </si>
  <si>
    <t>2030/12</t>
  </si>
  <si>
    <t>2022/12/09</t>
  </si>
  <si>
    <t>2030/12/12</t>
  </si>
  <si>
    <t>2031/06</t>
  </si>
  <si>
    <t>2023/06/09</t>
  </si>
  <si>
    <t>2031/06/12</t>
  </si>
  <si>
    <t>2031/12</t>
  </si>
  <si>
    <t>2023/12/08</t>
  </si>
  <si>
    <t>2031/12/11</t>
  </si>
  <si>
    <t>日経225mini</t>
  </si>
  <si>
    <t>Nikkei 225 mini</t>
  </si>
  <si>
    <t>33,585</t>
  </si>
  <si>
    <t>33,585.0000</t>
  </si>
  <si>
    <t>32,695</t>
  </si>
  <si>
    <t>32,695.0000</t>
  </si>
  <si>
    <t>32,950</t>
  </si>
  <si>
    <t>2024/01</t>
  </si>
  <si>
    <t>2023/08/10</t>
  </si>
  <si>
    <t>2024/01/11</t>
  </si>
  <si>
    <t>33,435</t>
  </si>
  <si>
    <t>33,775</t>
  </si>
  <si>
    <t>33,770.0000</t>
  </si>
  <si>
    <t>32,105</t>
  </si>
  <si>
    <t>32,105.0000</t>
  </si>
  <si>
    <t>2024/02</t>
  </si>
  <si>
    <t>2023/10/13</t>
  </si>
  <si>
    <t>2024/02/08</t>
  </si>
  <si>
    <t>33,430</t>
  </si>
  <si>
    <t>33,770</t>
  </si>
  <si>
    <t>33,767.5000</t>
  </si>
  <si>
    <t>32,130</t>
  </si>
  <si>
    <t>32,145.1000</t>
  </si>
  <si>
    <t>33,405</t>
  </si>
  <si>
    <t>33,415</t>
  </si>
  <si>
    <t>33,755</t>
  </si>
  <si>
    <t>33,755.0000</t>
  </si>
  <si>
    <t>32,085</t>
  </si>
  <si>
    <t>32,085.0000</t>
  </si>
  <si>
    <t>2024/04</t>
  </si>
  <si>
    <t>2023/11/10</t>
  </si>
  <si>
    <t>2024/04/11</t>
  </si>
  <si>
    <t>33,100</t>
  </si>
  <si>
    <t>33,140</t>
  </si>
  <si>
    <t>33,495</t>
  </si>
  <si>
    <t>31,840</t>
  </si>
  <si>
    <t>33,445</t>
  </si>
  <si>
    <t>31,800</t>
  </si>
  <si>
    <t>33,085</t>
  </si>
  <si>
    <t>32,840</t>
  </si>
  <si>
    <t>33,200</t>
  </si>
  <si>
    <t>31,565</t>
  </si>
  <si>
    <t>32,855</t>
  </si>
  <si>
    <t>32,900</t>
  </si>
  <si>
    <t>31,600</t>
  </si>
  <si>
    <t>32,550</t>
  </si>
  <si>
    <t>31,380</t>
  </si>
  <si>
    <t>32,600</t>
  </si>
  <si>
    <t>32,305</t>
  </si>
  <si>
    <t>32,670</t>
  </si>
  <si>
    <t>31,110</t>
  </si>
  <si>
    <t>32,330</t>
  </si>
  <si>
    <t>32,060</t>
  </si>
  <si>
    <t>30,900</t>
  </si>
  <si>
    <t>32,000</t>
  </si>
  <si>
    <t>31,880</t>
  </si>
  <si>
    <t>32,195</t>
  </si>
  <si>
    <t>30,880</t>
  </si>
  <si>
    <t>31,945</t>
  </si>
  <si>
    <t>31,670</t>
  </si>
  <si>
    <t>31,685</t>
  </si>
  <si>
    <t>30,750</t>
  </si>
  <si>
    <t>31,700</t>
  </si>
  <si>
    <t>30,440</t>
  </si>
  <si>
    <t>31,245</t>
  </si>
  <si>
    <t>31,330</t>
  </si>
  <si>
    <t>21</t>
  </si>
  <si>
    <t>31,495</t>
  </si>
  <si>
    <t>15</t>
  </si>
  <si>
    <t>30,450</t>
  </si>
  <si>
    <t>25</t>
  </si>
  <si>
    <t>31,095</t>
  </si>
  <si>
    <t>29,990</t>
  </si>
  <si>
    <t>31,285</t>
  </si>
  <si>
    <t>日経225マイクロ先物</t>
  </si>
  <si>
    <t>Nikkei 225 Micro Futures</t>
  </si>
  <si>
    <t>32,965</t>
  </si>
  <si>
    <t>33,440</t>
  </si>
  <si>
    <t>32,110</t>
  </si>
  <si>
    <t>33,530</t>
  </si>
  <si>
    <t>33,760</t>
  </si>
  <si>
    <t>33,465</t>
  </si>
  <si>
    <t>32,080</t>
  </si>
  <si>
    <t>31,870</t>
  </si>
  <si>
    <t>33,125</t>
  </si>
  <si>
    <t>TOPIX先物</t>
  </si>
  <si>
    <t>TOPIX Futures</t>
  </si>
  <si>
    <t>2,376.5</t>
  </si>
  <si>
    <t>2,390.0</t>
  </si>
  <si>
    <t>2,390.0000</t>
  </si>
  <si>
    <t>2,337.0</t>
  </si>
  <si>
    <t>2,300.0000</t>
  </si>
  <si>
    <t>2,365.0</t>
  </si>
  <si>
    <t>2,372.0</t>
  </si>
  <si>
    <t>2,386.5</t>
  </si>
  <si>
    <t>2,385.5000</t>
  </si>
  <si>
    <t>2,290.5</t>
  </si>
  <si>
    <t>2,290.9500</t>
  </si>
  <si>
    <t>2,364.0</t>
  </si>
  <si>
    <t>2,300.0</t>
  </si>
  <si>
    <t>2,349.0</t>
  </si>
  <si>
    <t>2,300.6500</t>
  </si>
  <si>
    <t>2,295.5</t>
  </si>
  <si>
    <t>2,359.9100</t>
  </si>
  <si>
    <t>2,271.2000</t>
  </si>
  <si>
    <t>ミニTOPIX先物</t>
  </si>
  <si>
    <t>mini-TOPIX Futures</t>
  </si>
  <si>
    <t>2,378.00</t>
  </si>
  <si>
    <t>2,390.25</t>
  </si>
  <si>
    <t>2,389.2500</t>
  </si>
  <si>
    <t>2,336.75</t>
  </si>
  <si>
    <t>2,338.0000</t>
  </si>
  <si>
    <t>2,365.25</t>
  </si>
  <si>
    <t>2,369.00</t>
  </si>
  <si>
    <t>2,394.75</t>
  </si>
  <si>
    <t>2,383.7000</t>
  </si>
  <si>
    <t>2,290.75</t>
  </si>
  <si>
    <t>2,291.2500</t>
  </si>
  <si>
    <t>2,364.25</t>
  </si>
  <si>
    <t>2,315.25</t>
  </si>
  <si>
    <t>2,330.00</t>
  </si>
  <si>
    <t>2,271.00</t>
  </si>
  <si>
    <t>27</t>
  </si>
  <si>
    <t>2,310.25</t>
  </si>
  <si>
    <t>JPX日経インデックス400先物</t>
  </si>
  <si>
    <t>JPX-Nikkei Index 400 Futures</t>
  </si>
  <si>
    <t>21,455</t>
  </si>
  <si>
    <t>21,565</t>
  </si>
  <si>
    <t>21,555.0000</t>
  </si>
  <si>
    <t>21,090</t>
  </si>
  <si>
    <t>21,095.0000</t>
  </si>
  <si>
    <t>21,280</t>
  </si>
  <si>
    <t>21,500</t>
  </si>
  <si>
    <t>21,590</t>
  </si>
  <si>
    <t>21,501.0000</t>
  </si>
  <si>
    <t>20,670</t>
  </si>
  <si>
    <t>20,675.0000</t>
  </si>
  <si>
    <t>21,355</t>
  </si>
  <si>
    <t>TOPIX Core30先物</t>
  </si>
  <si>
    <t>TOPIX Core30 Futures</t>
  </si>
  <si>
    <t>1,182.0000</t>
  </si>
  <si>
    <t>1,182.4000</t>
  </si>
  <si>
    <t>東証銀行業株価指数先物</t>
  </si>
  <si>
    <t>TOPIX Banks Index Futures</t>
  </si>
  <si>
    <t>263.1300</t>
  </si>
  <si>
    <t>239.7500</t>
  </si>
  <si>
    <t>264.0600</t>
  </si>
  <si>
    <t>239.6600</t>
  </si>
  <si>
    <t>東証REIT指数先物</t>
  </si>
  <si>
    <t>TSE REIT Index Futures</t>
  </si>
  <si>
    <t>1,847.0</t>
  </si>
  <si>
    <t>1,848.0000</t>
  </si>
  <si>
    <t>1,810.5</t>
  </si>
  <si>
    <t>1,808.2800</t>
  </si>
  <si>
    <t>1,825.0</t>
  </si>
  <si>
    <t>1,804.0</t>
  </si>
  <si>
    <t>1,821.6000</t>
  </si>
  <si>
    <t>26</t>
  </si>
  <si>
    <t>1,736.0</t>
  </si>
  <si>
    <t>1,738.0000</t>
  </si>
  <si>
    <t>1,787.0</t>
  </si>
  <si>
    <t>RNプライム指数先物</t>
  </si>
  <si>
    <t>RN Prime Index Futures</t>
  </si>
  <si>
    <t>東証グロース市場250指数先物</t>
  </si>
  <si>
    <t>TSE Growth Market 250 Index Futures</t>
  </si>
  <si>
    <t>716.0</t>
  </si>
  <si>
    <t>716.0000</t>
  </si>
  <si>
    <t>680.0</t>
  </si>
  <si>
    <t>683.0000</t>
  </si>
  <si>
    <t>710.0</t>
  </si>
  <si>
    <t>711.0</t>
  </si>
  <si>
    <t>713.0000</t>
  </si>
  <si>
    <t>13</t>
  </si>
  <si>
    <t>649.0</t>
  </si>
  <si>
    <t>649.0000</t>
  </si>
  <si>
    <t>703.0</t>
  </si>
  <si>
    <t>704.0</t>
  </si>
  <si>
    <t>705.0</t>
  </si>
  <si>
    <t>647.0</t>
  </si>
  <si>
    <t>697.0</t>
  </si>
  <si>
    <t>670.0</t>
  </si>
  <si>
    <t>695.0</t>
  </si>
  <si>
    <t>644.0</t>
  </si>
  <si>
    <t>693.0</t>
  </si>
  <si>
    <t>NYダウ先物</t>
  </si>
  <si>
    <t>DJIA Futures</t>
  </si>
  <si>
    <t>2022/12/19</t>
  </si>
  <si>
    <t>2023/12/15</t>
  </si>
  <si>
    <t>35,610</t>
  </si>
  <si>
    <t>37,399</t>
  </si>
  <si>
    <t>37,312.0000</t>
  </si>
  <si>
    <t>35,579</t>
  </si>
  <si>
    <t>35,808.0000</t>
  </si>
  <si>
    <t>37,323</t>
  </si>
  <si>
    <t>2023/03/20</t>
  </si>
  <si>
    <t>2024/03/15</t>
  </si>
  <si>
    <t>35,944</t>
  </si>
  <si>
    <t>38,038</t>
  </si>
  <si>
    <t>37,984.0000</t>
  </si>
  <si>
    <t>35,900</t>
  </si>
  <si>
    <t>37,445.0000</t>
  </si>
  <si>
    <t>38,018</t>
  </si>
  <si>
    <t>2023/06/19</t>
  </si>
  <si>
    <t>2024/06/21</t>
  </si>
  <si>
    <t>36,400</t>
  </si>
  <si>
    <t>38,205</t>
  </si>
  <si>
    <t>36,382</t>
  </si>
  <si>
    <t>2023/09/19</t>
  </si>
  <si>
    <t>2024/09/20</t>
  </si>
  <si>
    <t>38,000</t>
  </si>
  <si>
    <t>2023/12/18</t>
  </si>
  <si>
    <t>2024/12/20</t>
  </si>
  <si>
    <t>台湾加権指数先物</t>
  </si>
  <si>
    <t>TAIEX Futures</t>
  </si>
  <si>
    <t>2023/01/18</t>
  </si>
  <si>
    <t>2023/12/19</t>
  </si>
  <si>
    <t>2023/11/15</t>
  </si>
  <si>
    <t>2024/01/16</t>
  </si>
  <si>
    <t>2023/12/20</t>
  </si>
  <si>
    <t>2024/02/20</t>
  </si>
  <si>
    <t>2023/04/19</t>
  </si>
  <si>
    <t>2024/03/19</t>
  </si>
  <si>
    <t>2023/07/19</t>
  </si>
  <si>
    <t>2024/06/18</t>
  </si>
  <si>
    <t>2023/10/18</t>
  </si>
  <si>
    <t>2024/09/17</t>
  </si>
  <si>
    <t>FTSE中国50指数先物</t>
  </si>
  <si>
    <t>FTSE China 50 Index Futures</t>
  </si>
  <si>
    <t>2023/04/28</t>
  </si>
  <si>
    <t>2023/12/28</t>
  </si>
  <si>
    <t>2023/11/30</t>
  </si>
  <si>
    <t>2024/01/30</t>
  </si>
  <si>
    <t>2023/12/29</t>
  </si>
  <si>
    <t>2024/02/28</t>
  </si>
  <si>
    <t>2023/07/31</t>
  </si>
  <si>
    <t>2024/03/27</t>
  </si>
  <si>
    <t>2023/10/31</t>
  </si>
  <si>
    <t>2024/06/27</t>
  </si>
  <si>
    <t>日経平均・配当指数先物</t>
  </si>
  <si>
    <t>Nikkei 225 Dividend Index Futures</t>
  </si>
  <si>
    <t>2016/01/04</t>
  </si>
  <si>
    <t>2024/03/29</t>
  </si>
  <si>
    <t>2017/01/04</t>
  </si>
  <si>
    <t>2025/03/31</t>
  </si>
  <si>
    <t>2018/01/04</t>
  </si>
  <si>
    <t>2026/03/31</t>
  </si>
  <si>
    <t>2019/01/04</t>
  </si>
  <si>
    <t>2027/03/31</t>
  </si>
  <si>
    <t>2020/01/06</t>
  </si>
  <si>
    <t>2028/03/31</t>
  </si>
  <si>
    <t>2021/01/04</t>
  </si>
  <si>
    <t>2029/03/30</t>
  </si>
  <si>
    <t>2022/01/04</t>
  </si>
  <si>
    <t>2030/03/29</t>
  </si>
  <si>
    <t>2023/01/04</t>
  </si>
  <si>
    <t>2031/03/31</t>
  </si>
  <si>
    <t>日経平均VI先物</t>
  </si>
  <si>
    <t>Nikkei 225 VI Futures</t>
  </si>
  <si>
    <t>2023/04/12</t>
  </si>
  <si>
    <t>2023/12/12</t>
  </si>
  <si>
    <t>17.70</t>
  </si>
  <si>
    <t>19.95</t>
  </si>
  <si>
    <t>17.30</t>
  </si>
  <si>
    <t>18.85</t>
  </si>
  <si>
    <t>2023/05/10</t>
  </si>
  <si>
    <t>2024/01/09</t>
  </si>
  <si>
    <t>19.25</t>
  </si>
  <si>
    <t>20.95</t>
  </si>
  <si>
    <t>18.35</t>
  </si>
  <si>
    <t>18.95</t>
  </si>
  <si>
    <t>2023/06/14</t>
  </si>
  <si>
    <t>2024/02/06</t>
  </si>
  <si>
    <t>21.55</t>
  </si>
  <si>
    <t>18.70</t>
  </si>
  <si>
    <t>2023/07/11</t>
  </si>
  <si>
    <t>2024/03/12</t>
  </si>
  <si>
    <t>22.50</t>
  </si>
  <si>
    <t>20.40</t>
  </si>
  <si>
    <t>2023/08/09</t>
  </si>
  <si>
    <t>2024/04/09</t>
  </si>
  <si>
    <t>20.60</t>
  </si>
  <si>
    <t>22</t>
  </si>
  <si>
    <t>20.70</t>
  </si>
  <si>
    <t>2024/05</t>
  </si>
  <si>
    <t>2023/09/13</t>
  </si>
  <si>
    <t>2024/05/14</t>
  </si>
  <si>
    <t>2023/10/11</t>
  </si>
  <si>
    <t>2024/06/11</t>
  </si>
  <si>
    <t>2024/07</t>
  </si>
  <si>
    <t>2023/11/08</t>
  </si>
  <si>
    <t>2024/07/09</t>
  </si>
  <si>
    <t>2024/08</t>
  </si>
  <si>
    <t>2023/12/13</t>
  </si>
  <si>
    <t>2024/08/13</t>
  </si>
  <si>
    <t>S&amp;P/JPX 500 ESGスコア・ティルト指数先物</t>
  </si>
  <si>
    <t>S&amp;P/JPX 500 ESG Score Tilted Index Futures</t>
  </si>
  <si>
    <t>2023/05/29</t>
  </si>
  <si>
    <t>FTSE JPXネットゼロ・ジャパン500指数先物</t>
  </si>
  <si>
    <t>FTSE JPX Net Zero Japan 500 Index Futures</t>
  </si>
  <si>
    <t>日経気候変動指数先物</t>
  </si>
  <si>
    <t>Nikkei Climate 1.5C Target Index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</si>
</sst>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53">
    <xf borderId="0" fillId="0" fontId="0" numFmtId="0"/>
    <xf applyAlignment="0" applyBorder="0" applyFill="0" applyFont="0" applyProtection="0" borderId="0" fillId="0" fontId="5" numFmtId="38"/>
    <xf applyAlignment="0" applyBorder="0" applyFill="0" borderId="0" fillId="0" fontId="8" numFmtId="176"/>
    <xf applyAlignment="0" applyNumberFormat="0" applyProtection="0" borderId="1" fillId="0" fontId="9" numFmtId="0">
      <alignment horizontal="left" vertical="center"/>
    </xf>
    <xf borderId="2" fillId="0" fontId="9" numFmtId="0">
      <alignment horizontal="left" vertical="center"/>
    </xf>
    <xf borderId="0" fillId="0" fontId="10" numFmtId="177"/>
    <xf borderId="0" fillId="0" fontId="11" numFmtId="0"/>
    <xf borderId="0" fillId="0" fontId="12" numFmtId="0"/>
    <xf applyBorder="0" applyFill="0" applyNumberFormat="0" applyProtection="0" borderId="3" fillId="2" fontId="13" numFmtId="49"/>
    <xf borderId="0" fillId="0" fontId="7" numFmtId="0">
      <alignment vertical="center"/>
    </xf>
    <xf borderId="0" fillId="0" fontId="14" numFmtId="0"/>
    <xf borderId="0" fillId="0" fontId="14" numFmtId="0">
      <alignment vertical="center"/>
    </xf>
    <xf borderId="0" fillId="0" fontId="16" numFmtId="178"/>
    <xf borderId="0" fillId="0" fontId="5" numFmtId="0"/>
    <xf borderId="0" fillId="0" fontId="5" numFmtId="0"/>
    <xf borderId="0" fillId="0" fontId="1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19" numFmtId="9"/>
    <xf borderId="0" fillId="0" fontId="20" numFmtId="0"/>
    <xf borderId="0" fillId="0" fontId="5" numFmtId="0"/>
    <xf applyAlignment="0" applyBorder="0" applyNumberFormat="0" applyProtection="0" borderId="0" fillId="3" fontId="8" numFmtId="0"/>
    <xf applyAlignment="0" applyBorder="0" applyNumberFormat="0" applyProtection="0" borderId="0" fillId="4" fontId="8" numFmtId="0"/>
    <xf applyAlignment="0" applyBorder="0" applyNumberFormat="0" applyProtection="0" borderId="0" fillId="5" fontId="8" numFmtId="0"/>
    <xf applyAlignment="0" applyBorder="0" applyNumberFormat="0" applyProtection="0" borderId="0" fillId="6" fontId="8" numFmtId="0"/>
    <xf applyAlignment="0" applyBorder="0" applyNumberFormat="0" applyProtection="0" borderId="0" fillId="7" fontId="8" numFmtId="0"/>
    <xf applyAlignment="0" applyBorder="0" applyNumberFormat="0" applyProtection="0" borderId="0" fillId="8" fontId="8" numFmtId="0"/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9" fontId="8" numFmtId="0"/>
    <xf applyAlignment="0" applyBorder="0" applyNumberFormat="0" applyProtection="0" borderId="0" fillId="10" fontId="8" numFmtId="0"/>
    <xf applyAlignment="0" applyBorder="0" applyNumberFormat="0" applyProtection="0" borderId="0" fillId="11" fontId="8" numFmtId="0"/>
    <xf applyAlignment="0" applyBorder="0" applyNumberFormat="0" applyProtection="0" borderId="0" fillId="6" fontId="8" numFmtId="0"/>
    <xf applyAlignment="0" applyBorder="0" applyNumberFormat="0" applyProtection="0" borderId="0" fillId="9" fontId="8" numFmtId="0"/>
    <xf applyAlignment="0" applyBorder="0" applyNumberFormat="0" applyProtection="0" borderId="0" fillId="12" fontId="8" numFmtId="0"/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3" fontId="22" numFmtId="0"/>
    <xf applyAlignment="0" applyBorder="0" applyNumberFormat="0" applyProtection="0" borderId="0" fillId="10" fontId="22" numFmtId="0"/>
    <xf applyAlignment="0" applyBorder="0" applyNumberFormat="0" applyProtection="0" borderId="0" fillId="11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16" fontId="22" numFmtId="0"/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7" fontId="22" numFmtId="0"/>
    <xf applyAlignment="0" applyBorder="0" applyNumberFormat="0" applyProtection="0" borderId="0" fillId="18" fontId="22" numFmtId="0"/>
    <xf applyAlignment="0" applyBorder="0" applyNumberFormat="0" applyProtection="0" borderId="0" fillId="19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20" fontId="22" numFmtId="0"/>
    <xf borderId="0" fillId="0" fontId="24" numFmtId="0">
      <alignment horizontal="center" wrapText="1"/>
      <protection locked="0"/>
    </xf>
    <xf borderId="0" fillId="0" fontId="25" numFmtId="0"/>
    <xf applyAlignment="0" applyBorder="0" applyNumberFormat="0" applyProtection="0" borderId="0" fillId="4" fontId="26" numFmtId="0"/>
    <xf applyAlignment="0" applyBorder="0" applyFill="0" applyNumberFormat="0" applyProtection="0" borderId="0" fillId="0" fontId="27" numFmtId="0"/>
    <xf applyAlignment="0" applyBorder="0" applyFill="0" borderId="0" fillId="0" fontId="7" numFmtId="179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0" fillId="21" fontId="28" numFmtId="0"/>
    <xf applyAlignment="0" applyNumberFormat="0" applyProtection="0" borderId="11" fillId="22" fontId="29" numFmtId="0"/>
    <xf borderId="0" fillId="0" fontId="30" numFmtId="0">
      <alignment vertical="top" wrapText="1"/>
    </xf>
    <xf applyAlignment="0" applyBorder="0" applyFill="0" applyFont="0" applyProtection="0" borderId="0" fillId="0" fontId="11" numFmtId="41"/>
    <xf applyAlignment="0" applyBorder="0" applyFill="0" applyFont="0" applyProtection="0" borderId="0" fillId="0" fontId="11" numFmtId="43"/>
    <xf applyAlignment="0" applyBorder="0" applyFill="0" applyFont="0" applyProtection="0" borderId="0" fillId="0" fontId="11" numFmtId="180"/>
    <xf applyAlignment="0" applyBorder="0" applyFill="0" applyFont="0" applyProtection="0" borderId="0" fillId="0" fontId="11" numFmtId="181"/>
    <xf borderId="0" fillId="0" fontId="31" numFmtId="0">
      <alignment horizontal="left"/>
    </xf>
    <xf applyAlignment="0" applyBorder="0" applyFill="0" applyNumberFormat="0" applyProtection="0" borderId="0" fillId="0" fontId="32" numFmtId="0"/>
    <xf applyAlignment="0" applyBorder="0" applyNumberFormat="0" applyProtection="0" borderId="0" fillId="5" fontId="33" numFmtId="0"/>
    <xf applyAlignment="0" applyBorder="0" applyNumberFormat="0" applyProtection="0" borderId="0" fillId="23" fontId="34" numFmtId="38"/>
    <xf borderId="0" fillId="24" fontId="35" numFmtId="0"/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borderId="2" fillId="0" fontId="9" numFmtId="0">
      <alignment horizontal="left" vertical="center"/>
    </xf>
    <xf applyAlignment="0" applyFill="0" applyNumberFormat="0" applyProtection="0" borderId="12" fillId="0" fontId="36" numFmtId="0"/>
    <xf applyAlignment="0" applyFill="0" applyNumberFormat="0" applyProtection="0" borderId="13" fillId="0" fontId="37" numFmtId="0"/>
    <xf applyAlignment="0" applyFill="0" applyNumberFormat="0" applyProtection="0" borderId="14" fillId="0" fontId="38" numFmtId="0"/>
    <xf applyAlignment="0" applyBorder="0" applyFill="0" applyNumberFormat="0" applyProtection="0" borderId="0" fillId="0" fontId="38" numFmtId="0"/>
    <xf applyBorder="0" borderId="0" fillId="0" fontId="7" numFmtId="0"/>
    <xf applyAlignment="0" applyNumberFormat="0" applyProtection="0" borderId="10" fillId="8" fontId="39" numFmtId="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applyAlignment="0" applyNumberFormat="0" applyProtection="0" borderId="10" fillId="8" fontId="39" numFmtId="0"/>
    <xf borderId="0" fillId="0" fontId="7" numFmtId="0"/>
    <xf applyAlignment="0" applyFill="0" applyNumberFormat="0" applyProtection="0" borderId="15" fillId="0" fontId="40" numFmtId="0"/>
    <xf applyAlignment="0" applyBorder="0" applyFill="0" applyFont="0" applyProtection="0" borderId="0" fillId="0" fontId="41" numFmtId="38"/>
    <xf applyAlignment="0" applyBorder="0" applyFill="0" applyFont="0" applyProtection="0" borderId="0" fillId="0" fontId="41" numFmtId="40"/>
    <xf applyAlignment="0" applyBorder="0" applyFill="0" applyFont="0" applyProtection="0" borderId="0" fillId="0" fontId="41" numFmtId="182"/>
    <xf applyAlignment="0" applyBorder="0" applyFill="0" applyFont="0" applyProtection="0" borderId="0" fillId="0" fontId="41" numFmtId="183"/>
    <xf applyAlignment="0" applyBorder="0" applyNumberFormat="0" applyProtection="0" borderId="0" fillId="26" fontId="42" numFmtId="0"/>
    <xf borderId="0" fillId="0" fontId="43" numFmtId="37"/>
    <xf borderId="0" fillId="0" fontId="7" numFmtId="184"/>
    <xf borderId="0" fillId="0" fontId="7" numFmtId="184"/>
    <xf borderId="0" fillId="0" fontId="10" numFmtId="177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Font="0" applyNumberFormat="0" applyProtection="0" borderId="16" fillId="27" fontId="11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applyAlignment="0" applyNumberFormat="0" applyProtection="0" borderId="17" fillId="21" fontId="44" numFmtId="0"/>
    <xf borderId="0" fillId="0" fontId="24" numFmtId="14">
      <alignment horizontal="center" wrapText="1"/>
      <protection locked="0"/>
    </xf>
    <xf applyAlignment="0" applyBorder="0" applyFill="0" applyFont="0" applyProtection="0" borderId="0" fillId="0" fontId="11" numFmtId="10"/>
    <xf borderId="0" fillId="0" fontId="31" numFmtId="4">
      <alignment horizontal="right"/>
    </xf>
    <xf applyAlignment="0" applyBorder="0" applyFill="0" applyFont="0" applyNumberFormat="0" applyProtection="0" borderId="0" fillId="0" fontId="45" numFmtId="0">
      <alignment horizontal="left"/>
    </xf>
    <xf borderId="18" fillId="0" fontId="46" numFmtId="0">
      <alignment horizontal="center"/>
    </xf>
    <xf applyAlignment="0" applyBorder="0" applyFill="0" applyFont="0" applyNumberFormat="0" borderId="0" fillId="0" fontId="47" numFmtId="0"/>
    <xf borderId="0" fillId="0" fontId="48" numFmtId="4">
      <alignment horizontal="right"/>
    </xf>
    <xf borderId="0" fillId="0" fontId="49" numFmtId="0">
      <alignment horizontal="left"/>
    </xf>
    <xf borderId="0" fillId="0" fontId="50" numFmtId="0"/>
    <xf borderId="0" fillId="0" fontId="51" numFmtId="0">
      <alignment horizontal="center"/>
    </xf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Fill="0" applyNumberFormat="0" applyProtection="0" borderId="19" fillId="0" fontId="52" numFmtId="0"/>
    <xf applyAlignment="0" applyBorder="0" applyFill="0" applyNumberFormat="0" applyProtection="0" borderId="0" fillId="0" fontId="53" numFmtId="0"/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borderId="0" fillId="0" fontId="54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applyAlignment="0" applyNumberFormat="0" applyProtection="0" borderId="11" fillId="22" fontId="56" numFmtId="0">
      <alignment vertical="center"/>
    </xf>
    <xf borderId="0" fillId="0" fontId="57" numFmtId="0"/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Fill="0" applyFont="0" applyProtection="0" borderId="0" fillId="0" fontId="5" numFmtId="9"/>
    <xf applyAlignment="0" applyBorder="0" applyFill="0" applyFont="0" applyProtection="0" borderId="0" fillId="0" fontId="5" numFmtId="9">
      <alignment vertical="center"/>
    </xf>
    <xf applyAlignment="0" applyBorder="0" applyFill="0" applyFont="0" applyProtection="0" borderId="0" fillId="0" fontId="5" numFmtId="9"/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1" numFmtId="0">
      <alignment vertical="top"/>
      <protection locked="0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21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7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ont="0" applyNumberFormat="0" applyProtection="0" borderId="16" fillId="27" fontId="5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applyAlignment="0" applyFill="0" applyNumberFormat="0" applyProtection="0" borderId="15" fillId="0" fontId="62" numFmtId="0">
      <alignment vertical="center"/>
    </xf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borderId="0" fillId="0" fontId="12" numFmtId="0"/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NumberFormat="0" applyProtection="0" borderId="10" fillId="21" fontId="64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Font="0" applyProtection="0" borderId="0" fillId="0" fontId="11" numFmtId="43"/>
    <xf applyAlignment="0" applyBorder="0" applyFill="0" applyFont="0" applyProtection="0" borderId="0" fillId="0" fontId="66" numFmtId="38"/>
    <xf applyAlignment="0" applyBorder="0" applyFill="0" applyFont="0" applyProtection="0" borderId="0" fillId="0" fontId="17" numFmtId="38">
      <alignment vertical="center"/>
    </xf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67" numFmtId="38"/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1" numFmtId="185"/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5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5" numFmtId="38"/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2" fillId="0" fontId="68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3" fillId="0" fontId="69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Fill="0" applyNumberFormat="0" applyProtection="0" borderId="14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borderId="0" fillId="0" fontId="71" numFmtId="0"/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Fill="0" applyNumberFormat="0" applyProtection="0" borderId="19" fillId="0" fontId="72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applyAlignment="0" applyNumberFormat="0" applyProtection="0" borderId="17" fillId="21" fontId="73" numFmtId="0">
      <alignment vertical="center"/>
    </xf>
    <xf borderId="0" fillId="0" fontId="12" numFmtId="186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11" numFmtId="187"/>
    <xf applyAlignment="0" applyBorder="0" applyFill="0" applyFont="0" applyProtection="0" borderId="0" fillId="0" fontId="11" numFmtId="18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5" numFmtId="6"/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14" numFmtId="6">
      <alignment vertical="center"/>
    </xf>
    <xf applyAlignment="0" applyBorder="0" applyFill="0" applyFont="0" applyProtection="0" borderId="0" fillId="0" fontId="5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5" numFmtId="6"/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applyAlignment="0" applyNumberFormat="0" applyProtection="0" borderId="10" fillId="8" fontId="76" numFmtId="0">
      <alignment vertical="center"/>
    </xf>
    <xf borderId="0" fillId="0" fontId="15" numFmtId="0">
      <alignment vertical="center"/>
    </xf>
    <xf borderId="0" fillId="0" fontId="1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17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78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/>
    <xf borderId="0" fillId="0" fontId="18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/>
    <xf borderId="0" fillId="0" fontId="14" numFmtId="0"/>
    <xf borderId="0" fillId="0" fontId="14" numFmtId="0">
      <alignment vertical="center"/>
    </xf>
    <xf borderId="0" fillId="0" fontId="79" numFmtId="0">
      <alignment vertical="center"/>
    </xf>
    <xf borderId="0" fillId="0" fontId="14" numFmtId="0"/>
    <xf borderId="0" fillId="0" fontId="79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>
      <alignment vertical="center"/>
    </xf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9" numFmtId="0"/>
    <xf borderId="0" fillId="0" fontId="17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>
      <alignment vertical="center"/>
    </xf>
    <xf borderId="0" fillId="0" fontId="5" numFmtId="0"/>
    <xf borderId="0" fillId="0" fontId="81" numFmtId="0"/>
    <xf borderId="0" fillId="0" fontId="14" numFmtId="0"/>
    <xf borderId="0" fillId="0" fontId="7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1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9" numFmtId="0"/>
    <xf borderId="0" fillId="0" fontId="78" numFmtId="0">
      <alignment vertical="center"/>
    </xf>
    <xf borderId="0" fillId="0" fontId="19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5" numFmtId="0"/>
    <xf borderId="0" fillId="0" fontId="5" numFmtId="0"/>
    <xf borderId="0" fillId="0" fontId="21" numFmtId="0">
      <alignment vertical="center"/>
    </xf>
    <xf borderId="0" fillId="0" fontId="14" numFmtId="0">
      <alignment vertical="center"/>
    </xf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>
      <alignment vertical="center"/>
    </xf>
    <xf borderId="0" fillId="0" fontId="17" numFmtId="0">
      <alignment vertical="center"/>
    </xf>
    <xf borderId="0" fillId="0" fontId="81" numFmtId="0"/>
    <xf borderId="0" fillId="0" fontId="17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5" numFmtId="0"/>
    <xf borderId="0" fillId="0" fontId="5" numFmtId="0"/>
    <xf borderId="0" fillId="0" fontId="81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1" numFmtId="0"/>
    <xf borderId="0" fillId="0" fontId="81" numFmtId="0"/>
    <xf borderId="0" fillId="0" fontId="5" numFmtId="0"/>
    <xf borderId="0" fillId="0" fontId="81" numFmtId="0"/>
    <xf borderId="0" fillId="0" fontId="21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2" numFmtId="0">
      <alignment vertical="center"/>
    </xf>
    <xf borderId="0" fillId="0" fontId="5" numFmtId="0"/>
    <xf borderId="0" fillId="0" fontId="5" numFmtId="0"/>
    <xf borderId="0" fillId="0" fontId="14" numFmtId="0"/>
    <xf borderId="0" fillId="0" fontId="14" numFmtId="0"/>
    <xf borderId="0" fillId="0" fontId="5" numFmtId="0"/>
    <xf borderId="0" fillId="0" fontId="5" numFmtId="0"/>
    <xf borderId="0" fillId="0" fontId="7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7" numFmtId="0"/>
    <xf borderId="0" fillId="0" fontId="5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83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8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8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14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80" numFmtId="0">
      <alignment vertical="center"/>
    </xf>
    <xf borderId="0" fillId="0" fontId="5" numFmtId="0"/>
    <xf borderId="0" fillId="0" fontId="5" numFmtId="0">
      <alignment vertical="center"/>
    </xf>
    <xf borderId="0" fillId="0" fontId="80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/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85" numFmtId="0">
      <alignment vertical="center"/>
    </xf>
    <xf borderId="0" fillId="0" fontId="5" numFmtId="0">
      <alignment vertical="center"/>
    </xf>
    <xf borderId="0" fillId="0" fontId="85" numFmtId="0">
      <alignment vertical="center"/>
    </xf>
    <xf borderId="0" fillId="0" fontId="5" numFmtId="0"/>
    <xf borderId="0" fillId="0" fontId="5" numFmtId="0">
      <alignment vertical="center"/>
    </xf>
    <xf borderId="0" fillId="0" fontId="5" numFmtId="0"/>
    <xf borderId="0" fillId="0" fontId="19" numFmtId="0"/>
    <xf borderId="0" fillId="0" fontId="85" numFmtId="0">
      <alignment vertical="center"/>
    </xf>
    <xf borderId="0" fillId="0" fontId="19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21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21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/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6" numFmtId="0"/>
    <xf borderId="0" fillId="0" fontId="87" numFmtId="0"/>
    <xf borderId="0" fillId="0" fontId="57" numFmtId="0"/>
    <xf applyBorder="0" applyFill="0" borderId="0" fillId="0" fontId="15" numFmtId="49"/>
    <xf borderId="0" fillId="0" fontId="88" numFmtId="0"/>
    <xf borderId="0" fillId="0" fontId="89" numFmtId="0"/>
    <xf borderId="0" fillId="0" fontId="88" numFmtId="0"/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borderId="0" fillId="0" fontId="5" numFmtId="0"/>
    <xf borderId="0" fillId="0" fontId="3" numFmtId="0">
      <alignment vertical="center"/>
    </xf>
    <xf borderId="0" fillId="0" fontId="91" numFmtId="0"/>
    <xf borderId="0" fillId="0" fontId="91" numFmtId="0"/>
    <xf borderId="0" fillId="0" fontId="91" numFmtId="186"/>
    <xf borderId="0" fillId="0" fontId="91" numFmtId="186"/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92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</cellStyleXfs>
  <cellXfs count="61">
    <xf borderId="0" fillId="0" fontId="0" numFmtId="0" xfId="0"/>
    <xf applyFont="1" borderId="0" fillId="0" fontId="95" numFmtId="0" xfId="1946">
      <alignment vertical="center"/>
    </xf>
    <xf applyFont="1" borderId="0" fillId="0" fontId="19" numFmtId="0" xfId="1946">
      <alignment vertical="center"/>
    </xf>
    <xf applyBorder="1" applyFill="1" applyFont="1" borderId="9" fillId="0" fontId="19" numFmtId="0" xfId="1946">
      <alignment vertical="center"/>
    </xf>
    <xf applyFill="1" applyFont="1" borderId="0" fillId="0" fontId="95" numFmtId="0" xfId="1946">
      <alignment vertical="center"/>
    </xf>
    <xf applyBorder="1" applyFill="1" applyFont="1" borderId="20" fillId="0" fontId="19" numFmtId="0" xfId="1946">
      <alignment vertical="center"/>
    </xf>
    <xf applyBorder="1" applyFill="1" applyFont="1" borderId="8" fillId="0" fontId="19" numFmtId="0" xfId="1946">
      <alignment vertical="center"/>
    </xf>
    <xf applyAlignment="1" applyBorder="1" applyFill="1" applyFont="1" applyNumberFormat="1" borderId="39" fillId="0" fontId="7" numFmtId="0" xfId="1946">
      <alignment horizontal="center" vertical="center" wrapText="1"/>
    </xf>
    <xf applyAlignment="1" applyBorder="1" applyFill="1" applyFont="1" applyNumberFormat="1" borderId="4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  <xf applyAlignment="1" applyBorder="1" applyFill="1" applyFont="1" applyNumberFormat="1" borderId="36" fillId="0" fontId="7" numFmtId="49" xfId="1946">
      <alignment vertical="center"/>
    </xf>
    <xf applyAlignment="1" applyBorder="1" applyFill="1" applyFont="1" applyNumberFormat="1" borderId="21" fillId="0" fontId="7" numFmtId="49" xfId="1946">
      <alignment vertical="center"/>
    </xf>
    <xf applyAlignment="1" applyBorder="1" applyFill="1" applyFont="1" applyNumberFormat="1" borderId="22" fillId="0" fontId="7" numFmtId="49" xfId="1946">
      <alignment vertical="center"/>
    </xf>
    <xf applyAlignment="1" applyBorder="1" applyFill="1" applyFont="1" applyNumberFormat="1" borderId="22" fillId="0" fontId="7" numFmtId="49" xfId="1946">
      <alignment horizontal="right" vertical="center"/>
    </xf>
    <xf applyAlignment="1" applyBorder="1" applyFill="1" applyFont="1" applyNumberFormat="1" borderId="23" fillId="0" fontId="7" numFmtId="49" xfId="1946">
      <alignment horizontal="right" vertical="center"/>
    </xf>
    <xf applyAlignment="1" applyBorder="1" applyFill="1" applyFont="1" applyNumberFormat="1" borderId="21" fillId="0" fontId="7" numFmtId="4" xfId="1946">
      <alignment horizontal="right" vertical="center"/>
    </xf>
    <xf applyAlignment="1" applyBorder="1" applyFill="1" applyFont="1" applyNumberFormat="1" borderId="21" fillId="0" fontId="7" numFmtId="3" xfId="1946">
      <alignment horizontal="right" vertical="center"/>
    </xf>
    <xf applyAlignment="1" applyBorder="1" applyFill="1" applyFont="1" applyNumberFormat="1" borderId="23" fillId="0" fontId="7" numFmtId="3" xfId="1946">
      <alignment horizontal="right" vertical="center"/>
    </xf>
    <xf applyAlignment="1" applyBorder="1" applyFill="1" applyFont="1" applyNumberFormat="1" borderId="37" fillId="0" fontId="7" numFmtId="189" xfId="1946">
      <alignment horizontal="right" vertical="center"/>
    </xf>
    <xf applyBorder="1" applyFont="1" applyNumberFormat="1" borderId="21" fillId="0" fontId="7" numFmtId="49" xfId="1946">
      <alignment vertical="center"/>
    </xf>
    <xf applyAlignment="1" applyBorder="1" applyFont="1" applyNumberFormat="1" borderId="21" fillId="0" fontId="7" numFmtId="3" xfId="1946">
      <alignment horizontal="right" vertical="center"/>
    </xf>
    <xf applyAlignment="1" applyBorder="1" applyFill="1" applyFont="1" borderId="9" fillId="0" fontId="94" numFmtId="0" xfId="1946">
      <alignment vertical="center" wrapText="1"/>
    </xf>
    <xf applyAlignment="1" applyBorder="1" applyFill="1" applyFont="1" borderId="6" fillId="0" fontId="94" numFmtId="0" xfId="1946">
      <alignment vertical="center" wrapText="1"/>
    </xf>
    <xf applyAlignment="1" applyBorder="1" applyFill="1" applyFont="1" borderId="20" fillId="0" fontId="93" numFmtId="0" xfId="1946">
      <alignment vertical="center" wrapText="1"/>
    </xf>
    <xf applyAlignment="1" applyBorder="1" applyFill="1" applyFont="1" borderId="21" fillId="0" fontId="7" numFmtId="0" xfId="1946">
      <alignment horizontal="center" vertical="center" wrapText="1"/>
    </xf>
    <xf applyAlignment="1" applyBorder="1" applyFill="1" applyFont="1" borderId="24" fillId="0" fontId="7" numFmtId="0" xfId="1946">
      <alignment horizontal="center" vertical="center" wrapText="1"/>
    </xf>
    <xf applyAlignment="1" applyBorder="1" applyFill="1" applyFont="1" borderId="21" fillId="0" fontId="7" numFmtId="0" xfId="1946">
      <alignment horizontal="center" vertical="center" wrapText="1"/>
    </xf>
    <xf applyAlignment="1" applyBorder="1" applyFill="1" applyFont="1" applyNumberFormat="1" borderId="32" fillId="0" fontId="7" numFmtId="0" xfId="1946">
      <alignment horizontal="center" vertical="top" wrapText="1"/>
    </xf>
    <xf applyAlignment="1" applyBorder="1" applyFill="1" applyFont="1" applyNumberFormat="1" borderId="9" fillId="0" fontId="7" numFmtId="0" xfId="1946">
      <alignment horizontal="center" vertical="top" wrapText="1"/>
    </xf>
    <xf applyAlignment="1" applyBorder="1" applyFill="1" applyFont="1" applyNumberFormat="1" borderId="33" fillId="0" fontId="7" numFmtId="0" xfId="1946">
      <alignment horizontal="center" vertical="top" wrapText="1"/>
    </xf>
    <xf applyAlignment="1" applyBorder="1" applyFill="1" applyFont="1" borderId="7" fillId="0" fontId="93" numFmtId="0" xfId="1946">
      <alignment vertical="center" wrapText="1"/>
    </xf>
    <xf applyAlignment="1" applyBorder="1" applyFill="1" applyFont="1" borderId="20" fillId="0" fontId="93" numFmtId="0" xfId="1946">
      <alignment vertical="center" wrapText="1"/>
    </xf>
    <xf applyAlignment="1" applyBorder="1" applyFill="1" applyFont="1" borderId="5" fillId="0" fontId="93" numFmtId="0" xfId="1946">
      <alignment vertical="center" wrapText="1"/>
    </xf>
    <xf applyAlignment="1" applyBorder="1" applyFill="1" applyFont="1" borderId="9" fillId="0" fontId="93" numFmtId="0" xfId="1946">
      <alignment vertical="center" wrapText="1"/>
    </xf>
    <xf applyAlignment="1" applyBorder="1" applyFill="1" applyFont="1" applyNumberFormat="1" borderId="34" fillId="0" fontId="7" numFmtId="0" xfId="1946">
      <alignment horizontal="center" vertical="center" wrapText="1"/>
    </xf>
    <xf applyAlignment="1" applyBorder="1" applyFill="1" applyFont="1" applyNumberFormat="1" borderId="36" fillId="0" fontId="7" numFmtId="0" xfId="1946">
      <alignment horizontal="center" vertical="center" wrapText="1"/>
    </xf>
    <xf applyAlignment="1" applyBorder="1" applyFill="1" applyFont="1" applyNumberFormat="1" borderId="30" fillId="0" fontId="7" numFmtId="0" xfId="1946">
      <alignment horizontal="center" vertical="top" wrapText="1"/>
    </xf>
    <xf applyAlignment="1" applyBorder="1" applyFill="1" applyFont="1" applyNumberFormat="1" borderId="31" fillId="0" fontId="7" numFmtId="0" xfId="1946">
      <alignment horizontal="center" vertical="top" wrapText="1"/>
    </xf>
    <xf applyAlignment="1" applyBorder="1" applyFill="1" applyFont="1" applyNumberFormat="1" borderId="40" fillId="0" fontId="7" numFmtId="0" xfId="1946">
      <alignment horizontal="center" vertical="center" wrapText="1"/>
    </xf>
    <xf applyAlignment="1" applyBorder="1" applyFill="1" applyFont="1" applyNumberFormat="1" borderId="41" fillId="0" fontId="7" numFmtId="0" xfId="1946">
      <alignment horizontal="center" vertical="center" wrapText="1"/>
    </xf>
    <xf applyAlignment="1" applyBorder="1" applyFill="1" applyFont="1" applyNumberFormat="1" borderId="42" fillId="0" fontId="7" numFmtId="0" xfId="1946">
      <alignment horizontal="center" vertical="center" wrapText="1"/>
    </xf>
    <xf applyAlignment="1" applyBorder="1" applyFill="1" applyFont="1" applyNumberFormat="1" borderId="43" fillId="0" fontId="7" numFmtId="0" xfId="1946">
      <alignment horizontal="center" vertical="center" wrapText="1"/>
    </xf>
    <xf applyAlignment="1" applyBorder="1" applyFill="1" applyFont="1" applyNumberFormat="1" borderId="38" fillId="0" fontId="7" numFmtId="0" xfId="1946">
      <alignment horizontal="center" vertical="center" wrapText="1"/>
    </xf>
    <xf applyAlignment="1" applyBorder="1" applyFill="1" applyFont="1" applyNumberFormat="1" borderId="29" fillId="0" fontId="7" numFmtId="0" xfId="1946">
      <alignment horizontal="center" vertical="center" wrapText="1"/>
    </xf>
    <xf applyAlignment="1" applyBorder="1" applyFill="1" applyFont="1" applyNumberFormat="1" borderId="24" fillId="0" fontId="7" numFmtId="0" xfId="1946">
      <alignment horizontal="center" vertical="center" wrapText="1"/>
    </xf>
    <xf applyAlignment="1" applyBorder="1" applyFill="1" applyFont="1" applyNumberFormat="1" borderId="21" fillId="0" fontId="7" numFmtId="0" xfId="1946">
      <alignment horizontal="center" vertical="center" wrapText="1"/>
    </xf>
    <xf applyAlignment="1" applyBorder="1" applyFill="1" applyFont="1" applyNumberFormat="1" borderId="32" fillId="0" fontId="7" numFmtId="0" xfId="1946">
      <alignment horizontal="center" vertical="center" wrapText="1"/>
    </xf>
    <xf applyAlignment="1" applyBorder="1" applyFill="1" applyFont="1" applyNumberFormat="1" borderId="33" fillId="0" fontId="7" numFmtId="0" xfId="1946">
      <alignment horizontal="center" vertical="center" wrapText="1"/>
    </xf>
    <xf applyAlignment="1" applyBorder="1" applyFill="1" applyFont="1" applyNumberFormat="1" borderId="25" fillId="0" fontId="7" numFmtId="0" xfId="1946">
      <alignment horizontal="center" vertical="center" wrapText="1"/>
    </xf>
    <xf applyAlignment="1" applyBorder="1" applyFill="1" applyFont="1" applyNumberFormat="1" borderId="28" fillId="0" fontId="7" numFmtId="0" xfId="1946">
      <alignment horizontal="center" vertical="center" wrapText="1"/>
    </xf>
    <xf applyAlignment="1" applyBorder="1" applyFill="1" applyFont="1" applyNumberFormat="1" borderId="26" fillId="0" fontId="7" numFmtId="0" xfId="1946">
      <alignment horizontal="center" vertical="center" wrapText="1"/>
    </xf>
    <xf applyAlignment="1" applyBorder="1" applyFill="1" applyFont="1" applyNumberFormat="1" borderId="23" fillId="0" fontId="96" numFmtId="0" xfId="1946">
      <alignment horizontal="center" vertical="center" wrapText="1"/>
    </xf>
    <xf applyAlignment="1" applyBorder="1" applyFill="1" applyFont="1" applyNumberFormat="1" borderId="45" fillId="0" fontId="7" numFmtId="0" xfId="1946">
      <alignment horizontal="center" vertical="center" wrapText="1"/>
    </xf>
    <xf applyAlignment="1" applyBorder="1" applyFill="1" applyFont="1" applyNumberFormat="1" borderId="27" fillId="0" fontId="7" numFmtId="0" xfId="1946">
      <alignment horizontal="center" vertical="center" wrapText="1"/>
    </xf>
    <xf applyAlignment="1" applyBorder="1" applyFill="1" applyFont="1" applyNumberFormat="1" borderId="22" fillId="0" fontId="7" numFmtId="0" xfId="1946">
      <alignment horizontal="center" vertical="center" wrapText="1"/>
    </xf>
    <xf applyAlignment="1" applyBorder="1" applyFill="1" applyFont="1" applyNumberFormat="1" borderId="23" fillId="0" fontId="7" numFmtId="0" xfId="1946">
      <alignment horizontal="center" vertical="center" wrapText="1"/>
    </xf>
    <xf applyAlignment="1" applyBorder="1" applyFill="1" applyFont="1" applyNumberFormat="1" borderId="35" fillId="0" fontId="7" numFmtId="0" xfId="1946">
      <alignment horizontal="center" vertical="center" wrapText="1"/>
    </xf>
    <xf applyAlignment="1" applyBorder="1" applyFill="1" applyFont="1" applyNumberFormat="1" borderId="37" fillId="0" fontId="7" numFmtId="0" xfId="1946">
      <alignment horizontal="center" vertical="center" wrapText="1"/>
    </xf>
  </cellXfs>
  <cellStyles count="1953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桁区切り 7 2" xfId="1952" xr:uid="{00000000-0005-0000-0000-000048030000}"/>
    <cellStyle name="見出し 1 2" xfId="847" xr:uid="{00000000-0005-0000-0000-000049030000}"/>
    <cellStyle name="見出し 1 3" xfId="848" xr:uid="{00000000-0005-0000-0000-00004A030000}"/>
    <cellStyle name="見出し 1 4" xfId="849" xr:uid="{00000000-0005-0000-0000-00004B030000}"/>
    <cellStyle name="見出し 1 5" xfId="850" xr:uid="{00000000-0005-0000-0000-00004C030000}"/>
    <cellStyle name="見出し 1 6" xfId="851" xr:uid="{00000000-0005-0000-0000-00004D030000}"/>
    <cellStyle name="見出し 1 7" xfId="852" xr:uid="{00000000-0005-0000-0000-00004E030000}"/>
    <cellStyle name="見出し 1 8" xfId="853" xr:uid="{00000000-0005-0000-0000-00004F030000}"/>
    <cellStyle name="見出し 1 9" xfId="854" xr:uid="{00000000-0005-0000-0000-000050030000}"/>
    <cellStyle name="見出し 2 2" xfId="855" xr:uid="{00000000-0005-0000-0000-000051030000}"/>
    <cellStyle name="見出し 2 3" xfId="856" xr:uid="{00000000-0005-0000-0000-000052030000}"/>
    <cellStyle name="見出し 2 4" xfId="857" xr:uid="{00000000-0005-0000-0000-000053030000}"/>
    <cellStyle name="見出し 2 5" xfId="858" xr:uid="{00000000-0005-0000-0000-000054030000}"/>
    <cellStyle name="見出し 2 6" xfId="859" xr:uid="{00000000-0005-0000-0000-000055030000}"/>
    <cellStyle name="見出し 2 7" xfId="860" xr:uid="{00000000-0005-0000-0000-000056030000}"/>
    <cellStyle name="見出し 2 8" xfId="861" xr:uid="{00000000-0005-0000-0000-000057030000}"/>
    <cellStyle name="見出し 2 9" xfId="862" xr:uid="{00000000-0005-0000-0000-000058030000}"/>
    <cellStyle name="見出し 3 2" xfId="863" xr:uid="{00000000-0005-0000-0000-000059030000}"/>
    <cellStyle name="見出し 3 3" xfId="864" xr:uid="{00000000-0005-0000-0000-00005A030000}"/>
    <cellStyle name="見出し 3 4" xfId="865" xr:uid="{00000000-0005-0000-0000-00005B030000}"/>
    <cellStyle name="見出し 3 5" xfId="866" xr:uid="{00000000-0005-0000-0000-00005C030000}"/>
    <cellStyle name="見出し 3 6" xfId="867" xr:uid="{00000000-0005-0000-0000-00005D030000}"/>
    <cellStyle name="見出し 3 7" xfId="868" xr:uid="{00000000-0005-0000-0000-00005E030000}"/>
    <cellStyle name="見出し 3 8" xfId="869" xr:uid="{00000000-0005-0000-0000-00005F030000}"/>
    <cellStyle name="見出し 3 9" xfId="870" xr:uid="{00000000-0005-0000-0000-000060030000}"/>
    <cellStyle name="見出し 4 2" xfId="871" xr:uid="{00000000-0005-0000-0000-000061030000}"/>
    <cellStyle name="見出し 4 3" xfId="872" xr:uid="{00000000-0005-0000-0000-000062030000}"/>
    <cellStyle name="見出し 4 4" xfId="873" xr:uid="{00000000-0005-0000-0000-000063030000}"/>
    <cellStyle name="見出し 4 5" xfId="874" xr:uid="{00000000-0005-0000-0000-000064030000}"/>
    <cellStyle name="見出し 4 6" xfId="875" xr:uid="{00000000-0005-0000-0000-000065030000}"/>
    <cellStyle name="見出し 4 7" xfId="876" xr:uid="{00000000-0005-0000-0000-000066030000}"/>
    <cellStyle name="見出し 4 8" xfId="877" xr:uid="{00000000-0005-0000-0000-000067030000}"/>
    <cellStyle name="見出し 4 9" xfId="878" xr:uid="{00000000-0005-0000-0000-000068030000}"/>
    <cellStyle name="構成図作成用" xfId="879" xr:uid="{00000000-0005-0000-0000-000069030000}"/>
    <cellStyle name="取り消し" xfId="8" xr:uid="{00000000-0005-0000-0000-00006A030000}"/>
    <cellStyle name="集計 2" xfId="880" xr:uid="{00000000-0005-0000-0000-00006B030000}"/>
    <cellStyle name="集計 2 2" xfId="881" xr:uid="{00000000-0005-0000-0000-00006C030000}"/>
    <cellStyle name="集計 2 2 2" xfId="882" xr:uid="{00000000-0005-0000-0000-00006D030000}"/>
    <cellStyle name="集計 2 2 2 2" xfId="883" xr:uid="{00000000-0005-0000-0000-00006E030000}"/>
    <cellStyle name="集計 2 2 2 2 2" xfId="884" xr:uid="{00000000-0005-0000-0000-00006F030000}"/>
    <cellStyle name="集計 2 2 2 3" xfId="885" xr:uid="{00000000-0005-0000-0000-000070030000}"/>
    <cellStyle name="集計 2 2 2 3 2" xfId="886" xr:uid="{00000000-0005-0000-0000-000071030000}"/>
    <cellStyle name="集計 2 2 2 4" xfId="887" xr:uid="{00000000-0005-0000-0000-000072030000}"/>
    <cellStyle name="集計 2 2 2 4 2" xfId="888" xr:uid="{00000000-0005-0000-0000-000073030000}"/>
    <cellStyle name="集計 2 2 2 5" xfId="889" xr:uid="{00000000-0005-0000-0000-000074030000}"/>
    <cellStyle name="集計 2 2 2 5 2" xfId="890" xr:uid="{00000000-0005-0000-0000-000075030000}"/>
    <cellStyle name="集計 2 2 2 6" xfId="891" xr:uid="{00000000-0005-0000-0000-000076030000}"/>
    <cellStyle name="集計 2 2 2 6 2" xfId="892" xr:uid="{00000000-0005-0000-0000-000077030000}"/>
    <cellStyle name="集計 2 2 2 7" xfId="893" xr:uid="{00000000-0005-0000-0000-000078030000}"/>
    <cellStyle name="集計 2 2 3" xfId="894" xr:uid="{00000000-0005-0000-0000-000079030000}"/>
    <cellStyle name="集計 2 2 3 2" xfId="895" xr:uid="{00000000-0005-0000-0000-00007A030000}"/>
    <cellStyle name="集計 2 3" xfId="896" xr:uid="{00000000-0005-0000-0000-00007B030000}"/>
    <cellStyle name="集計 2 3 2" xfId="897" xr:uid="{00000000-0005-0000-0000-00007C030000}"/>
    <cellStyle name="集計 2 3 2 2" xfId="898" xr:uid="{00000000-0005-0000-0000-00007D030000}"/>
    <cellStyle name="集計 2 3 3" xfId="899" xr:uid="{00000000-0005-0000-0000-00007E030000}"/>
    <cellStyle name="集計 2 3 3 2" xfId="900" xr:uid="{00000000-0005-0000-0000-00007F030000}"/>
    <cellStyle name="集計 2 3 4" xfId="901" xr:uid="{00000000-0005-0000-0000-000080030000}"/>
    <cellStyle name="集計 2 3 4 2" xfId="902" xr:uid="{00000000-0005-0000-0000-000081030000}"/>
    <cellStyle name="集計 2 3 5" xfId="903" xr:uid="{00000000-0005-0000-0000-000082030000}"/>
    <cellStyle name="集計 2 3 5 2" xfId="904" xr:uid="{00000000-0005-0000-0000-000083030000}"/>
    <cellStyle name="集計 2 3 6" xfId="905" xr:uid="{00000000-0005-0000-0000-000084030000}"/>
    <cellStyle name="集計 2 3 6 2" xfId="906" xr:uid="{00000000-0005-0000-0000-000085030000}"/>
    <cellStyle name="集計 2 3 7" xfId="907" xr:uid="{00000000-0005-0000-0000-000086030000}"/>
    <cellStyle name="集計 2 4" xfId="908" xr:uid="{00000000-0005-0000-0000-000087030000}"/>
    <cellStyle name="集計 2 4 2" xfId="909" xr:uid="{00000000-0005-0000-0000-000088030000}"/>
    <cellStyle name="集計 3" xfId="910" xr:uid="{00000000-0005-0000-0000-000089030000}"/>
    <cellStyle name="集計 3 2" xfId="911" xr:uid="{00000000-0005-0000-0000-00008A030000}"/>
    <cellStyle name="集計 3 2 2" xfId="912" xr:uid="{00000000-0005-0000-0000-00008B030000}"/>
    <cellStyle name="集計 3 2 2 2" xfId="913" xr:uid="{00000000-0005-0000-0000-00008C030000}"/>
    <cellStyle name="集計 3 2 3" xfId="914" xr:uid="{00000000-0005-0000-0000-00008D030000}"/>
    <cellStyle name="集計 3 2 3 2" xfId="915" xr:uid="{00000000-0005-0000-0000-00008E030000}"/>
    <cellStyle name="集計 3 2 4" xfId="916" xr:uid="{00000000-0005-0000-0000-00008F030000}"/>
    <cellStyle name="集計 3 2 4 2" xfId="917" xr:uid="{00000000-0005-0000-0000-000090030000}"/>
    <cellStyle name="集計 3 2 5" xfId="918" xr:uid="{00000000-0005-0000-0000-000091030000}"/>
    <cellStyle name="集計 3 2 5 2" xfId="919" xr:uid="{00000000-0005-0000-0000-000092030000}"/>
    <cellStyle name="集計 3 2 6" xfId="920" xr:uid="{00000000-0005-0000-0000-000093030000}"/>
    <cellStyle name="集計 3 2 6 2" xfId="921" xr:uid="{00000000-0005-0000-0000-000094030000}"/>
    <cellStyle name="集計 3 2 7" xfId="922" xr:uid="{00000000-0005-0000-0000-000095030000}"/>
    <cellStyle name="集計 3 3" xfId="923" xr:uid="{00000000-0005-0000-0000-000096030000}"/>
    <cellStyle name="集計 3 3 2" xfId="924" xr:uid="{00000000-0005-0000-0000-000097030000}"/>
    <cellStyle name="集計 3 4" xfId="925" xr:uid="{00000000-0005-0000-0000-000098030000}"/>
    <cellStyle name="集計 4" xfId="926" xr:uid="{00000000-0005-0000-0000-000099030000}"/>
    <cellStyle name="集計 4 2" xfId="927" xr:uid="{00000000-0005-0000-0000-00009A030000}"/>
    <cellStyle name="集計 4 2 2" xfId="928" xr:uid="{00000000-0005-0000-0000-00009B030000}"/>
    <cellStyle name="集計 4 3" xfId="929" xr:uid="{00000000-0005-0000-0000-00009C030000}"/>
    <cellStyle name="集計 4 3 2" xfId="930" xr:uid="{00000000-0005-0000-0000-00009D030000}"/>
    <cellStyle name="集計 4 4" xfId="931" xr:uid="{00000000-0005-0000-0000-00009E030000}"/>
    <cellStyle name="集計 4 4 2" xfId="932" xr:uid="{00000000-0005-0000-0000-00009F030000}"/>
    <cellStyle name="集計 4 5" xfId="933" xr:uid="{00000000-0005-0000-0000-0000A0030000}"/>
    <cellStyle name="集計 4 5 2" xfId="934" xr:uid="{00000000-0005-0000-0000-0000A1030000}"/>
    <cellStyle name="集計 4 6" xfId="935" xr:uid="{00000000-0005-0000-0000-0000A2030000}"/>
    <cellStyle name="集計 4 6 2" xfId="936" xr:uid="{00000000-0005-0000-0000-0000A3030000}"/>
    <cellStyle name="集計 4 7" xfId="937" xr:uid="{00000000-0005-0000-0000-0000A4030000}"/>
    <cellStyle name="集計 5" xfId="938" xr:uid="{00000000-0005-0000-0000-0000A5030000}"/>
    <cellStyle name="集計 6" xfId="939" xr:uid="{00000000-0005-0000-0000-0000A6030000}"/>
    <cellStyle name="集計 7" xfId="940" xr:uid="{00000000-0005-0000-0000-0000A7030000}"/>
    <cellStyle name="集計 8" xfId="941" xr:uid="{00000000-0005-0000-0000-0000A8030000}"/>
    <cellStyle name="集計 9" xfId="942" xr:uid="{00000000-0005-0000-0000-0000A9030000}"/>
    <cellStyle name="出力 2" xfId="943" xr:uid="{00000000-0005-0000-0000-0000AA030000}"/>
    <cellStyle name="出力 2 2" xfId="944" xr:uid="{00000000-0005-0000-0000-0000AB030000}"/>
    <cellStyle name="出力 2 2 2" xfId="945" xr:uid="{00000000-0005-0000-0000-0000AC030000}"/>
    <cellStyle name="出力 2 2 2 2" xfId="946" xr:uid="{00000000-0005-0000-0000-0000AD030000}"/>
    <cellStyle name="出力 2 2 2 2 2" xfId="947" xr:uid="{00000000-0005-0000-0000-0000AE030000}"/>
    <cellStyle name="出力 2 2 2 3" xfId="948" xr:uid="{00000000-0005-0000-0000-0000AF030000}"/>
    <cellStyle name="出力 2 2 2 3 2" xfId="949" xr:uid="{00000000-0005-0000-0000-0000B0030000}"/>
    <cellStyle name="出力 2 2 2 4" xfId="950" xr:uid="{00000000-0005-0000-0000-0000B1030000}"/>
    <cellStyle name="出力 2 2 2 4 2" xfId="951" xr:uid="{00000000-0005-0000-0000-0000B2030000}"/>
    <cellStyle name="出力 2 2 2 5" xfId="952" xr:uid="{00000000-0005-0000-0000-0000B3030000}"/>
    <cellStyle name="出力 2 2 2 5 2" xfId="953" xr:uid="{00000000-0005-0000-0000-0000B4030000}"/>
    <cellStyle name="出力 2 2 2 6" xfId="954" xr:uid="{00000000-0005-0000-0000-0000B5030000}"/>
    <cellStyle name="出力 2 2 2 6 2" xfId="955" xr:uid="{00000000-0005-0000-0000-0000B6030000}"/>
    <cellStyle name="出力 2 2 2 7" xfId="956" xr:uid="{00000000-0005-0000-0000-0000B7030000}"/>
    <cellStyle name="出力 2 2 3" xfId="957" xr:uid="{00000000-0005-0000-0000-0000B8030000}"/>
    <cellStyle name="出力 2 2 3 2" xfId="958" xr:uid="{00000000-0005-0000-0000-0000B9030000}"/>
    <cellStyle name="出力 2 3" xfId="959" xr:uid="{00000000-0005-0000-0000-0000BA030000}"/>
    <cellStyle name="出力 2 3 2" xfId="960" xr:uid="{00000000-0005-0000-0000-0000BB030000}"/>
    <cellStyle name="出力 2 3 2 2" xfId="961" xr:uid="{00000000-0005-0000-0000-0000BC030000}"/>
    <cellStyle name="出力 2 3 3" xfId="962" xr:uid="{00000000-0005-0000-0000-0000BD030000}"/>
    <cellStyle name="出力 2 3 3 2" xfId="963" xr:uid="{00000000-0005-0000-0000-0000BE030000}"/>
    <cellStyle name="出力 2 3 4" xfId="964" xr:uid="{00000000-0005-0000-0000-0000BF030000}"/>
    <cellStyle name="出力 2 3 4 2" xfId="965" xr:uid="{00000000-0005-0000-0000-0000C0030000}"/>
    <cellStyle name="出力 2 3 5" xfId="966" xr:uid="{00000000-0005-0000-0000-0000C1030000}"/>
    <cellStyle name="出力 2 3 5 2" xfId="967" xr:uid="{00000000-0005-0000-0000-0000C2030000}"/>
    <cellStyle name="出力 2 3 6" xfId="968" xr:uid="{00000000-0005-0000-0000-0000C3030000}"/>
    <cellStyle name="出力 2 3 6 2" xfId="969" xr:uid="{00000000-0005-0000-0000-0000C4030000}"/>
    <cellStyle name="出力 2 3 7" xfId="970" xr:uid="{00000000-0005-0000-0000-0000C5030000}"/>
    <cellStyle name="出力 2 4" xfId="971" xr:uid="{00000000-0005-0000-0000-0000C6030000}"/>
    <cellStyle name="出力 2 4 2" xfId="972" xr:uid="{00000000-0005-0000-0000-0000C7030000}"/>
    <cellStyle name="出力 3" xfId="973" xr:uid="{00000000-0005-0000-0000-0000C8030000}"/>
    <cellStyle name="出力 3 2" xfId="974" xr:uid="{00000000-0005-0000-0000-0000C9030000}"/>
    <cellStyle name="出力 3 2 2" xfId="975" xr:uid="{00000000-0005-0000-0000-0000CA030000}"/>
    <cellStyle name="出力 3 2 2 2" xfId="976" xr:uid="{00000000-0005-0000-0000-0000CB030000}"/>
    <cellStyle name="出力 3 2 3" xfId="977" xr:uid="{00000000-0005-0000-0000-0000CC030000}"/>
    <cellStyle name="出力 3 2 3 2" xfId="978" xr:uid="{00000000-0005-0000-0000-0000CD030000}"/>
    <cellStyle name="出力 3 2 4" xfId="979" xr:uid="{00000000-0005-0000-0000-0000CE030000}"/>
    <cellStyle name="出力 3 2 4 2" xfId="980" xr:uid="{00000000-0005-0000-0000-0000CF030000}"/>
    <cellStyle name="出力 3 2 5" xfId="981" xr:uid="{00000000-0005-0000-0000-0000D0030000}"/>
    <cellStyle name="出力 3 2 5 2" xfId="982" xr:uid="{00000000-0005-0000-0000-0000D1030000}"/>
    <cellStyle name="出力 3 2 6" xfId="983" xr:uid="{00000000-0005-0000-0000-0000D2030000}"/>
    <cellStyle name="出力 3 2 6 2" xfId="984" xr:uid="{00000000-0005-0000-0000-0000D3030000}"/>
    <cellStyle name="出力 3 2 7" xfId="985" xr:uid="{00000000-0005-0000-0000-0000D4030000}"/>
    <cellStyle name="出力 3 3" xfId="986" xr:uid="{00000000-0005-0000-0000-0000D5030000}"/>
    <cellStyle name="出力 3 3 2" xfId="987" xr:uid="{00000000-0005-0000-0000-0000D6030000}"/>
    <cellStyle name="出力 3 4" xfId="988" xr:uid="{00000000-0005-0000-0000-0000D7030000}"/>
    <cellStyle name="出力 4" xfId="989" xr:uid="{00000000-0005-0000-0000-0000D8030000}"/>
    <cellStyle name="出力 4 2" xfId="990" xr:uid="{00000000-0005-0000-0000-0000D9030000}"/>
    <cellStyle name="出力 4 2 2" xfId="991" xr:uid="{00000000-0005-0000-0000-0000DA030000}"/>
    <cellStyle name="出力 4 3" xfId="992" xr:uid="{00000000-0005-0000-0000-0000DB030000}"/>
    <cellStyle name="出力 4 3 2" xfId="993" xr:uid="{00000000-0005-0000-0000-0000DC030000}"/>
    <cellStyle name="出力 4 4" xfId="994" xr:uid="{00000000-0005-0000-0000-0000DD030000}"/>
    <cellStyle name="出力 4 4 2" xfId="995" xr:uid="{00000000-0005-0000-0000-0000DE030000}"/>
    <cellStyle name="出力 4 5" xfId="996" xr:uid="{00000000-0005-0000-0000-0000DF030000}"/>
    <cellStyle name="出力 4 5 2" xfId="997" xr:uid="{00000000-0005-0000-0000-0000E0030000}"/>
    <cellStyle name="出力 4 6" xfId="998" xr:uid="{00000000-0005-0000-0000-0000E1030000}"/>
    <cellStyle name="出力 4 6 2" xfId="999" xr:uid="{00000000-0005-0000-0000-0000E2030000}"/>
    <cellStyle name="出力 4 7" xfId="1000" xr:uid="{00000000-0005-0000-0000-0000E3030000}"/>
    <cellStyle name="出力 5" xfId="1001" xr:uid="{00000000-0005-0000-0000-0000E4030000}"/>
    <cellStyle name="出力 6" xfId="1002" xr:uid="{00000000-0005-0000-0000-0000E5030000}"/>
    <cellStyle name="出力 7" xfId="1003" xr:uid="{00000000-0005-0000-0000-0000E6030000}"/>
    <cellStyle name="出力 8" xfId="1004" xr:uid="{00000000-0005-0000-0000-0000E7030000}"/>
    <cellStyle name="出力 9" xfId="1005" xr:uid="{00000000-0005-0000-0000-0000E8030000}"/>
    <cellStyle name="人月" xfId="1006" xr:uid="{00000000-0005-0000-0000-0000E9030000}"/>
    <cellStyle name="人月 2" xfId="1941" xr:uid="{00000000-0005-0000-0000-0000EA030000}"/>
    <cellStyle name="人月 3" xfId="1940" xr:uid="{00000000-0005-0000-0000-0000EB030000}"/>
    <cellStyle name="説明文 2" xfId="1007" xr:uid="{00000000-0005-0000-0000-0000EC030000}"/>
    <cellStyle name="説明文 3" xfId="1008" xr:uid="{00000000-0005-0000-0000-0000ED030000}"/>
    <cellStyle name="説明文 4" xfId="1009" xr:uid="{00000000-0005-0000-0000-0000EE030000}"/>
    <cellStyle name="説明文 5" xfId="1010" xr:uid="{00000000-0005-0000-0000-0000EF030000}"/>
    <cellStyle name="説明文 6" xfId="1011" xr:uid="{00000000-0005-0000-0000-0000F0030000}"/>
    <cellStyle name="説明文 7" xfId="1012" xr:uid="{00000000-0005-0000-0000-0000F1030000}"/>
    <cellStyle name="説明文 8" xfId="1013" xr:uid="{00000000-0005-0000-0000-0000F2030000}"/>
    <cellStyle name="説明文 9" xfId="1014" xr:uid="{00000000-0005-0000-0000-0000F3030000}"/>
    <cellStyle name="脱浦 [0.00]_laroux" xfId="1015" xr:uid="{00000000-0005-0000-0000-0000F4030000}"/>
    <cellStyle name="脱浦_laroux" xfId="1016" xr:uid="{00000000-0005-0000-0000-0000F5030000}"/>
    <cellStyle name="通貨 [0.00" xfId="1017" xr:uid="{00000000-0005-0000-0000-0000F6030000}"/>
    <cellStyle name="通貨 [0.00 2" xfId="1018" xr:uid="{00000000-0005-0000-0000-0000F7030000}"/>
    <cellStyle name="通貨 [0.00 3" xfId="1019" xr:uid="{00000000-0005-0000-0000-0000F8030000}"/>
    <cellStyle name="通貨 [0.00 4" xfId="1020" xr:uid="{00000000-0005-0000-0000-0000F9030000}"/>
    <cellStyle name="通貨 [0.00 5" xfId="1021" xr:uid="{00000000-0005-0000-0000-0000FA030000}"/>
    <cellStyle name="通貨 [0.00 6" xfId="1022" xr:uid="{00000000-0005-0000-0000-0000FB030000}"/>
    <cellStyle name="通貨 2" xfId="1023" xr:uid="{00000000-0005-0000-0000-0000FC030000}"/>
    <cellStyle name="通貨 2 2" xfId="1024" xr:uid="{00000000-0005-0000-0000-0000FD030000}"/>
    <cellStyle name="通貨 2 2 2" xfId="1025" xr:uid="{00000000-0005-0000-0000-0000FE030000}"/>
    <cellStyle name="通貨 2 2 3" xfId="1026" xr:uid="{00000000-0005-0000-0000-0000FF030000}"/>
    <cellStyle name="通貨 2 3" xfId="1027" xr:uid="{00000000-0005-0000-0000-000000040000}"/>
    <cellStyle name="通貨 2 4" xfId="1028" xr:uid="{00000000-0005-0000-0000-000001040000}"/>
    <cellStyle name="通貨 2 5" xfId="1029" xr:uid="{00000000-0005-0000-0000-000002040000}"/>
    <cellStyle name="通貨 3" xfId="1030" xr:uid="{00000000-0005-0000-0000-000003040000}"/>
    <cellStyle name="入力 2" xfId="1031" xr:uid="{00000000-0005-0000-0000-000004040000}"/>
    <cellStyle name="入力 2 2" xfId="1032" xr:uid="{00000000-0005-0000-0000-000005040000}"/>
    <cellStyle name="入力 2 2 2" xfId="1033" xr:uid="{00000000-0005-0000-0000-000006040000}"/>
    <cellStyle name="入力 2 2 2 2" xfId="1034" xr:uid="{00000000-0005-0000-0000-000007040000}"/>
    <cellStyle name="入力 2 2 2 2 2" xfId="1035" xr:uid="{00000000-0005-0000-0000-000008040000}"/>
    <cellStyle name="入力 2 2 2 3" xfId="1036" xr:uid="{00000000-0005-0000-0000-000009040000}"/>
    <cellStyle name="入力 2 2 2 3 2" xfId="1037" xr:uid="{00000000-0005-0000-0000-00000A040000}"/>
    <cellStyle name="入力 2 2 2 4" xfId="1038" xr:uid="{00000000-0005-0000-0000-00000B040000}"/>
    <cellStyle name="入力 2 2 2 4 2" xfId="1039" xr:uid="{00000000-0005-0000-0000-00000C040000}"/>
    <cellStyle name="入力 2 2 2 5" xfId="1040" xr:uid="{00000000-0005-0000-0000-00000D040000}"/>
    <cellStyle name="入力 2 2 2 5 2" xfId="1041" xr:uid="{00000000-0005-0000-0000-00000E040000}"/>
    <cellStyle name="入力 2 2 2 6" xfId="1042" xr:uid="{00000000-0005-0000-0000-00000F040000}"/>
    <cellStyle name="入力 2 2 2 6 2" xfId="1043" xr:uid="{00000000-0005-0000-0000-000010040000}"/>
    <cellStyle name="入力 2 2 2 7" xfId="1044" xr:uid="{00000000-0005-0000-0000-000011040000}"/>
    <cellStyle name="入力 2 2 3" xfId="1045" xr:uid="{00000000-0005-0000-0000-000012040000}"/>
    <cellStyle name="入力 2 2 3 2" xfId="1046" xr:uid="{00000000-0005-0000-0000-000013040000}"/>
    <cellStyle name="入力 2 2 4" xfId="1047" xr:uid="{00000000-0005-0000-0000-000014040000}"/>
    <cellStyle name="入力 2 3" xfId="1048" xr:uid="{00000000-0005-0000-0000-000015040000}"/>
    <cellStyle name="入力 2 3 2" xfId="1049" xr:uid="{00000000-0005-0000-0000-000016040000}"/>
    <cellStyle name="入力 2 3 2 2" xfId="1050" xr:uid="{00000000-0005-0000-0000-000017040000}"/>
    <cellStyle name="入力 2 3 3" xfId="1051" xr:uid="{00000000-0005-0000-0000-000018040000}"/>
    <cellStyle name="入力 2 3 3 2" xfId="1052" xr:uid="{00000000-0005-0000-0000-000019040000}"/>
    <cellStyle name="入力 2 3 4" xfId="1053" xr:uid="{00000000-0005-0000-0000-00001A040000}"/>
    <cellStyle name="入力 2 3 4 2" xfId="1054" xr:uid="{00000000-0005-0000-0000-00001B040000}"/>
    <cellStyle name="入力 2 3 5" xfId="1055" xr:uid="{00000000-0005-0000-0000-00001C040000}"/>
    <cellStyle name="入力 2 3 5 2" xfId="1056" xr:uid="{00000000-0005-0000-0000-00001D040000}"/>
    <cellStyle name="入力 2 3 6" xfId="1057" xr:uid="{00000000-0005-0000-0000-00001E040000}"/>
    <cellStyle name="入力 2 3 6 2" xfId="1058" xr:uid="{00000000-0005-0000-0000-00001F040000}"/>
    <cellStyle name="入力 2 3 7" xfId="1059" xr:uid="{00000000-0005-0000-0000-000020040000}"/>
    <cellStyle name="入力 2 4" xfId="1060" xr:uid="{00000000-0005-0000-0000-000021040000}"/>
    <cellStyle name="入力 2 4 2" xfId="1061" xr:uid="{00000000-0005-0000-0000-000022040000}"/>
    <cellStyle name="入力 2 5" xfId="1062" xr:uid="{00000000-0005-0000-0000-000023040000}"/>
    <cellStyle name="入力 3" xfId="1063" xr:uid="{00000000-0005-0000-0000-000024040000}"/>
    <cellStyle name="入力 3 2" xfId="1064" xr:uid="{00000000-0005-0000-0000-000025040000}"/>
    <cellStyle name="入力 3 2 2" xfId="1065" xr:uid="{00000000-0005-0000-0000-000026040000}"/>
    <cellStyle name="入力 3 2 2 2" xfId="1066" xr:uid="{00000000-0005-0000-0000-000027040000}"/>
    <cellStyle name="入力 3 2 3" xfId="1067" xr:uid="{00000000-0005-0000-0000-000028040000}"/>
    <cellStyle name="入力 3 2 3 2" xfId="1068" xr:uid="{00000000-0005-0000-0000-000029040000}"/>
    <cellStyle name="入力 3 2 4" xfId="1069" xr:uid="{00000000-0005-0000-0000-00002A040000}"/>
    <cellStyle name="入力 3 2 4 2" xfId="1070" xr:uid="{00000000-0005-0000-0000-00002B040000}"/>
    <cellStyle name="入力 3 2 5" xfId="1071" xr:uid="{00000000-0005-0000-0000-00002C040000}"/>
    <cellStyle name="入力 3 2 5 2" xfId="1072" xr:uid="{00000000-0005-0000-0000-00002D040000}"/>
    <cellStyle name="入力 3 2 6" xfId="1073" xr:uid="{00000000-0005-0000-0000-00002E040000}"/>
    <cellStyle name="入力 3 2 6 2" xfId="1074" xr:uid="{00000000-0005-0000-0000-00002F040000}"/>
    <cellStyle name="入力 3 2 7" xfId="1075" xr:uid="{00000000-0005-0000-0000-000030040000}"/>
    <cellStyle name="入力 3 3" xfId="1076" xr:uid="{00000000-0005-0000-0000-000031040000}"/>
    <cellStyle name="入力 3 3 2" xfId="1077" xr:uid="{00000000-0005-0000-0000-000032040000}"/>
    <cellStyle name="入力 3 4" xfId="1078" xr:uid="{00000000-0005-0000-0000-000033040000}"/>
    <cellStyle name="入力 4" xfId="1079" xr:uid="{00000000-0005-0000-0000-000034040000}"/>
    <cellStyle name="入力 4 2" xfId="1080" xr:uid="{00000000-0005-0000-0000-000035040000}"/>
    <cellStyle name="入力 4 2 2" xfId="1081" xr:uid="{00000000-0005-0000-0000-000036040000}"/>
    <cellStyle name="入力 4 3" xfId="1082" xr:uid="{00000000-0005-0000-0000-000037040000}"/>
    <cellStyle name="入力 4 3 2" xfId="1083" xr:uid="{00000000-0005-0000-0000-000038040000}"/>
    <cellStyle name="入力 4 4" xfId="1084" xr:uid="{00000000-0005-0000-0000-000039040000}"/>
    <cellStyle name="入力 4 4 2" xfId="1085" xr:uid="{00000000-0005-0000-0000-00003A040000}"/>
    <cellStyle name="入力 4 5" xfId="1086" xr:uid="{00000000-0005-0000-0000-00003B040000}"/>
    <cellStyle name="入力 4 5 2" xfId="1087" xr:uid="{00000000-0005-0000-0000-00003C040000}"/>
    <cellStyle name="入力 4 6" xfId="1088" xr:uid="{00000000-0005-0000-0000-00003D040000}"/>
    <cellStyle name="入力 4 6 2" xfId="1089" xr:uid="{00000000-0005-0000-0000-00003E040000}"/>
    <cellStyle name="入力 4 7" xfId="1090" xr:uid="{00000000-0005-0000-0000-00003F040000}"/>
    <cellStyle name="入力 5" xfId="1091" xr:uid="{00000000-0005-0000-0000-000040040000}"/>
    <cellStyle name="入力 6" xfId="1092" xr:uid="{00000000-0005-0000-0000-000041040000}"/>
    <cellStyle name="入力 7" xfId="1093" xr:uid="{00000000-0005-0000-0000-000042040000}"/>
    <cellStyle name="入力 8" xfId="1094" xr:uid="{00000000-0005-0000-0000-000043040000}"/>
    <cellStyle name="入力 9" xfId="1095" xr:uid="{00000000-0005-0000-0000-000044040000}"/>
    <cellStyle builtinId="0" name="標準" xfId="0"/>
    <cellStyle name="標準 10" xfId="1096" xr:uid="{00000000-0005-0000-0000-000046040000}"/>
    <cellStyle name="標準 10 2" xfId="1097" xr:uid="{00000000-0005-0000-0000-000047040000}"/>
    <cellStyle name="標準 10 3" xfId="14" xr:uid="{00000000-0005-0000-0000-000048040000}"/>
    <cellStyle name="標準 10 4" xfId="1098" xr:uid="{00000000-0005-0000-0000-000049040000}"/>
    <cellStyle name="標準 10 5" xfId="1099" xr:uid="{00000000-0005-0000-0000-00004A040000}"/>
    <cellStyle name="標準 100" xfId="1100" xr:uid="{00000000-0005-0000-0000-00004B040000}"/>
    <cellStyle name="標準 100 2" xfId="1101" xr:uid="{00000000-0005-0000-0000-00004C040000}"/>
    <cellStyle name="標準 100 2 2" xfId="1102" xr:uid="{00000000-0005-0000-0000-00004D040000}"/>
    <cellStyle name="標準 100 2 2 2" xfId="1103" xr:uid="{00000000-0005-0000-0000-00004E040000}"/>
    <cellStyle name="標準 100 2 2 3" xfId="1104" xr:uid="{00000000-0005-0000-0000-00004F040000}"/>
    <cellStyle name="標準 100 2 2 4" xfId="1105" xr:uid="{00000000-0005-0000-0000-000050040000}"/>
    <cellStyle name="標準 100 2 3" xfId="1106" xr:uid="{00000000-0005-0000-0000-000051040000}"/>
    <cellStyle name="標準 100 2 4" xfId="1107" xr:uid="{00000000-0005-0000-0000-000052040000}"/>
    <cellStyle name="標準 100 2 5" xfId="1108" xr:uid="{00000000-0005-0000-0000-000053040000}"/>
    <cellStyle name="標準 100 3" xfId="1109" xr:uid="{00000000-0005-0000-0000-000054040000}"/>
    <cellStyle name="標準 100 3 2" xfId="1110" xr:uid="{00000000-0005-0000-0000-000055040000}"/>
    <cellStyle name="標準 100 3 3" xfId="1111" xr:uid="{00000000-0005-0000-0000-000056040000}"/>
    <cellStyle name="標準 100 3 4" xfId="1112" xr:uid="{00000000-0005-0000-0000-000057040000}"/>
    <cellStyle name="標準 100 4" xfId="1113" xr:uid="{00000000-0005-0000-0000-000058040000}"/>
    <cellStyle name="標準 100 5" xfId="1114" xr:uid="{00000000-0005-0000-0000-000059040000}"/>
    <cellStyle name="標準 100 6" xfId="1115" xr:uid="{00000000-0005-0000-0000-00005A040000}"/>
    <cellStyle name="標準 101" xfId="1116" xr:uid="{00000000-0005-0000-0000-00005B040000}"/>
    <cellStyle name="標準 102" xfId="1117" xr:uid="{00000000-0005-0000-0000-00005C040000}"/>
    <cellStyle name="標準 102 2" xfId="1118" xr:uid="{00000000-0005-0000-0000-00005D040000}"/>
    <cellStyle name="標準 102 2 2" xfId="1119" xr:uid="{00000000-0005-0000-0000-00005E040000}"/>
    <cellStyle name="標準 102 2 3" xfId="1120" xr:uid="{00000000-0005-0000-0000-00005F040000}"/>
    <cellStyle name="標準 102 2 4" xfId="1121" xr:uid="{00000000-0005-0000-0000-000060040000}"/>
    <cellStyle name="標準 102 3" xfId="1122" xr:uid="{00000000-0005-0000-0000-000061040000}"/>
    <cellStyle name="標準 102 4" xfId="1123" xr:uid="{00000000-0005-0000-0000-000062040000}"/>
    <cellStyle name="標準 102 5" xfId="1124" xr:uid="{00000000-0005-0000-0000-000063040000}"/>
    <cellStyle name="標準 103" xfId="1125" xr:uid="{00000000-0005-0000-0000-000064040000}"/>
    <cellStyle name="標準 104" xfId="1126" xr:uid="{00000000-0005-0000-0000-000065040000}"/>
    <cellStyle name="標準 104 2" xfId="1127" xr:uid="{00000000-0005-0000-0000-000066040000}"/>
    <cellStyle name="標準 104 3" xfId="1128" xr:uid="{00000000-0005-0000-0000-000067040000}"/>
    <cellStyle name="標準 104 4" xfId="1129" xr:uid="{00000000-0005-0000-0000-000068040000}"/>
    <cellStyle name="標準 105" xfId="1130" xr:uid="{00000000-0005-0000-0000-000069040000}"/>
    <cellStyle name="標準 106" xfId="1131" xr:uid="{00000000-0005-0000-0000-00006A040000}"/>
    <cellStyle name="標準 107" xfId="1132" xr:uid="{00000000-0005-0000-0000-00006B040000}"/>
    <cellStyle name="標準 108" xfId="1133" xr:uid="{00000000-0005-0000-0000-00006C040000}"/>
    <cellStyle name="標準 109" xfId="1134" xr:uid="{00000000-0005-0000-0000-00006D040000}"/>
    <cellStyle name="標準 11" xfId="1135" xr:uid="{00000000-0005-0000-0000-00006E040000}"/>
    <cellStyle name="標準 11 2" xfId="1136" xr:uid="{00000000-0005-0000-0000-00006F040000}"/>
    <cellStyle name="標準 11 3" xfId="1137" xr:uid="{00000000-0005-0000-0000-000070040000}"/>
    <cellStyle name="標準 110" xfId="1138" xr:uid="{00000000-0005-0000-0000-000071040000}"/>
    <cellStyle name="標準 111" xfId="1139" xr:uid="{00000000-0005-0000-0000-000072040000}"/>
    <cellStyle name="標準 112" xfId="1140" xr:uid="{00000000-0005-0000-0000-000073040000}"/>
    <cellStyle name="標準 113" xfId="1141" xr:uid="{00000000-0005-0000-0000-000074040000}"/>
    <cellStyle name="標準 114" xfId="1142" xr:uid="{00000000-0005-0000-0000-000075040000}"/>
    <cellStyle name="標準 115" xfId="1143" xr:uid="{00000000-0005-0000-0000-000076040000}"/>
    <cellStyle name="標準 116" xfId="1144" xr:uid="{00000000-0005-0000-0000-000077040000}"/>
    <cellStyle name="標準 117" xfId="1145" xr:uid="{00000000-0005-0000-0000-000078040000}"/>
    <cellStyle name="標準 118" xfId="1146" xr:uid="{00000000-0005-0000-0000-000079040000}"/>
    <cellStyle name="標準 119" xfId="1147" xr:uid="{00000000-0005-0000-0000-00007A040000}"/>
    <cellStyle name="標準 12" xfId="1148" xr:uid="{00000000-0005-0000-0000-00007B040000}"/>
    <cellStyle name="標準 12 2" xfId="1149" xr:uid="{00000000-0005-0000-0000-00007C040000}"/>
    <cellStyle name="標準 12 2 2" xfId="1150" xr:uid="{00000000-0005-0000-0000-00007D040000}"/>
    <cellStyle name="標準 12 2 3" xfId="1151" xr:uid="{00000000-0005-0000-0000-00007E040000}"/>
    <cellStyle name="標準 12 3" xfId="1152" xr:uid="{00000000-0005-0000-0000-00007F040000}"/>
    <cellStyle name="標準 12 3 2" xfId="1153" xr:uid="{00000000-0005-0000-0000-000080040000}"/>
    <cellStyle name="標準 12 3 3" xfId="1154" xr:uid="{00000000-0005-0000-0000-000081040000}"/>
    <cellStyle name="標準 120" xfId="1155" xr:uid="{00000000-0005-0000-0000-000082040000}"/>
    <cellStyle name="標準 121" xfId="1156" xr:uid="{00000000-0005-0000-0000-000083040000}"/>
    <cellStyle name="標準 122" xfId="1157" xr:uid="{00000000-0005-0000-0000-000084040000}"/>
    <cellStyle name="標準 123" xfId="1158" xr:uid="{00000000-0005-0000-0000-000085040000}"/>
    <cellStyle name="標準 124" xfId="1159" xr:uid="{00000000-0005-0000-0000-000086040000}"/>
    <cellStyle name="標準 125" xfId="1160" xr:uid="{00000000-0005-0000-0000-000087040000}"/>
    <cellStyle name="標準 126" xfId="1161" xr:uid="{00000000-0005-0000-0000-000088040000}"/>
    <cellStyle name="標準 127" xfId="1162" xr:uid="{00000000-0005-0000-0000-000089040000}"/>
    <cellStyle name="標準 128" xfId="1163" xr:uid="{00000000-0005-0000-0000-00008A040000}"/>
    <cellStyle name="標準 129" xfId="1164" xr:uid="{00000000-0005-0000-0000-00008B040000}"/>
    <cellStyle name="標準 13" xfId="1165" xr:uid="{00000000-0005-0000-0000-00008C040000}"/>
    <cellStyle name="標準 13 2" xfId="1166" xr:uid="{00000000-0005-0000-0000-00008D040000}"/>
    <cellStyle name="標準 13 3" xfId="1167" xr:uid="{00000000-0005-0000-0000-00008E040000}"/>
    <cellStyle name="標準 13 4" xfId="1168" xr:uid="{00000000-0005-0000-0000-00008F040000}"/>
    <cellStyle name="標準 13 5" xfId="1169" xr:uid="{00000000-0005-0000-0000-000090040000}"/>
    <cellStyle name="標準 130" xfId="1170" xr:uid="{00000000-0005-0000-0000-000091040000}"/>
    <cellStyle name="標準 131" xfId="1171" xr:uid="{00000000-0005-0000-0000-000092040000}"/>
    <cellStyle name="標準 132" xfId="1937" xr:uid="{00000000-0005-0000-0000-000093040000}"/>
    <cellStyle name="標準 132 2" xfId="1943" xr:uid="{00000000-0005-0000-0000-000094040000}"/>
    <cellStyle name="標準 132 2 2" xfId="1950" xr:uid="{00000000-0005-0000-0000-000095040000}"/>
    <cellStyle name="標準 132 3" xfId="1948" xr:uid="{00000000-0005-0000-0000-000096040000}"/>
    <cellStyle name="標準 133" xfId="1944" xr:uid="{00000000-0005-0000-0000-000097040000}"/>
    <cellStyle name="標準 133 2" xfId="1951" xr:uid="{00000000-0005-0000-0000-000098040000}"/>
    <cellStyle name="標準 134" xfId="1946" xr:uid="{00000000-0005-0000-0000-000099040000}"/>
    <cellStyle name="標準 136" xfId="1172" xr:uid="{00000000-0005-0000-0000-00009A040000}"/>
    <cellStyle name="標準 14" xfId="1173" xr:uid="{00000000-0005-0000-0000-00009B040000}"/>
    <cellStyle name="標準 14 2" xfId="1174" xr:uid="{00000000-0005-0000-0000-00009C040000}"/>
    <cellStyle name="標準 14 2 2" xfId="1175" xr:uid="{00000000-0005-0000-0000-00009D040000}"/>
    <cellStyle name="標準 14 2 3" xfId="1176" xr:uid="{00000000-0005-0000-0000-00009E040000}"/>
    <cellStyle name="標準 14 3" xfId="1177" xr:uid="{00000000-0005-0000-0000-00009F040000}"/>
    <cellStyle name="標準 14 4" xfId="1178" xr:uid="{00000000-0005-0000-0000-0000A0040000}"/>
    <cellStyle name="標準 15" xfId="1179" xr:uid="{00000000-0005-0000-0000-0000A1040000}"/>
    <cellStyle name="標準 15 2" xfId="1180" xr:uid="{00000000-0005-0000-0000-0000A2040000}"/>
    <cellStyle name="標準 15 2 2" xfId="1181" xr:uid="{00000000-0005-0000-0000-0000A3040000}"/>
    <cellStyle name="標準 15 2 3" xfId="1182" xr:uid="{00000000-0005-0000-0000-0000A4040000}"/>
    <cellStyle name="標準 15 3" xfId="1183" xr:uid="{00000000-0005-0000-0000-0000A5040000}"/>
    <cellStyle name="標準 15 4" xfId="1184" xr:uid="{00000000-0005-0000-0000-0000A6040000}"/>
    <cellStyle name="標準 15 5" xfId="1185" xr:uid="{00000000-0005-0000-0000-0000A7040000}"/>
    <cellStyle name="標準 15 6" xfId="1186" xr:uid="{00000000-0005-0000-0000-0000A8040000}"/>
    <cellStyle name="標準 16" xfId="1187" xr:uid="{00000000-0005-0000-0000-0000A9040000}"/>
    <cellStyle name="標準 16 2" xfId="1188" xr:uid="{00000000-0005-0000-0000-0000AA040000}"/>
    <cellStyle name="標準 16 2 2" xfId="1189" xr:uid="{00000000-0005-0000-0000-0000AB040000}"/>
    <cellStyle name="標準 16 2 3" xfId="1190" xr:uid="{00000000-0005-0000-0000-0000AC040000}"/>
    <cellStyle name="標準 16 3" xfId="1191" xr:uid="{00000000-0005-0000-0000-0000AD040000}"/>
    <cellStyle name="標準 16 4" xfId="1192" xr:uid="{00000000-0005-0000-0000-0000AE040000}"/>
    <cellStyle name="標準 16 5" xfId="1193" xr:uid="{00000000-0005-0000-0000-0000AF040000}"/>
    <cellStyle name="標準 17" xfId="1194" xr:uid="{00000000-0005-0000-0000-0000B0040000}"/>
    <cellStyle name="標準 17 2" xfId="1195" xr:uid="{00000000-0005-0000-0000-0000B1040000}"/>
    <cellStyle name="標準 17 2 2" xfId="1196" xr:uid="{00000000-0005-0000-0000-0000B2040000}"/>
    <cellStyle name="標準 17 2 3" xfId="1197" xr:uid="{00000000-0005-0000-0000-0000B3040000}"/>
    <cellStyle name="標準 17 3" xfId="1198" xr:uid="{00000000-0005-0000-0000-0000B4040000}"/>
    <cellStyle name="標準 17 4" xfId="1199" xr:uid="{00000000-0005-0000-0000-0000B5040000}"/>
    <cellStyle name="標準 17 5" xfId="1200" xr:uid="{00000000-0005-0000-0000-0000B6040000}"/>
    <cellStyle name="標準 18" xfId="1201" xr:uid="{00000000-0005-0000-0000-0000B7040000}"/>
    <cellStyle name="標準 18 2" xfId="1202" xr:uid="{00000000-0005-0000-0000-0000B8040000}"/>
    <cellStyle name="標準 18 2 2" xfId="1203" xr:uid="{00000000-0005-0000-0000-0000B9040000}"/>
    <cellStyle name="標準 18 2 3" xfId="1204" xr:uid="{00000000-0005-0000-0000-0000BA040000}"/>
    <cellStyle name="標準 18 2 4" xfId="1205" xr:uid="{00000000-0005-0000-0000-0000BB040000}"/>
    <cellStyle name="標準 18 3" xfId="1206" xr:uid="{00000000-0005-0000-0000-0000BC040000}"/>
    <cellStyle name="標準 18 4" xfId="1207" xr:uid="{00000000-0005-0000-0000-0000BD040000}"/>
    <cellStyle name="標準 18 5" xfId="1208" xr:uid="{00000000-0005-0000-0000-0000BE040000}"/>
    <cellStyle name="標準 18 6" xfId="1209" xr:uid="{00000000-0005-0000-0000-0000BF040000}"/>
    <cellStyle name="標準 19" xfId="1210" xr:uid="{00000000-0005-0000-0000-0000C0040000}"/>
    <cellStyle name="標準 19 2" xfId="1211" xr:uid="{00000000-0005-0000-0000-0000C1040000}"/>
    <cellStyle name="標準 19 3" xfId="1212" xr:uid="{00000000-0005-0000-0000-0000C2040000}"/>
    <cellStyle name="標準 2" xfId="9" xr:uid="{00000000-0005-0000-0000-0000C3040000}"/>
    <cellStyle name="標準 2 10" xfId="1213" xr:uid="{00000000-0005-0000-0000-0000C4040000}"/>
    <cellStyle name="標準 2 11" xfId="1214" xr:uid="{00000000-0005-0000-0000-0000C5040000}"/>
    <cellStyle name="標準 2 12" xfId="1215" xr:uid="{00000000-0005-0000-0000-0000C6040000}"/>
    <cellStyle name="標準 2 13" xfId="1216" xr:uid="{00000000-0005-0000-0000-0000C7040000}"/>
    <cellStyle name="標準 2 2" xfId="10" xr:uid="{00000000-0005-0000-0000-0000C8040000}"/>
    <cellStyle name="標準 2 2 2" xfId="1217" xr:uid="{00000000-0005-0000-0000-0000C9040000}"/>
    <cellStyle name="標準 2 2 2 2" xfId="1218" xr:uid="{00000000-0005-0000-0000-0000CA040000}"/>
    <cellStyle name="標準 2 2 2 2 2" xfId="1219" xr:uid="{00000000-0005-0000-0000-0000CB040000}"/>
    <cellStyle name="標準 2 2 2 2 3" xfId="1220" xr:uid="{00000000-0005-0000-0000-0000CC040000}"/>
    <cellStyle name="標準 2 2 2 3" xfId="1221" xr:uid="{00000000-0005-0000-0000-0000CD040000}"/>
    <cellStyle name="標準 2 2 3" xfId="1222" xr:uid="{00000000-0005-0000-0000-0000CE040000}"/>
    <cellStyle name="標準 2 2 3 2" xfId="1223" xr:uid="{00000000-0005-0000-0000-0000CF040000}"/>
    <cellStyle name="標準 2 2 3 3" xfId="1224" xr:uid="{00000000-0005-0000-0000-0000D0040000}"/>
    <cellStyle name="標準 2 2 4" xfId="1225" xr:uid="{00000000-0005-0000-0000-0000D1040000}"/>
    <cellStyle name="標準 2 2 4 2" xfId="1226" xr:uid="{00000000-0005-0000-0000-0000D2040000}"/>
    <cellStyle name="標準 2 2 4 3" xfId="1227" xr:uid="{00000000-0005-0000-0000-0000D3040000}"/>
    <cellStyle name="標準 2 2 5" xfId="1228" xr:uid="{00000000-0005-0000-0000-0000D4040000}"/>
    <cellStyle name="標準 2 2 5 2" xfId="1229" xr:uid="{00000000-0005-0000-0000-0000D5040000}"/>
    <cellStyle name="標準 2 2 5 3" xfId="1230" xr:uid="{00000000-0005-0000-0000-0000D6040000}"/>
    <cellStyle name="標準 2 2 6" xfId="1231" xr:uid="{00000000-0005-0000-0000-0000D7040000}"/>
    <cellStyle name="標準 2 2 6 2" xfId="1232" xr:uid="{00000000-0005-0000-0000-0000D8040000}"/>
    <cellStyle name="標準 2 2 6 3" xfId="1233" xr:uid="{00000000-0005-0000-0000-0000D9040000}"/>
    <cellStyle name="標準 2 2 7" xfId="1234" xr:uid="{00000000-0005-0000-0000-0000DA040000}"/>
    <cellStyle name="標準 2 2 8" xfId="1235" xr:uid="{00000000-0005-0000-0000-0000DB040000}"/>
    <cellStyle name="標準 2 2_(別紙1)参加者テスト仕様書(JPN)_ver1.81" xfId="1236" xr:uid="{00000000-0005-0000-0000-0000DC040000}"/>
    <cellStyle name="標準 2 3" xfId="13" xr:uid="{00000000-0005-0000-0000-0000DD040000}"/>
    <cellStyle name="標準 2 3 2" xfId="1237" xr:uid="{00000000-0005-0000-0000-0000DE040000}"/>
    <cellStyle name="標準 2 3 2 2" xfId="1238" xr:uid="{00000000-0005-0000-0000-0000DF040000}"/>
    <cellStyle name="標準 2 3 3" xfId="1239" xr:uid="{00000000-0005-0000-0000-0000E0040000}"/>
    <cellStyle name="標準 2 3 3 2" xfId="1240" xr:uid="{00000000-0005-0000-0000-0000E1040000}"/>
    <cellStyle name="標準 2 3 3 3" xfId="1241" xr:uid="{00000000-0005-0000-0000-0000E2040000}"/>
    <cellStyle name="標準 2 3 4" xfId="1242" xr:uid="{00000000-0005-0000-0000-0000E3040000}"/>
    <cellStyle name="標準 2 4" xfId="1243" xr:uid="{00000000-0005-0000-0000-0000E4040000}"/>
    <cellStyle name="標準 2 4 2" xfId="1244" xr:uid="{00000000-0005-0000-0000-0000E5040000}"/>
    <cellStyle name="標準 2 4 2 2" xfId="1245" xr:uid="{00000000-0005-0000-0000-0000E6040000}"/>
    <cellStyle name="標準 2 4 3" xfId="1246" xr:uid="{00000000-0005-0000-0000-0000E7040000}"/>
    <cellStyle name="標準 2 5" xfId="1247" xr:uid="{00000000-0005-0000-0000-0000E8040000}"/>
    <cellStyle name="標準 2 5 2" xfId="1248" xr:uid="{00000000-0005-0000-0000-0000E9040000}"/>
    <cellStyle name="標準 2 5 3" xfId="1249" xr:uid="{00000000-0005-0000-0000-0000EA040000}"/>
    <cellStyle name="標準 2 6" xfId="1250" xr:uid="{00000000-0005-0000-0000-0000EB040000}"/>
    <cellStyle name="標準 2 6 2" xfId="1251" xr:uid="{00000000-0005-0000-0000-0000EC040000}"/>
    <cellStyle name="標準 2 6 3" xfId="1252" xr:uid="{00000000-0005-0000-0000-0000ED040000}"/>
    <cellStyle name="標準 2 6 4" xfId="1253" xr:uid="{00000000-0005-0000-0000-0000EE040000}"/>
    <cellStyle name="標準 2 7" xfId="1254" xr:uid="{00000000-0005-0000-0000-0000EF040000}"/>
    <cellStyle name="標準 2 7 2" xfId="1255" xr:uid="{00000000-0005-0000-0000-0000F0040000}"/>
    <cellStyle name="標準 2 8" xfId="1256" xr:uid="{00000000-0005-0000-0000-0000F1040000}"/>
    <cellStyle name="標準 2 8 2" xfId="1257" xr:uid="{00000000-0005-0000-0000-0000F2040000}"/>
    <cellStyle name="標準 2 9" xfId="1258" xr:uid="{00000000-0005-0000-0000-0000F3040000}"/>
    <cellStyle name="標準 2_(別紙1)参加者テスト仕様書(JPN)_ver1.81" xfId="1259" xr:uid="{00000000-0005-0000-0000-0000F4040000}"/>
    <cellStyle name="標準 20" xfId="1260" xr:uid="{00000000-0005-0000-0000-0000F5040000}"/>
    <cellStyle name="標準 20 2" xfId="1261" xr:uid="{00000000-0005-0000-0000-0000F6040000}"/>
    <cellStyle name="標準 20 3" xfId="1262" xr:uid="{00000000-0005-0000-0000-0000F7040000}"/>
    <cellStyle name="標準 20 4" xfId="1263" xr:uid="{00000000-0005-0000-0000-0000F8040000}"/>
    <cellStyle name="標準 20 5" xfId="1264" xr:uid="{00000000-0005-0000-0000-0000F9040000}"/>
    <cellStyle name="標準 21" xfId="1265" xr:uid="{00000000-0005-0000-0000-0000FA040000}"/>
    <cellStyle name="標準 21 2" xfId="1266" xr:uid="{00000000-0005-0000-0000-0000FB040000}"/>
    <cellStyle name="標準 21 2 2" xfId="1267" xr:uid="{00000000-0005-0000-0000-0000FC040000}"/>
    <cellStyle name="標準 21 3" xfId="1268" xr:uid="{00000000-0005-0000-0000-0000FD040000}"/>
    <cellStyle name="標準 21 3 2" xfId="1269" xr:uid="{00000000-0005-0000-0000-0000FE040000}"/>
    <cellStyle name="標準 21 4" xfId="1270" xr:uid="{00000000-0005-0000-0000-0000FF040000}"/>
    <cellStyle name="標準 21 5" xfId="1271" xr:uid="{00000000-0005-0000-0000-000000050000}"/>
    <cellStyle name="標準 22" xfId="1272" xr:uid="{00000000-0005-0000-0000-000001050000}"/>
    <cellStyle name="標準 22 2" xfId="1273" xr:uid="{00000000-0005-0000-0000-000002050000}"/>
    <cellStyle name="標準 22 3" xfId="1274" xr:uid="{00000000-0005-0000-0000-000003050000}"/>
    <cellStyle name="標準 23" xfId="1275" xr:uid="{00000000-0005-0000-0000-000004050000}"/>
    <cellStyle name="標準 23 2" xfId="1276" xr:uid="{00000000-0005-0000-0000-000005050000}"/>
    <cellStyle name="標準 23 3" xfId="1277" xr:uid="{00000000-0005-0000-0000-000006050000}"/>
    <cellStyle name="標準 24" xfId="1278" xr:uid="{00000000-0005-0000-0000-000007050000}"/>
    <cellStyle name="標準 24 2" xfId="1279" xr:uid="{00000000-0005-0000-0000-000008050000}"/>
    <cellStyle name="標準 24 3" xfId="1280" xr:uid="{00000000-0005-0000-0000-000009050000}"/>
    <cellStyle name="標準 25" xfId="1281" xr:uid="{00000000-0005-0000-0000-00000A050000}"/>
    <cellStyle name="標準 26" xfId="1282" xr:uid="{00000000-0005-0000-0000-00000B050000}"/>
    <cellStyle name="標準 27" xfId="1283" xr:uid="{00000000-0005-0000-0000-00000C050000}"/>
    <cellStyle name="標準 28" xfId="1284" xr:uid="{00000000-0005-0000-0000-00000D050000}"/>
    <cellStyle name="標準 29" xfId="1285" xr:uid="{00000000-0005-0000-0000-00000E050000}"/>
    <cellStyle name="標準 3" xfId="11" xr:uid="{00000000-0005-0000-0000-00000F050000}"/>
    <cellStyle name="標準 3 10" xfId="1286" xr:uid="{00000000-0005-0000-0000-000010050000}"/>
    <cellStyle name="標準 3 11" xfId="1287" xr:uid="{00000000-0005-0000-0000-000011050000}"/>
    <cellStyle name="標準 3 2" xfId="1288" xr:uid="{00000000-0005-0000-0000-000012050000}"/>
    <cellStyle name="標準 3 2 2" xfId="1289" xr:uid="{00000000-0005-0000-0000-000013050000}"/>
    <cellStyle name="標準 3 2 2 2" xfId="1290" xr:uid="{00000000-0005-0000-0000-000014050000}"/>
    <cellStyle name="標準 3 2 2 3" xfId="1291" xr:uid="{00000000-0005-0000-0000-000015050000}"/>
    <cellStyle name="標準 3 2 3" xfId="1292" xr:uid="{00000000-0005-0000-0000-000016050000}"/>
    <cellStyle name="標準 3 2 3 2" xfId="1293" xr:uid="{00000000-0005-0000-0000-000017050000}"/>
    <cellStyle name="標準 3 2 3 3" xfId="1294" xr:uid="{00000000-0005-0000-0000-000018050000}"/>
    <cellStyle name="標準 3 2 4" xfId="1295" xr:uid="{00000000-0005-0000-0000-000019050000}"/>
    <cellStyle name="標準 3 2 5" xfId="1296" xr:uid="{00000000-0005-0000-0000-00001A050000}"/>
    <cellStyle name="標準 3 3" xfId="1297" xr:uid="{00000000-0005-0000-0000-00001B050000}"/>
    <cellStyle name="標準 3 4" xfId="1298" xr:uid="{00000000-0005-0000-0000-00001C050000}"/>
    <cellStyle name="標準 3 4 2" xfId="1299" xr:uid="{00000000-0005-0000-0000-00001D050000}"/>
    <cellStyle name="標準 3 4 3" xfId="1300" xr:uid="{00000000-0005-0000-0000-00001E050000}"/>
    <cellStyle name="標準 3 5" xfId="1301" xr:uid="{00000000-0005-0000-0000-00001F050000}"/>
    <cellStyle name="標準 3 5 2" xfId="1302" xr:uid="{00000000-0005-0000-0000-000020050000}"/>
    <cellStyle name="標準 3 5 3" xfId="1303" xr:uid="{00000000-0005-0000-0000-000021050000}"/>
    <cellStyle name="標準 3 6" xfId="1304" xr:uid="{00000000-0005-0000-0000-000022050000}"/>
    <cellStyle name="標準 3 6 2" xfId="1305" xr:uid="{00000000-0005-0000-0000-000023050000}"/>
    <cellStyle name="標準 3 7" xfId="1306" xr:uid="{00000000-0005-0000-0000-000024050000}"/>
    <cellStyle name="標準 3 8" xfId="1307" xr:uid="{00000000-0005-0000-0000-000025050000}"/>
    <cellStyle name="標準 3 9" xfId="1308" xr:uid="{00000000-0005-0000-0000-000026050000}"/>
    <cellStyle name="標準 3_【Quick取得データ配信ツール(仮)】課題管理表（EUC）_20121210" xfId="1309" xr:uid="{00000000-0005-0000-0000-000027050000}"/>
    <cellStyle name="標準 30" xfId="1310" xr:uid="{00000000-0005-0000-0000-000028050000}"/>
    <cellStyle name="標準 31" xfId="1311" xr:uid="{00000000-0005-0000-0000-000029050000}"/>
    <cellStyle name="標準 31 2" xfId="1312" xr:uid="{00000000-0005-0000-0000-00002A050000}"/>
    <cellStyle name="標準 31 3" xfId="1313" xr:uid="{00000000-0005-0000-0000-00002B050000}"/>
    <cellStyle name="標準 32" xfId="1314" xr:uid="{00000000-0005-0000-0000-00002C050000}"/>
    <cellStyle name="標準 32 2" xfId="1315" xr:uid="{00000000-0005-0000-0000-00002D050000}"/>
    <cellStyle name="標準 32 3" xfId="1316" xr:uid="{00000000-0005-0000-0000-00002E050000}"/>
    <cellStyle name="標準 33" xfId="1317" xr:uid="{00000000-0005-0000-0000-00002F050000}"/>
    <cellStyle name="標準 33 2" xfId="1318" xr:uid="{00000000-0005-0000-0000-000030050000}"/>
    <cellStyle name="標準 33 3" xfId="1319" xr:uid="{00000000-0005-0000-0000-000031050000}"/>
    <cellStyle name="標準 34" xfId="1320" xr:uid="{00000000-0005-0000-0000-000032050000}"/>
    <cellStyle name="標準 34 2" xfId="1321" xr:uid="{00000000-0005-0000-0000-000033050000}"/>
    <cellStyle name="標準 34 3" xfId="1322" xr:uid="{00000000-0005-0000-0000-000034050000}"/>
    <cellStyle name="標準 35" xfId="1323" xr:uid="{00000000-0005-0000-0000-000035050000}"/>
    <cellStyle name="標準 35 2" xfId="1324" xr:uid="{00000000-0005-0000-0000-000036050000}"/>
    <cellStyle name="標準 35 3" xfId="1325" xr:uid="{00000000-0005-0000-0000-000037050000}"/>
    <cellStyle name="標準 36" xfId="1326" xr:uid="{00000000-0005-0000-0000-000038050000}"/>
    <cellStyle name="標準 36 2" xfId="1327" xr:uid="{00000000-0005-0000-0000-000039050000}"/>
    <cellStyle name="標準 36 3" xfId="1328" xr:uid="{00000000-0005-0000-0000-00003A050000}"/>
    <cellStyle name="標準 37" xfId="1329" xr:uid="{00000000-0005-0000-0000-00003B050000}"/>
    <cellStyle name="標準 37 2" xfId="1330" xr:uid="{00000000-0005-0000-0000-00003C050000}"/>
    <cellStyle name="標準 37 3" xfId="1331" xr:uid="{00000000-0005-0000-0000-00003D050000}"/>
    <cellStyle name="標準 38" xfId="1332" xr:uid="{00000000-0005-0000-0000-00003E050000}"/>
    <cellStyle name="標準 39" xfId="1333" xr:uid="{00000000-0005-0000-0000-00003F050000}"/>
    <cellStyle name="標準 39 2" xfId="1334" xr:uid="{00000000-0005-0000-0000-000040050000}"/>
    <cellStyle name="標準 39 3" xfId="1335" xr:uid="{00000000-0005-0000-0000-000041050000}"/>
    <cellStyle name="標準 4" xfId="16" xr:uid="{00000000-0005-0000-0000-000042050000}"/>
    <cellStyle name="標準 4 2" xfId="1336" xr:uid="{00000000-0005-0000-0000-000043050000}"/>
    <cellStyle name="標準 4 2 2" xfId="1337" xr:uid="{00000000-0005-0000-0000-000044050000}"/>
    <cellStyle name="標準 4 2 2 2" xfId="1338" xr:uid="{00000000-0005-0000-0000-000045050000}"/>
    <cellStyle name="標準 4 2 2 3" xfId="1339" xr:uid="{00000000-0005-0000-0000-000046050000}"/>
    <cellStyle name="標準 4 2 3" xfId="1340" xr:uid="{00000000-0005-0000-0000-000047050000}"/>
    <cellStyle name="標準 4 3" xfId="1341" xr:uid="{00000000-0005-0000-0000-000048050000}"/>
    <cellStyle name="標準 4 3 2" xfId="1342" xr:uid="{00000000-0005-0000-0000-000049050000}"/>
    <cellStyle name="標準 4 3 3" xfId="1343" xr:uid="{00000000-0005-0000-0000-00004A050000}"/>
    <cellStyle name="標準 4 4" xfId="1344" xr:uid="{00000000-0005-0000-0000-00004B050000}"/>
    <cellStyle name="標準 4 4 2" xfId="1345" xr:uid="{00000000-0005-0000-0000-00004C050000}"/>
    <cellStyle name="標準 4 4 3" xfId="1346" xr:uid="{00000000-0005-0000-0000-00004D050000}"/>
    <cellStyle name="標準 4 5" xfId="1347" xr:uid="{00000000-0005-0000-0000-00004E050000}"/>
    <cellStyle name="標準 4 6" xfId="1348" xr:uid="{00000000-0005-0000-0000-00004F050000}"/>
    <cellStyle name="標準 4 7" xfId="1942" xr:uid="{00000000-0005-0000-0000-000050050000}"/>
    <cellStyle name="標準 4 7 2" xfId="1949" xr:uid="{00000000-0005-0000-0000-000051050000}"/>
    <cellStyle name="標準 4 8" xfId="1947" xr:uid="{00000000-0005-0000-0000-000052050000}"/>
    <cellStyle name="標準 4_20121011__1_F⇒O_【証拠金１本化】課題管理（清算）" xfId="1349" xr:uid="{00000000-0005-0000-0000-000053050000}"/>
    <cellStyle name="標準 40" xfId="1350" xr:uid="{00000000-0005-0000-0000-000054050000}"/>
    <cellStyle name="標準 41" xfId="1351" xr:uid="{00000000-0005-0000-0000-000055050000}"/>
    <cellStyle name="標準 42" xfId="1352" xr:uid="{00000000-0005-0000-0000-000056050000}"/>
    <cellStyle name="標準 43" xfId="1353" xr:uid="{00000000-0005-0000-0000-000057050000}"/>
    <cellStyle name="標準 44" xfId="1354" xr:uid="{00000000-0005-0000-0000-000058050000}"/>
    <cellStyle name="標準 45" xfId="1355" xr:uid="{00000000-0005-0000-0000-000059050000}"/>
    <cellStyle name="標準 46" xfId="1356" xr:uid="{00000000-0005-0000-0000-00005A050000}"/>
    <cellStyle name="標準 47" xfId="1357" xr:uid="{00000000-0005-0000-0000-00005B050000}"/>
    <cellStyle name="標準 48" xfId="1358" xr:uid="{00000000-0005-0000-0000-00005C050000}"/>
    <cellStyle name="標準 49" xfId="1359" xr:uid="{00000000-0005-0000-0000-00005D050000}"/>
    <cellStyle name="標準 5" xfId="1360" xr:uid="{00000000-0005-0000-0000-00005E050000}"/>
    <cellStyle name="標準 5 2" xfId="1361" xr:uid="{00000000-0005-0000-0000-00005F050000}"/>
    <cellStyle name="標準 5 2 2" xfId="1362" xr:uid="{00000000-0005-0000-0000-000060050000}"/>
    <cellStyle name="標準 5 2 2 2" xfId="15" xr:uid="{00000000-0005-0000-0000-000061050000}"/>
    <cellStyle name="標準 5 2 2 3" xfId="1363" xr:uid="{00000000-0005-0000-0000-000062050000}"/>
    <cellStyle name="標準 5 2 3" xfId="1364" xr:uid="{00000000-0005-0000-0000-000063050000}"/>
    <cellStyle name="標準 5 2 3 2" xfId="1365" xr:uid="{00000000-0005-0000-0000-000064050000}"/>
    <cellStyle name="標準 5 2 3 3" xfId="1366" xr:uid="{00000000-0005-0000-0000-000065050000}"/>
    <cellStyle name="標準 5 3" xfId="1367" xr:uid="{00000000-0005-0000-0000-000066050000}"/>
    <cellStyle name="標準 5 4" xfId="1368" xr:uid="{00000000-0005-0000-0000-000067050000}"/>
    <cellStyle name="標準 5 4 2" xfId="1369" xr:uid="{00000000-0005-0000-0000-000068050000}"/>
    <cellStyle name="標準 5_バックアップセンタ_切替テストスケジュール_20120406~10" xfId="1370" xr:uid="{00000000-0005-0000-0000-000069050000}"/>
    <cellStyle name="標準 50" xfId="1371" xr:uid="{00000000-0005-0000-0000-00006A050000}"/>
    <cellStyle name="標準 51" xfId="1372" xr:uid="{00000000-0005-0000-0000-00006B050000}"/>
    <cellStyle name="標準 52" xfId="1373" xr:uid="{00000000-0005-0000-0000-00006C050000}"/>
    <cellStyle name="標準 53" xfId="1374" xr:uid="{00000000-0005-0000-0000-00006D050000}"/>
    <cellStyle name="標準 54" xfId="1375" xr:uid="{00000000-0005-0000-0000-00006E050000}"/>
    <cellStyle name="標準 55" xfId="1376" xr:uid="{00000000-0005-0000-0000-00006F050000}"/>
    <cellStyle name="標準 56" xfId="1377" xr:uid="{00000000-0005-0000-0000-000070050000}"/>
    <cellStyle name="標準 57" xfId="1378" xr:uid="{00000000-0005-0000-0000-000071050000}"/>
    <cellStyle name="標準 58" xfId="1379" xr:uid="{00000000-0005-0000-0000-000072050000}"/>
    <cellStyle name="標準 59" xfId="1380" xr:uid="{00000000-0005-0000-0000-000073050000}"/>
    <cellStyle name="標準 6" xfId="1381" xr:uid="{00000000-0005-0000-0000-000074050000}"/>
    <cellStyle name="標準 6 2" xfId="1382" xr:uid="{00000000-0005-0000-0000-000075050000}"/>
    <cellStyle name="標準 6 2 2" xfId="1383" xr:uid="{00000000-0005-0000-0000-000076050000}"/>
    <cellStyle name="標準 6 2 3" xfId="1384" xr:uid="{00000000-0005-0000-0000-000077050000}"/>
    <cellStyle name="標準 6 2 4" xfId="1385" xr:uid="{00000000-0005-0000-0000-000078050000}"/>
    <cellStyle name="標準 6 3" xfId="1386" xr:uid="{00000000-0005-0000-0000-000079050000}"/>
    <cellStyle name="標準 6_バックアップセンタ_切替テストスケジュール_20120406~10" xfId="1387" xr:uid="{00000000-0005-0000-0000-00007A050000}"/>
    <cellStyle name="標準 60" xfId="1388" xr:uid="{00000000-0005-0000-0000-00007B050000}"/>
    <cellStyle name="標準 61" xfId="1389" xr:uid="{00000000-0005-0000-0000-00007C050000}"/>
    <cellStyle name="標準 62" xfId="1390" xr:uid="{00000000-0005-0000-0000-00007D050000}"/>
    <cellStyle name="標準 63" xfId="1391" xr:uid="{00000000-0005-0000-0000-00007E050000}"/>
    <cellStyle name="標準 64" xfId="1392" xr:uid="{00000000-0005-0000-0000-00007F050000}"/>
    <cellStyle name="標準 65" xfId="1393" xr:uid="{00000000-0005-0000-0000-000080050000}"/>
    <cellStyle name="標準 66" xfId="1394" xr:uid="{00000000-0005-0000-0000-000081050000}"/>
    <cellStyle name="標準 67" xfId="1395" xr:uid="{00000000-0005-0000-0000-000082050000}"/>
    <cellStyle name="標準 68" xfId="1396" xr:uid="{00000000-0005-0000-0000-000083050000}"/>
    <cellStyle name="標準 69" xfId="1397" xr:uid="{00000000-0005-0000-0000-000084050000}"/>
    <cellStyle name="標準 69 2" xfId="1398" xr:uid="{00000000-0005-0000-0000-000085050000}"/>
    <cellStyle name="標準 69 2 2" xfId="1399" xr:uid="{00000000-0005-0000-0000-000086050000}"/>
    <cellStyle name="標準 69 2 2 2" xfId="1400" xr:uid="{00000000-0005-0000-0000-000087050000}"/>
    <cellStyle name="標準 69 2 2 3" xfId="1401" xr:uid="{00000000-0005-0000-0000-000088050000}"/>
    <cellStyle name="標準 69 2 2 4" xfId="1402" xr:uid="{00000000-0005-0000-0000-000089050000}"/>
    <cellStyle name="標準 69 2 3" xfId="1403" xr:uid="{00000000-0005-0000-0000-00008A050000}"/>
    <cellStyle name="標準 69 2 4" xfId="1404" xr:uid="{00000000-0005-0000-0000-00008B050000}"/>
    <cellStyle name="標準 69 2 5" xfId="1405" xr:uid="{00000000-0005-0000-0000-00008C050000}"/>
    <cellStyle name="標準 69 3" xfId="1406" xr:uid="{00000000-0005-0000-0000-00008D050000}"/>
    <cellStyle name="標準 69 3 2" xfId="1407" xr:uid="{00000000-0005-0000-0000-00008E050000}"/>
    <cellStyle name="標準 69 3 3" xfId="1408" xr:uid="{00000000-0005-0000-0000-00008F050000}"/>
    <cellStyle name="標準 69 3 4" xfId="1409" xr:uid="{00000000-0005-0000-0000-000090050000}"/>
    <cellStyle name="標準 69 4" xfId="1410" xr:uid="{00000000-0005-0000-0000-000091050000}"/>
    <cellStyle name="標準 69 5" xfId="1411" xr:uid="{00000000-0005-0000-0000-000092050000}"/>
    <cellStyle name="標準 69 6" xfId="1412" xr:uid="{00000000-0005-0000-0000-000093050000}"/>
    <cellStyle name="標準 69 7" xfId="1413" xr:uid="{00000000-0005-0000-0000-000094050000}"/>
    <cellStyle name="標準 69 8" xfId="1414" xr:uid="{00000000-0005-0000-0000-000095050000}"/>
    <cellStyle name="標準 7" xfId="1415" xr:uid="{00000000-0005-0000-0000-000096050000}"/>
    <cellStyle name="標準 7 2" xfId="1416" xr:uid="{00000000-0005-0000-0000-000097050000}"/>
    <cellStyle name="標準 7 2 2" xfId="1417" xr:uid="{00000000-0005-0000-0000-000098050000}"/>
    <cellStyle name="標準 7 2 3" xfId="1418" xr:uid="{00000000-0005-0000-0000-000099050000}"/>
    <cellStyle name="標準 7 3" xfId="1419" xr:uid="{00000000-0005-0000-0000-00009A050000}"/>
    <cellStyle name="標準 7 3 2" xfId="1420" xr:uid="{00000000-0005-0000-0000-00009B050000}"/>
    <cellStyle name="標準 7 3 3" xfId="1421" xr:uid="{00000000-0005-0000-0000-00009C050000}"/>
    <cellStyle name="標準 7 4" xfId="1422" xr:uid="{00000000-0005-0000-0000-00009D050000}"/>
    <cellStyle name="標準 7 4 2" xfId="1423" xr:uid="{00000000-0005-0000-0000-00009E050000}"/>
    <cellStyle name="標準 7 4 3" xfId="1424" xr:uid="{00000000-0005-0000-0000-00009F050000}"/>
    <cellStyle name="標準 7 5" xfId="1425" xr:uid="{00000000-0005-0000-0000-0000A0050000}"/>
    <cellStyle name="標準 70" xfId="1426" xr:uid="{00000000-0005-0000-0000-0000A1050000}"/>
    <cellStyle name="標準 70 2" xfId="1427" xr:uid="{00000000-0005-0000-0000-0000A2050000}"/>
    <cellStyle name="標準 70 2 2" xfId="1428" xr:uid="{00000000-0005-0000-0000-0000A3050000}"/>
    <cellStyle name="標準 70 2 2 2" xfId="1429" xr:uid="{00000000-0005-0000-0000-0000A4050000}"/>
    <cellStyle name="標準 70 2 2 3" xfId="1430" xr:uid="{00000000-0005-0000-0000-0000A5050000}"/>
    <cellStyle name="標準 70 2 2 4" xfId="1431" xr:uid="{00000000-0005-0000-0000-0000A6050000}"/>
    <cellStyle name="標準 70 2 3" xfId="1432" xr:uid="{00000000-0005-0000-0000-0000A7050000}"/>
    <cellStyle name="標準 70 2 4" xfId="1433" xr:uid="{00000000-0005-0000-0000-0000A8050000}"/>
    <cellStyle name="標準 70 2 5" xfId="1434" xr:uid="{00000000-0005-0000-0000-0000A9050000}"/>
    <cellStyle name="標準 70 3" xfId="1435" xr:uid="{00000000-0005-0000-0000-0000AA050000}"/>
    <cellStyle name="標準 70 3 2" xfId="1436" xr:uid="{00000000-0005-0000-0000-0000AB050000}"/>
    <cellStyle name="標準 70 3 3" xfId="1437" xr:uid="{00000000-0005-0000-0000-0000AC050000}"/>
    <cellStyle name="標準 70 3 4" xfId="1438" xr:uid="{00000000-0005-0000-0000-0000AD050000}"/>
    <cellStyle name="標準 70 4" xfId="1439" xr:uid="{00000000-0005-0000-0000-0000AE050000}"/>
    <cellStyle name="標準 70 5" xfId="1440" xr:uid="{00000000-0005-0000-0000-0000AF050000}"/>
    <cellStyle name="標準 70 6" xfId="1441" xr:uid="{00000000-0005-0000-0000-0000B0050000}"/>
    <cellStyle name="標準 70 7" xfId="1442" xr:uid="{00000000-0005-0000-0000-0000B1050000}"/>
    <cellStyle name="標準 70 8" xfId="1443" xr:uid="{00000000-0005-0000-0000-0000B2050000}"/>
    <cellStyle name="標準 71" xfId="1444" xr:uid="{00000000-0005-0000-0000-0000B3050000}"/>
    <cellStyle name="標準 71 2" xfId="1445" xr:uid="{00000000-0005-0000-0000-0000B4050000}"/>
    <cellStyle name="標準 71 2 2" xfId="1446" xr:uid="{00000000-0005-0000-0000-0000B5050000}"/>
    <cellStyle name="標準 71 2 2 2" xfId="1447" xr:uid="{00000000-0005-0000-0000-0000B6050000}"/>
    <cellStyle name="標準 71 2 2 3" xfId="1448" xr:uid="{00000000-0005-0000-0000-0000B7050000}"/>
    <cellStyle name="標準 71 2 2 4" xfId="1449" xr:uid="{00000000-0005-0000-0000-0000B8050000}"/>
    <cellStyle name="標準 71 2 3" xfId="1450" xr:uid="{00000000-0005-0000-0000-0000B9050000}"/>
    <cellStyle name="標準 71 2 4" xfId="1451" xr:uid="{00000000-0005-0000-0000-0000BA050000}"/>
    <cellStyle name="標準 71 2 5" xfId="1452" xr:uid="{00000000-0005-0000-0000-0000BB050000}"/>
    <cellStyle name="標準 71 3" xfId="1453" xr:uid="{00000000-0005-0000-0000-0000BC050000}"/>
    <cellStyle name="標準 71 3 2" xfId="1454" xr:uid="{00000000-0005-0000-0000-0000BD050000}"/>
    <cellStyle name="標準 71 3 3" xfId="1455" xr:uid="{00000000-0005-0000-0000-0000BE050000}"/>
    <cellStyle name="標準 71 3 4" xfId="1456" xr:uid="{00000000-0005-0000-0000-0000BF050000}"/>
    <cellStyle name="標準 71 4" xfId="1457" xr:uid="{00000000-0005-0000-0000-0000C0050000}"/>
    <cellStyle name="標準 71 5" xfId="1458" xr:uid="{00000000-0005-0000-0000-0000C1050000}"/>
    <cellStyle name="標準 71 6" xfId="1459" xr:uid="{00000000-0005-0000-0000-0000C2050000}"/>
    <cellStyle name="標準 71 7" xfId="1460" xr:uid="{00000000-0005-0000-0000-0000C3050000}"/>
    <cellStyle name="標準 71 8" xfId="1461" xr:uid="{00000000-0005-0000-0000-0000C4050000}"/>
    <cellStyle name="標準 72" xfId="1462" xr:uid="{00000000-0005-0000-0000-0000C5050000}"/>
    <cellStyle name="標準 72 2" xfId="1463" xr:uid="{00000000-0005-0000-0000-0000C6050000}"/>
    <cellStyle name="標準 72 2 2" xfId="1464" xr:uid="{00000000-0005-0000-0000-0000C7050000}"/>
    <cellStyle name="標準 72 2 2 2" xfId="1465" xr:uid="{00000000-0005-0000-0000-0000C8050000}"/>
    <cellStyle name="標準 72 2 2 3" xfId="1466" xr:uid="{00000000-0005-0000-0000-0000C9050000}"/>
    <cellStyle name="標準 72 2 2 4" xfId="1467" xr:uid="{00000000-0005-0000-0000-0000CA050000}"/>
    <cellStyle name="標準 72 2 3" xfId="1468" xr:uid="{00000000-0005-0000-0000-0000CB050000}"/>
    <cellStyle name="標準 72 2 4" xfId="1469" xr:uid="{00000000-0005-0000-0000-0000CC050000}"/>
    <cellStyle name="標準 72 2 5" xfId="1470" xr:uid="{00000000-0005-0000-0000-0000CD050000}"/>
    <cellStyle name="標準 72 3" xfId="1471" xr:uid="{00000000-0005-0000-0000-0000CE050000}"/>
    <cellStyle name="標準 72 3 2" xfId="1472" xr:uid="{00000000-0005-0000-0000-0000CF050000}"/>
    <cellStyle name="標準 72 3 3" xfId="1473" xr:uid="{00000000-0005-0000-0000-0000D0050000}"/>
    <cellStyle name="標準 72 3 4" xfId="1474" xr:uid="{00000000-0005-0000-0000-0000D1050000}"/>
    <cellStyle name="標準 72 4" xfId="1475" xr:uid="{00000000-0005-0000-0000-0000D2050000}"/>
    <cellStyle name="標準 72 5" xfId="1476" xr:uid="{00000000-0005-0000-0000-0000D3050000}"/>
    <cellStyle name="標準 72 6" xfId="1477" xr:uid="{00000000-0005-0000-0000-0000D4050000}"/>
    <cellStyle name="標準 72 7" xfId="1478" xr:uid="{00000000-0005-0000-0000-0000D5050000}"/>
    <cellStyle name="標準 72 8" xfId="1479" xr:uid="{00000000-0005-0000-0000-0000D6050000}"/>
    <cellStyle name="標準 73" xfId="1480" xr:uid="{00000000-0005-0000-0000-0000D7050000}"/>
    <cellStyle name="標準 73 2" xfId="1481" xr:uid="{00000000-0005-0000-0000-0000D8050000}"/>
    <cellStyle name="標準 73 2 2" xfId="1482" xr:uid="{00000000-0005-0000-0000-0000D9050000}"/>
    <cellStyle name="標準 73 2 2 2" xfId="1483" xr:uid="{00000000-0005-0000-0000-0000DA050000}"/>
    <cellStyle name="標準 73 2 2 3" xfId="1484" xr:uid="{00000000-0005-0000-0000-0000DB050000}"/>
    <cellStyle name="標準 73 2 2 4" xfId="1485" xr:uid="{00000000-0005-0000-0000-0000DC050000}"/>
    <cellStyle name="標準 73 2 3" xfId="1486" xr:uid="{00000000-0005-0000-0000-0000DD050000}"/>
    <cellStyle name="標準 73 2 4" xfId="1487" xr:uid="{00000000-0005-0000-0000-0000DE050000}"/>
    <cellStyle name="標準 73 2 5" xfId="1488" xr:uid="{00000000-0005-0000-0000-0000DF050000}"/>
    <cellStyle name="標準 73 3" xfId="1489" xr:uid="{00000000-0005-0000-0000-0000E0050000}"/>
    <cellStyle name="標準 73 3 2" xfId="1490" xr:uid="{00000000-0005-0000-0000-0000E1050000}"/>
    <cellStyle name="標準 73 3 3" xfId="1491" xr:uid="{00000000-0005-0000-0000-0000E2050000}"/>
    <cellStyle name="標準 73 3 4" xfId="1492" xr:uid="{00000000-0005-0000-0000-0000E3050000}"/>
    <cellStyle name="標準 73 4" xfId="1493" xr:uid="{00000000-0005-0000-0000-0000E4050000}"/>
    <cellStyle name="標準 73 5" xfId="1494" xr:uid="{00000000-0005-0000-0000-0000E5050000}"/>
    <cellStyle name="標準 73 6" xfId="1495" xr:uid="{00000000-0005-0000-0000-0000E6050000}"/>
    <cellStyle name="標準 74" xfId="1496" xr:uid="{00000000-0005-0000-0000-0000E7050000}"/>
    <cellStyle name="標準 74 2" xfId="1497" xr:uid="{00000000-0005-0000-0000-0000E8050000}"/>
    <cellStyle name="標準 74 2 2" xfId="1498" xr:uid="{00000000-0005-0000-0000-0000E9050000}"/>
    <cellStyle name="標準 74 2 2 2" xfId="1499" xr:uid="{00000000-0005-0000-0000-0000EA050000}"/>
    <cellStyle name="標準 74 2 2 3" xfId="1500" xr:uid="{00000000-0005-0000-0000-0000EB050000}"/>
    <cellStyle name="標準 74 2 2 4" xfId="1501" xr:uid="{00000000-0005-0000-0000-0000EC050000}"/>
    <cellStyle name="標準 74 2 3" xfId="1502" xr:uid="{00000000-0005-0000-0000-0000ED050000}"/>
    <cellStyle name="標準 74 2 4" xfId="1503" xr:uid="{00000000-0005-0000-0000-0000EE050000}"/>
    <cellStyle name="標準 74 2 5" xfId="1504" xr:uid="{00000000-0005-0000-0000-0000EF050000}"/>
    <cellStyle name="標準 74 3" xfId="1505" xr:uid="{00000000-0005-0000-0000-0000F0050000}"/>
    <cellStyle name="標準 74 3 2" xfId="1506" xr:uid="{00000000-0005-0000-0000-0000F1050000}"/>
    <cellStyle name="標準 74 3 3" xfId="1507" xr:uid="{00000000-0005-0000-0000-0000F2050000}"/>
    <cellStyle name="標準 74 3 4" xfId="1508" xr:uid="{00000000-0005-0000-0000-0000F3050000}"/>
    <cellStyle name="標準 74 4" xfId="1509" xr:uid="{00000000-0005-0000-0000-0000F4050000}"/>
    <cellStyle name="標準 74 5" xfId="1510" xr:uid="{00000000-0005-0000-0000-0000F5050000}"/>
    <cellStyle name="標準 74 6" xfId="1511" xr:uid="{00000000-0005-0000-0000-0000F6050000}"/>
    <cellStyle name="標準 75" xfId="1512" xr:uid="{00000000-0005-0000-0000-0000F7050000}"/>
    <cellStyle name="標準 75 2" xfId="1513" xr:uid="{00000000-0005-0000-0000-0000F8050000}"/>
    <cellStyle name="標準 75 2 2" xfId="1514" xr:uid="{00000000-0005-0000-0000-0000F9050000}"/>
    <cellStyle name="標準 75 2 2 2" xfId="1515" xr:uid="{00000000-0005-0000-0000-0000FA050000}"/>
    <cellStyle name="標準 75 2 2 3" xfId="1516" xr:uid="{00000000-0005-0000-0000-0000FB050000}"/>
    <cellStyle name="標準 75 2 2 4" xfId="1517" xr:uid="{00000000-0005-0000-0000-0000FC050000}"/>
    <cellStyle name="標準 75 2 3" xfId="1518" xr:uid="{00000000-0005-0000-0000-0000FD050000}"/>
    <cellStyle name="標準 75 2 4" xfId="1519" xr:uid="{00000000-0005-0000-0000-0000FE050000}"/>
    <cellStyle name="標準 75 2 5" xfId="1520" xr:uid="{00000000-0005-0000-0000-0000FF050000}"/>
    <cellStyle name="標準 75 3" xfId="1521" xr:uid="{00000000-0005-0000-0000-000000060000}"/>
    <cellStyle name="標準 75 3 2" xfId="1522" xr:uid="{00000000-0005-0000-0000-000001060000}"/>
    <cellStyle name="標準 75 3 3" xfId="1523" xr:uid="{00000000-0005-0000-0000-000002060000}"/>
    <cellStyle name="標準 75 3 4" xfId="1524" xr:uid="{00000000-0005-0000-0000-000003060000}"/>
    <cellStyle name="標準 75 4" xfId="1525" xr:uid="{00000000-0005-0000-0000-000004060000}"/>
    <cellStyle name="標準 75 5" xfId="1526" xr:uid="{00000000-0005-0000-0000-000005060000}"/>
    <cellStyle name="標準 75 6" xfId="1527" xr:uid="{00000000-0005-0000-0000-000006060000}"/>
    <cellStyle name="標準 76" xfId="1528" xr:uid="{00000000-0005-0000-0000-000007060000}"/>
    <cellStyle name="標準 76 2" xfId="1529" xr:uid="{00000000-0005-0000-0000-000008060000}"/>
    <cellStyle name="標準 76 2 2" xfId="1530" xr:uid="{00000000-0005-0000-0000-000009060000}"/>
    <cellStyle name="標準 76 2 2 2" xfId="1531" xr:uid="{00000000-0005-0000-0000-00000A060000}"/>
    <cellStyle name="標準 76 2 2 3" xfId="1532" xr:uid="{00000000-0005-0000-0000-00000B060000}"/>
    <cellStyle name="標準 76 2 2 4" xfId="1533" xr:uid="{00000000-0005-0000-0000-00000C060000}"/>
    <cellStyle name="標準 76 2 3" xfId="1534" xr:uid="{00000000-0005-0000-0000-00000D060000}"/>
    <cellStyle name="標準 76 2 4" xfId="1535" xr:uid="{00000000-0005-0000-0000-00000E060000}"/>
    <cellStyle name="標準 76 2 5" xfId="1536" xr:uid="{00000000-0005-0000-0000-00000F060000}"/>
    <cellStyle name="標準 76 3" xfId="1537" xr:uid="{00000000-0005-0000-0000-000010060000}"/>
    <cellStyle name="標準 76 3 2" xfId="1538" xr:uid="{00000000-0005-0000-0000-000011060000}"/>
    <cellStyle name="標準 76 3 3" xfId="1539" xr:uid="{00000000-0005-0000-0000-000012060000}"/>
    <cellStyle name="標準 76 3 4" xfId="1540" xr:uid="{00000000-0005-0000-0000-000013060000}"/>
    <cellStyle name="標準 76 4" xfId="1541" xr:uid="{00000000-0005-0000-0000-000014060000}"/>
    <cellStyle name="標準 76 5" xfId="1542" xr:uid="{00000000-0005-0000-0000-000015060000}"/>
    <cellStyle name="標準 76 6" xfId="1543" xr:uid="{00000000-0005-0000-0000-000016060000}"/>
    <cellStyle name="標準 77" xfId="1544" xr:uid="{00000000-0005-0000-0000-000017060000}"/>
    <cellStyle name="標準 77 2" xfId="1545" xr:uid="{00000000-0005-0000-0000-000018060000}"/>
    <cellStyle name="標準 77 2 2" xfId="1546" xr:uid="{00000000-0005-0000-0000-000019060000}"/>
    <cellStyle name="標準 77 2 2 2" xfId="1547" xr:uid="{00000000-0005-0000-0000-00001A060000}"/>
    <cellStyle name="標準 77 2 2 3" xfId="1548" xr:uid="{00000000-0005-0000-0000-00001B060000}"/>
    <cellStyle name="標準 77 2 2 4" xfId="1549" xr:uid="{00000000-0005-0000-0000-00001C060000}"/>
    <cellStyle name="標準 77 2 3" xfId="1550" xr:uid="{00000000-0005-0000-0000-00001D060000}"/>
    <cellStyle name="標準 77 2 4" xfId="1551" xr:uid="{00000000-0005-0000-0000-00001E060000}"/>
    <cellStyle name="標準 77 2 5" xfId="1552" xr:uid="{00000000-0005-0000-0000-00001F060000}"/>
    <cellStyle name="標準 77 3" xfId="1553" xr:uid="{00000000-0005-0000-0000-000020060000}"/>
    <cellStyle name="標準 77 3 2" xfId="1554" xr:uid="{00000000-0005-0000-0000-000021060000}"/>
    <cellStyle name="標準 77 3 3" xfId="1555" xr:uid="{00000000-0005-0000-0000-000022060000}"/>
    <cellStyle name="標準 77 3 4" xfId="1556" xr:uid="{00000000-0005-0000-0000-000023060000}"/>
    <cellStyle name="標準 77 4" xfId="1557" xr:uid="{00000000-0005-0000-0000-000024060000}"/>
    <cellStyle name="標準 77 5" xfId="1558" xr:uid="{00000000-0005-0000-0000-000025060000}"/>
    <cellStyle name="標準 77 6" xfId="1559" xr:uid="{00000000-0005-0000-0000-000026060000}"/>
    <cellStyle name="標準 78" xfId="1560" xr:uid="{00000000-0005-0000-0000-000027060000}"/>
    <cellStyle name="標準 78 2" xfId="1561" xr:uid="{00000000-0005-0000-0000-000028060000}"/>
    <cellStyle name="標準 78 2 2" xfId="1562" xr:uid="{00000000-0005-0000-0000-000029060000}"/>
    <cellStyle name="標準 78 2 2 2" xfId="1563" xr:uid="{00000000-0005-0000-0000-00002A060000}"/>
    <cellStyle name="標準 78 2 2 3" xfId="1564" xr:uid="{00000000-0005-0000-0000-00002B060000}"/>
    <cellStyle name="標準 78 2 2 4" xfId="1565" xr:uid="{00000000-0005-0000-0000-00002C060000}"/>
    <cellStyle name="標準 78 2 3" xfId="1566" xr:uid="{00000000-0005-0000-0000-00002D060000}"/>
    <cellStyle name="標準 78 2 4" xfId="1567" xr:uid="{00000000-0005-0000-0000-00002E060000}"/>
    <cellStyle name="標準 78 2 5" xfId="1568" xr:uid="{00000000-0005-0000-0000-00002F060000}"/>
    <cellStyle name="標準 78 3" xfId="1569" xr:uid="{00000000-0005-0000-0000-000030060000}"/>
    <cellStyle name="標準 78 3 2" xfId="1570" xr:uid="{00000000-0005-0000-0000-000031060000}"/>
    <cellStyle name="標準 78 3 3" xfId="1571" xr:uid="{00000000-0005-0000-0000-000032060000}"/>
    <cellStyle name="標準 78 3 4" xfId="1572" xr:uid="{00000000-0005-0000-0000-000033060000}"/>
    <cellStyle name="標準 78 4" xfId="1573" xr:uid="{00000000-0005-0000-0000-000034060000}"/>
    <cellStyle name="標準 78 5" xfId="1574" xr:uid="{00000000-0005-0000-0000-000035060000}"/>
    <cellStyle name="標準 78 6" xfId="1575" xr:uid="{00000000-0005-0000-0000-000036060000}"/>
    <cellStyle name="標準 79" xfId="1576" xr:uid="{00000000-0005-0000-0000-000037060000}"/>
    <cellStyle name="標準 79 2" xfId="1577" xr:uid="{00000000-0005-0000-0000-000038060000}"/>
    <cellStyle name="標準 79 2 2" xfId="1578" xr:uid="{00000000-0005-0000-0000-000039060000}"/>
    <cellStyle name="標準 79 2 2 2" xfId="1579" xr:uid="{00000000-0005-0000-0000-00003A060000}"/>
    <cellStyle name="標準 79 2 2 3" xfId="1580" xr:uid="{00000000-0005-0000-0000-00003B060000}"/>
    <cellStyle name="標準 79 2 2 4" xfId="1581" xr:uid="{00000000-0005-0000-0000-00003C060000}"/>
    <cellStyle name="標準 79 2 3" xfId="1582" xr:uid="{00000000-0005-0000-0000-00003D060000}"/>
    <cellStyle name="標準 79 2 4" xfId="1583" xr:uid="{00000000-0005-0000-0000-00003E060000}"/>
    <cellStyle name="標準 79 2 5" xfId="1584" xr:uid="{00000000-0005-0000-0000-00003F060000}"/>
    <cellStyle name="標準 79 3" xfId="1585" xr:uid="{00000000-0005-0000-0000-000040060000}"/>
    <cellStyle name="標準 79 3 2" xfId="1586" xr:uid="{00000000-0005-0000-0000-000041060000}"/>
    <cellStyle name="標準 79 3 3" xfId="1587" xr:uid="{00000000-0005-0000-0000-000042060000}"/>
    <cellStyle name="標準 79 3 4" xfId="1588" xr:uid="{00000000-0005-0000-0000-000043060000}"/>
    <cellStyle name="標準 79 4" xfId="1589" xr:uid="{00000000-0005-0000-0000-000044060000}"/>
    <cellStyle name="標準 79 5" xfId="1590" xr:uid="{00000000-0005-0000-0000-000045060000}"/>
    <cellStyle name="標準 79 6" xfId="1591" xr:uid="{00000000-0005-0000-0000-000046060000}"/>
    <cellStyle name="標準 8" xfId="1592" xr:uid="{00000000-0005-0000-0000-000047060000}"/>
    <cellStyle name="標準 8 2" xfId="1593" xr:uid="{00000000-0005-0000-0000-000048060000}"/>
    <cellStyle name="標準 8 3" xfId="1594" xr:uid="{00000000-0005-0000-0000-000049060000}"/>
    <cellStyle name="標準 8 4" xfId="1595" xr:uid="{00000000-0005-0000-0000-00004A060000}"/>
    <cellStyle name="標準 8 5" xfId="1596" xr:uid="{00000000-0005-0000-0000-00004B060000}"/>
    <cellStyle name="標準 8 6" xfId="1597" xr:uid="{00000000-0005-0000-0000-00004C060000}"/>
    <cellStyle name="標準 80" xfId="1598" xr:uid="{00000000-0005-0000-0000-00004D060000}"/>
    <cellStyle name="標準 80 2" xfId="1599" xr:uid="{00000000-0005-0000-0000-00004E060000}"/>
    <cellStyle name="標準 80 2 2" xfId="1600" xr:uid="{00000000-0005-0000-0000-00004F060000}"/>
    <cellStyle name="標準 80 2 2 2" xfId="1601" xr:uid="{00000000-0005-0000-0000-000050060000}"/>
    <cellStyle name="標準 80 2 2 3" xfId="1602" xr:uid="{00000000-0005-0000-0000-000051060000}"/>
    <cellStyle name="標準 80 2 2 4" xfId="1603" xr:uid="{00000000-0005-0000-0000-000052060000}"/>
    <cellStyle name="標準 80 2 3" xfId="1604" xr:uid="{00000000-0005-0000-0000-000053060000}"/>
    <cellStyle name="標準 80 2 4" xfId="1605" xr:uid="{00000000-0005-0000-0000-000054060000}"/>
    <cellStyle name="標準 80 2 5" xfId="1606" xr:uid="{00000000-0005-0000-0000-000055060000}"/>
    <cellStyle name="標準 80 3" xfId="1607" xr:uid="{00000000-0005-0000-0000-000056060000}"/>
    <cellStyle name="標準 80 3 2" xfId="1608" xr:uid="{00000000-0005-0000-0000-000057060000}"/>
    <cellStyle name="標準 80 3 3" xfId="1609" xr:uid="{00000000-0005-0000-0000-000058060000}"/>
    <cellStyle name="標準 80 3 4" xfId="1610" xr:uid="{00000000-0005-0000-0000-000059060000}"/>
    <cellStyle name="標準 80 4" xfId="1611" xr:uid="{00000000-0005-0000-0000-00005A060000}"/>
    <cellStyle name="標準 80 5" xfId="1612" xr:uid="{00000000-0005-0000-0000-00005B060000}"/>
    <cellStyle name="標準 80 6" xfId="1613" xr:uid="{00000000-0005-0000-0000-00005C060000}"/>
    <cellStyle name="標準 81" xfId="1614" xr:uid="{00000000-0005-0000-0000-00005D060000}"/>
    <cellStyle name="標準 81 2" xfId="1615" xr:uid="{00000000-0005-0000-0000-00005E060000}"/>
    <cellStyle name="標準 81 2 2" xfId="1616" xr:uid="{00000000-0005-0000-0000-00005F060000}"/>
    <cellStyle name="標準 81 2 2 2" xfId="1617" xr:uid="{00000000-0005-0000-0000-000060060000}"/>
    <cellStyle name="標準 81 2 2 3" xfId="1618" xr:uid="{00000000-0005-0000-0000-000061060000}"/>
    <cellStyle name="標準 81 2 2 4" xfId="1619" xr:uid="{00000000-0005-0000-0000-000062060000}"/>
    <cellStyle name="標準 81 2 3" xfId="1620" xr:uid="{00000000-0005-0000-0000-000063060000}"/>
    <cellStyle name="標準 81 2 4" xfId="1621" xr:uid="{00000000-0005-0000-0000-000064060000}"/>
    <cellStyle name="標準 81 2 5" xfId="1622" xr:uid="{00000000-0005-0000-0000-000065060000}"/>
    <cellStyle name="標準 81 3" xfId="1623" xr:uid="{00000000-0005-0000-0000-000066060000}"/>
    <cellStyle name="標準 81 3 2" xfId="1624" xr:uid="{00000000-0005-0000-0000-000067060000}"/>
    <cellStyle name="標準 81 3 3" xfId="1625" xr:uid="{00000000-0005-0000-0000-000068060000}"/>
    <cellStyle name="標準 81 3 4" xfId="1626" xr:uid="{00000000-0005-0000-0000-000069060000}"/>
    <cellStyle name="標準 81 4" xfId="1627" xr:uid="{00000000-0005-0000-0000-00006A060000}"/>
    <cellStyle name="標準 81 5" xfId="1628" xr:uid="{00000000-0005-0000-0000-00006B060000}"/>
    <cellStyle name="標準 81 6" xfId="1629" xr:uid="{00000000-0005-0000-0000-00006C060000}"/>
    <cellStyle name="標準 82" xfId="1630" xr:uid="{00000000-0005-0000-0000-00006D060000}"/>
    <cellStyle name="標準 82 2" xfId="1631" xr:uid="{00000000-0005-0000-0000-00006E060000}"/>
    <cellStyle name="標準 82 2 2" xfId="1632" xr:uid="{00000000-0005-0000-0000-00006F060000}"/>
    <cellStyle name="標準 82 2 2 2" xfId="1633" xr:uid="{00000000-0005-0000-0000-000070060000}"/>
    <cellStyle name="標準 82 2 2 3" xfId="1634" xr:uid="{00000000-0005-0000-0000-000071060000}"/>
    <cellStyle name="標準 82 2 2 4" xfId="1635" xr:uid="{00000000-0005-0000-0000-000072060000}"/>
    <cellStyle name="標準 82 2 3" xfId="1636" xr:uid="{00000000-0005-0000-0000-000073060000}"/>
    <cellStyle name="標準 82 2 4" xfId="1637" xr:uid="{00000000-0005-0000-0000-000074060000}"/>
    <cellStyle name="標準 82 2 5" xfId="1638" xr:uid="{00000000-0005-0000-0000-000075060000}"/>
    <cellStyle name="標準 82 3" xfId="1639" xr:uid="{00000000-0005-0000-0000-000076060000}"/>
    <cellStyle name="標準 82 3 2" xfId="1640" xr:uid="{00000000-0005-0000-0000-000077060000}"/>
    <cellStyle name="標準 82 3 3" xfId="1641" xr:uid="{00000000-0005-0000-0000-000078060000}"/>
    <cellStyle name="標準 82 3 4" xfId="1642" xr:uid="{00000000-0005-0000-0000-000079060000}"/>
    <cellStyle name="標準 82 4" xfId="1643" xr:uid="{00000000-0005-0000-0000-00007A060000}"/>
    <cellStyle name="標準 82 5" xfId="1644" xr:uid="{00000000-0005-0000-0000-00007B060000}"/>
    <cellStyle name="標準 82 6" xfId="1645" xr:uid="{00000000-0005-0000-0000-00007C060000}"/>
    <cellStyle name="標準 83" xfId="1646" xr:uid="{00000000-0005-0000-0000-00007D060000}"/>
    <cellStyle name="標準 83 2" xfId="1647" xr:uid="{00000000-0005-0000-0000-00007E060000}"/>
    <cellStyle name="標準 83 2 2" xfId="1648" xr:uid="{00000000-0005-0000-0000-00007F060000}"/>
    <cellStyle name="標準 83 2 2 2" xfId="1649" xr:uid="{00000000-0005-0000-0000-000080060000}"/>
    <cellStyle name="標準 83 2 2 3" xfId="1650" xr:uid="{00000000-0005-0000-0000-000081060000}"/>
    <cellStyle name="標準 83 2 2 4" xfId="1651" xr:uid="{00000000-0005-0000-0000-000082060000}"/>
    <cellStyle name="標準 83 2 3" xfId="1652" xr:uid="{00000000-0005-0000-0000-000083060000}"/>
    <cellStyle name="標準 83 2 4" xfId="1653" xr:uid="{00000000-0005-0000-0000-000084060000}"/>
    <cellStyle name="標準 83 2 5" xfId="1654" xr:uid="{00000000-0005-0000-0000-000085060000}"/>
    <cellStyle name="標準 83 3" xfId="1655" xr:uid="{00000000-0005-0000-0000-000086060000}"/>
    <cellStyle name="標準 83 3 2" xfId="1656" xr:uid="{00000000-0005-0000-0000-000087060000}"/>
    <cellStyle name="標準 83 3 3" xfId="1657" xr:uid="{00000000-0005-0000-0000-000088060000}"/>
    <cellStyle name="標準 83 3 4" xfId="1658" xr:uid="{00000000-0005-0000-0000-000089060000}"/>
    <cellStyle name="標準 83 4" xfId="1659" xr:uid="{00000000-0005-0000-0000-00008A060000}"/>
    <cellStyle name="標準 83 5" xfId="1660" xr:uid="{00000000-0005-0000-0000-00008B060000}"/>
    <cellStyle name="標準 83 6" xfId="1661" xr:uid="{00000000-0005-0000-0000-00008C060000}"/>
    <cellStyle name="標準 84" xfId="1662" xr:uid="{00000000-0005-0000-0000-00008D060000}"/>
    <cellStyle name="標準 84 2" xfId="1663" xr:uid="{00000000-0005-0000-0000-00008E060000}"/>
    <cellStyle name="標準 84 2 2" xfId="1664" xr:uid="{00000000-0005-0000-0000-00008F060000}"/>
    <cellStyle name="標準 84 2 2 2" xfId="1665" xr:uid="{00000000-0005-0000-0000-000090060000}"/>
    <cellStyle name="標準 84 2 2 3" xfId="1666" xr:uid="{00000000-0005-0000-0000-000091060000}"/>
    <cellStyle name="標準 84 2 2 4" xfId="1667" xr:uid="{00000000-0005-0000-0000-000092060000}"/>
    <cellStyle name="標準 84 2 3" xfId="1668" xr:uid="{00000000-0005-0000-0000-000093060000}"/>
    <cellStyle name="標準 84 2 4" xfId="1669" xr:uid="{00000000-0005-0000-0000-000094060000}"/>
    <cellStyle name="標準 84 2 5" xfId="1670" xr:uid="{00000000-0005-0000-0000-000095060000}"/>
    <cellStyle name="標準 84 3" xfId="1671" xr:uid="{00000000-0005-0000-0000-000096060000}"/>
    <cellStyle name="標準 84 3 2" xfId="1672" xr:uid="{00000000-0005-0000-0000-000097060000}"/>
    <cellStyle name="標準 84 3 3" xfId="1673" xr:uid="{00000000-0005-0000-0000-000098060000}"/>
    <cellStyle name="標準 84 3 4" xfId="1674" xr:uid="{00000000-0005-0000-0000-000099060000}"/>
    <cellStyle name="標準 84 4" xfId="1675" xr:uid="{00000000-0005-0000-0000-00009A060000}"/>
    <cellStyle name="標準 84 5" xfId="1676" xr:uid="{00000000-0005-0000-0000-00009B060000}"/>
    <cellStyle name="標準 84 6" xfId="1677" xr:uid="{00000000-0005-0000-0000-00009C060000}"/>
    <cellStyle name="標準 85" xfId="1678" xr:uid="{00000000-0005-0000-0000-00009D060000}"/>
    <cellStyle name="標準 85 2" xfId="1679" xr:uid="{00000000-0005-0000-0000-00009E060000}"/>
    <cellStyle name="標準 85 2 2" xfId="1680" xr:uid="{00000000-0005-0000-0000-00009F060000}"/>
    <cellStyle name="標準 85 2 2 2" xfId="1681" xr:uid="{00000000-0005-0000-0000-0000A0060000}"/>
    <cellStyle name="標準 85 2 2 3" xfId="1682" xr:uid="{00000000-0005-0000-0000-0000A1060000}"/>
    <cellStyle name="標準 85 2 2 4" xfId="1683" xr:uid="{00000000-0005-0000-0000-0000A2060000}"/>
    <cellStyle name="標準 85 2 3" xfId="1684" xr:uid="{00000000-0005-0000-0000-0000A3060000}"/>
    <cellStyle name="標準 85 2 4" xfId="1685" xr:uid="{00000000-0005-0000-0000-0000A4060000}"/>
    <cellStyle name="標準 85 2 5" xfId="1686" xr:uid="{00000000-0005-0000-0000-0000A5060000}"/>
    <cellStyle name="標準 85 3" xfId="1687" xr:uid="{00000000-0005-0000-0000-0000A6060000}"/>
    <cellStyle name="標準 85 3 2" xfId="1688" xr:uid="{00000000-0005-0000-0000-0000A7060000}"/>
    <cellStyle name="標準 85 3 3" xfId="1689" xr:uid="{00000000-0005-0000-0000-0000A8060000}"/>
    <cellStyle name="標準 85 3 4" xfId="1690" xr:uid="{00000000-0005-0000-0000-0000A9060000}"/>
    <cellStyle name="標準 85 4" xfId="1691" xr:uid="{00000000-0005-0000-0000-0000AA060000}"/>
    <cellStyle name="標準 85 5" xfId="1692" xr:uid="{00000000-0005-0000-0000-0000AB060000}"/>
    <cellStyle name="標準 85 6" xfId="1693" xr:uid="{00000000-0005-0000-0000-0000AC060000}"/>
    <cellStyle name="標準 86" xfId="1694" xr:uid="{00000000-0005-0000-0000-0000AD060000}"/>
    <cellStyle name="標準 86 2" xfId="1695" xr:uid="{00000000-0005-0000-0000-0000AE060000}"/>
    <cellStyle name="標準 86 2 2" xfId="1696" xr:uid="{00000000-0005-0000-0000-0000AF060000}"/>
    <cellStyle name="標準 86 2 2 2" xfId="1697" xr:uid="{00000000-0005-0000-0000-0000B0060000}"/>
    <cellStyle name="標準 86 2 2 3" xfId="1698" xr:uid="{00000000-0005-0000-0000-0000B1060000}"/>
    <cellStyle name="標準 86 2 2 4" xfId="1699" xr:uid="{00000000-0005-0000-0000-0000B2060000}"/>
    <cellStyle name="標準 86 2 3" xfId="1700" xr:uid="{00000000-0005-0000-0000-0000B3060000}"/>
    <cellStyle name="標準 86 2 4" xfId="1701" xr:uid="{00000000-0005-0000-0000-0000B4060000}"/>
    <cellStyle name="標準 86 2 5" xfId="1702" xr:uid="{00000000-0005-0000-0000-0000B5060000}"/>
    <cellStyle name="標準 86 3" xfId="1703" xr:uid="{00000000-0005-0000-0000-0000B6060000}"/>
    <cellStyle name="標準 86 3 2" xfId="1704" xr:uid="{00000000-0005-0000-0000-0000B7060000}"/>
    <cellStyle name="標準 86 3 3" xfId="1705" xr:uid="{00000000-0005-0000-0000-0000B8060000}"/>
    <cellStyle name="標準 86 3 4" xfId="1706" xr:uid="{00000000-0005-0000-0000-0000B9060000}"/>
    <cellStyle name="標準 86 4" xfId="1707" xr:uid="{00000000-0005-0000-0000-0000BA060000}"/>
    <cellStyle name="標準 86 5" xfId="1708" xr:uid="{00000000-0005-0000-0000-0000BB060000}"/>
    <cellStyle name="標準 86 6" xfId="1709" xr:uid="{00000000-0005-0000-0000-0000BC060000}"/>
    <cellStyle name="標準 87" xfId="1710" xr:uid="{00000000-0005-0000-0000-0000BD060000}"/>
    <cellStyle name="標準 87 2" xfId="1711" xr:uid="{00000000-0005-0000-0000-0000BE060000}"/>
    <cellStyle name="標準 87 2 2" xfId="1712" xr:uid="{00000000-0005-0000-0000-0000BF060000}"/>
    <cellStyle name="標準 87 2 2 2" xfId="1713" xr:uid="{00000000-0005-0000-0000-0000C0060000}"/>
    <cellStyle name="標準 87 2 2 3" xfId="1714" xr:uid="{00000000-0005-0000-0000-0000C1060000}"/>
    <cellStyle name="標準 87 2 2 4" xfId="1715" xr:uid="{00000000-0005-0000-0000-0000C2060000}"/>
    <cellStyle name="標準 87 2 3" xfId="1716" xr:uid="{00000000-0005-0000-0000-0000C3060000}"/>
    <cellStyle name="標準 87 2 4" xfId="1717" xr:uid="{00000000-0005-0000-0000-0000C4060000}"/>
    <cellStyle name="標準 87 2 5" xfId="1718" xr:uid="{00000000-0005-0000-0000-0000C5060000}"/>
    <cellStyle name="標準 87 3" xfId="1719" xr:uid="{00000000-0005-0000-0000-0000C6060000}"/>
    <cellStyle name="標準 87 3 2" xfId="1720" xr:uid="{00000000-0005-0000-0000-0000C7060000}"/>
    <cellStyle name="標準 87 3 3" xfId="1721" xr:uid="{00000000-0005-0000-0000-0000C8060000}"/>
    <cellStyle name="標準 87 3 4" xfId="1722" xr:uid="{00000000-0005-0000-0000-0000C9060000}"/>
    <cellStyle name="標準 87 4" xfId="1723" xr:uid="{00000000-0005-0000-0000-0000CA060000}"/>
    <cellStyle name="標準 87 5" xfId="1724" xr:uid="{00000000-0005-0000-0000-0000CB060000}"/>
    <cellStyle name="標準 87 6" xfId="1725" xr:uid="{00000000-0005-0000-0000-0000CC060000}"/>
    <cellStyle name="標準 88" xfId="1726" xr:uid="{00000000-0005-0000-0000-0000CD060000}"/>
    <cellStyle name="標準 88 2" xfId="1727" xr:uid="{00000000-0005-0000-0000-0000CE060000}"/>
    <cellStyle name="標準 88 2 2" xfId="1728" xr:uid="{00000000-0005-0000-0000-0000CF060000}"/>
    <cellStyle name="標準 88 2 2 2" xfId="1729" xr:uid="{00000000-0005-0000-0000-0000D0060000}"/>
    <cellStyle name="標準 88 2 2 3" xfId="1730" xr:uid="{00000000-0005-0000-0000-0000D1060000}"/>
    <cellStyle name="標準 88 2 2 4" xfId="1731" xr:uid="{00000000-0005-0000-0000-0000D2060000}"/>
    <cellStyle name="標準 88 2 3" xfId="1732" xr:uid="{00000000-0005-0000-0000-0000D3060000}"/>
    <cellStyle name="標準 88 2 4" xfId="1733" xr:uid="{00000000-0005-0000-0000-0000D4060000}"/>
    <cellStyle name="標準 88 2 5" xfId="1734" xr:uid="{00000000-0005-0000-0000-0000D5060000}"/>
    <cellStyle name="標準 88 3" xfId="1735" xr:uid="{00000000-0005-0000-0000-0000D6060000}"/>
    <cellStyle name="標準 88 3 2" xfId="1736" xr:uid="{00000000-0005-0000-0000-0000D7060000}"/>
    <cellStyle name="標準 88 3 3" xfId="1737" xr:uid="{00000000-0005-0000-0000-0000D8060000}"/>
    <cellStyle name="標準 88 3 4" xfId="1738" xr:uid="{00000000-0005-0000-0000-0000D9060000}"/>
    <cellStyle name="標準 88 4" xfId="1739" xr:uid="{00000000-0005-0000-0000-0000DA060000}"/>
    <cellStyle name="標準 88 5" xfId="1740" xr:uid="{00000000-0005-0000-0000-0000DB060000}"/>
    <cellStyle name="標準 88 6" xfId="1741" xr:uid="{00000000-0005-0000-0000-0000DC060000}"/>
    <cellStyle name="標準 89" xfId="1742" xr:uid="{00000000-0005-0000-0000-0000DD060000}"/>
    <cellStyle name="標準 89 2" xfId="1743" xr:uid="{00000000-0005-0000-0000-0000DE060000}"/>
    <cellStyle name="標準 89 2 2" xfId="1744" xr:uid="{00000000-0005-0000-0000-0000DF060000}"/>
    <cellStyle name="標準 89 2 2 2" xfId="1745" xr:uid="{00000000-0005-0000-0000-0000E0060000}"/>
    <cellStyle name="標準 89 2 2 3" xfId="1746" xr:uid="{00000000-0005-0000-0000-0000E1060000}"/>
    <cellStyle name="標準 89 2 2 4" xfId="1747" xr:uid="{00000000-0005-0000-0000-0000E2060000}"/>
    <cellStyle name="標準 89 2 3" xfId="1748" xr:uid="{00000000-0005-0000-0000-0000E3060000}"/>
    <cellStyle name="標準 89 2 4" xfId="1749" xr:uid="{00000000-0005-0000-0000-0000E4060000}"/>
    <cellStyle name="標準 89 2 5" xfId="1750" xr:uid="{00000000-0005-0000-0000-0000E5060000}"/>
    <cellStyle name="標準 89 3" xfId="1751" xr:uid="{00000000-0005-0000-0000-0000E6060000}"/>
    <cellStyle name="標準 89 3 2" xfId="1752" xr:uid="{00000000-0005-0000-0000-0000E7060000}"/>
    <cellStyle name="標準 89 3 3" xfId="1753" xr:uid="{00000000-0005-0000-0000-0000E8060000}"/>
    <cellStyle name="標準 89 3 4" xfId="1754" xr:uid="{00000000-0005-0000-0000-0000E9060000}"/>
    <cellStyle name="標準 89 4" xfId="1755" xr:uid="{00000000-0005-0000-0000-0000EA060000}"/>
    <cellStyle name="標準 89 5" xfId="1756" xr:uid="{00000000-0005-0000-0000-0000EB060000}"/>
    <cellStyle name="標準 89 6" xfId="1757" xr:uid="{00000000-0005-0000-0000-0000EC060000}"/>
    <cellStyle name="標準 9" xfId="1758" xr:uid="{00000000-0005-0000-0000-0000ED060000}"/>
    <cellStyle name="標準 9 2" xfId="1759" xr:uid="{00000000-0005-0000-0000-0000EE060000}"/>
    <cellStyle name="標準 9 3" xfId="1760" xr:uid="{00000000-0005-0000-0000-0000EF060000}"/>
    <cellStyle name="標準 90" xfId="1761" xr:uid="{00000000-0005-0000-0000-0000F0060000}"/>
    <cellStyle name="標準 90 2" xfId="1762" xr:uid="{00000000-0005-0000-0000-0000F1060000}"/>
    <cellStyle name="標準 90 2 2" xfId="1763" xr:uid="{00000000-0005-0000-0000-0000F2060000}"/>
    <cellStyle name="標準 90 2 2 2" xfId="1764" xr:uid="{00000000-0005-0000-0000-0000F3060000}"/>
    <cellStyle name="標準 90 2 2 3" xfId="1765" xr:uid="{00000000-0005-0000-0000-0000F4060000}"/>
    <cellStyle name="標準 90 2 2 4" xfId="1766" xr:uid="{00000000-0005-0000-0000-0000F5060000}"/>
    <cellStyle name="標準 90 2 3" xfId="1767" xr:uid="{00000000-0005-0000-0000-0000F6060000}"/>
    <cellStyle name="標準 90 2 4" xfId="1768" xr:uid="{00000000-0005-0000-0000-0000F7060000}"/>
    <cellStyle name="標準 90 2 5" xfId="1769" xr:uid="{00000000-0005-0000-0000-0000F8060000}"/>
    <cellStyle name="標準 90 3" xfId="1770" xr:uid="{00000000-0005-0000-0000-0000F9060000}"/>
    <cellStyle name="標準 90 3 2" xfId="1771" xr:uid="{00000000-0005-0000-0000-0000FA060000}"/>
    <cellStyle name="標準 90 3 3" xfId="1772" xr:uid="{00000000-0005-0000-0000-0000FB060000}"/>
    <cellStyle name="標準 90 3 4" xfId="1773" xr:uid="{00000000-0005-0000-0000-0000FC060000}"/>
    <cellStyle name="標準 90 4" xfId="1774" xr:uid="{00000000-0005-0000-0000-0000FD060000}"/>
    <cellStyle name="標準 90 5" xfId="1775" xr:uid="{00000000-0005-0000-0000-0000FE060000}"/>
    <cellStyle name="標準 90 6" xfId="1776" xr:uid="{00000000-0005-0000-0000-0000FF060000}"/>
    <cellStyle name="標準 91" xfId="1777" xr:uid="{00000000-0005-0000-0000-000000070000}"/>
    <cellStyle name="標準 91 2" xfId="1778" xr:uid="{00000000-0005-0000-0000-000001070000}"/>
    <cellStyle name="標準 91 2 2" xfId="1779" xr:uid="{00000000-0005-0000-0000-000002070000}"/>
    <cellStyle name="標準 91 2 2 2" xfId="1780" xr:uid="{00000000-0005-0000-0000-000003070000}"/>
    <cellStyle name="標準 91 2 2 3" xfId="1781" xr:uid="{00000000-0005-0000-0000-000004070000}"/>
    <cellStyle name="標準 91 2 2 4" xfId="1782" xr:uid="{00000000-0005-0000-0000-000005070000}"/>
    <cellStyle name="標準 91 2 3" xfId="1783" xr:uid="{00000000-0005-0000-0000-000006070000}"/>
    <cellStyle name="標準 91 2 4" xfId="1784" xr:uid="{00000000-0005-0000-0000-000007070000}"/>
    <cellStyle name="標準 91 2 5" xfId="1785" xr:uid="{00000000-0005-0000-0000-000008070000}"/>
    <cellStyle name="標準 91 3" xfId="1786" xr:uid="{00000000-0005-0000-0000-000009070000}"/>
    <cellStyle name="標準 91 3 2" xfId="1787" xr:uid="{00000000-0005-0000-0000-00000A070000}"/>
    <cellStyle name="標準 91 3 3" xfId="1788" xr:uid="{00000000-0005-0000-0000-00000B070000}"/>
    <cellStyle name="標準 91 3 4" xfId="1789" xr:uid="{00000000-0005-0000-0000-00000C070000}"/>
    <cellStyle name="標準 91 4" xfId="1790" xr:uid="{00000000-0005-0000-0000-00000D070000}"/>
    <cellStyle name="標準 91 5" xfId="1791" xr:uid="{00000000-0005-0000-0000-00000E070000}"/>
    <cellStyle name="標準 91 6" xfId="1792" xr:uid="{00000000-0005-0000-0000-00000F070000}"/>
    <cellStyle name="標準 92" xfId="1793" xr:uid="{00000000-0005-0000-0000-000010070000}"/>
    <cellStyle name="標準 92 2" xfId="1794" xr:uid="{00000000-0005-0000-0000-000011070000}"/>
    <cellStyle name="標準 92 2 2" xfId="1795" xr:uid="{00000000-0005-0000-0000-000012070000}"/>
    <cellStyle name="標準 92 2 2 2" xfId="1796" xr:uid="{00000000-0005-0000-0000-000013070000}"/>
    <cellStyle name="標準 92 2 2 3" xfId="1797" xr:uid="{00000000-0005-0000-0000-000014070000}"/>
    <cellStyle name="標準 92 2 2 4" xfId="1798" xr:uid="{00000000-0005-0000-0000-000015070000}"/>
    <cellStyle name="標準 92 2 3" xfId="1799" xr:uid="{00000000-0005-0000-0000-000016070000}"/>
    <cellStyle name="標準 92 2 4" xfId="1800" xr:uid="{00000000-0005-0000-0000-000017070000}"/>
    <cellStyle name="標準 92 2 5" xfId="1801" xr:uid="{00000000-0005-0000-0000-000018070000}"/>
    <cellStyle name="標準 92 3" xfId="1802" xr:uid="{00000000-0005-0000-0000-000019070000}"/>
    <cellStyle name="標準 92 3 2" xfId="1803" xr:uid="{00000000-0005-0000-0000-00001A070000}"/>
    <cellStyle name="標準 92 3 3" xfId="1804" xr:uid="{00000000-0005-0000-0000-00001B070000}"/>
    <cellStyle name="標準 92 3 4" xfId="1805" xr:uid="{00000000-0005-0000-0000-00001C070000}"/>
    <cellStyle name="標準 92 4" xfId="1806" xr:uid="{00000000-0005-0000-0000-00001D070000}"/>
    <cellStyle name="標準 92 5" xfId="1807" xr:uid="{00000000-0005-0000-0000-00001E070000}"/>
    <cellStyle name="標準 92 6" xfId="1808" xr:uid="{00000000-0005-0000-0000-00001F070000}"/>
    <cellStyle name="標準 93" xfId="1809" xr:uid="{00000000-0005-0000-0000-000020070000}"/>
    <cellStyle name="標準 93 2" xfId="1810" xr:uid="{00000000-0005-0000-0000-000021070000}"/>
    <cellStyle name="標準 93 2 2" xfId="1811" xr:uid="{00000000-0005-0000-0000-000022070000}"/>
    <cellStyle name="標準 93 2 2 2" xfId="1812" xr:uid="{00000000-0005-0000-0000-000023070000}"/>
    <cellStyle name="標準 93 2 2 3" xfId="1813" xr:uid="{00000000-0005-0000-0000-000024070000}"/>
    <cellStyle name="標準 93 2 2 4" xfId="1814" xr:uid="{00000000-0005-0000-0000-000025070000}"/>
    <cellStyle name="標準 93 2 3" xfId="1815" xr:uid="{00000000-0005-0000-0000-000026070000}"/>
    <cellStyle name="標準 93 2 4" xfId="1816" xr:uid="{00000000-0005-0000-0000-000027070000}"/>
    <cellStyle name="標準 93 2 5" xfId="1817" xr:uid="{00000000-0005-0000-0000-000028070000}"/>
    <cellStyle name="標準 93 3" xfId="1818" xr:uid="{00000000-0005-0000-0000-000029070000}"/>
    <cellStyle name="標準 93 3 2" xfId="1819" xr:uid="{00000000-0005-0000-0000-00002A070000}"/>
    <cellStyle name="標準 93 3 3" xfId="1820" xr:uid="{00000000-0005-0000-0000-00002B070000}"/>
    <cellStyle name="標準 93 3 4" xfId="1821" xr:uid="{00000000-0005-0000-0000-00002C070000}"/>
    <cellStyle name="標準 93 4" xfId="1822" xr:uid="{00000000-0005-0000-0000-00002D070000}"/>
    <cellStyle name="標準 93 5" xfId="1823" xr:uid="{00000000-0005-0000-0000-00002E070000}"/>
    <cellStyle name="標準 93 6" xfId="1824" xr:uid="{00000000-0005-0000-0000-00002F070000}"/>
    <cellStyle name="標準 94" xfId="1825" xr:uid="{00000000-0005-0000-0000-000030070000}"/>
    <cellStyle name="標準 94 2" xfId="1826" xr:uid="{00000000-0005-0000-0000-000031070000}"/>
    <cellStyle name="標準 94 2 2" xfId="1827" xr:uid="{00000000-0005-0000-0000-000032070000}"/>
    <cellStyle name="標準 94 2 2 2" xfId="1828" xr:uid="{00000000-0005-0000-0000-000033070000}"/>
    <cellStyle name="標準 94 2 2 3" xfId="1829" xr:uid="{00000000-0005-0000-0000-000034070000}"/>
    <cellStyle name="標準 94 2 2 4" xfId="1830" xr:uid="{00000000-0005-0000-0000-000035070000}"/>
    <cellStyle name="標準 94 2 3" xfId="1831" xr:uid="{00000000-0005-0000-0000-000036070000}"/>
    <cellStyle name="標準 94 2 4" xfId="1832" xr:uid="{00000000-0005-0000-0000-000037070000}"/>
    <cellStyle name="標準 94 2 5" xfId="1833" xr:uid="{00000000-0005-0000-0000-000038070000}"/>
    <cellStyle name="標準 94 3" xfId="1834" xr:uid="{00000000-0005-0000-0000-000039070000}"/>
    <cellStyle name="標準 94 3 2" xfId="1835" xr:uid="{00000000-0005-0000-0000-00003A070000}"/>
    <cellStyle name="標準 94 3 3" xfId="1836" xr:uid="{00000000-0005-0000-0000-00003B070000}"/>
    <cellStyle name="標準 94 3 4" xfId="1837" xr:uid="{00000000-0005-0000-0000-00003C070000}"/>
    <cellStyle name="標準 94 4" xfId="1838" xr:uid="{00000000-0005-0000-0000-00003D070000}"/>
    <cellStyle name="標準 94 5" xfId="1839" xr:uid="{00000000-0005-0000-0000-00003E070000}"/>
    <cellStyle name="標準 94 6" xfId="1840" xr:uid="{00000000-0005-0000-0000-00003F070000}"/>
    <cellStyle name="標準 95" xfId="1841" xr:uid="{00000000-0005-0000-0000-000040070000}"/>
    <cellStyle name="標準 95 2" xfId="1842" xr:uid="{00000000-0005-0000-0000-000041070000}"/>
    <cellStyle name="標準 95 2 2" xfId="1843" xr:uid="{00000000-0005-0000-0000-000042070000}"/>
    <cellStyle name="標準 95 2 2 2" xfId="1844" xr:uid="{00000000-0005-0000-0000-000043070000}"/>
    <cellStyle name="標準 95 2 2 3" xfId="1845" xr:uid="{00000000-0005-0000-0000-000044070000}"/>
    <cellStyle name="標準 95 2 2 4" xfId="1846" xr:uid="{00000000-0005-0000-0000-000045070000}"/>
    <cellStyle name="標準 95 2 3" xfId="1847" xr:uid="{00000000-0005-0000-0000-000046070000}"/>
    <cellStyle name="標準 95 2 4" xfId="1848" xr:uid="{00000000-0005-0000-0000-000047070000}"/>
    <cellStyle name="標準 95 2 5" xfId="1849" xr:uid="{00000000-0005-0000-0000-000048070000}"/>
    <cellStyle name="標準 95 3" xfId="1850" xr:uid="{00000000-0005-0000-0000-000049070000}"/>
    <cellStyle name="標準 95 3 2" xfId="1851" xr:uid="{00000000-0005-0000-0000-00004A070000}"/>
    <cellStyle name="標準 95 3 3" xfId="1852" xr:uid="{00000000-0005-0000-0000-00004B070000}"/>
    <cellStyle name="標準 95 3 4" xfId="1853" xr:uid="{00000000-0005-0000-0000-00004C070000}"/>
    <cellStyle name="標準 95 4" xfId="1854" xr:uid="{00000000-0005-0000-0000-00004D070000}"/>
    <cellStyle name="標準 95 5" xfId="1855" xr:uid="{00000000-0005-0000-0000-00004E070000}"/>
    <cellStyle name="標準 95 6" xfId="1856" xr:uid="{00000000-0005-0000-0000-00004F070000}"/>
    <cellStyle name="標準 96" xfId="1857" xr:uid="{00000000-0005-0000-0000-000050070000}"/>
    <cellStyle name="標準 96 2" xfId="1858" xr:uid="{00000000-0005-0000-0000-000051070000}"/>
    <cellStyle name="標準 96 2 2" xfId="1859" xr:uid="{00000000-0005-0000-0000-000052070000}"/>
    <cellStyle name="標準 96 2 2 2" xfId="1860" xr:uid="{00000000-0005-0000-0000-000053070000}"/>
    <cellStyle name="標準 96 2 2 3" xfId="1861" xr:uid="{00000000-0005-0000-0000-000054070000}"/>
    <cellStyle name="標準 96 2 2 4" xfId="1862" xr:uid="{00000000-0005-0000-0000-000055070000}"/>
    <cellStyle name="標準 96 2 3" xfId="1863" xr:uid="{00000000-0005-0000-0000-000056070000}"/>
    <cellStyle name="標準 96 2 4" xfId="1864" xr:uid="{00000000-0005-0000-0000-000057070000}"/>
    <cellStyle name="標準 96 2 5" xfId="1865" xr:uid="{00000000-0005-0000-0000-000058070000}"/>
    <cellStyle name="標準 96 3" xfId="1866" xr:uid="{00000000-0005-0000-0000-000059070000}"/>
    <cellStyle name="標準 96 3 2" xfId="1867" xr:uid="{00000000-0005-0000-0000-00005A070000}"/>
    <cellStyle name="標準 96 3 3" xfId="1868" xr:uid="{00000000-0005-0000-0000-00005B070000}"/>
    <cellStyle name="標準 96 3 4" xfId="1869" xr:uid="{00000000-0005-0000-0000-00005C070000}"/>
    <cellStyle name="標準 96 4" xfId="1870" xr:uid="{00000000-0005-0000-0000-00005D070000}"/>
    <cellStyle name="標準 96 5" xfId="1871" xr:uid="{00000000-0005-0000-0000-00005E070000}"/>
    <cellStyle name="標準 96 6" xfId="1872" xr:uid="{00000000-0005-0000-0000-00005F070000}"/>
    <cellStyle name="標準 97" xfId="1873" xr:uid="{00000000-0005-0000-0000-000060070000}"/>
    <cellStyle name="標準 97 2" xfId="1874" xr:uid="{00000000-0005-0000-0000-000061070000}"/>
    <cellStyle name="標準 97 2 2" xfId="1875" xr:uid="{00000000-0005-0000-0000-000062070000}"/>
    <cellStyle name="標準 97 2 2 2" xfId="1876" xr:uid="{00000000-0005-0000-0000-000063070000}"/>
    <cellStyle name="標準 97 2 2 3" xfId="1877" xr:uid="{00000000-0005-0000-0000-000064070000}"/>
    <cellStyle name="標準 97 2 2 4" xfId="1878" xr:uid="{00000000-0005-0000-0000-000065070000}"/>
    <cellStyle name="標準 97 2 3" xfId="1879" xr:uid="{00000000-0005-0000-0000-000066070000}"/>
    <cellStyle name="標準 97 2 4" xfId="1880" xr:uid="{00000000-0005-0000-0000-000067070000}"/>
    <cellStyle name="標準 97 2 5" xfId="1881" xr:uid="{00000000-0005-0000-0000-000068070000}"/>
    <cellStyle name="標準 97 3" xfId="1882" xr:uid="{00000000-0005-0000-0000-000069070000}"/>
    <cellStyle name="標準 97 3 2" xfId="1883" xr:uid="{00000000-0005-0000-0000-00006A070000}"/>
    <cellStyle name="標準 97 3 3" xfId="1884" xr:uid="{00000000-0005-0000-0000-00006B070000}"/>
    <cellStyle name="標準 97 3 4" xfId="1885" xr:uid="{00000000-0005-0000-0000-00006C070000}"/>
    <cellStyle name="標準 97 4" xfId="1886" xr:uid="{00000000-0005-0000-0000-00006D070000}"/>
    <cellStyle name="標準 97 5" xfId="1887" xr:uid="{00000000-0005-0000-0000-00006E070000}"/>
    <cellStyle name="標準 97 6" xfId="1888" xr:uid="{00000000-0005-0000-0000-00006F070000}"/>
    <cellStyle name="標準 98" xfId="1889" xr:uid="{00000000-0005-0000-0000-000070070000}"/>
    <cellStyle name="標準 98 2" xfId="1890" xr:uid="{00000000-0005-0000-0000-000071070000}"/>
    <cellStyle name="標準 98 2 2" xfId="1891" xr:uid="{00000000-0005-0000-0000-000072070000}"/>
    <cellStyle name="標準 98 2 2 2" xfId="1892" xr:uid="{00000000-0005-0000-0000-000073070000}"/>
    <cellStyle name="標準 98 2 2 3" xfId="1893" xr:uid="{00000000-0005-0000-0000-000074070000}"/>
    <cellStyle name="標準 98 2 2 4" xfId="1894" xr:uid="{00000000-0005-0000-0000-000075070000}"/>
    <cellStyle name="標準 98 2 3" xfId="1895" xr:uid="{00000000-0005-0000-0000-000076070000}"/>
    <cellStyle name="標準 98 2 4" xfId="1896" xr:uid="{00000000-0005-0000-0000-000077070000}"/>
    <cellStyle name="標準 98 2 5" xfId="1897" xr:uid="{00000000-0005-0000-0000-000078070000}"/>
    <cellStyle name="標準 98 3" xfId="1898" xr:uid="{00000000-0005-0000-0000-000079070000}"/>
    <cellStyle name="標準 98 3 2" xfId="1899" xr:uid="{00000000-0005-0000-0000-00007A070000}"/>
    <cellStyle name="標準 98 3 3" xfId="1900" xr:uid="{00000000-0005-0000-0000-00007B070000}"/>
    <cellStyle name="標準 98 3 4" xfId="1901" xr:uid="{00000000-0005-0000-0000-00007C070000}"/>
    <cellStyle name="標準 98 4" xfId="1902" xr:uid="{00000000-0005-0000-0000-00007D070000}"/>
    <cellStyle name="標準 98 5" xfId="1903" xr:uid="{00000000-0005-0000-0000-00007E070000}"/>
    <cellStyle name="標準 98 6" xfId="1904" xr:uid="{00000000-0005-0000-0000-00007F070000}"/>
    <cellStyle name="標準 99" xfId="1905" xr:uid="{00000000-0005-0000-0000-000080070000}"/>
    <cellStyle name="標準 99 2" xfId="1906" xr:uid="{00000000-0005-0000-0000-000081070000}"/>
    <cellStyle name="標準 99 2 2" xfId="1907" xr:uid="{00000000-0005-0000-0000-000082070000}"/>
    <cellStyle name="標準 99 2 2 2" xfId="1908" xr:uid="{00000000-0005-0000-0000-000083070000}"/>
    <cellStyle name="標準 99 2 2 3" xfId="1909" xr:uid="{00000000-0005-0000-0000-000084070000}"/>
    <cellStyle name="標準 99 2 2 4" xfId="1910" xr:uid="{00000000-0005-0000-0000-000085070000}"/>
    <cellStyle name="標準 99 2 3" xfId="1911" xr:uid="{00000000-0005-0000-0000-000086070000}"/>
    <cellStyle name="標準 99 2 4" xfId="1912" xr:uid="{00000000-0005-0000-0000-000087070000}"/>
    <cellStyle name="標準 99 2 5" xfId="1913" xr:uid="{00000000-0005-0000-0000-000088070000}"/>
    <cellStyle name="標準 99 3" xfId="1914" xr:uid="{00000000-0005-0000-0000-000089070000}"/>
    <cellStyle name="標準 99 3 2" xfId="1915" xr:uid="{00000000-0005-0000-0000-00008A070000}"/>
    <cellStyle name="標準 99 3 3" xfId="1916" xr:uid="{00000000-0005-0000-0000-00008B070000}"/>
    <cellStyle name="標準 99 3 4" xfId="1917" xr:uid="{00000000-0005-0000-0000-00008C070000}"/>
    <cellStyle name="標準 99 4" xfId="1918" xr:uid="{00000000-0005-0000-0000-00008D070000}"/>
    <cellStyle name="標準 99 5" xfId="1919" xr:uid="{00000000-0005-0000-0000-00008E070000}"/>
    <cellStyle name="標準 99 6" xfId="1920" xr:uid="{00000000-0005-0000-0000-00008F070000}"/>
    <cellStyle name="標準１" xfId="1921" xr:uid="{00000000-0005-0000-0000-000090070000}"/>
    <cellStyle name="標準10" xfId="1922" xr:uid="{00000000-0005-0000-0000-000091070000}"/>
    <cellStyle name="標準12" xfId="1923" xr:uid="{00000000-0005-0000-0000-000092070000}"/>
    <cellStyle name="文字列" xfId="1924" xr:uid="{00000000-0005-0000-0000-000093070000}"/>
    <cellStyle name="未定義" xfId="12" xr:uid="{00000000-0005-0000-0000-000094070000}"/>
    <cellStyle name="未定義 2" xfId="1925" xr:uid="{00000000-0005-0000-0000-000095070000}"/>
    <cellStyle name="未定義 3" xfId="1926" xr:uid="{00000000-0005-0000-0000-000096070000}"/>
    <cellStyle name="未定義_030_上場有価証券総括表_詳細設計書_府令改正対応" xfId="1927" xr:uid="{00000000-0005-0000-0000-000097070000}"/>
    <cellStyle name="良い 2" xfId="1928" xr:uid="{00000000-0005-0000-0000-000098070000}"/>
    <cellStyle name="良い 3" xfId="1929" xr:uid="{00000000-0005-0000-0000-000099070000}"/>
    <cellStyle name="良い 4" xfId="1930" xr:uid="{00000000-0005-0000-0000-00009A070000}"/>
    <cellStyle name="良い 5" xfId="1931" xr:uid="{00000000-0005-0000-0000-00009B070000}"/>
    <cellStyle name="良い 6" xfId="1932" xr:uid="{00000000-0005-0000-0000-00009C070000}"/>
    <cellStyle name="良い 7" xfId="1933" xr:uid="{00000000-0005-0000-0000-00009D070000}"/>
    <cellStyle name="良い 8" xfId="1934" xr:uid="{00000000-0005-0000-0000-00009E070000}"/>
    <cellStyle name="良い 9" xfId="1935" xr:uid="{00000000-0005-0000-0000-00009F070000}"/>
    <cellStyle name="표준_4.3.1_取引処理（取引処理制御１－１）" xfId="1936" xr:uid="{00000000-0005-0000-0000-0000A0070000}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24</xdr:col>
      <xdr:colOff>571500</xdr:colOff>
      <xdr:row>0</xdr:row>
      <xdr:rowOff>38100</xdr:rowOff>
    </xdr:from>
    <xdr:ext cx="4181475" cy="285750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E8944607-FCA7-455C-9AE5-C29B4278A84A}"/>
            </a:ext>
          </a:extLst>
        </xdr:cNvPr>
        <xdr:cNvSpPr/>
      </xdr:nvSpPr>
      <xdr:spPr>
        <a:xfrm>
          <a:off x="24679275" y="38100"/>
          <a:ext cx="4181475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is a final position of the contract month.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33"/>
  <sheetViews>
    <sheetView showGridLines="0" tabSelected="1" view="pageBreakPreview" workbookViewId="0" zoomScaleNormal="10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2" width="10.625" collapsed="false"/>
    <col min="2" max="2" bestFit="true" customWidth="true" style="2" width="25.75" collapsed="false"/>
    <col min="3" max="3" bestFit="true" customWidth="true" style="2" width="34.5" collapsed="false"/>
    <col min="4" max="7" bestFit="true" customWidth="true" style="2" width="10.25" collapsed="false"/>
    <col min="8" max="8" customWidth="true" style="2" width="5.25" collapsed="false"/>
    <col min="9" max="9" customWidth="true" style="2" width="15.25" collapsed="false"/>
    <col min="10" max="10" customWidth="true" style="2" width="5.25" collapsed="false"/>
    <col min="11" max="11" customWidth="true" style="2" width="15.25" collapsed="false"/>
    <col min="12" max="12" customWidth="true" style="2" width="5.25" collapsed="false"/>
    <col min="13" max="13" customWidth="true" style="2" width="15.25" collapsed="false"/>
    <col min="14" max="14" customWidth="true" style="2" width="5.25" collapsed="false"/>
    <col min="15" max="15" customWidth="true" style="2" width="15.25" collapsed="false"/>
    <col min="16" max="16" customWidth="true" style="2" width="5.25" collapsed="false"/>
    <col min="17" max="17" customWidth="true" style="2" width="15.25" collapsed="false"/>
    <col min="18" max="18" customWidth="true" style="2" width="5.25" collapsed="false"/>
    <col min="19" max="20" customWidth="true" style="2" width="15.25" collapsed="false"/>
    <col min="21" max="23" customWidth="true" style="2" width="15.0" collapsed="false"/>
    <col min="24" max="26" customWidth="true" style="2" width="21.25" collapsed="false"/>
    <col min="27" max="27" bestFit="true" customWidth="true" style="2" width="2.375" collapsed="false"/>
    <col min="28" max="28" customWidth="true" style="2" width="15.25" collapsed="false"/>
    <col min="29" max="29" bestFit="true" customWidth="true" style="2" width="7.0" collapsed="false"/>
    <col min="30" max="16384" style="1" width="9.0" collapsed="false"/>
  </cols>
  <sheetData>
    <row customHeight="1" ht="30" r="1" spans="1:29">
      <c r="A1" s="35" t="s">
        <v>17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"/>
      <c r="M1" s="3"/>
      <c r="N1" s="3"/>
      <c r="O1" s="3"/>
      <c r="P1" s="3"/>
      <c r="Q1" s="3"/>
      <c r="R1" s="3"/>
      <c r="S1" s="3"/>
      <c r="T1" s="3"/>
      <c r="U1" s="3"/>
      <c r="V1" s="24"/>
      <c r="W1" s="24"/>
      <c r="X1" s="24"/>
      <c r="Y1" s="24"/>
      <c r="Z1" s="24"/>
      <c r="AA1" s="24"/>
      <c r="AB1" s="24"/>
      <c r="AC1" s="25"/>
    </row>
    <row customHeight="1" ht="30" r="2" spans="1:29">
      <c r="A2" s="33" t="s">
        <v>18</v>
      </c>
      <c r="B2" s="34"/>
      <c r="C2" s="34"/>
      <c r="D2" s="26"/>
      <c r="E2" s="26"/>
      <c r="F2" s="26"/>
      <c r="G2" s="26"/>
      <c r="H2" s="26"/>
      <c r="I2" s="26"/>
      <c r="J2" s="26"/>
      <c r="K2" s="26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6"/>
    </row>
    <row customFormat="1" customHeight="1" ht="14.1" r="3" s="4" spans="1:29">
      <c r="A3" s="37" t="s">
        <v>0</v>
      </c>
      <c r="B3" s="55" t="s">
        <v>36</v>
      </c>
      <c r="C3" s="55" t="s">
        <v>37</v>
      </c>
      <c r="D3" s="28" t="s">
        <v>40</v>
      </c>
      <c r="E3" s="47" t="s">
        <v>1</v>
      </c>
      <c r="F3" s="49" t="s">
        <v>8</v>
      </c>
      <c r="G3" s="50"/>
      <c r="H3" s="39" t="s">
        <v>38</v>
      </c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7" t="s">
        <v>29</v>
      </c>
      <c r="U3" s="30" t="s">
        <v>11</v>
      </c>
      <c r="V3" s="31"/>
      <c r="W3" s="32"/>
      <c r="X3" s="30" t="s">
        <v>10</v>
      </c>
      <c r="Y3" s="31"/>
      <c r="Z3" s="32"/>
      <c r="AA3" s="51" t="s">
        <v>15</v>
      </c>
      <c r="AB3" s="52"/>
      <c r="AC3" s="59" t="s">
        <v>16</v>
      </c>
    </row>
    <row customFormat="1" customHeight="1" ht="9" r="4" s="4" spans="1:29">
      <c r="A4" s="38"/>
      <c r="B4" s="56"/>
      <c r="C4" s="56"/>
      <c r="D4" s="29"/>
      <c r="E4" s="48"/>
      <c r="F4" s="51"/>
      <c r="G4" s="52"/>
      <c r="H4" s="41" t="s">
        <v>31</v>
      </c>
      <c r="I4" s="45" t="s">
        <v>20</v>
      </c>
      <c r="J4" s="41" t="s">
        <v>31</v>
      </c>
      <c r="K4" s="43" t="s">
        <v>21</v>
      </c>
      <c r="L4" s="54" t="s">
        <v>2</v>
      </c>
      <c r="M4" s="54"/>
      <c r="N4" s="41" t="s">
        <v>31</v>
      </c>
      <c r="O4" s="43" t="s">
        <v>25</v>
      </c>
      <c r="P4" s="54" t="s">
        <v>2</v>
      </c>
      <c r="Q4" s="54"/>
      <c r="R4" s="41" t="s">
        <v>31</v>
      </c>
      <c r="S4" s="45" t="s">
        <v>27</v>
      </c>
      <c r="T4" s="48"/>
      <c r="U4" s="47" t="s">
        <v>3</v>
      </c>
      <c r="V4" s="48" t="s">
        <v>12</v>
      </c>
      <c r="W4" s="29" t="s">
        <v>42</v>
      </c>
      <c r="X4" s="47" t="s">
        <v>3</v>
      </c>
      <c r="Y4" s="48" t="s">
        <v>13</v>
      </c>
      <c r="Z4" s="29" t="s">
        <v>44</v>
      </c>
      <c r="AA4" s="51"/>
      <c r="AB4" s="52"/>
      <c r="AC4" s="60"/>
    </row>
    <row customFormat="1" customHeight="1" ht="27" r="5" s="4" spans="1:29">
      <c r="A5" s="38"/>
      <c r="B5" s="56"/>
      <c r="C5" s="56"/>
      <c r="D5" s="29"/>
      <c r="E5" s="48"/>
      <c r="F5" s="53"/>
      <c r="G5" s="46"/>
      <c r="H5" s="42"/>
      <c r="I5" s="46"/>
      <c r="J5" s="42"/>
      <c r="K5" s="44"/>
      <c r="L5" s="7" t="s">
        <v>33</v>
      </c>
      <c r="M5" s="8" t="s">
        <v>23</v>
      </c>
      <c r="N5" s="42"/>
      <c r="O5" s="44"/>
      <c r="P5" s="7" t="s">
        <v>33</v>
      </c>
      <c r="Q5" s="8" t="s">
        <v>23</v>
      </c>
      <c r="R5" s="42"/>
      <c r="S5" s="46"/>
      <c r="T5" s="48"/>
      <c r="U5" s="47"/>
      <c r="V5" s="48"/>
      <c r="W5" s="29"/>
      <c r="X5" s="47"/>
      <c r="Y5" s="48"/>
      <c r="Z5" s="29"/>
      <c r="AA5" s="51"/>
      <c r="AB5" s="46"/>
      <c r="AC5" s="60"/>
    </row>
    <row customFormat="1" customHeight="1" ht="36" r="6" s="4" spans="1:29">
      <c r="A6" s="9" t="s">
        <v>35</v>
      </c>
      <c r="B6" s="47"/>
      <c r="C6" s="47"/>
      <c r="D6" s="27" t="s">
        <v>41</v>
      </c>
      <c r="E6" s="10" t="s">
        <v>4</v>
      </c>
      <c r="F6" s="57" t="s">
        <v>9</v>
      </c>
      <c r="G6" s="58"/>
      <c r="H6" s="7" t="s">
        <v>39</v>
      </c>
      <c r="I6" s="11" t="s">
        <v>32</v>
      </c>
      <c r="J6" s="7" t="s">
        <v>39</v>
      </c>
      <c r="K6" s="8" t="s">
        <v>22</v>
      </c>
      <c r="L6" s="7" t="s">
        <v>39</v>
      </c>
      <c r="M6" s="8" t="s">
        <v>24</v>
      </c>
      <c r="N6" s="7" t="s">
        <v>39</v>
      </c>
      <c r="O6" s="8" t="s">
        <v>26</v>
      </c>
      <c r="P6" s="7" t="s">
        <v>39</v>
      </c>
      <c r="Q6" s="8" t="s">
        <v>24</v>
      </c>
      <c r="R6" s="7" t="s">
        <v>39</v>
      </c>
      <c r="S6" s="8" t="s">
        <v>28</v>
      </c>
      <c r="T6" s="10" t="s">
        <v>30</v>
      </c>
      <c r="U6" s="10" t="s">
        <v>5</v>
      </c>
      <c r="V6" s="10" t="s">
        <v>6</v>
      </c>
      <c r="W6" s="27" t="s">
        <v>43</v>
      </c>
      <c r="X6" s="10" t="s">
        <v>19</v>
      </c>
      <c r="Y6" s="10" t="s">
        <v>7</v>
      </c>
      <c r="Z6" s="27" t="s">
        <v>45</v>
      </c>
      <c r="AA6" s="57" t="s">
        <v>14</v>
      </c>
      <c r="AB6" s="58"/>
      <c r="AC6" s="12" t="s">
        <v>34</v>
      </c>
    </row>
    <row customFormat="1" customHeight="1" ht="13.5" r="7" s="4" spans="1:29">
      <c r="A7" s="13" t="s">
        <v>46</v>
      </c>
      <c r="B7" s="14" t="s">
        <v>47</v>
      </c>
      <c r="C7" s="14" t="s">
        <v>48</v>
      </c>
      <c r="D7" s="22"/>
      <c r="E7" s="14" t="s">
        <v>46</v>
      </c>
      <c r="F7" s="15" t="s">
        <v>49</v>
      </c>
      <c r="G7" s="15" t="s">
        <v>50</v>
      </c>
      <c r="H7" s="16" t="s">
        <v>51</v>
      </c>
      <c r="I7" s="17" t="s">
        <v>52</v>
      </c>
      <c r="J7" s="16" t="s">
        <v>51</v>
      </c>
      <c r="K7" s="17" t="s">
        <v>53</v>
      </c>
      <c r="L7" s="16" t="s">
        <v>51</v>
      </c>
      <c r="M7" s="17" t="s">
        <v>54</v>
      </c>
      <c r="N7" s="16" t="s">
        <v>55</v>
      </c>
      <c r="O7" s="17" t="s">
        <v>56</v>
      </c>
      <c r="P7" s="16" t="s">
        <v>55</v>
      </c>
      <c r="Q7" s="17" t="s">
        <v>57</v>
      </c>
      <c r="R7" s="16" t="s">
        <v>58</v>
      </c>
      <c r="S7" s="17" t="s">
        <v>59</v>
      </c>
      <c r="T7" s="18" t="n">
        <f>33164</f>
        <v>33164.0</v>
      </c>
      <c r="U7" s="19" t="n">
        <f>545731</f>
        <v>545731.0</v>
      </c>
      <c r="V7" s="19" t="n">
        <v>187617.0</v>
      </c>
      <c r="W7" s="23" t="n">
        <v>133646.0</v>
      </c>
      <c r="X7" s="19" t="n">
        <f>18063285919302</f>
        <v>1.8063285919302E13</v>
      </c>
      <c r="Y7" s="19" t="n">
        <v>6.202732027302E12</v>
      </c>
      <c r="Z7" s="23" t="n">
        <v>4.415433252E12</v>
      </c>
      <c r="AA7" s="16" t="s">
        <v>60</v>
      </c>
      <c r="AB7" s="20" t="n">
        <f>87005</f>
        <v>87005.0</v>
      </c>
      <c r="AC7" s="21" t="n">
        <f>5</f>
        <v>5.0</v>
      </c>
    </row>
    <row r="8">
      <c r="A8" s="13" t="s">
        <v>46</v>
      </c>
      <c r="B8" s="14" t="s">
        <v>47</v>
      </c>
      <c r="C8" s="14" t="s">
        <v>48</v>
      </c>
      <c r="D8" s="22"/>
      <c r="E8" s="14" t="s">
        <v>61</v>
      </c>
      <c r="F8" s="15" t="s">
        <v>62</v>
      </c>
      <c r="G8" s="15" t="s">
        <v>63</v>
      </c>
      <c r="H8" s="16" t="s">
        <v>51</v>
      </c>
      <c r="I8" s="17" t="s">
        <v>64</v>
      </c>
      <c r="J8" s="16" t="s">
        <v>65</v>
      </c>
      <c r="K8" s="17" t="s">
        <v>66</v>
      </c>
      <c r="L8" s="16" t="s">
        <v>65</v>
      </c>
      <c r="M8" s="17" t="s">
        <v>67</v>
      </c>
      <c r="N8" s="16" t="s">
        <v>68</v>
      </c>
      <c r="O8" s="17" t="s">
        <v>69</v>
      </c>
      <c r="P8" s="16" t="s">
        <v>70</v>
      </c>
      <c r="Q8" s="17" t="s">
        <v>71</v>
      </c>
      <c r="R8" s="16" t="s">
        <v>72</v>
      </c>
      <c r="S8" s="17" t="s">
        <v>73</v>
      </c>
      <c r="T8" s="18" t="n">
        <f>33037.62</f>
        <v>33037.62</v>
      </c>
      <c r="U8" s="19" t="n">
        <f>1348028</f>
        <v>1348028.0</v>
      </c>
      <c r="V8" s="19" t="n">
        <v>319255.0</v>
      </c>
      <c r="W8" s="23" t="n">
        <v>134380.0</v>
      </c>
      <c r="X8" s="19" t="n">
        <f>44424694900204</f>
        <v>4.4424694900204E13</v>
      </c>
      <c r="Y8" s="19" t="n">
        <v>1.0528085221204E13</v>
      </c>
      <c r="Z8" s="23" t="n">
        <v>4.428841409E12</v>
      </c>
      <c r="AA8" s="16"/>
      <c r="AB8" s="20" t="n">
        <f>182670</f>
        <v>182670.0</v>
      </c>
      <c r="AC8" s="21" t="n">
        <f>21</f>
        <v>21.0</v>
      </c>
    </row>
    <row r="9">
      <c r="A9" s="13" t="s">
        <v>46</v>
      </c>
      <c r="B9" s="14" t="s">
        <v>47</v>
      </c>
      <c r="C9" s="14" t="s">
        <v>48</v>
      </c>
      <c r="D9" s="22"/>
      <c r="E9" s="14" t="s">
        <v>74</v>
      </c>
      <c r="F9" s="15" t="s">
        <v>49</v>
      </c>
      <c r="G9" s="15" t="s">
        <v>75</v>
      </c>
      <c r="H9" s="16" t="s">
        <v>51</v>
      </c>
      <c r="I9" s="17" t="s">
        <v>76</v>
      </c>
      <c r="J9" s="16" t="s">
        <v>65</v>
      </c>
      <c r="K9" s="17" t="s">
        <v>52</v>
      </c>
      <c r="L9" s="16" t="s">
        <v>65</v>
      </c>
      <c r="M9" s="17" t="s">
        <v>77</v>
      </c>
      <c r="N9" s="16" t="s">
        <v>68</v>
      </c>
      <c r="O9" s="17" t="s">
        <v>78</v>
      </c>
      <c r="P9" s="16" t="s">
        <v>68</v>
      </c>
      <c r="Q9" s="17" t="s">
        <v>79</v>
      </c>
      <c r="R9" s="16" t="s">
        <v>72</v>
      </c>
      <c r="S9" s="17" t="s">
        <v>80</v>
      </c>
      <c r="T9" s="18" t="n">
        <f>32781.9</f>
        <v>32781.9</v>
      </c>
      <c r="U9" s="19" t="n">
        <f>13418</f>
        <v>13418.0</v>
      </c>
      <c r="V9" s="19" t="n">
        <v>7977.0</v>
      </c>
      <c r="W9" s="23" t="n">
        <v>734.0</v>
      </c>
      <c r="X9" s="19" t="n">
        <f>439386529000</f>
        <v>4.39386529E11</v>
      </c>
      <c r="Y9" s="19" t="n">
        <v>2.6076289E11</v>
      </c>
      <c r="Z9" s="23" t="n">
        <v>2.4063109E10</v>
      </c>
      <c r="AA9" s="16"/>
      <c r="AB9" s="20" t="n">
        <f>17865</f>
        <v>17865.0</v>
      </c>
      <c r="AC9" s="21" t="n">
        <f>21</f>
        <v>21.0</v>
      </c>
    </row>
    <row r="10">
      <c r="A10" s="13" t="s">
        <v>46</v>
      </c>
      <c r="B10" s="14" t="s">
        <v>47</v>
      </c>
      <c r="C10" s="14" t="s">
        <v>48</v>
      </c>
      <c r="D10" s="22"/>
      <c r="E10" s="14" t="s">
        <v>81</v>
      </c>
      <c r="F10" s="15" t="s">
        <v>82</v>
      </c>
      <c r="G10" s="15" t="s">
        <v>83</v>
      </c>
      <c r="H10" s="16" t="s">
        <v>51</v>
      </c>
      <c r="I10" s="17" t="s">
        <v>84</v>
      </c>
      <c r="J10" s="16" t="s">
        <v>65</v>
      </c>
      <c r="K10" s="17" t="s">
        <v>85</v>
      </c>
      <c r="L10" s="16" t="s">
        <v>65</v>
      </c>
      <c r="M10" s="17" t="s">
        <v>86</v>
      </c>
      <c r="N10" s="16" t="s">
        <v>68</v>
      </c>
      <c r="O10" s="17" t="s">
        <v>87</v>
      </c>
      <c r="P10" s="16" t="s">
        <v>88</v>
      </c>
      <c r="Q10" s="17" t="s">
        <v>89</v>
      </c>
      <c r="R10" s="16" t="s">
        <v>72</v>
      </c>
      <c r="S10" s="17" t="s">
        <v>90</v>
      </c>
      <c r="T10" s="18" t="n">
        <f>32731.9</f>
        <v>32731.9</v>
      </c>
      <c r="U10" s="19" t="n">
        <f>1388</f>
        <v>1388.0</v>
      </c>
      <c r="V10" s="19" t="n">
        <v>1240.0</v>
      </c>
      <c r="W10" s="23"/>
      <c r="X10" s="19" t="n">
        <f>45550890000</f>
        <v>4.555089E10</v>
      </c>
      <c r="Y10" s="19" t="n">
        <v>4.070466E10</v>
      </c>
      <c r="Z10" s="23"/>
      <c r="AA10" s="16"/>
      <c r="AB10" s="20" t="n">
        <f>1470</f>
        <v>1470.0</v>
      </c>
      <c r="AC10" s="21" t="n">
        <f>19</f>
        <v>19.0</v>
      </c>
    </row>
    <row r="11">
      <c r="A11" s="13" t="s">
        <v>46</v>
      </c>
      <c r="B11" s="14" t="s">
        <v>47</v>
      </c>
      <c r="C11" s="14" t="s">
        <v>48</v>
      </c>
      <c r="D11" s="22"/>
      <c r="E11" s="14" t="s">
        <v>91</v>
      </c>
      <c r="F11" s="15" t="s">
        <v>49</v>
      </c>
      <c r="G11" s="15" t="s">
        <v>92</v>
      </c>
      <c r="H11" s="16" t="s">
        <v>93</v>
      </c>
      <c r="I11" s="17" t="s">
        <v>94</v>
      </c>
      <c r="J11" s="16" t="s">
        <v>65</v>
      </c>
      <c r="K11" s="17" t="s">
        <v>95</v>
      </c>
      <c r="L11" s="16" t="s">
        <v>72</v>
      </c>
      <c r="M11" s="17" t="s">
        <v>96</v>
      </c>
      <c r="N11" s="16" t="s">
        <v>68</v>
      </c>
      <c r="O11" s="17" t="s">
        <v>97</v>
      </c>
      <c r="P11" s="16" t="s">
        <v>88</v>
      </c>
      <c r="Q11" s="17" t="s">
        <v>98</v>
      </c>
      <c r="R11" s="16" t="s">
        <v>72</v>
      </c>
      <c r="S11" s="17" t="s">
        <v>99</v>
      </c>
      <c r="T11" s="18" t="n">
        <f>32500.95</f>
        <v>32500.95</v>
      </c>
      <c r="U11" s="19" t="n">
        <f>9263</f>
        <v>9263.0</v>
      </c>
      <c r="V11" s="19" t="n">
        <v>9111.0</v>
      </c>
      <c r="W11" s="23"/>
      <c r="X11" s="19" t="n">
        <f>299687419660</f>
        <v>2.9968741966E11</v>
      </c>
      <c r="Y11" s="19" t="n">
        <v>2.9474008966E11</v>
      </c>
      <c r="Z11" s="23"/>
      <c r="AA11" s="16"/>
      <c r="AB11" s="20" t="n">
        <f>32357</f>
        <v>32357.0</v>
      </c>
      <c r="AC11" s="21" t="n">
        <f>18</f>
        <v>18.0</v>
      </c>
    </row>
    <row r="12">
      <c r="A12" s="13" t="s">
        <v>46</v>
      </c>
      <c r="B12" s="14" t="s">
        <v>47</v>
      </c>
      <c r="C12" s="14" t="s">
        <v>48</v>
      </c>
      <c r="D12" s="22"/>
      <c r="E12" s="14" t="s">
        <v>100</v>
      </c>
      <c r="F12" s="15" t="s">
        <v>101</v>
      </c>
      <c r="G12" s="15" t="s">
        <v>102</v>
      </c>
      <c r="H12" s="16" t="s">
        <v>103</v>
      </c>
      <c r="I12" s="17" t="s">
        <v>104</v>
      </c>
      <c r="J12" s="16" t="s">
        <v>65</v>
      </c>
      <c r="K12" s="17" t="s">
        <v>105</v>
      </c>
      <c r="L12" s="16"/>
      <c r="M12" s="17"/>
      <c r="N12" s="16" t="s">
        <v>103</v>
      </c>
      <c r="O12" s="17" t="s">
        <v>106</v>
      </c>
      <c r="P12" s="16"/>
      <c r="Q12" s="17"/>
      <c r="R12" s="16" t="s">
        <v>107</v>
      </c>
      <c r="S12" s="17" t="s">
        <v>108</v>
      </c>
      <c r="T12" s="18" t="n">
        <f>32457.14</f>
        <v>32457.14</v>
      </c>
      <c r="U12" s="19" t="n">
        <f>9</f>
        <v>9.0</v>
      </c>
      <c r="V12" s="19"/>
      <c r="W12" s="23"/>
      <c r="X12" s="19" t="n">
        <f>295180000</f>
        <v>2.9518E8</v>
      </c>
      <c r="Y12" s="19"/>
      <c r="Z12" s="23"/>
      <c r="AA12" s="16"/>
      <c r="AB12" s="20" t="n">
        <f>10</f>
        <v>10.0</v>
      </c>
      <c r="AC12" s="21" t="n">
        <f>5</f>
        <v>5.0</v>
      </c>
    </row>
    <row r="13">
      <c r="A13" s="13" t="s">
        <v>46</v>
      </c>
      <c r="B13" s="14" t="s">
        <v>47</v>
      </c>
      <c r="C13" s="14" t="s">
        <v>48</v>
      </c>
      <c r="D13" s="22"/>
      <c r="E13" s="14" t="s">
        <v>109</v>
      </c>
      <c r="F13" s="15" t="s">
        <v>49</v>
      </c>
      <c r="G13" s="15" t="s">
        <v>110</v>
      </c>
      <c r="H13" s="16" t="s">
        <v>107</v>
      </c>
      <c r="I13" s="17" t="s">
        <v>111</v>
      </c>
      <c r="J13" s="16" t="s">
        <v>107</v>
      </c>
      <c r="K13" s="17" t="s">
        <v>111</v>
      </c>
      <c r="L13" s="16" t="s">
        <v>107</v>
      </c>
      <c r="M13" s="17" t="s">
        <v>112</v>
      </c>
      <c r="N13" s="16" t="s">
        <v>107</v>
      </c>
      <c r="O13" s="17" t="s">
        <v>113</v>
      </c>
      <c r="P13" s="16" t="s">
        <v>70</v>
      </c>
      <c r="Q13" s="17" t="s">
        <v>114</v>
      </c>
      <c r="R13" s="16" t="s">
        <v>107</v>
      </c>
      <c r="S13" s="17" t="s">
        <v>113</v>
      </c>
      <c r="T13" s="18" t="n">
        <f>32219.52</f>
        <v>32219.52</v>
      </c>
      <c r="U13" s="19" t="n">
        <f>376</f>
        <v>376.0</v>
      </c>
      <c r="V13" s="19" t="n">
        <v>374.0</v>
      </c>
      <c r="W13" s="23"/>
      <c r="X13" s="19" t="n">
        <f>12088660000</f>
        <v>1.208866E10</v>
      </c>
      <c r="Y13" s="19" t="n">
        <v>1.202321E10</v>
      </c>
      <c r="Z13" s="23"/>
      <c r="AA13" s="16"/>
      <c r="AB13" s="20" t="n">
        <f>890</f>
        <v>890.0</v>
      </c>
      <c r="AC13" s="21" t="n">
        <f>1</f>
        <v>1.0</v>
      </c>
    </row>
    <row r="14">
      <c r="A14" s="13" t="s">
        <v>46</v>
      </c>
      <c r="B14" s="14" t="s">
        <v>47</v>
      </c>
      <c r="C14" s="14" t="s">
        <v>48</v>
      </c>
      <c r="D14" s="22"/>
      <c r="E14" s="14" t="s">
        <v>115</v>
      </c>
      <c r="F14" s="15" t="s">
        <v>49</v>
      </c>
      <c r="G14" s="15" t="s">
        <v>116</v>
      </c>
      <c r="H14" s="16" t="s">
        <v>117</v>
      </c>
      <c r="I14" s="17" t="s">
        <v>78</v>
      </c>
      <c r="J14" s="16" t="s">
        <v>65</v>
      </c>
      <c r="K14" s="17" t="s">
        <v>118</v>
      </c>
      <c r="L14" s="16" t="s">
        <v>65</v>
      </c>
      <c r="M14" s="17" t="s">
        <v>119</v>
      </c>
      <c r="N14" s="16" t="s">
        <v>117</v>
      </c>
      <c r="O14" s="17" t="s">
        <v>78</v>
      </c>
      <c r="P14" s="16" t="s">
        <v>120</v>
      </c>
      <c r="Q14" s="17" t="s">
        <v>121</v>
      </c>
      <c r="R14" s="16" t="s">
        <v>107</v>
      </c>
      <c r="S14" s="17" t="s">
        <v>122</v>
      </c>
      <c r="T14" s="18" t="n">
        <f>31991.9</f>
        <v>31991.9</v>
      </c>
      <c r="U14" s="19" t="n">
        <f>3075</f>
        <v>3075.0</v>
      </c>
      <c r="V14" s="19" t="n">
        <v>3064.0</v>
      </c>
      <c r="W14" s="23"/>
      <c r="X14" s="19" t="n">
        <f>97994050000</f>
        <v>9.799405E10</v>
      </c>
      <c r="Y14" s="19" t="n">
        <v>9.7637E10</v>
      </c>
      <c r="Z14" s="23"/>
      <c r="AA14" s="16"/>
      <c r="AB14" s="20" t="n">
        <f>7209</f>
        <v>7209.0</v>
      </c>
      <c r="AC14" s="21" t="n">
        <f>4</f>
        <v>4.0</v>
      </c>
    </row>
    <row r="15">
      <c r="A15" s="13" t="s">
        <v>46</v>
      </c>
      <c r="B15" s="14" t="s">
        <v>47</v>
      </c>
      <c r="C15" s="14" t="s">
        <v>48</v>
      </c>
      <c r="D15" s="22"/>
      <c r="E15" s="14" t="s">
        <v>123</v>
      </c>
      <c r="F15" s="15" t="s">
        <v>49</v>
      </c>
      <c r="G15" s="15" t="s">
        <v>124</v>
      </c>
      <c r="H15" s="16" t="s">
        <v>68</v>
      </c>
      <c r="I15" s="17" t="s">
        <v>125</v>
      </c>
      <c r="J15" s="16" t="s">
        <v>103</v>
      </c>
      <c r="K15" s="17" t="s">
        <v>126</v>
      </c>
      <c r="L15" s="16"/>
      <c r="M15" s="17"/>
      <c r="N15" s="16" t="s">
        <v>68</v>
      </c>
      <c r="O15" s="17" t="s">
        <v>125</v>
      </c>
      <c r="P15" s="16"/>
      <c r="Q15" s="17"/>
      <c r="R15" s="16" t="s">
        <v>103</v>
      </c>
      <c r="S15" s="17" t="s">
        <v>126</v>
      </c>
      <c r="T15" s="18" t="n">
        <f>31747.62</f>
        <v>31747.62</v>
      </c>
      <c r="U15" s="19" t="n">
        <f>2</f>
        <v>2.0</v>
      </c>
      <c r="V15" s="19"/>
      <c r="W15" s="23"/>
      <c r="X15" s="19" t="n">
        <f>62810000</f>
        <v>6.281E7</v>
      </c>
      <c r="Y15" s="19"/>
      <c r="Z15" s="23"/>
      <c r="AA15" s="16"/>
      <c r="AB15" s="20" t="n">
        <f>218</f>
        <v>218.0</v>
      </c>
      <c r="AC15" s="21" t="n">
        <f>2</f>
        <v>2.0</v>
      </c>
    </row>
    <row r="16">
      <c r="A16" s="13" t="s">
        <v>46</v>
      </c>
      <c r="B16" s="14" t="s">
        <v>47</v>
      </c>
      <c r="C16" s="14" t="s">
        <v>48</v>
      </c>
      <c r="D16" s="22"/>
      <c r="E16" s="14" t="s">
        <v>127</v>
      </c>
      <c r="F16" s="15" t="s">
        <v>128</v>
      </c>
      <c r="G16" s="15" t="s">
        <v>129</v>
      </c>
      <c r="H16" s="16"/>
      <c r="I16" s="17" t="s">
        <v>130</v>
      </c>
      <c r="J16" s="16"/>
      <c r="K16" s="17" t="s">
        <v>130</v>
      </c>
      <c r="L16" s="16" t="s">
        <v>65</v>
      </c>
      <c r="M16" s="17" t="s">
        <v>131</v>
      </c>
      <c r="N16" s="16"/>
      <c r="O16" s="17" t="s">
        <v>130</v>
      </c>
      <c r="P16" s="16" t="s">
        <v>120</v>
      </c>
      <c r="Q16" s="17" t="s">
        <v>132</v>
      </c>
      <c r="R16" s="16"/>
      <c r="S16" s="17" t="s">
        <v>130</v>
      </c>
      <c r="T16" s="18" t="n">
        <f>31554.29</f>
        <v>31554.29</v>
      </c>
      <c r="U16" s="19" t="n">
        <f>280</f>
        <v>280.0</v>
      </c>
      <c r="V16" s="19" t="n">
        <v>280.0</v>
      </c>
      <c r="W16" s="23"/>
      <c r="X16" s="19" t="n">
        <f>8779600000</f>
        <v>8.7796E9</v>
      </c>
      <c r="Y16" s="19" t="n">
        <v>8.7796E9</v>
      </c>
      <c r="Z16" s="23"/>
      <c r="AA16" s="16"/>
      <c r="AB16" s="20" t="n">
        <f>3705</f>
        <v>3705.0</v>
      </c>
      <c r="AC16" s="21" t="str">
        <f>"－"</f>
        <v>－</v>
      </c>
    </row>
    <row r="17">
      <c r="A17" s="13" t="s">
        <v>46</v>
      </c>
      <c r="B17" s="14" t="s">
        <v>47</v>
      </c>
      <c r="C17" s="14" t="s">
        <v>48</v>
      </c>
      <c r="D17" s="22"/>
      <c r="E17" s="14" t="s">
        <v>133</v>
      </c>
      <c r="F17" s="15" t="s">
        <v>134</v>
      </c>
      <c r="G17" s="15" t="s">
        <v>135</v>
      </c>
      <c r="H17" s="16"/>
      <c r="I17" s="17" t="s">
        <v>130</v>
      </c>
      <c r="J17" s="16"/>
      <c r="K17" s="17" t="s">
        <v>130</v>
      </c>
      <c r="L17" s="16"/>
      <c r="M17" s="17"/>
      <c r="N17" s="16"/>
      <c r="O17" s="17" t="s">
        <v>130</v>
      </c>
      <c r="P17" s="16"/>
      <c r="Q17" s="17"/>
      <c r="R17" s="16"/>
      <c r="S17" s="17" t="s">
        <v>130</v>
      </c>
      <c r="T17" s="18" t="n">
        <f>31362.86</f>
        <v>31362.86</v>
      </c>
      <c r="U17" s="19" t="str">
        <f>"－"</f>
        <v>－</v>
      </c>
      <c r="V17" s="19"/>
      <c r="W17" s="23"/>
      <c r="X17" s="19" t="str">
        <f>"－"</f>
        <v>－</v>
      </c>
      <c r="Y17" s="19"/>
      <c r="Z17" s="23"/>
      <c r="AA17" s="16"/>
      <c r="AB17" s="20" t="n">
        <f>38</f>
        <v>38.0</v>
      </c>
      <c r="AC17" s="21" t="str">
        <f>"－"</f>
        <v>－</v>
      </c>
    </row>
    <row r="18">
      <c r="A18" s="13" t="s">
        <v>46</v>
      </c>
      <c r="B18" s="14" t="s">
        <v>47</v>
      </c>
      <c r="C18" s="14" t="s">
        <v>48</v>
      </c>
      <c r="D18" s="22"/>
      <c r="E18" s="14" t="s">
        <v>136</v>
      </c>
      <c r="F18" s="15" t="s">
        <v>137</v>
      </c>
      <c r="G18" s="15" t="s">
        <v>138</v>
      </c>
      <c r="H18" s="16"/>
      <c r="I18" s="17" t="s">
        <v>130</v>
      </c>
      <c r="J18" s="16"/>
      <c r="K18" s="17" t="s">
        <v>130</v>
      </c>
      <c r="L18" s="16"/>
      <c r="M18" s="17"/>
      <c r="N18" s="16"/>
      <c r="O18" s="17" t="s">
        <v>130</v>
      </c>
      <c r="P18" s="16"/>
      <c r="Q18" s="17"/>
      <c r="R18" s="16"/>
      <c r="S18" s="17" t="s">
        <v>130</v>
      </c>
      <c r="T18" s="18" t="n">
        <f>31164.29</f>
        <v>31164.29</v>
      </c>
      <c r="U18" s="19" t="str">
        <f>"－"</f>
        <v>－</v>
      </c>
      <c r="V18" s="19"/>
      <c r="W18" s="23"/>
      <c r="X18" s="19" t="str">
        <f>"－"</f>
        <v>－</v>
      </c>
      <c r="Y18" s="19"/>
      <c r="Z18" s="23"/>
      <c r="AA18" s="16"/>
      <c r="AB18" s="20" t="n">
        <f>1866</f>
        <v>1866.0</v>
      </c>
      <c r="AC18" s="21" t="str">
        <f>"－"</f>
        <v>－</v>
      </c>
    </row>
    <row r="19">
      <c r="A19" s="13" t="s">
        <v>46</v>
      </c>
      <c r="B19" s="14" t="s">
        <v>47</v>
      </c>
      <c r="C19" s="14" t="s">
        <v>48</v>
      </c>
      <c r="D19" s="22"/>
      <c r="E19" s="14" t="s">
        <v>139</v>
      </c>
      <c r="F19" s="15" t="s">
        <v>140</v>
      </c>
      <c r="G19" s="15" t="s">
        <v>141</v>
      </c>
      <c r="H19" s="16" t="s">
        <v>117</v>
      </c>
      <c r="I19" s="17" t="s">
        <v>142</v>
      </c>
      <c r="J19" s="16" t="s">
        <v>117</v>
      </c>
      <c r="K19" s="17" t="s">
        <v>142</v>
      </c>
      <c r="L19" s="16"/>
      <c r="M19" s="17"/>
      <c r="N19" s="16" t="s">
        <v>117</v>
      </c>
      <c r="O19" s="17" t="s">
        <v>142</v>
      </c>
      <c r="P19" s="16"/>
      <c r="Q19" s="17"/>
      <c r="R19" s="16" t="s">
        <v>117</v>
      </c>
      <c r="S19" s="17" t="s">
        <v>142</v>
      </c>
      <c r="T19" s="18" t="n">
        <f>31000.48</f>
        <v>31000.48</v>
      </c>
      <c r="U19" s="19" t="n">
        <f>1</f>
        <v>1.0</v>
      </c>
      <c r="V19" s="19"/>
      <c r="W19" s="23"/>
      <c r="X19" s="19" t="n">
        <f>30420000</f>
        <v>3.042E7</v>
      </c>
      <c r="Y19" s="19"/>
      <c r="Z19" s="23"/>
      <c r="AA19" s="16"/>
      <c r="AB19" s="20" t="n">
        <f>2</f>
        <v>2.0</v>
      </c>
      <c r="AC19" s="21" t="n">
        <f>1</f>
        <v>1.0</v>
      </c>
    </row>
    <row r="20">
      <c r="A20" s="13" t="s">
        <v>46</v>
      </c>
      <c r="B20" s="14" t="s">
        <v>47</v>
      </c>
      <c r="C20" s="14" t="s">
        <v>48</v>
      </c>
      <c r="D20" s="22"/>
      <c r="E20" s="14" t="s">
        <v>143</v>
      </c>
      <c r="F20" s="15" t="s">
        <v>144</v>
      </c>
      <c r="G20" s="15" t="s">
        <v>145</v>
      </c>
      <c r="H20" s="16"/>
      <c r="I20" s="17" t="s">
        <v>130</v>
      </c>
      <c r="J20" s="16"/>
      <c r="K20" s="17" t="s">
        <v>130</v>
      </c>
      <c r="L20" s="16" t="s">
        <v>65</v>
      </c>
      <c r="M20" s="17" t="s">
        <v>146</v>
      </c>
      <c r="N20" s="16"/>
      <c r="O20" s="17" t="s">
        <v>130</v>
      </c>
      <c r="P20" s="16" t="s">
        <v>65</v>
      </c>
      <c r="Q20" s="17" t="s">
        <v>146</v>
      </c>
      <c r="R20" s="16"/>
      <c r="S20" s="17" t="s">
        <v>130</v>
      </c>
      <c r="T20" s="18" t="n">
        <f>30830.48</f>
        <v>30830.48</v>
      </c>
      <c r="U20" s="19" t="n">
        <f>6</f>
        <v>6.0</v>
      </c>
      <c r="V20" s="19" t="n">
        <v>6.0</v>
      </c>
      <c r="W20" s="23"/>
      <c r="X20" s="19" t="n">
        <f>187800000</f>
        <v>1.878E8</v>
      </c>
      <c r="Y20" s="19" t="n">
        <v>1.878E8</v>
      </c>
      <c r="Z20" s="23"/>
      <c r="AA20" s="16"/>
      <c r="AB20" s="20" t="n">
        <f>890</f>
        <v>890.0</v>
      </c>
      <c r="AC20" s="21" t="str">
        <f>"－"</f>
        <v>－</v>
      </c>
    </row>
    <row r="21">
      <c r="A21" s="13" t="s">
        <v>46</v>
      </c>
      <c r="B21" s="14" t="s">
        <v>47</v>
      </c>
      <c r="C21" s="14" t="s">
        <v>48</v>
      </c>
      <c r="D21" s="22"/>
      <c r="E21" s="14" t="s">
        <v>147</v>
      </c>
      <c r="F21" s="15" t="s">
        <v>148</v>
      </c>
      <c r="G21" s="15" t="s">
        <v>149</v>
      </c>
      <c r="H21" s="16"/>
      <c r="I21" s="17" t="s">
        <v>130</v>
      </c>
      <c r="J21" s="16"/>
      <c r="K21" s="17" t="s">
        <v>130</v>
      </c>
      <c r="L21" s="16"/>
      <c r="M21" s="17"/>
      <c r="N21" s="16"/>
      <c r="O21" s="17" t="s">
        <v>130</v>
      </c>
      <c r="P21" s="16"/>
      <c r="Q21" s="17"/>
      <c r="R21" s="16"/>
      <c r="S21" s="17" t="s">
        <v>130</v>
      </c>
      <c r="T21" s="18" t="n">
        <f>30675.71</f>
        <v>30675.71</v>
      </c>
      <c r="U21" s="19" t="str">
        <f>"－"</f>
        <v>－</v>
      </c>
      <c r="V21" s="19"/>
      <c r="W21" s="23"/>
      <c r="X21" s="19" t="str">
        <f>"－"</f>
        <v>－</v>
      </c>
      <c r="Y21" s="19"/>
      <c r="Z21" s="23"/>
      <c r="AA21" s="16"/>
      <c r="AB21" s="20" t="str">
        <f>"－"</f>
        <v>－</v>
      </c>
      <c r="AC21" s="21" t="str">
        <f>"－"</f>
        <v>－</v>
      </c>
    </row>
    <row r="22">
      <c r="A22" s="13" t="s">
        <v>46</v>
      </c>
      <c r="B22" s="14" t="s">
        <v>47</v>
      </c>
      <c r="C22" s="14" t="s">
        <v>48</v>
      </c>
      <c r="D22" s="22"/>
      <c r="E22" s="14" t="s">
        <v>150</v>
      </c>
      <c r="F22" s="15" t="s">
        <v>151</v>
      </c>
      <c r="G22" s="15" t="s">
        <v>152</v>
      </c>
      <c r="H22" s="16"/>
      <c r="I22" s="17" t="s">
        <v>130</v>
      </c>
      <c r="J22" s="16"/>
      <c r="K22" s="17" t="s">
        <v>130</v>
      </c>
      <c r="L22" s="16"/>
      <c r="M22" s="17"/>
      <c r="N22" s="16"/>
      <c r="O22" s="17" t="s">
        <v>130</v>
      </c>
      <c r="P22" s="16"/>
      <c r="Q22" s="17"/>
      <c r="R22" s="16"/>
      <c r="S22" s="17" t="s">
        <v>130</v>
      </c>
      <c r="T22" s="18" t="n">
        <f>30550.48</f>
        <v>30550.48</v>
      </c>
      <c r="U22" s="19" t="str">
        <f>"－"</f>
        <v>－</v>
      </c>
      <c r="V22" s="19"/>
      <c r="W22" s="23"/>
      <c r="X22" s="19" t="str">
        <f>"－"</f>
        <v>－</v>
      </c>
      <c r="Y22" s="19"/>
      <c r="Z22" s="23"/>
      <c r="AA22" s="16"/>
      <c r="AB22" s="20" t="str">
        <f>"－"</f>
        <v>－</v>
      </c>
      <c r="AC22" s="21" t="str">
        <f>"－"</f>
        <v>－</v>
      </c>
    </row>
    <row r="23">
      <c r="A23" s="13" t="s">
        <v>46</v>
      </c>
      <c r="B23" s="14" t="s">
        <v>47</v>
      </c>
      <c r="C23" s="14" t="s">
        <v>48</v>
      </c>
      <c r="D23" s="22"/>
      <c r="E23" s="14" t="s">
        <v>153</v>
      </c>
      <c r="F23" s="15" t="s">
        <v>154</v>
      </c>
      <c r="G23" s="15" t="s">
        <v>155</v>
      </c>
      <c r="H23" s="16"/>
      <c r="I23" s="17" t="s">
        <v>130</v>
      </c>
      <c r="J23" s="16"/>
      <c r="K23" s="17" t="s">
        <v>130</v>
      </c>
      <c r="L23" s="16"/>
      <c r="M23" s="17"/>
      <c r="N23" s="16"/>
      <c r="O23" s="17" t="s">
        <v>130</v>
      </c>
      <c r="P23" s="16"/>
      <c r="Q23" s="17"/>
      <c r="R23" s="16"/>
      <c r="S23" s="17" t="s">
        <v>130</v>
      </c>
      <c r="T23" s="18" t="n">
        <f>30431.43</f>
        <v>30431.43</v>
      </c>
      <c r="U23" s="19" t="str">
        <f>"－"</f>
        <v>－</v>
      </c>
      <c r="V23" s="19"/>
      <c r="W23" s="23"/>
      <c r="X23" s="19" t="str">
        <f>"－"</f>
        <v>－</v>
      </c>
      <c r="Y23" s="19"/>
      <c r="Z23" s="23"/>
      <c r="AA23" s="16"/>
      <c r="AB23" s="20" t="str">
        <f>"－"</f>
        <v>－</v>
      </c>
      <c r="AC23" s="21" t="str">
        <f>"－"</f>
        <v>－</v>
      </c>
    </row>
    <row r="24">
      <c r="A24" s="13" t="s">
        <v>46</v>
      </c>
      <c r="B24" s="14" t="s">
        <v>47</v>
      </c>
      <c r="C24" s="14" t="s">
        <v>48</v>
      </c>
      <c r="D24" s="22"/>
      <c r="E24" s="14" t="s">
        <v>156</v>
      </c>
      <c r="F24" s="15" t="s">
        <v>157</v>
      </c>
      <c r="G24" s="15" t="s">
        <v>158</v>
      </c>
      <c r="H24" s="16"/>
      <c r="I24" s="17" t="s">
        <v>130</v>
      </c>
      <c r="J24" s="16"/>
      <c r="K24" s="17" t="s">
        <v>130</v>
      </c>
      <c r="L24" s="16"/>
      <c r="M24" s="17"/>
      <c r="N24" s="16"/>
      <c r="O24" s="17" t="s">
        <v>130</v>
      </c>
      <c r="P24" s="16"/>
      <c r="Q24" s="17"/>
      <c r="R24" s="16"/>
      <c r="S24" s="17" t="s">
        <v>130</v>
      </c>
      <c r="T24" s="18" t="n">
        <f>30343.81</f>
        <v>30343.81</v>
      </c>
      <c r="U24" s="19" t="str">
        <f>"－"</f>
        <v>－</v>
      </c>
      <c r="V24" s="19"/>
      <c r="W24" s="23"/>
      <c r="X24" s="19" t="str">
        <f>"－"</f>
        <v>－</v>
      </c>
      <c r="Y24" s="19"/>
      <c r="Z24" s="23"/>
      <c r="AA24" s="16"/>
      <c r="AB24" s="20" t="str">
        <f>"－"</f>
        <v>－</v>
      </c>
      <c r="AC24" s="21" t="str">
        <f>"－"</f>
        <v>－</v>
      </c>
    </row>
    <row r="25">
      <c r="A25" s="13" t="s">
        <v>46</v>
      </c>
      <c r="B25" s="14" t="s">
        <v>47</v>
      </c>
      <c r="C25" s="14" t="s">
        <v>48</v>
      </c>
      <c r="D25" s="22"/>
      <c r="E25" s="14" t="s">
        <v>159</v>
      </c>
      <c r="F25" s="15" t="s">
        <v>160</v>
      </c>
      <c r="G25" s="15" t="s">
        <v>161</v>
      </c>
      <c r="H25" s="16"/>
      <c r="I25" s="17" t="s">
        <v>130</v>
      </c>
      <c r="J25" s="16"/>
      <c r="K25" s="17" t="s">
        <v>130</v>
      </c>
      <c r="L25" s="16"/>
      <c r="M25" s="17"/>
      <c r="N25" s="16"/>
      <c r="O25" s="17" t="s">
        <v>130</v>
      </c>
      <c r="P25" s="16"/>
      <c r="Q25" s="17"/>
      <c r="R25" s="16"/>
      <c r="S25" s="17" t="s">
        <v>130</v>
      </c>
      <c r="T25" s="18" t="n">
        <f>30273.33</f>
        <v>30273.33</v>
      </c>
      <c r="U25" s="19" t="str">
        <f>"－"</f>
        <v>－</v>
      </c>
      <c r="V25" s="19"/>
      <c r="W25" s="23"/>
      <c r="X25" s="19" t="str">
        <f>"－"</f>
        <v>－</v>
      </c>
      <c r="Y25" s="19"/>
      <c r="Z25" s="23"/>
      <c r="AA25" s="16"/>
      <c r="AB25" s="20" t="str">
        <f>"－"</f>
        <v>－</v>
      </c>
      <c r="AC25" s="21" t="str">
        <f>"－"</f>
        <v>－</v>
      </c>
    </row>
    <row r="26">
      <c r="A26" s="13" t="s">
        <v>46</v>
      </c>
      <c r="B26" s="14" t="s">
        <v>47</v>
      </c>
      <c r="C26" s="14" t="s">
        <v>48</v>
      </c>
      <c r="D26" s="22"/>
      <c r="E26" s="14" t="s">
        <v>162</v>
      </c>
      <c r="F26" s="15" t="s">
        <v>163</v>
      </c>
      <c r="G26" s="15" t="s">
        <v>164</v>
      </c>
      <c r="H26" s="16"/>
      <c r="I26" s="17" t="s">
        <v>130</v>
      </c>
      <c r="J26" s="16"/>
      <c r="K26" s="17" t="s">
        <v>130</v>
      </c>
      <c r="L26" s="16"/>
      <c r="M26" s="17"/>
      <c r="N26" s="16"/>
      <c r="O26" s="17" t="s">
        <v>130</v>
      </c>
      <c r="P26" s="16"/>
      <c r="Q26" s="17"/>
      <c r="R26" s="16"/>
      <c r="S26" s="17" t="s">
        <v>130</v>
      </c>
      <c r="T26" s="18" t="n">
        <f>30050</f>
        <v>30050.0</v>
      </c>
      <c r="U26" s="19" t="str">
        <f>"－"</f>
        <v>－</v>
      </c>
      <c r="V26" s="19"/>
      <c r="W26" s="23"/>
      <c r="X26" s="19" t="str">
        <f>"－"</f>
        <v>－</v>
      </c>
      <c r="Y26" s="19"/>
      <c r="Z26" s="23"/>
      <c r="AA26" s="16"/>
      <c r="AB26" s="20" t="str">
        <f>"－"</f>
        <v>－</v>
      </c>
      <c r="AC26" s="21" t="str">
        <f>"－"</f>
        <v>－</v>
      </c>
    </row>
    <row r="27">
      <c r="A27" s="13" t="s">
        <v>46</v>
      </c>
      <c r="B27" s="14" t="s">
        <v>165</v>
      </c>
      <c r="C27" s="14" t="s">
        <v>166</v>
      </c>
      <c r="D27" s="22"/>
      <c r="E27" s="14" t="s">
        <v>46</v>
      </c>
      <c r="F27" s="15" t="s">
        <v>128</v>
      </c>
      <c r="G27" s="15" t="s">
        <v>50</v>
      </c>
      <c r="H27" s="16" t="s">
        <v>51</v>
      </c>
      <c r="I27" s="17" t="s">
        <v>52</v>
      </c>
      <c r="J27" s="16" t="s">
        <v>51</v>
      </c>
      <c r="K27" s="17" t="s">
        <v>167</v>
      </c>
      <c r="L27" s="16" t="s">
        <v>51</v>
      </c>
      <c r="M27" s="17" t="s">
        <v>168</v>
      </c>
      <c r="N27" s="16" t="s">
        <v>55</v>
      </c>
      <c r="O27" s="17" t="s">
        <v>169</v>
      </c>
      <c r="P27" s="16" t="s">
        <v>55</v>
      </c>
      <c r="Q27" s="17" t="s">
        <v>170</v>
      </c>
      <c r="R27" s="16" t="s">
        <v>58</v>
      </c>
      <c r="S27" s="17" t="s">
        <v>171</v>
      </c>
      <c r="T27" s="18" t="n">
        <f>33164</f>
        <v>33164.0</v>
      </c>
      <c r="U27" s="19" t="n">
        <f>3647937</f>
        <v>3647937.0</v>
      </c>
      <c r="V27" s="19" t="n">
        <v>279888.0</v>
      </c>
      <c r="W27" s="23" t="n">
        <v>104539.0</v>
      </c>
      <c r="X27" s="19" t="n">
        <f>12107281835852</f>
        <v>1.2107281835852E13</v>
      </c>
      <c r="Y27" s="19" t="n">
        <v>9.28125886952E11</v>
      </c>
      <c r="Z27" s="23" t="n">
        <v>3.460552354E11</v>
      </c>
      <c r="AA27" s="16" t="s">
        <v>60</v>
      </c>
      <c r="AB27" s="20" t="n">
        <f>260806</f>
        <v>260806.0</v>
      </c>
      <c r="AC27" s="21" t="n">
        <f>5</f>
        <v>5.0</v>
      </c>
    </row>
    <row r="28">
      <c r="A28" s="13" t="s">
        <v>46</v>
      </c>
      <c r="B28" s="14" t="s">
        <v>165</v>
      </c>
      <c r="C28" s="14" t="s">
        <v>166</v>
      </c>
      <c r="D28" s="22"/>
      <c r="E28" s="14" t="s">
        <v>172</v>
      </c>
      <c r="F28" s="15" t="s">
        <v>173</v>
      </c>
      <c r="G28" s="15" t="s">
        <v>174</v>
      </c>
      <c r="H28" s="16" t="s">
        <v>51</v>
      </c>
      <c r="I28" s="17" t="s">
        <v>175</v>
      </c>
      <c r="J28" s="16" t="s">
        <v>65</v>
      </c>
      <c r="K28" s="17" t="s">
        <v>176</v>
      </c>
      <c r="L28" s="16" t="s">
        <v>65</v>
      </c>
      <c r="M28" s="17" t="s">
        <v>177</v>
      </c>
      <c r="N28" s="16" t="s">
        <v>68</v>
      </c>
      <c r="O28" s="17" t="s">
        <v>178</v>
      </c>
      <c r="P28" s="16" t="s">
        <v>68</v>
      </c>
      <c r="Q28" s="17" t="s">
        <v>179</v>
      </c>
      <c r="R28" s="16" t="s">
        <v>72</v>
      </c>
      <c r="S28" s="17" t="s">
        <v>175</v>
      </c>
      <c r="T28" s="18" t="n">
        <f>33057.14</f>
        <v>33057.14</v>
      </c>
      <c r="U28" s="19" t="n">
        <f>924244</f>
        <v>924244.0</v>
      </c>
      <c r="V28" s="19" t="n">
        <v>111237.0</v>
      </c>
      <c r="W28" s="23" t="n">
        <v>360.0</v>
      </c>
      <c r="X28" s="19" t="n">
        <f>3048693079840</f>
        <v>3.04869307984E12</v>
      </c>
      <c r="Y28" s="19" t="n">
        <v>3.6783888464E11</v>
      </c>
      <c r="Z28" s="23" t="n">
        <v>1.1983907E9</v>
      </c>
      <c r="AA28" s="16"/>
      <c r="AB28" s="20" t="n">
        <f>60901</f>
        <v>60901.0</v>
      </c>
      <c r="AC28" s="21" t="n">
        <f>21</f>
        <v>21.0</v>
      </c>
    </row>
    <row r="29">
      <c r="A29" s="13" t="s">
        <v>46</v>
      </c>
      <c r="B29" s="14" t="s">
        <v>165</v>
      </c>
      <c r="C29" s="14" t="s">
        <v>166</v>
      </c>
      <c r="D29" s="22"/>
      <c r="E29" s="14" t="s">
        <v>180</v>
      </c>
      <c r="F29" s="15" t="s">
        <v>181</v>
      </c>
      <c r="G29" s="15" t="s">
        <v>182</v>
      </c>
      <c r="H29" s="16" t="s">
        <v>51</v>
      </c>
      <c r="I29" s="17" t="s">
        <v>183</v>
      </c>
      <c r="J29" s="16" t="s">
        <v>65</v>
      </c>
      <c r="K29" s="17" t="s">
        <v>184</v>
      </c>
      <c r="L29" s="16" t="s">
        <v>65</v>
      </c>
      <c r="M29" s="17" t="s">
        <v>185</v>
      </c>
      <c r="N29" s="16" t="s">
        <v>68</v>
      </c>
      <c r="O29" s="17" t="s">
        <v>186</v>
      </c>
      <c r="P29" s="16" t="s">
        <v>68</v>
      </c>
      <c r="Q29" s="17" t="s">
        <v>187</v>
      </c>
      <c r="R29" s="16" t="s">
        <v>72</v>
      </c>
      <c r="S29" s="17" t="s">
        <v>188</v>
      </c>
      <c r="T29" s="18" t="n">
        <f>33052.86</f>
        <v>33052.86</v>
      </c>
      <c r="U29" s="19" t="n">
        <f>46768</f>
        <v>46768.0</v>
      </c>
      <c r="V29" s="19" t="n">
        <v>16802.0</v>
      </c>
      <c r="W29" s="23"/>
      <c r="X29" s="19" t="n">
        <f>155007035680</f>
        <v>1.5500703568E11</v>
      </c>
      <c r="Y29" s="19" t="n">
        <v>5.615877318E10</v>
      </c>
      <c r="Z29" s="23"/>
      <c r="AA29" s="16"/>
      <c r="AB29" s="20" t="n">
        <f>13888</f>
        <v>13888.0</v>
      </c>
      <c r="AC29" s="21" t="n">
        <f>21</f>
        <v>21.0</v>
      </c>
    </row>
    <row r="30">
      <c r="A30" s="13" t="s">
        <v>46</v>
      </c>
      <c r="B30" s="14" t="s">
        <v>165</v>
      </c>
      <c r="C30" s="14" t="s">
        <v>166</v>
      </c>
      <c r="D30" s="22"/>
      <c r="E30" s="14" t="s">
        <v>61</v>
      </c>
      <c r="F30" s="15" t="s">
        <v>62</v>
      </c>
      <c r="G30" s="15" t="s">
        <v>63</v>
      </c>
      <c r="H30" s="16" t="s">
        <v>51</v>
      </c>
      <c r="I30" s="17" t="s">
        <v>189</v>
      </c>
      <c r="J30" s="16" t="s">
        <v>65</v>
      </c>
      <c r="K30" s="17" t="s">
        <v>190</v>
      </c>
      <c r="L30" s="16" t="s">
        <v>65</v>
      </c>
      <c r="M30" s="17" t="s">
        <v>191</v>
      </c>
      <c r="N30" s="16" t="s">
        <v>68</v>
      </c>
      <c r="O30" s="17" t="s">
        <v>192</v>
      </c>
      <c r="P30" s="16" t="s">
        <v>68</v>
      </c>
      <c r="Q30" s="17" t="s">
        <v>193</v>
      </c>
      <c r="R30" s="16" t="s">
        <v>72</v>
      </c>
      <c r="S30" s="17" t="s">
        <v>189</v>
      </c>
      <c r="T30" s="18" t="n">
        <f>33037.62</f>
        <v>33037.62</v>
      </c>
      <c r="U30" s="19" t="n">
        <f>13799966</f>
        <v>1.3799966E7</v>
      </c>
      <c r="V30" s="19" t="n">
        <v>804470.0</v>
      </c>
      <c r="W30" s="23" t="n">
        <v>104323.0</v>
      </c>
      <c r="X30" s="19" t="n">
        <f>45507816998294</f>
        <v>4.5507816998294E13</v>
      </c>
      <c r="Y30" s="19" t="n">
        <v>2.652316362794E12</v>
      </c>
      <c r="Z30" s="23" t="n">
        <v>3.444957535E11</v>
      </c>
      <c r="AA30" s="16"/>
      <c r="AB30" s="20" t="n">
        <f>301516</f>
        <v>301516.0</v>
      </c>
      <c r="AC30" s="21" t="n">
        <f>21</f>
        <v>21.0</v>
      </c>
    </row>
    <row r="31">
      <c r="A31" s="13" t="s">
        <v>46</v>
      </c>
      <c r="B31" s="14" t="s">
        <v>165</v>
      </c>
      <c r="C31" s="14" t="s">
        <v>166</v>
      </c>
      <c r="D31" s="22"/>
      <c r="E31" s="14" t="s">
        <v>194</v>
      </c>
      <c r="F31" s="15" t="s">
        <v>195</v>
      </c>
      <c r="G31" s="15" t="s">
        <v>196</v>
      </c>
      <c r="H31" s="16" t="s">
        <v>51</v>
      </c>
      <c r="I31" s="17" t="s">
        <v>197</v>
      </c>
      <c r="J31" s="16" t="s">
        <v>65</v>
      </c>
      <c r="K31" s="17" t="s">
        <v>52</v>
      </c>
      <c r="L31" s="16"/>
      <c r="M31" s="17"/>
      <c r="N31" s="16" t="s">
        <v>68</v>
      </c>
      <c r="O31" s="17" t="s">
        <v>78</v>
      </c>
      <c r="P31" s="16"/>
      <c r="Q31" s="17"/>
      <c r="R31" s="16" t="s">
        <v>72</v>
      </c>
      <c r="S31" s="17" t="s">
        <v>84</v>
      </c>
      <c r="T31" s="18" t="n">
        <f>32801.43</f>
        <v>32801.43</v>
      </c>
      <c r="U31" s="19" t="n">
        <f>1380</f>
        <v>1380.0</v>
      </c>
      <c r="V31" s="19"/>
      <c r="W31" s="23"/>
      <c r="X31" s="19" t="n">
        <f>4525400000</f>
        <v>4.5254E9</v>
      </c>
      <c r="Y31" s="19"/>
      <c r="Z31" s="23"/>
      <c r="AA31" s="16"/>
      <c r="AB31" s="20" t="n">
        <f>303</f>
        <v>303.0</v>
      </c>
      <c r="AC31" s="21" t="n">
        <f>21</f>
        <v>21.0</v>
      </c>
    </row>
    <row r="32">
      <c r="A32" s="13" t="s">
        <v>46</v>
      </c>
      <c r="B32" s="14" t="s">
        <v>165</v>
      </c>
      <c r="C32" s="14" t="s">
        <v>166</v>
      </c>
      <c r="D32" s="22"/>
      <c r="E32" s="14" t="s">
        <v>74</v>
      </c>
      <c r="F32" s="15" t="s">
        <v>134</v>
      </c>
      <c r="G32" s="15" t="s">
        <v>75</v>
      </c>
      <c r="H32" s="16" t="s">
        <v>51</v>
      </c>
      <c r="I32" s="17" t="s">
        <v>198</v>
      </c>
      <c r="J32" s="16" t="s">
        <v>65</v>
      </c>
      <c r="K32" s="17" t="s">
        <v>199</v>
      </c>
      <c r="L32" s="16"/>
      <c r="M32" s="17"/>
      <c r="N32" s="16" t="s">
        <v>68</v>
      </c>
      <c r="O32" s="17" t="s">
        <v>200</v>
      </c>
      <c r="P32" s="16"/>
      <c r="Q32" s="17"/>
      <c r="R32" s="16" t="s">
        <v>72</v>
      </c>
      <c r="S32" s="17" t="s">
        <v>80</v>
      </c>
      <c r="T32" s="18" t="n">
        <f>32781.9</f>
        <v>32781.9</v>
      </c>
      <c r="U32" s="19" t="n">
        <f>170056</f>
        <v>170056.0</v>
      </c>
      <c r="V32" s="19"/>
      <c r="W32" s="23" t="n">
        <v>138.0</v>
      </c>
      <c r="X32" s="19" t="n">
        <f>556847197100</f>
        <v>5.568471971E11</v>
      </c>
      <c r="Y32" s="19"/>
      <c r="Z32" s="23" t="n">
        <v>4.492391E8</v>
      </c>
      <c r="AA32" s="16"/>
      <c r="AB32" s="20" t="n">
        <f>6485</f>
        <v>6485.0</v>
      </c>
      <c r="AC32" s="21" t="n">
        <f>21</f>
        <v>21.0</v>
      </c>
    </row>
    <row r="33">
      <c r="A33" s="13" t="s">
        <v>46</v>
      </c>
      <c r="B33" s="14" t="s">
        <v>165</v>
      </c>
      <c r="C33" s="14" t="s">
        <v>166</v>
      </c>
      <c r="D33" s="22"/>
      <c r="E33" s="14" t="s">
        <v>81</v>
      </c>
      <c r="F33" s="15" t="s">
        <v>82</v>
      </c>
      <c r="G33" s="15" t="s">
        <v>83</v>
      </c>
      <c r="H33" s="16" t="s">
        <v>51</v>
      </c>
      <c r="I33" s="17" t="s">
        <v>59</v>
      </c>
      <c r="J33" s="16" t="s">
        <v>65</v>
      </c>
      <c r="K33" s="17" t="s">
        <v>201</v>
      </c>
      <c r="L33" s="16"/>
      <c r="M33" s="17"/>
      <c r="N33" s="16" t="s">
        <v>68</v>
      </c>
      <c r="O33" s="17" t="s">
        <v>202</v>
      </c>
      <c r="P33" s="16"/>
      <c r="Q33" s="17"/>
      <c r="R33" s="16" t="s">
        <v>72</v>
      </c>
      <c r="S33" s="17" t="s">
        <v>203</v>
      </c>
      <c r="T33" s="18" t="n">
        <f>32731.9</f>
        <v>32731.9</v>
      </c>
      <c r="U33" s="19" t="n">
        <f>3864</f>
        <v>3864.0</v>
      </c>
      <c r="V33" s="19"/>
      <c r="W33" s="23"/>
      <c r="X33" s="19" t="n">
        <f>12640041000</f>
        <v>1.2640041E10</v>
      </c>
      <c r="Y33" s="19"/>
      <c r="Z33" s="23"/>
      <c r="AA33" s="16"/>
      <c r="AB33" s="20" t="n">
        <f>1066</f>
        <v>1066.0</v>
      </c>
      <c r="AC33" s="21" t="n">
        <f>21</f>
        <v>21.0</v>
      </c>
    </row>
    <row r="34">
      <c r="A34" s="13" t="s">
        <v>46</v>
      </c>
      <c r="B34" s="14" t="s">
        <v>165</v>
      </c>
      <c r="C34" s="14" t="s">
        <v>166</v>
      </c>
      <c r="D34" s="22"/>
      <c r="E34" s="14" t="s">
        <v>91</v>
      </c>
      <c r="F34" s="15" t="s">
        <v>137</v>
      </c>
      <c r="G34" s="15" t="s">
        <v>92</v>
      </c>
      <c r="H34" s="16" t="s">
        <v>51</v>
      </c>
      <c r="I34" s="17" t="s">
        <v>204</v>
      </c>
      <c r="J34" s="16" t="s">
        <v>65</v>
      </c>
      <c r="K34" s="17" t="s">
        <v>205</v>
      </c>
      <c r="L34" s="16"/>
      <c r="M34" s="17"/>
      <c r="N34" s="16" t="s">
        <v>68</v>
      </c>
      <c r="O34" s="17" t="s">
        <v>206</v>
      </c>
      <c r="P34" s="16"/>
      <c r="Q34" s="17"/>
      <c r="R34" s="16" t="s">
        <v>72</v>
      </c>
      <c r="S34" s="17" t="s">
        <v>207</v>
      </c>
      <c r="T34" s="18" t="n">
        <f>32500.95</f>
        <v>32500.95</v>
      </c>
      <c r="U34" s="19" t="n">
        <f>9926</f>
        <v>9926.0</v>
      </c>
      <c r="V34" s="19"/>
      <c r="W34" s="23"/>
      <c r="X34" s="19" t="n">
        <f>32217884000</f>
        <v>3.2217884E10</v>
      </c>
      <c r="Y34" s="19"/>
      <c r="Z34" s="23"/>
      <c r="AA34" s="16"/>
      <c r="AB34" s="20" t="n">
        <f>2384</f>
        <v>2384.0</v>
      </c>
      <c r="AC34" s="21" t="n">
        <f>21</f>
        <v>21.0</v>
      </c>
    </row>
    <row r="35">
      <c r="A35" s="13" t="s">
        <v>46</v>
      </c>
      <c r="B35" s="14" t="s">
        <v>165</v>
      </c>
      <c r="C35" s="14" t="s">
        <v>166</v>
      </c>
      <c r="D35" s="22"/>
      <c r="E35" s="14" t="s">
        <v>100</v>
      </c>
      <c r="F35" s="15" t="s">
        <v>101</v>
      </c>
      <c r="G35" s="15" t="s">
        <v>102</v>
      </c>
      <c r="H35" s="16" t="s">
        <v>51</v>
      </c>
      <c r="I35" s="17" t="s">
        <v>208</v>
      </c>
      <c r="J35" s="16" t="s">
        <v>65</v>
      </c>
      <c r="K35" s="17" t="s">
        <v>76</v>
      </c>
      <c r="L35" s="16"/>
      <c r="M35" s="17"/>
      <c r="N35" s="16" t="s">
        <v>68</v>
      </c>
      <c r="O35" s="17" t="s">
        <v>209</v>
      </c>
      <c r="P35" s="16"/>
      <c r="Q35" s="17"/>
      <c r="R35" s="16" t="s">
        <v>72</v>
      </c>
      <c r="S35" s="17" t="s">
        <v>111</v>
      </c>
      <c r="T35" s="18" t="n">
        <f>32457.14</f>
        <v>32457.14</v>
      </c>
      <c r="U35" s="19" t="n">
        <f>524</f>
        <v>524.0</v>
      </c>
      <c r="V35" s="19"/>
      <c r="W35" s="23"/>
      <c r="X35" s="19" t="n">
        <f>1703260000</f>
        <v>1.70326E9</v>
      </c>
      <c r="Y35" s="19"/>
      <c r="Z35" s="23"/>
      <c r="AA35" s="16"/>
      <c r="AB35" s="20" t="n">
        <f>190</f>
        <v>190.0</v>
      </c>
      <c r="AC35" s="21" t="n">
        <f>21</f>
        <v>21.0</v>
      </c>
    </row>
    <row r="36">
      <c r="A36" s="13" t="s">
        <v>46</v>
      </c>
      <c r="B36" s="14" t="s">
        <v>165</v>
      </c>
      <c r="C36" s="14" t="s">
        <v>166</v>
      </c>
      <c r="D36" s="22"/>
      <c r="E36" s="14" t="s">
        <v>109</v>
      </c>
      <c r="F36" s="15" t="s">
        <v>140</v>
      </c>
      <c r="G36" s="15" t="s">
        <v>110</v>
      </c>
      <c r="H36" s="16" t="s">
        <v>51</v>
      </c>
      <c r="I36" s="17" t="s">
        <v>210</v>
      </c>
      <c r="J36" s="16" t="s">
        <v>65</v>
      </c>
      <c r="K36" s="17" t="s">
        <v>99</v>
      </c>
      <c r="L36" s="16"/>
      <c r="M36" s="17"/>
      <c r="N36" s="16" t="s">
        <v>68</v>
      </c>
      <c r="O36" s="17" t="s">
        <v>211</v>
      </c>
      <c r="P36" s="16"/>
      <c r="Q36" s="17"/>
      <c r="R36" s="16" t="s">
        <v>72</v>
      </c>
      <c r="S36" s="17" t="s">
        <v>212</v>
      </c>
      <c r="T36" s="18" t="n">
        <f>32219.52</f>
        <v>32219.52</v>
      </c>
      <c r="U36" s="19" t="n">
        <f>205</f>
        <v>205.0</v>
      </c>
      <c r="V36" s="19"/>
      <c r="W36" s="23"/>
      <c r="X36" s="19" t="n">
        <f>662139000</f>
        <v>6.62139E8</v>
      </c>
      <c r="Y36" s="19"/>
      <c r="Z36" s="23"/>
      <c r="AA36" s="16"/>
      <c r="AB36" s="20" t="n">
        <f>509</f>
        <v>509.0</v>
      </c>
      <c r="AC36" s="21" t="n">
        <f>20</f>
        <v>20.0</v>
      </c>
    </row>
    <row r="37">
      <c r="A37" s="13" t="s">
        <v>46</v>
      </c>
      <c r="B37" s="14" t="s">
        <v>165</v>
      </c>
      <c r="C37" s="14" t="s">
        <v>166</v>
      </c>
      <c r="D37" s="22"/>
      <c r="E37" s="14" t="s">
        <v>115</v>
      </c>
      <c r="F37" s="15" t="s">
        <v>144</v>
      </c>
      <c r="G37" s="15" t="s">
        <v>116</v>
      </c>
      <c r="H37" s="16" t="s">
        <v>51</v>
      </c>
      <c r="I37" s="17" t="s">
        <v>213</v>
      </c>
      <c r="J37" s="16" t="s">
        <v>65</v>
      </c>
      <c r="K37" s="17" t="s">
        <v>214</v>
      </c>
      <c r="L37" s="16"/>
      <c r="M37" s="17"/>
      <c r="N37" s="16" t="s">
        <v>68</v>
      </c>
      <c r="O37" s="17" t="s">
        <v>215</v>
      </c>
      <c r="P37" s="16"/>
      <c r="Q37" s="17"/>
      <c r="R37" s="16" t="s">
        <v>72</v>
      </c>
      <c r="S37" s="17" t="s">
        <v>216</v>
      </c>
      <c r="T37" s="18" t="n">
        <f>31991.9</f>
        <v>31991.9</v>
      </c>
      <c r="U37" s="19" t="n">
        <f>1666</f>
        <v>1666.0</v>
      </c>
      <c r="V37" s="19"/>
      <c r="W37" s="23"/>
      <c r="X37" s="19" t="n">
        <f>5334279000</f>
        <v>5.334279E9</v>
      </c>
      <c r="Y37" s="19"/>
      <c r="Z37" s="23"/>
      <c r="AA37" s="16"/>
      <c r="AB37" s="20" t="n">
        <f>892</f>
        <v>892.0</v>
      </c>
      <c r="AC37" s="21" t="n">
        <f>21</f>
        <v>21.0</v>
      </c>
    </row>
    <row r="38">
      <c r="A38" s="13" t="s">
        <v>46</v>
      </c>
      <c r="B38" s="14" t="s">
        <v>165</v>
      </c>
      <c r="C38" s="14" t="s">
        <v>166</v>
      </c>
      <c r="D38" s="22"/>
      <c r="E38" s="14" t="s">
        <v>123</v>
      </c>
      <c r="F38" s="15" t="s">
        <v>148</v>
      </c>
      <c r="G38" s="15" t="s">
        <v>124</v>
      </c>
      <c r="H38" s="16" t="s">
        <v>93</v>
      </c>
      <c r="I38" s="17" t="s">
        <v>217</v>
      </c>
      <c r="J38" s="16" t="s">
        <v>65</v>
      </c>
      <c r="K38" s="17" t="s">
        <v>104</v>
      </c>
      <c r="L38" s="16"/>
      <c r="M38" s="17"/>
      <c r="N38" s="16" t="s">
        <v>68</v>
      </c>
      <c r="O38" s="17" t="s">
        <v>218</v>
      </c>
      <c r="P38" s="16"/>
      <c r="Q38" s="17"/>
      <c r="R38" s="16" t="s">
        <v>72</v>
      </c>
      <c r="S38" s="17" t="s">
        <v>219</v>
      </c>
      <c r="T38" s="18" t="n">
        <f>31747.62</f>
        <v>31747.62</v>
      </c>
      <c r="U38" s="19" t="n">
        <f>63</f>
        <v>63.0</v>
      </c>
      <c r="V38" s="19"/>
      <c r="W38" s="23"/>
      <c r="X38" s="19" t="n">
        <f>200047000</f>
        <v>2.00047E8</v>
      </c>
      <c r="Y38" s="19"/>
      <c r="Z38" s="23"/>
      <c r="AA38" s="16"/>
      <c r="AB38" s="20" t="n">
        <f>217</f>
        <v>217.0</v>
      </c>
      <c r="AC38" s="21" t="n">
        <f>14</f>
        <v>14.0</v>
      </c>
    </row>
    <row r="39">
      <c r="A39" s="13" t="s">
        <v>46</v>
      </c>
      <c r="B39" s="14" t="s">
        <v>165</v>
      </c>
      <c r="C39" s="14" t="s">
        <v>166</v>
      </c>
      <c r="D39" s="22"/>
      <c r="E39" s="14" t="s">
        <v>127</v>
      </c>
      <c r="F39" s="15" t="s">
        <v>151</v>
      </c>
      <c r="G39" s="15" t="s">
        <v>129</v>
      </c>
      <c r="H39" s="16" t="s">
        <v>51</v>
      </c>
      <c r="I39" s="17" t="s">
        <v>220</v>
      </c>
      <c r="J39" s="16" t="s">
        <v>107</v>
      </c>
      <c r="K39" s="17" t="s">
        <v>221</v>
      </c>
      <c r="L39" s="16"/>
      <c r="M39" s="17"/>
      <c r="N39" s="16" t="s">
        <v>88</v>
      </c>
      <c r="O39" s="17" t="s">
        <v>222</v>
      </c>
      <c r="P39" s="16"/>
      <c r="Q39" s="17"/>
      <c r="R39" s="16" t="s">
        <v>72</v>
      </c>
      <c r="S39" s="17" t="s">
        <v>223</v>
      </c>
      <c r="T39" s="18" t="n">
        <f>31554.29</f>
        <v>31554.29</v>
      </c>
      <c r="U39" s="19" t="n">
        <f>116</f>
        <v>116.0</v>
      </c>
      <c r="V39" s="19"/>
      <c r="W39" s="23"/>
      <c r="X39" s="19" t="n">
        <f>366380500</f>
        <v>3.663805E8</v>
      </c>
      <c r="Y39" s="19"/>
      <c r="Z39" s="23"/>
      <c r="AA39" s="16"/>
      <c r="AB39" s="20" t="n">
        <f>253</f>
        <v>253.0</v>
      </c>
      <c r="AC39" s="21" t="n">
        <f>19</f>
        <v>19.0</v>
      </c>
    </row>
    <row r="40">
      <c r="A40" s="13" t="s">
        <v>46</v>
      </c>
      <c r="B40" s="14" t="s">
        <v>165</v>
      </c>
      <c r="C40" s="14" t="s">
        <v>166</v>
      </c>
      <c r="D40" s="22"/>
      <c r="E40" s="14" t="s">
        <v>133</v>
      </c>
      <c r="F40" s="15" t="s">
        <v>154</v>
      </c>
      <c r="G40" s="15" t="s">
        <v>135</v>
      </c>
      <c r="H40" s="16" t="s">
        <v>93</v>
      </c>
      <c r="I40" s="17" t="s">
        <v>224</v>
      </c>
      <c r="J40" s="16" t="s">
        <v>65</v>
      </c>
      <c r="K40" s="17" t="s">
        <v>225</v>
      </c>
      <c r="L40" s="16"/>
      <c r="M40" s="17"/>
      <c r="N40" s="16" t="s">
        <v>68</v>
      </c>
      <c r="O40" s="17" t="s">
        <v>226</v>
      </c>
      <c r="P40" s="16"/>
      <c r="Q40" s="17"/>
      <c r="R40" s="16" t="s">
        <v>65</v>
      </c>
      <c r="S40" s="17" t="s">
        <v>225</v>
      </c>
      <c r="T40" s="18" t="n">
        <f>31362.86</f>
        <v>31362.86</v>
      </c>
      <c r="U40" s="19" t="n">
        <f>15</f>
        <v>15.0</v>
      </c>
      <c r="V40" s="19"/>
      <c r="W40" s="23"/>
      <c r="X40" s="19" t="n">
        <f>46768000</f>
        <v>4.6768E7</v>
      </c>
      <c r="Y40" s="19"/>
      <c r="Z40" s="23"/>
      <c r="AA40" s="16"/>
      <c r="AB40" s="20" t="n">
        <f>156</f>
        <v>156.0</v>
      </c>
      <c r="AC40" s="21" t="n">
        <f>7</f>
        <v>7.0</v>
      </c>
    </row>
    <row r="41">
      <c r="A41" s="13" t="s">
        <v>46</v>
      </c>
      <c r="B41" s="14" t="s">
        <v>165</v>
      </c>
      <c r="C41" s="14" t="s">
        <v>166</v>
      </c>
      <c r="D41" s="22"/>
      <c r="E41" s="14" t="s">
        <v>136</v>
      </c>
      <c r="F41" s="15" t="s">
        <v>157</v>
      </c>
      <c r="G41" s="15" t="s">
        <v>138</v>
      </c>
      <c r="H41" s="16" t="s">
        <v>93</v>
      </c>
      <c r="I41" s="17" t="s">
        <v>227</v>
      </c>
      <c r="J41" s="16" t="s">
        <v>93</v>
      </c>
      <c r="K41" s="17" t="s">
        <v>227</v>
      </c>
      <c r="L41" s="16"/>
      <c r="M41" s="17"/>
      <c r="N41" s="16" t="s">
        <v>68</v>
      </c>
      <c r="O41" s="17" t="s">
        <v>228</v>
      </c>
      <c r="P41" s="16"/>
      <c r="Q41" s="17"/>
      <c r="R41" s="16" t="s">
        <v>72</v>
      </c>
      <c r="S41" s="17" t="s">
        <v>229</v>
      </c>
      <c r="T41" s="18" t="n">
        <f>31164.29</f>
        <v>31164.29</v>
      </c>
      <c r="U41" s="19" t="n">
        <f>72</f>
        <v>72.0</v>
      </c>
      <c r="V41" s="19"/>
      <c r="W41" s="23"/>
      <c r="X41" s="19" t="n">
        <f>224127500</f>
        <v>2.241275E8</v>
      </c>
      <c r="Y41" s="19"/>
      <c r="Z41" s="23"/>
      <c r="AA41" s="16"/>
      <c r="AB41" s="20" t="n">
        <f>436</f>
        <v>436.0</v>
      </c>
      <c r="AC41" s="21" t="n">
        <f>18</f>
        <v>18.0</v>
      </c>
    </row>
    <row r="42">
      <c r="A42" s="13" t="s">
        <v>46</v>
      </c>
      <c r="B42" s="14" t="s">
        <v>165</v>
      </c>
      <c r="C42" s="14" t="s">
        <v>166</v>
      </c>
      <c r="D42" s="22"/>
      <c r="E42" s="14" t="s">
        <v>139</v>
      </c>
      <c r="F42" s="15" t="s">
        <v>160</v>
      </c>
      <c r="G42" s="15" t="s">
        <v>141</v>
      </c>
      <c r="H42" s="16" t="s">
        <v>93</v>
      </c>
      <c r="I42" s="17" t="s">
        <v>230</v>
      </c>
      <c r="J42" s="16" t="s">
        <v>231</v>
      </c>
      <c r="K42" s="17" t="s">
        <v>232</v>
      </c>
      <c r="L42" s="16"/>
      <c r="M42" s="17"/>
      <c r="N42" s="16" t="s">
        <v>233</v>
      </c>
      <c r="O42" s="17" t="s">
        <v>234</v>
      </c>
      <c r="P42" s="16"/>
      <c r="Q42" s="17"/>
      <c r="R42" s="16" t="s">
        <v>235</v>
      </c>
      <c r="S42" s="17" t="s">
        <v>236</v>
      </c>
      <c r="T42" s="18" t="n">
        <f>31000.48</f>
        <v>31000.48</v>
      </c>
      <c r="U42" s="19" t="n">
        <f>29</f>
        <v>29.0</v>
      </c>
      <c r="V42" s="19"/>
      <c r="W42" s="23"/>
      <c r="X42" s="19" t="n">
        <f>89744500</f>
        <v>8.97445E7</v>
      </c>
      <c r="Y42" s="19"/>
      <c r="Z42" s="23"/>
      <c r="AA42" s="16"/>
      <c r="AB42" s="20" t="n">
        <f>106</f>
        <v>106.0</v>
      </c>
      <c r="AC42" s="21" t="n">
        <f>11</f>
        <v>11.0</v>
      </c>
    </row>
    <row r="43">
      <c r="A43" s="13" t="s">
        <v>46</v>
      </c>
      <c r="B43" s="14" t="s">
        <v>165</v>
      </c>
      <c r="C43" s="14" t="s">
        <v>166</v>
      </c>
      <c r="D43" s="22"/>
      <c r="E43" s="14" t="s">
        <v>143</v>
      </c>
      <c r="F43" s="15" t="s">
        <v>163</v>
      </c>
      <c r="G43" s="15" t="s">
        <v>145</v>
      </c>
      <c r="H43" s="16" t="s">
        <v>68</v>
      </c>
      <c r="I43" s="17" t="s">
        <v>237</v>
      </c>
      <c r="J43" s="16" t="s">
        <v>72</v>
      </c>
      <c r="K43" s="17" t="s">
        <v>238</v>
      </c>
      <c r="L43" s="16"/>
      <c r="M43" s="17"/>
      <c r="N43" s="16" t="s">
        <v>68</v>
      </c>
      <c r="O43" s="17" t="s">
        <v>237</v>
      </c>
      <c r="P43" s="16"/>
      <c r="Q43" s="17"/>
      <c r="R43" s="16" t="s">
        <v>72</v>
      </c>
      <c r="S43" s="17" t="s">
        <v>238</v>
      </c>
      <c r="T43" s="18" t="n">
        <f>30821.25</f>
        <v>30821.25</v>
      </c>
      <c r="U43" s="19" t="n">
        <f>19</f>
        <v>19.0</v>
      </c>
      <c r="V43" s="19"/>
      <c r="W43" s="23"/>
      <c r="X43" s="19" t="n">
        <f>58419000</f>
        <v>5.8419E7</v>
      </c>
      <c r="Y43" s="19"/>
      <c r="Z43" s="23"/>
      <c r="AA43" s="16"/>
      <c r="AB43" s="20" t="n">
        <f>13</f>
        <v>13.0</v>
      </c>
      <c r="AC43" s="21" t="n">
        <f>8</f>
        <v>8.0</v>
      </c>
    </row>
    <row r="44">
      <c r="A44" s="13" t="s">
        <v>46</v>
      </c>
      <c r="B44" s="14" t="s">
        <v>239</v>
      </c>
      <c r="C44" s="14" t="s">
        <v>240</v>
      </c>
      <c r="D44" s="22"/>
      <c r="E44" s="14" t="s">
        <v>46</v>
      </c>
      <c r="F44" s="15" t="s">
        <v>160</v>
      </c>
      <c r="G44" s="15" t="s">
        <v>50</v>
      </c>
      <c r="H44" s="16" t="s">
        <v>51</v>
      </c>
      <c r="I44" s="17" t="s">
        <v>52</v>
      </c>
      <c r="J44" s="16" t="s">
        <v>51</v>
      </c>
      <c r="K44" s="17" t="s">
        <v>167</v>
      </c>
      <c r="L44" s="16"/>
      <c r="M44" s="17"/>
      <c r="N44" s="16" t="s">
        <v>55</v>
      </c>
      <c r="O44" s="17" t="s">
        <v>118</v>
      </c>
      <c r="P44" s="16"/>
      <c r="Q44" s="17"/>
      <c r="R44" s="16" t="s">
        <v>58</v>
      </c>
      <c r="S44" s="17" t="s">
        <v>241</v>
      </c>
      <c r="T44" s="18" t="n">
        <f>33164</f>
        <v>33164.0</v>
      </c>
      <c r="U44" s="19" t="n">
        <f>725744</f>
        <v>725744.0</v>
      </c>
      <c r="V44" s="19"/>
      <c r="W44" s="23" t="n">
        <v>1.0</v>
      </c>
      <c r="X44" s="19" t="n">
        <f>240882486850</f>
        <v>2.4088248685E11</v>
      </c>
      <c r="Y44" s="19"/>
      <c r="Z44" s="23" t="n">
        <v>330300.0</v>
      </c>
      <c r="AA44" s="16" t="s">
        <v>60</v>
      </c>
      <c r="AB44" s="20" t="n">
        <f>38414</f>
        <v>38414.0</v>
      </c>
      <c r="AC44" s="21" t="n">
        <f>5</f>
        <v>5.0</v>
      </c>
    </row>
    <row r="45">
      <c r="A45" s="13" t="s">
        <v>46</v>
      </c>
      <c r="B45" s="14" t="s">
        <v>239</v>
      </c>
      <c r="C45" s="14" t="s">
        <v>240</v>
      </c>
      <c r="D45" s="22"/>
      <c r="E45" s="14" t="s">
        <v>172</v>
      </c>
      <c r="F45" s="15" t="s">
        <v>181</v>
      </c>
      <c r="G45" s="15" t="s">
        <v>174</v>
      </c>
      <c r="H45" s="16" t="s">
        <v>51</v>
      </c>
      <c r="I45" s="17" t="s">
        <v>242</v>
      </c>
      <c r="J45" s="16" t="s">
        <v>65</v>
      </c>
      <c r="K45" s="17" t="s">
        <v>176</v>
      </c>
      <c r="L45" s="16"/>
      <c r="M45" s="17"/>
      <c r="N45" s="16" t="s">
        <v>68</v>
      </c>
      <c r="O45" s="17" t="s">
        <v>243</v>
      </c>
      <c r="P45" s="16"/>
      <c r="Q45" s="17"/>
      <c r="R45" s="16" t="s">
        <v>72</v>
      </c>
      <c r="S45" s="17" t="s">
        <v>242</v>
      </c>
      <c r="T45" s="18" t="n">
        <f>33057.14</f>
        <v>33057.14</v>
      </c>
      <c r="U45" s="19" t="n">
        <f>211798</f>
        <v>211798.0</v>
      </c>
      <c r="V45" s="19"/>
      <c r="W45" s="23" t="n">
        <v>2.0</v>
      </c>
      <c r="X45" s="19" t="n">
        <f>69814729950</f>
        <v>6.981472995E10</v>
      </c>
      <c r="Y45" s="19"/>
      <c r="Z45" s="23" t="n">
        <v>657550.0</v>
      </c>
      <c r="AA45" s="16"/>
      <c r="AB45" s="20" t="n">
        <f>1915</f>
        <v>1915.0</v>
      </c>
      <c r="AC45" s="21" t="n">
        <f>21</f>
        <v>21.0</v>
      </c>
    </row>
    <row r="46">
      <c r="A46" s="13" t="s">
        <v>46</v>
      </c>
      <c r="B46" s="14" t="s">
        <v>239</v>
      </c>
      <c r="C46" s="14" t="s">
        <v>240</v>
      </c>
      <c r="D46" s="22"/>
      <c r="E46" s="14" t="s">
        <v>180</v>
      </c>
      <c r="F46" s="15" t="s">
        <v>195</v>
      </c>
      <c r="G46" s="15" t="s">
        <v>182</v>
      </c>
      <c r="H46" s="16" t="s">
        <v>51</v>
      </c>
      <c r="I46" s="17" t="s">
        <v>244</v>
      </c>
      <c r="J46" s="16" t="s">
        <v>65</v>
      </c>
      <c r="K46" s="17" t="s">
        <v>245</v>
      </c>
      <c r="L46" s="16"/>
      <c r="M46" s="17"/>
      <c r="N46" s="16" t="s">
        <v>68</v>
      </c>
      <c r="O46" s="17" t="s">
        <v>186</v>
      </c>
      <c r="P46" s="16"/>
      <c r="Q46" s="17"/>
      <c r="R46" s="16" t="s">
        <v>72</v>
      </c>
      <c r="S46" s="17" t="s">
        <v>246</v>
      </c>
      <c r="T46" s="18" t="n">
        <f>33052.86</f>
        <v>33052.86</v>
      </c>
      <c r="U46" s="19" t="n">
        <f>5524</f>
        <v>5524.0</v>
      </c>
      <c r="V46" s="19"/>
      <c r="W46" s="23"/>
      <c r="X46" s="19" t="n">
        <f>1821008150</f>
        <v>1.82100815E9</v>
      </c>
      <c r="Y46" s="19"/>
      <c r="Z46" s="23"/>
      <c r="AA46" s="16"/>
      <c r="AB46" s="20" t="n">
        <f>529</f>
        <v>529.0</v>
      </c>
      <c r="AC46" s="21" t="n">
        <f>21</f>
        <v>21.0</v>
      </c>
    </row>
    <row r="47">
      <c r="A47" s="13" t="s">
        <v>46</v>
      </c>
      <c r="B47" s="14" t="s">
        <v>239</v>
      </c>
      <c r="C47" s="14" t="s">
        <v>240</v>
      </c>
      <c r="D47" s="22"/>
      <c r="E47" s="14" t="s">
        <v>61</v>
      </c>
      <c r="F47" s="15" t="s">
        <v>101</v>
      </c>
      <c r="G47" s="15" t="s">
        <v>63</v>
      </c>
      <c r="H47" s="16" t="s">
        <v>51</v>
      </c>
      <c r="I47" s="17" t="s">
        <v>64</v>
      </c>
      <c r="J47" s="16" t="s">
        <v>65</v>
      </c>
      <c r="K47" s="17" t="s">
        <v>190</v>
      </c>
      <c r="L47" s="16"/>
      <c r="M47" s="17"/>
      <c r="N47" s="16" t="s">
        <v>68</v>
      </c>
      <c r="O47" s="17" t="s">
        <v>247</v>
      </c>
      <c r="P47" s="16"/>
      <c r="Q47" s="17"/>
      <c r="R47" s="16" t="s">
        <v>72</v>
      </c>
      <c r="S47" s="17" t="s">
        <v>64</v>
      </c>
      <c r="T47" s="18" t="n">
        <f>33037.62</f>
        <v>33037.62</v>
      </c>
      <c r="U47" s="19" t="n">
        <f>2670475</f>
        <v>2670475.0</v>
      </c>
      <c r="V47" s="19"/>
      <c r="W47" s="23" t="n">
        <v>3.0</v>
      </c>
      <c r="X47" s="19" t="n">
        <f>880306899300</f>
        <v>8.803068993E11</v>
      </c>
      <c r="Y47" s="19"/>
      <c r="Z47" s="23" t="n">
        <v>986750.0</v>
      </c>
      <c r="AA47" s="16"/>
      <c r="AB47" s="20" t="n">
        <f>19813</f>
        <v>19813.0</v>
      </c>
      <c r="AC47" s="21" t="n">
        <f>21</f>
        <v>21.0</v>
      </c>
    </row>
    <row r="48">
      <c r="A48" s="13" t="s">
        <v>46</v>
      </c>
      <c r="B48" s="14" t="s">
        <v>239</v>
      </c>
      <c r="C48" s="14" t="s">
        <v>240</v>
      </c>
      <c r="D48" s="22"/>
      <c r="E48" s="14" t="s">
        <v>74</v>
      </c>
      <c r="F48" s="15" t="s">
        <v>163</v>
      </c>
      <c r="G48" s="15" t="s">
        <v>75</v>
      </c>
      <c r="H48" s="16" t="s">
        <v>68</v>
      </c>
      <c r="I48" s="17" t="s">
        <v>214</v>
      </c>
      <c r="J48" s="16" t="s">
        <v>65</v>
      </c>
      <c r="K48" s="17" t="s">
        <v>199</v>
      </c>
      <c r="L48" s="16"/>
      <c r="M48" s="17"/>
      <c r="N48" s="16" t="s">
        <v>68</v>
      </c>
      <c r="O48" s="17" t="s">
        <v>248</v>
      </c>
      <c r="P48" s="16"/>
      <c r="Q48" s="17"/>
      <c r="R48" s="16" t="s">
        <v>72</v>
      </c>
      <c r="S48" s="17" t="s">
        <v>249</v>
      </c>
      <c r="T48" s="18" t="n">
        <f>32768.75</f>
        <v>32768.75</v>
      </c>
      <c r="U48" s="19" t="n">
        <f>22255</f>
        <v>22255.0</v>
      </c>
      <c r="V48" s="19"/>
      <c r="W48" s="23"/>
      <c r="X48" s="19" t="n">
        <f>7300895250</f>
        <v>7.30089525E9</v>
      </c>
      <c r="Y48" s="19"/>
      <c r="Z48" s="23"/>
      <c r="AA48" s="16"/>
      <c r="AB48" s="20" t="n">
        <f>1045</f>
        <v>1045.0</v>
      </c>
      <c r="AC48" s="21" t="n">
        <f>16</f>
        <v>16.0</v>
      </c>
    </row>
    <row r="49">
      <c r="A49" s="13" t="s">
        <v>46</v>
      </c>
      <c r="B49" s="14" t="s">
        <v>250</v>
      </c>
      <c r="C49" s="14" t="s">
        <v>251</v>
      </c>
      <c r="D49" s="22"/>
      <c r="E49" s="14" t="s">
        <v>46</v>
      </c>
      <c r="F49" s="15" t="s">
        <v>62</v>
      </c>
      <c r="G49" s="15" t="s">
        <v>50</v>
      </c>
      <c r="H49" s="16" t="s">
        <v>51</v>
      </c>
      <c r="I49" s="17" t="s">
        <v>252</v>
      </c>
      <c r="J49" s="16" t="s">
        <v>55</v>
      </c>
      <c r="K49" s="17" t="s">
        <v>253</v>
      </c>
      <c r="L49" s="16" t="s">
        <v>55</v>
      </c>
      <c r="M49" s="17" t="s">
        <v>254</v>
      </c>
      <c r="N49" s="16" t="s">
        <v>55</v>
      </c>
      <c r="O49" s="17" t="s">
        <v>255</v>
      </c>
      <c r="P49" s="16" t="s">
        <v>93</v>
      </c>
      <c r="Q49" s="17" t="s">
        <v>256</v>
      </c>
      <c r="R49" s="16" t="s">
        <v>58</v>
      </c>
      <c r="S49" s="17" t="s">
        <v>257</v>
      </c>
      <c r="T49" s="18" t="n">
        <f>2367</f>
        <v>2367.0</v>
      </c>
      <c r="U49" s="19" t="n">
        <f>1263107</f>
        <v>1263107.0</v>
      </c>
      <c r="V49" s="19" t="n">
        <v>555665.0</v>
      </c>
      <c r="W49" s="23" t="n">
        <v>461753.0</v>
      </c>
      <c r="X49" s="19" t="n">
        <f>29811882929191</f>
        <v>2.9811882929191E13</v>
      </c>
      <c r="Y49" s="19" t="n">
        <v>1.3102799739191E13</v>
      </c>
      <c r="Z49" s="23" t="n">
        <v>1.0896525405E13</v>
      </c>
      <c r="AA49" s="16" t="s">
        <v>60</v>
      </c>
      <c r="AB49" s="20" t="n">
        <f>116999</f>
        <v>116999.0</v>
      </c>
      <c r="AC49" s="21" t="n">
        <f>5</f>
        <v>5.0</v>
      </c>
    </row>
    <row r="50">
      <c r="A50" s="13" t="s">
        <v>46</v>
      </c>
      <c r="B50" s="14" t="s">
        <v>250</v>
      </c>
      <c r="C50" s="14" t="s">
        <v>251</v>
      </c>
      <c r="D50" s="22"/>
      <c r="E50" s="14" t="s">
        <v>61</v>
      </c>
      <c r="F50" s="15" t="s">
        <v>157</v>
      </c>
      <c r="G50" s="15" t="s">
        <v>63</v>
      </c>
      <c r="H50" s="16" t="s">
        <v>51</v>
      </c>
      <c r="I50" s="17" t="s">
        <v>258</v>
      </c>
      <c r="J50" s="16" t="s">
        <v>55</v>
      </c>
      <c r="K50" s="17" t="s">
        <v>259</v>
      </c>
      <c r="L50" s="16" t="s">
        <v>55</v>
      </c>
      <c r="M50" s="17" t="s">
        <v>260</v>
      </c>
      <c r="N50" s="16" t="s">
        <v>70</v>
      </c>
      <c r="O50" s="17" t="s">
        <v>261</v>
      </c>
      <c r="P50" s="16" t="s">
        <v>70</v>
      </c>
      <c r="Q50" s="17" t="s">
        <v>262</v>
      </c>
      <c r="R50" s="16" t="s">
        <v>72</v>
      </c>
      <c r="S50" s="17" t="s">
        <v>263</v>
      </c>
      <c r="T50" s="18" t="n">
        <f>2344.55</f>
        <v>2344.55</v>
      </c>
      <c r="U50" s="19" t="n">
        <f>2150590</f>
        <v>2150590.0</v>
      </c>
      <c r="V50" s="19" t="n">
        <v>653853.0</v>
      </c>
      <c r="W50" s="23" t="n">
        <v>461753.0</v>
      </c>
      <c r="X50" s="19" t="n">
        <f>50458783638764</f>
        <v>5.0458783638764E13</v>
      </c>
      <c r="Y50" s="19" t="n">
        <v>1.5363717966764E13</v>
      </c>
      <c r="Z50" s="23" t="n">
        <v>1.0878237382E13</v>
      </c>
      <c r="AA50" s="16"/>
      <c r="AB50" s="20" t="n">
        <f>514829</f>
        <v>514829.0</v>
      </c>
      <c r="AC50" s="21" t="n">
        <f>21</f>
        <v>21.0</v>
      </c>
    </row>
    <row r="51">
      <c r="A51" s="13" t="s">
        <v>46</v>
      </c>
      <c r="B51" s="14" t="s">
        <v>250</v>
      </c>
      <c r="C51" s="14" t="s">
        <v>251</v>
      </c>
      <c r="D51" s="22"/>
      <c r="E51" s="14" t="s">
        <v>74</v>
      </c>
      <c r="F51" s="15" t="s">
        <v>82</v>
      </c>
      <c r="G51" s="15" t="s">
        <v>75</v>
      </c>
      <c r="H51" s="16" t="s">
        <v>68</v>
      </c>
      <c r="I51" s="17" t="s">
        <v>264</v>
      </c>
      <c r="J51" s="16" t="s">
        <v>65</v>
      </c>
      <c r="K51" s="17" t="s">
        <v>265</v>
      </c>
      <c r="L51" s="16" t="s">
        <v>233</v>
      </c>
      <c r="M51" s="17" t="s">
        <v>266</v>
      </c>
      <c r="N51" s="16" t="s">
        <v>68</v>
      </c>
      <c r="O51" s="17" t="s">
        <v>267</v>
      </c>
      <c r="P51" s="16" t="s">
        <v>233</v>
      </c>
      <c r="Q51" s="17" t="s">
        <v>266</v>
      </c>
      <c r="R51" s="16" t="s">
        <v>65</v>
      </c>
      <c r="S51" s="17" t="s">
        <v>265</v>
      </c>
      <c r="T51" s="18" t="n">
        <f>2321.05</f>
        <v>2321.05</v>
      </c>
      <c r="U51" s="19" t="n">
        <f>208</f>
        <v>208.0</v>
      </c>
      <c r="V51" s="19" t="n">
        <v>200.0</v>
      </c>
      <c r="W51" s="23"/>
      <c r="X51" s="19" t="n">
        <f>4785880000</f>
        <v>4.78588E9</v>
      </c>
      <c r="Y51" s="19" t="n">
        <v>4.6013E9</v>
      </c>
      <c r="Z51" s="23"/>
      <c r="AA51" s="16"/>
      <c r="AB51" s="20" t="n">
        <f>401</f>
        <v>401.0</v>
      </c>
      <c r="AC51" s="21" t="n">
        <f>4</f>
        <v>4.0</v>
      </c>
    </row>
    <row r="52">
      <c r="A52" s="13" t="s">
        <v>46</v>
      </c>
      <c r="B52" s="14" t="s">
        <v>250</v>
      </c>
      <c r="C52" s="14" t="s">
        <v>251</v>
      </c>
      <c r="D52" s="22"/>
      <c r="E52" s="14" t="s">
        <v>81</v>
      </c>
      <c r="F52" s="15" t="s">
        <v>160</v>
      </c>
      <c r="G52" s="15" t="s">
        <v>83</v>
      </c>
      <c r="H52" s="16"/>
      <c r="I52" s="17" t="s">
        <v>130</v>
      </c>
      <c r="J52" s="16"/>
      <c r="K52" s="17" t="s">
        <v>130</v>
      </c>
      <c r="L52" s="16"/>
      <c r="M52" s="17"/>
      <c r="N52" s="16"/>
      <c r="O52" s="17" t="s">
        <v>130</v>
      </c>
      <c r="P52" s="16"/>
      <c r="Q52" s="17"/>
      <c r="R52" s="16"/>
      <c r="S52" s="17" t="s">
        <v>130</v>
      </c>
      <c r="T52" s="18" t="n">
        <f>2319.76</f>
        <v>2319.76</v>
      </c>
      <c r="U52" s="19" t="str">
        <f>"－"</f>
        <v>－</v>
      </c>
      <c r="V52" s="19"/>
      <c r="W52" s="23"/>
      <c r="X52" s="19" t="str">
        <f>"－"</f>
        <v>－</v>
      </c>
      <c r="Y52" s="19"/>
      <c r="Z52" s="23"/>
      <c r="AA52" s="16"/>
      <c r="AB52" s="20" t="str">
        <f>"－"</f>
        <v>－</v>
      </c>
      <c r="AC52" s="21" t="str">
        <f>"－"</f>
        <v>－</v>
      </c>
    </row>
    <row r="53">
      <c r="A53" s="13" t="s">
        <v>46</v>
      </c>
      <c r="B53" s="14" t="s">
        <v>250</v>
      </c>
      <c r="C53" s="14" t="s">
        <v>251</v>
      </c>
      <c r="D53" s="22"/>
      <c r="E53" s="14" t="s">
        <v>91</v>
      </c>
      <c r="F53" s="15" t="s">
        <v>101</v>
      </c>
      <c r="G53" s="15" t="s">
        <v>92</v>
      </c>
      <c r="H53" s="16"/>
      <c r="I53" s="17" t="s">
        <v>130</v>
      </c>
      <c r="J53" s="16"/>
      <c r="K53" s="17" t="s">
        <v>130</v>
      </c>
      <c r="L53" s="16" t="s">
        <v>58</v>
      </c>
      <c r="M53" s="17" t="s">
        <v>268</v>
      </c>
      <c r="N53" s="16"/>
      <c r="O53" s="17" t="s">
        <v>130</v>
      </c>
      <c r="P53" s="16" t="s">
        <v>231</v>
      </c>
      <c r="Q53" s="17" t="s">
        <v>269</v>
      </c>
      <c r="R53" s="16"/>
      <c r="S53" s="17" t="s">
        <v>130</v>
      </c>
      <c r="T53" s="18" t="n">
        <f>2299.5</f>
        <v>2299.5</v>
      </c>
      <c r="U53" s="19" t="n">
        <f>2135</f>
        <v>2135.0</v>
      </c>
      <c r="V53" s="19" t="n">
        <v>2135.0</v>
      </c>
      <c r="W53" s="23"/>
      <c r="X53" s="19" t="n">
        <f>49261644000</f>
        <v>4.9261644E10</v>
      </c>
      <c r="Y53" s="19" t="n">
        <v>4.9261644E10</v>
      </c>
      <c r="Z53" s="23"/>
      <c r="AA53" s="16"/>
      <c r="AB53" s="20" t="n">
        <f>3128</f>
        <v>3128.0</v>
      </c>
      <c r="AC53" s="21" t="str">
        <f>"－"</f>
        <v>－</v>
      </c>
    </row>
    <row r="54">
      <c r="A54" s="13" t="s">
        <v>46</v>
      </c>
      <c r="B54" s="14" t="s">
        <v>250</v>
      </c>
      <c r="C54" s="14" t="s">
        <v>251</v>
      </c>
      <c r="D54" s="22"/>
      <c r="E54" s="14" t="s">
        <v>100</v>
      </c>
      <c r="F54" s="15" t="s">
        <v>163</v>
      </c>
      <c r="G54" s="15" t="s">
        <v>102</v>
      </c>
      <c r="H54" s="16"/>
      <c r="I54" s="17" t="s">
        <v>130</v>
      </c>
      <c r="J54" s="16"/>
      <c r="K54" s="17" t="s">
        <v>130</v>
      </c>
      <c r="L54" s="16"/>
      <c r="M54" s="17"/>
      <c r="N54" s="16"/>
      <c r="O54" s="17" t="s">
        <v>130</v>
      </c>
      <c r="P54" s="16"/>
      <c r="Q54" s="17"/>
      <c r="R54" s="16"/>
      <c r="S54" s="17" t="s">
        <v>130</v>
      </c>
      <c r="T54" s="18" t="n">
        <f>2290.84</f>
        <v>2290.84</v>
      </c>
      <c r="U54" s="19" t="str">
        <f>"－"</f>
        <v>－</v>
      </c>
      <c r="V54" s="19"/>
      <c r="W54" s="23"/>
      <c r="X54" s="19" t="str">
        <f>"－"</f>
        <v>－</v>
      </c>
      <c r="Y54" s="19"/>
      <c r="Z54" s="23"/>
      <c r="AA54" s="16"/>
      <c r="AB54" s="20" t="str">
        <f>"－"</f>
        <v>－</v>
      </c>
      <c r="AC54" s="21" t="str">
        <f>"－"</f>
        <v>－</v>
      </c>
    </row>
    <row r="55">
      <c r="A55" s="13" t="s">
        <v>46</v>
      </c>
      <c r="B55" s="14" t="s">
        <v>270</v>
      </c>
      <c r="C55" s="14" t="s">
        <v>271</v>
      </c>
      <c r="D55" s="22"/>
      <c r="E55" s="14" t="s">
        <v>46</v>
      </c>
      <c r="F55" s="15" t="s">
        <v>82</v>
      </c>
      <c r="G55" s="15" t="s">
        <v>50</v>
      </c>
      <c r="H55" s="16" t="s">
        <v>51</v>
      </c>
      <c r="I55" s="17" t="s">
        <v>272</v>
      </c>
      <c r="J55" s="16" t="s">
        <v>55</v>
      </c>
      <c r="K55" s="17" t="s">
        <v>273</v>
      </c>
      <c r="L55" s="16" t="s">
        <v>55</v>
      </c>
      <c r="M55" s="17" t="s">
        <v>274</v>
      </c>
      <c r="N55" s="16" t="s">
        <v>55</v>
      </c>
      <c r="O55" s="17" t="s">
        <v>275</v>
      </c>
      <c r="P55" s="16" t="s">
        <v>55</v>
      </c>
      <c r="Q55" s="17" t="s">
        <v>276</v>
      </c>
      <c r="R55" s="16" t="s">
        <v>58</v>
      </c>
      <c r="S55" s="17" t="s">
        <v>277</v>
      </c>
      <c r="T55" s="18" t="n">
        <f>2367</f>
        <v>2367.0</v>
      </c>
      <c r="U55" s="19" t="n">
        <f>114334</f>
        <v>114334.0</v>
      </c>
      <c r="V55" s="19" t="n">
        <v>21863.0</v>
      </c>
      <c r="W55" s="23" t="n">
        <v>14106.0</v>
      </c>
      <c r="X55" s="19" t="n">
        <f>270269897750</f>
        <v>2.7026989775E11</v>
      </c>
      <c r="Y55" s="19" t="n">
        <v>5.13989157E10</v>
      </c>
      <c r="Z55" s="23" t="n">
        <v>3.336012305E10</v>
      </c>
      <c r="AA55" s="16" t="s">
        <v>60</v>
      </c>
      <c r="AB55" s="20" t="n">
        <f>19862</f>
        <v>19862.0</v>
      </c>
      <c r="AC55" s="21" t="n">
        <f>5</f>
        <v>5.0</v>
      </c>
    </row>
    <row r="56">
      <c r="A56" s="13" t="s">
        <v>46</v>
      </c>
      <c r="B56" s="14" t="s">
        <v>270</v>
      </c>
      <c r="C56" s="14" t="s">
        <v>271</v>
      </c>
      <c r="D56" s="22"/>
      <c r="E56" s="14" t="s">
        <v>61</v>
      </c>
      <c r="F56" s="15" t="s">
        <v>160</v>
      </c>
      <c r="G56" s="15" t="s">
        <v>63</v>
      </c>
      <c r="H56" s="16" t="s">
        <v>51</v>
      </c>
      <c r="I56" s="17" t="s">
        <v>278</v>
      </c>
      <c r="J56" s="16" t="s">
        <v>58</v>
      </c>
      <c r="K56" s="17" t="s">
        <v>279</v>
      </c>
      <c r="L56" s="16" t="s">
        <v>55</v>
      </c>
      <c r="M56" s="17" t="s">
        <v>280</v>
      </c>
      <c r="N56" s="16" t="s">
        <v>70</v>
      </c>
      <c r="O56" s="17" t="s">
        <v>281</v>
      </c>
      <c r="P56" s="16" t="s">
        <v>70</v>
      </c>
      <c r="Q56" s="17" t="s">
        <v>282</v>
      </c>
      <c r="R56" s="16" t="s">
        <v>72</v>
      </c>
      <c r="S56" s="17" t="s">
        <v>283</v>
      </c>
      <c r="T56" s="18" t="n">
        <f>2344.55</f>
        <v>2344.55</v>
      </c>
      <c r="U56" s="19" t="n">
        <f>456370</f>
        <v>456370.0</v>
      </c>
      <c r="V56" s="19" t="n">
        <v>28536.0</v>
      </c>
      <c r="W56" s="23" t="n">
        <v>14106.0</v>
      </c>
      <c r="X56" s="19" t="n">
        <f>1067473316175</f>
        <v>1.067473316175E12</v>
      </c>
      <c r="Y56" s="19" t="n">
        <v>6.6897564025E10</v>
      </c>
      <c r="Z56" s="23" t="n">
        <v>3.33047679E10</v>
      </c>
      <c r="AA56" s="16"/>
      <c r="AB56" s="20" t="n">
        <f>29811</f>
        <v>29811.0</v>
      </c>
      <c r="AC56" s="21" t="n">
        <f>21</f>
        <v>21.0</v>
      </c>
    </row>
    <row r="57">
      <c r="A57" s="13" t="s">
        <v>46</v>
      </c>
      <c r="B57" s="14" t="s">
        <v>270</v>
      </c>
      <c r="C57" s="14" t="s">
        <v>271</v>
      </c>
      <c r="D57" s="22"/>
      <c r="E57" s="14" t="s">
        <v>74</v>
      </c>
      <c r="F57" s="15" t="s">
        <v>101</v>
      </c>
      <c r="G57" s="15" t="s">
        <v>75</v>
      </c>
      <c r="H57" s="16" t="s">
        <v>103</v>
      </c>
      <c r="I57" s="17" t="s">
        <v>284</v>
      </c>
      <c r="J57" s="16" t="s">
        <v>65</v>
      </c>
      <c r="K57" s="17" t="s">
        <v>285</v>
      </c>
      <c r="L57" s="16"/>
      <c r="M57" s="17"/>
      <c r="N57" s="16" t="s">
        <v>70</v>
      </c>
      <c r="O57" s="17" t="s">
        <v>286</v>
      </c>
      <c r="P57" s="16"/>
      <c r="Q57" s="17"/>
      <c r="R57" s="16" t="s">
        <v>287</v>
      </c>
      <c r="S57" s="17" t="s">
        <v>288</v>
      </c>
      <c r="T57" s="18" t="n">
        <f>2321.05</f>
        <v>2321.05</v>
      </c>
      <c r="U57" s="19" t="n">
        <f>22</f>
        <v>22.0</v>
      </c>
      <c r="V57" s="19"/>
      <c r="W57" s="23"/>
      <c r="X57" s="19" t="n">
        <f>50639250</f>
        <v>5.063925E7</v>
      </c>
      <c r="Y57" s="19"/>
      <c r="Z57" s="23"/>
      <c r="AA57" s="16"/>
      <c r="AB57" s="20" t="n">
        <f>4</f>
        <v>4.0</v>
      </c>
      <c r="AC57" s="21" t="n">
        <f>9</f>
        <v>9.0</v>
      </c>
    </row>
    <row r="58">
      <c r="A58" s="13" t="s">
        <v>46</v>
      </c>
      <c r="B58" s="14" t="s">
        <v>270</v>
      </c>
      <c r="C58" s="14" t="s">
        <v>271</v>
      </c>
      <c r="D58" s="22"/>
      <c r="E58" s="14" t="s">
        <v>81</v>
      </c>
      <c r="F58" s="15" t="s">
        <v>163</v>
      </c>
      <c r="G58" s="15" t="s">
        <v>83</v>
      </c>
      <c r="H58" s="16"/>
      <c r="I58" s="17" t="s">
        <v>130</v>
      </c>
      <c r="J58" s="16"/>
      <c r="K58" s="17" t="s">
        <v>130</v>
      </c>
      <c r="L58" s="16"/>
      <c r="M58" s="17"/>
      <c r="N58" s="16"/>
      <c r="O58" s="17" t="s">
        <v>130</v>
      </c>
      <c r="P58" s="16"/>
      <c r="Q58" s="17"/>
      <c r="R58" s="16"/>
      <c r="S58" s="17" t="s">
        <v>130</v>
      </c>
      <c r="T58" s="18" t="n">
        <f>2313.72</f>
        <v>2313.72</v>
      </c>
      <c r="U58" s="19" t="str">
        <f>"－"</f>
        <v>－</v>
      </c>
      <c r="V58" s="19"/>
      <c r="W58" s="23"/>
      <c r="X58" s="19" t="str">
        <f>"－"</f>
        <v>－</v>
      </c>
      <c r="Y58" s="19"/>
      <c r="Z58" s="23"/>
      <c r="AA58" s="16"/>
      <c r="AB58" s="20" t="str">
        <f>"－"</f>
        <v>－</v>
      </c>
      <c r="AC58" s="21" t="str">
        <f>"－"</f>
        <v>－</v>
      </c>
    </row>
    <row r="59">
      <c r="A59" s="13" t="s">
        <v>46</v>
      </c>
      <c r="B59" s="14" t="s">
        <v>289</v>
      </c>
      <c r="C59" s="14" t="s">
        <v>290</v>
      </c>
      <c r="D59" s="22"/>
      <c r="E59" s="14" t="s">
        <v>46</v>
      </c>
      <c r="F59" s="15" t="s">
        <v>62</v>
      </c>
      <c r="G59" s="15" t="s">
        <v>50</v>
      </c>
      <c r="H59" s="16" t="s">
        <v>51</v>
      </c>
      <c r="I59" s="17" t="s">
        <v>291</v>
      </c>
      <c r="J59" s="16" t="s">
        <v>51</v>
      </c>
      <c r="K59" s="17" t="s">
        <v>292</v>
      </c>
      <c r="L59" s="16" t="s">
        <v>51</v>
      </c>
      <c r="M59" s="17" t="s">
        <v>293</v>
      </c>
      <c r="N59" s="16" t="s">
        <v>55</v>
      </c>
      <c r="O59" s="17" t="s">
        <v>294</v>
      </c>
      <c r="P59" s="16" t="s">
        <v>55</v>
      </c>
      <c r="Q59" s="17" t="s">
        <v>295</v>
      </c>
      <c r="R59" s="16" t="s">
        <v>58</v>
      </c>
      <c r="S59" s="17" t="s">
        <v>296</v>
      </c>
      <c r="T59" s="18" t="n">
        <f>21351</f>
        <v>21351.0</v>
      </c>
      <c r="U59" s="19" t="n">
        <f>125481</f>
        <v>125481.0</v>
      </c>
      <c r="V59" s="19" t="n">
        <v>56686.0</v>
      </c>
      <c r="W59" s="23" t="n">
        <v>17473.0</v>
      </c>
      <c r="X59" s="19" t="n">
        <f>267608142733</f>
        <v>2.67608142733E11</v>
      </c>
      <c r="Y59" s="19" t="n">
        <v>1.20901206133E11</v>
      </c>
      <c r="Z59" s="23" t="n">
        <v>3.72985356E10</v>
      </c>
      <c r="AA59" s="16" t="s">
        <v>60</v>
      </c>
      <c r="AB59" s="20" t="n">
        <f>30435</f>
        <v>30435.0</v>
      </c>
      <c r="AC59" s="21" t="n">
        <f>5</f>
        <v>5.0</v>
      </c>
    </row>
    <row r="60">
      <c r="A60" s="13" t="s">
        <v>46</v>
      </c>
      <c r="B60" s="14" t="s">
        <v>289</v>
      </c>
      <c r="C60" s="14" t="s">
        <v>290</v>
      </c>
      <c r="D60" s="22"/>
      <c r="E60" s="14" t="s">
        <v>61</v>
      </c>
      <c r="F60" s="15" t="s">
        <v>157</v>
      </c>
      <c r="G60" s="15" t="s">
        <v>63</v>
      </c>
      <c r="H60" s="16" t="s">
        <v>51</v>
      </c>
      <c r="I60" s="17" t="s">
        <v>297</v>
      </c>
      <c r="J60" s="16" t="s">
        <v>107</v>
      </c>
      <c r="K60" s="17" t="s">
        <v>298</v>
      </c>
      <c r="L60" s="16" t="s">
        <v>55</v>
      </c>
      <c r="M60" s="17" t="s">
        <v>299</v>
      </c>
      <c r="N60" s="16" t="s">
        <v>70</v>
      </c>
      <c r="O60" s="17" t="s">
        <v>300</v>
      </c>
      <c r="P60" s="16" t="s">
        <v>70</v>
      </c>
      <c r="Q60" s="17" t="s">
        <v>301</v>
      </c>
      <c r="R60" s="16" t="s">
        <v>72</v>
      </c>
      <c r="S60" s="17" t="s">
        <v>302</v>
      </c>
      <c r="T60" s="18" t="n">
        <f>21161.67</f>
        <v>21161.67</v>
      </c>
      <c r="U60" s="19" t="n">
        <f>201134</f>
        <v>201134.0</v>
      </c>
      <c r="V60" s="19" t="n">
        <v>61098.0</v>
      </c>
      <c r="W60" s="23" t="n">
        <v>17473.0</v>
      </c>
      <c r="X60" s="19" t="n">
        <f>425886127516</f>
        <v>4.25886127516E11</v>
      </c>
      <c r="Y60" s="19" t="n">
        <v>1.30028456216E11</v>
      </c>
      <c r="Z60" s="23" t="n">
        <v>3.72380158E10</v>
      </c>
      <c r="AA60" s="16"/>
      <c r="AB60" s="20" t="n">
        <f>48957</f>
        <v>48957.0</v>
      </c>
      <c r="AC60" s="21" t="n">
        <f>21</f>
        <v>21.0</v>
      </c>
    </row>
    <row r="61">
      <c r="A61" s="13" t="s">
        <v>46</v>
      </c>
      <c r="B61" s="14" t="s">
        <v>289</v>
      </c>
      <c r="C61" s="14" t="s">
        <v>290</v>
      </c>
      <c r="D61" s="22"/>
      <c r="E61" s="14" t="s">
        <v>74</v>
      </c>
      <c r="F61" s="15" t="s">
        <v>82</v>
      </c>
      <c r="G61" s="15" t="s">
        <v>75</v>
      </c>
      <c r="H61" s="16"/>
      <c r="I61" s="17" t="s">
        <v>130</v>
      </c>
      <c r="J61" s="16"/>
      <c r="K61" s="17" t="s">
        <v>130</v>
      </c>
      <c r="L61" s="16"/>
      <c r="M61" s="17"/>
      <c r="N61" s="16"/>
      <c r="O61" s="17" t="s">
        <v>130</v>
      </c>
      <c r="P61" s="16"/>
      <c r="Q61" s="17"/>
      <c r="R61" s="16"/>
      <c r="S61" s="17" t="s">
        <v>130</v>
      </c>
      <c r="T61" s="18" t="n">
        <f>20949.52</f>
        <v>20949.52</v>
      </c>
      <c r="U61" s="19" t="str">
        <f>"－"</f>
        <v>－</v>
      </c>
      <c r="V61" s="19"/>
      <c r="W61" s="23"/>
      <c r="X61" s="19" t="str">
        <f>"－"</f>
        <v>－</v>
      </c>
      <c r="Y61" s="19"/>
      <c r="Z61" s="23"/>
      <c r="AA61" s="16"/>
      <c r="AB61" s="20" t="n">
        <f>3</f>
        <v>3.0</v>
      </c>
      <c r="AC61" s="21" t="str">
        <f>"－"</f>
        <v>－</v>
      </c>
    </row>
    <row r="62">
      <c r="A62" s="13" t="s">
        <v>46</v>
      </c>
      <c r="B62" s="14" t="s">
        <v>289</v>
      </c>
      <c r="C62" s="14" t="s">
        <v>290</v>
      </c>
      <c r="D62" s="22"/>
      <c r="E62" s="14" t="s">
        <v>81</v>
      </c>
      <c r="F62" s="15" t="s">
        <v>160</v>
      </c>
      <c r="G62" s="15" t="s">
        <v>83</v>
      </c>
      <c r="H62" s="16"/>
      <c r="I62" s="17" t="s">
        <v>130</v>
      </c>
      <c r="J62" s="16"/>
      <c r="K62" s="17" t="s">
        <v>130</v>
      </c>
      <c r="L62" s="16"/>
      <c r="M62" s="17"/>
      <c r="N62" s="16"/>
      <c r="O62" s="17" t="s">
        <v>130</v>
      </c>
      <c r="P62" s="16"/>
      <c r="Q62" s="17"/>
      <c r="R62" s="16"/>
      <c r="S62" s="17" t="s">
        <v>130</v>
      </c>
      <c r="T62" s="18" t="n">
        <f>20936.43</f>
        <v>20936.43</v>
      </c>
      <c r="U62" s="19" t="str">
        <f>"－"</f>
        <v>－</v>
      </c>
      <c r="V62" s="19"/>
      <c r="W62" s="23"/>
      <c r="X62" s="19" t="str">
        <f>"－"</f>
        <v>－</v>
      </c>
      <c r="Y62" s="19"/>
      <c r="Z62" s="23"/>
      <c r="AA62" s="16"/>
      <c r="AB62" s="20" t="n">
        <f>2</f>
        <v>2.0</v>
      </c>
      <c r="AC62" s="21" t="str">
        <f>"－"</f>
        <v>－</v>
      </c>
    </row>
    <row r="63">
      <c r="A63" s="13" t="s">
        <v>46</v>
      </c>
      <c r="B63" s="14" t="s">
        <v>289</v>
      </c>
      <c r="C63" s="14" t="s">
        <v>290</v>
      </c>
      <c r="D63" s="22"/>
      <c r="E63" s="14" t="s">
        <v>91</v>
      </c>
      <c r="F63" s="15" t="s">
        <v>101</v>
      </c>
      <c r="G63" s="15" t="s">
        <v>92</v>
      </c>
      <c r="H63" s="16"/>
      <c r="I63" s="17" t="s">
        <v>130</v>
      </c>
      <c r="J63" s="16"/>
      <c r="K63" s="17" t="s">
        <v>130</v>
      </c>
      <c r="L63" s="16"/>
      <c r="M63" s="17"/>
      <c r="N63" s="16"/>
      <c r="O63" s="17" t="s">
        <v>130</v>
      </c>
      <c r="P63" s="16"/>
      <c r="Q63" s="17"/>
      <c r="R63" s="16"/>
      <c r="S63" s="17" t="s">
        <v>130</v>
      </c>
      <c r="T63" s="18" t="n">
        <f>20743.57</f>
        <v>20743.57</v>
      </c>
      <c r="U63" s="19" t="str">
        <f>"－"</f>
        <v>－</v>
      </c>
      <c r="V63" s="19"/>
      <c r="W63" s="23"/>
      <c r="X63" s="19" t="str">
        <f>"－"</f>
        <v>－</v>
      </c>
      <c r="Y63" s="19"/>
      <c r="Z63" s="23"/>
      <c r="AA63" s="16"/>
      <c r="AB63" s="20" t="n">
        <f>1</f>
        <v>1.0</v>
      </c>
      <c r="AC63" s="21" t="str">
        <f>"－"</f>
        <v>－</v>
      </c>
    </row>
    <row r="64">
      <c r="A64" s="13" t="s">
        <v>46</v>
      </c>
      <c r="B64" s="14" t="s">
        <v>289</v>
      </c>
      <c r="C64" s="14" t="s">
        <v>290</v>
      </c>
      <c r="D64" s="22"/>
      <c r="E64" s="14" t="s">
        <v>100</v>
      </c>
      <c r="F64" s="15" t="s">
        <v>163</v>
      </c>
      <c r="G64" s="15" t="s">
        <v>102</v>
      </c>
      <c r="H64" s="16"/>
      <c r="I64" s="17" t="s">
        <v>130</v>
      </c>
      <c r="J64" s="16"/>
      <c r="K64" s="17" t="s">
        <v>130</v>
      </c>
      <c r="L64" s="16"/>
      <c r="M64" s="17"/>
      <c r="N64" s="16"/>
      <c r="O64" s="17" t="s">
        <v>130</v>
      </c>
      <c r="P64" s="16"/>
      <c r="Q64" s="17"/>
      <c r="R64" s="16"/>
      <c r="S64" s="17" t="s">
        <v>130</v>
      </c>
      <c r="T64" s="18" t="n">
        <f>20669.69</f>
        <v>20669.69</v>
      </c>
      <c r="U64" s="19" t="str">
        <f>"－"</f>
        <v>－</v>
      </c>
      <c r="V64" s="19"/>
      <c r="W64" s="23"/>
      <c r="X64" s="19" t="str">
        <f>"－"</f>
        <v>－</v>
      </c>
      <c r="Y64" s="19"/>
      <c r="Z64" s="23"/>
      <c r="AA64" s="16"/>
      <c r="AB64" s="20" t="str">
        <f>"－"</f>
        <v>－</v>
      </c>
      <c r="AC64" s="21" t="str">
        <f>"－"</f>
        <v>－</v>
      </c>
    </row>
    <row r="65">
      <c r="A65" s="13" t="s">
        <v>46</v>
      </c>
      <c r="B65" s="14" t="s">
        <v>303</v>
      </c>
      <c r="C65" s="14" t="s">
        <v>304</v>
      </c>
      <c r="D65" s="22"/>
      <c r="E65" s="14" t="s">
        <v>46</v>
      </c>
      <c r="F65" s="15" t="s">
        <v>82</v>
      </c>
      <c r="G65" s="15" t="s">
        <v>50</v>
      </c>
      <c r="H65" s="16"/>
      <c r="I65" s="17" t="s">
        <v>130</v>
      </c>
      <c r="J65" s="16"/>
      <c r="K65" s="17" t="s">
        <v>130</v>
      </c>
      <c r="L65" s="16" t="s">
        <v>117</v>
      </c>
      <c r="M65" s="17" t="s">
        <v>305</v>
      </c>
      <c r="N65" s="16"/>
      <c r="O65" s="17" t="s">
        <v>130</v>
      </c>
      <c r="P65" s="16" t="s">
        <v>117</v>
      </c>
      <c r="Q65" s="17" t="s">
        <v>305</v>
      </c>
      <c r="R65" s="16"/>
      <c r="S65" s="17" t="s">
        <v>130</v>
      </c>
      <c r="T65" s="18" t="n">
        <f>1187.5</f>
        <v>1187.5</v>
      </c>
      <c r="U65" s="19" t="n">
        <f>102</f>
        <v>102.0</v>
      </c>
      <c r="V65" s="19" t="n">
        <v>102.0</v>
      </c>
      <c r="W65" s="23"/>
      <c r="X65" s="19" t="n">
        <f>120564000</f>
        <v>1.20564E8</v>
      </c>
      <c r="Y65" s="19" t="n">
        <v>1.20564E8</v>
      </c>
      <c r="Z65" s="23"/>
      <c r="AA65" s="16" t="s">
        <v>60</v>
      </c>
      <c r="AB65" s="20" t="str">
        <f>"－"</f>
        <v>－</v>
      </c>
      <c r="AC65" s="21" t="str">
        <f>"－"</f>
        <v>－</v>
      </c>
    </row>
    <row r="66">
      <c r="A66" s="13" t="s">
        <v>46</v>
      </c>
      <c r="B66" s="14" t="s">
        <v>303</v>
      </c>
      <c r="C66" s="14" t="s">
        <v>304</v>
      </c>
      <c r="D66" s="22"/>
      <c r="E66" s="14" t="s">
        <v>61</v>
      </c>
      <c r="F66" s="15" t="s">
        <v>160</v>
      </c>
      <c r="G66" s="15" t="s">
        <v>63</v>
      </c>
      <c r="H66" s="16"/>
      <c r="I66" s="17" t="s">
        <v>130</v>
      </c>
      <c r="J66" s="16"/>
      <c r="K66" s="17" t="s">
        <v>130</v>
      </c>
      <c r="L66" s="16" t="s">
        <v>117</v>
      </c>
      <c r="M66" s="17" t="s">
        <v>306</v>
      </c>
      <c r="N66" s="16"/>
      <c r="O66" s="17" t="s">
        <v>130</v>
      </c>
      <c r="P66" s="16" t="s">
        <v>117</v>
      </c>
      <c r="Q66" s="17" t="s">
        <v>306</v>
      </c>
      <c r="R66" s="16"/>
      <c r="S66" s="17" t="s">
        <v>130</v>
      </c>
      <c r="T66" s="18" t="n">
        <f>1178.57</f>
        <v>1178.57</v>
      </c>
      <c r="U66" s="19" t="n">
        <f>102</f>
        <v>102.0</v>
      </c>
      <c r="V66" s="19" t="n">
        <v>102.0</v>
      </c>
      <c r="W66" s="23"/>
      <c r="X66" s="19" t="n">
        <f>120604800</f>
        <v>1.206048E8</v>
      </c>
      <c r="Y66" s="19" t="n">
        <v>1.206048E8</v>
      </c>
      <c r="Z66" s="23"/>
      <c r="AA66" s="16"/>
      <c r="AB66" s="20" t="n">
        <f>102</f>
        <v>102.0</v>
      </c>
      <c r="AC66" s="21" t="str">
        <f>"－"</f>
        <v>－</v>
      </c>
    </row>
    <row r="67">
      <c r="A67" s="13" t="s">
        <v>46</v>
      </c>
      <c r="B67" s="14" t="s">
        <v>303</v>
      </c>
      <c r="C67" s="14" t="s">
        <v>304</v>
      </c>
      <c r="D67" s="22"/>
      <c r="E67" s="14" t="s">
        <v>74</v>
      </c>
      <c r="F67" s="15" t="s">
        <v>101</v>
      </c>
      <c r="G67" s="15" t="s">
        <v>75</v>
      </c>
      <c r="H67" s="16"/>
      <c r="I67" s="17" t="s">
        <v>130</v>
      </c>
      <c r="J67" s="16"/>
      <c r="K67" s="17" t="s">
        <v>130</v>
      </c>
      <c r="L67" s="16"/>
      <c r="M67" s="17"/>
      <c r="N67" s="16"/>
      <c r="O67" s="17" t="s">
        <v>130</v>
      </c>
      <c r="P67" s="16"/>
      <c r="Q67" s="17"/>
      <c r="R67" s="16"/>
      <c r="S67" s="17" t="s">
        <v>130</v>
      </c>
      <c r="T67" s="18" t="n">
        <f>1169</f>
        <v>1169.0</v>
      </c>
      <c r="U67" s="19" t="str">
        <f>"－"</f>
        <v>－</v>
      </c>
      <c r="V67" s="19"/>
      <c r="W67" s="23"/>
      <c r="X67" s="19" t="str">
        <f>"－"</f>
        <v>－</v>
      </c>
      <c r="Y67" s="19"/>
      <c r="Z67" s="23"/>
      <c r="AA67" s="16"/>
      <c r="AB67" s="20" t="str">
        <f>"－"</f>
        <v>－</v>
      </c>
      <c r="AC67" s="21" t="str">
        <f>"－"</f>
        <v>－</v>
      </c>
    </row>
    <row r="68">
      <c r="A68" s="13" t="s">
        <v>46</v>
      </c>
      <c r="B68" s="14" t="s">
        <v>303</v>
      </c>
      <c r="C68" s="14" t="s">
        <v>304</v>
      </c>
      <c r="D68" s="22"/>
      <c r="E68" s="14" t="s">
        <v>81</v>
      </c>
      <c r="F68" s="15" t="s">
        <v>163</v>
      </c>
      <c r="G68" s="15" t="s">
        <v>83</v>
      </c>
      <c r="H68" s="16"/>
      <c r="I68" s="17" t="s">
        <v>130</v>
      </c>
      <c r="J68" s="16"/>
      <c r="K68" s="17" t="s">
        <v>130</v>
      </c>
      <c r="L68" s="16"/>
      <c r="M68" s="17"/>
      <c r="N68" s="16"/>
      <c r="O68" s="17" t="s">
        <v>130</v>
      </c>
      <c r="P68" s="16"/>
      <c r="Q68" s="17"/>
      <c r="R68" s="16"/>
      <c r="S68" s="17" t="s">
        <v>130</v>
      </c>
      <c r="T68" s="18" t="n">
        <f>1167.13</f>
        <v>1167.13</v>
      </c>
      <c r="U68" s="19" t="str">
        <f>"－"</f>
        <v>－</v>
      </c>
      <c r="V68" s="19"/>
      <c r="W68" s="23"/>
      <c r="X68" s="19" t="str">
        <f>"－"</f>
        <v>－</v>
      </c>
      <c r="Y68" s="19"/>
      <c r="Z68" s="23"/>
      <c r="AA68" s="16"/>
      <c r="AB68" s="20" t="str">
        <f>"－"</f>
        <v>－</v>
      </c>
      <c r="AC68" s="21" t="str">
        <f>"－"</f>
        <v>－</v>
      </c>
    </row>
    <row r="69">
      <c r="A69" s="13" t="s">
        <v>46</v>
      </c>
      <c r="B69" s="14" t="s">
        <v>307</v>
      </c>
      <c r="C69" s="14" t="s">
        <v>308</v>
      </c>
      <c r="D69" s="22"/>
      <c r="E69" s="14" t="s">
        <v>46</v>
      </c>
      <c r="F69" s="15" t="s">
        <v>82</v>
      </c>
      <c r="G69" s="15" t="s">
        <v>50</v>
      </c>
      <c r="H69" s="16"/>
      <c r="I69" s="17" t="s">
        <v>130</v>
      </c>
      <c r="J69" s="16"/>
      <c r="K69" s="17" t="s">
        <v>130</v>
      </c>
      <c r="L69" s="16" t="s">
        <v>93</v>
      </c>
      <c r="M69" s="17" t="s">
        <v>309</v>
      </c>
      <c r="N69" s="16"/>
      <c r="O69" s="17" t="s">
        <v>130</v>
      </c>
      <c r="P69" s="16" t="s">
        <v>58</v>
      </c>
      <c r="Q69" s="17" t="s">
        <v>310</v>
      </c>
      <c r="R69" s="16"/>
      <c r="S69" s="17" t="s">
        <v>130</v>
      </c>
      <c r="T69" s="18" t="n">
        <f>259.54</f>
        <v>259.54</v>
      </c>
      <c r="U69" s="19" t="n">
        <f>61555</f>
        <v>61555.0</v>
      </c>
      <c r="V69" s="19" t="n">
        <v>61555.0</v>
      </c>
      <c r="W69" s="23"/>
      <c r="X69" s="19" t="n">
        <f>159697779400</f>
        <v>1.596977794E11</v>
      </c>
      <c r="Y69" s="19" t="n">
        <v>1.596977794E11</v>
      </c>
      <c r="Z69" s="23"/>
      <c r="AA69" s="16" t="s">
        <v>60</v>
      </c>
      <c r="AB69" s="20" t="n">
        <f>11995</f>
        <v>11995.0</v>
      </c>
      <c r="AC69" s="21" t="str">
        <f>"－"</f>
        <v>－</v>
      </c>
    </row>
    <row r="70">
      <c r="A70" s="13" t="s">
        <v>46</v>
      </c>
      <c r="B70" s="14" t="s">
        <v>307</v>
      </c>
      <c r="C70" s="14" t="s">
        <v>308</v>
      </c>
      <c r="D70" s="22"/>
      <c r="E70" s="14" t="s">
        <v>61</v>
      </c>
      <c r="F70" s="15" t="s">
        <v>160</v>
      </c>
      <c r="G70" s="15" t="s">
        <v>63</v>
      </c>
      <c r="H70" s="16"/>
      <c r="I70" s="17" t="s">
        <v>130</v>
      </c>
      <c r="J70" s="16"/>
      <c r="K70" s="17" t="s">
        <v>130</v>
      </c>
      <c r="L70" s="16" t="s">
        <v>68</v>
      </c>
      <c r="M70" s="17" t="s">
        <v>311</v>
      </c>
      <c r="N70" s="16"/>
      <c r="O70" s="17" t="s">
        <v>130</v>
      </c>
      <c r="P70" s="16" t="s">
        <v>58</v>
      </c>
      <c r="Q70" s="17" t="s">
        <v>312</v>
      </c>
      <c r="R70" s="16"/>
      <c r="S70" s="17" t="s">
        <v>130</v>
      </c>
      <c r="T70" s="18" t="n">
        <f>253.65</f>
        <v>253.65</v>
      </c>
      <c r="U70" s="19" t="n">
        <f>68346</f>
        <v>68346.0</v>
      </c>
      <c r="V70" s="19" t="n">
        <v>68346.0</v>
      </c>
      <c r="W70" s="23"/>
      <c r="X70" s="19" t="n">
        <f>174321580500</f>
        <v>1.743215805E11</v>
      </c>
      <c r="Y70" s="19" t="n">
        <v>1.743215805E11</v>
      </c>
      <c r="Z70" s="23"/>
      <c r="AA70" s="16"/>
      <c r="AB70" s="20" t="n">
        <f>59060</f>
        <v>59060.0</v>
      </c>
      <c r="AC70" s="21" t="str">
        <f>"－"</f>
        <v>－</v>
      </c>
    </row>
    <row r="71">
      <c r="A71" s="13" t="s">
        <v>46</v>
      </c>
      <c r="B71" s="14" t="s">
        <v>307</v>
      </c>
      <c r="C71" s="14" t="s">
        <v>308</v>
      </c>
      <c r="D71" s="22"/>
      <c r="E71" s="14" t="s">
        <v>74</v>
      </c>
      <c r="F71" s="15" t="s">
        <v>101</v>
      </c>
      <c r="G71" s="15" t="s">
        <v>75</v>
      </c>
      <c r="H71" s="16"/>
      <c r="I71" s="17" t="s">
        <v>130</v>
      </c>
      <c r="J71" s="16"/>
      <c r="K71" s="17" t="s">
        <v>130</v>
      </c>
      <c r="L71" s="16"/>
      <c r="M71" s="17"/>
      <c r="N71" s="16"/>
      <c r="O71" s="17" t="s">
        <v>130</v>
      </c>
      <c r="P71" s="16"/>
      <c r="Q71" s="17"/>
      <c r="R71" s="16"/>
      <c r="S71" s="17" t="s">
        <v>130</v>
      </c>
      <c r="T71" s="18" t="n">
        <f>250.71</f>
        <v>250.71</v>
      </c>
      <c r="U71" s="19" t="str">
        <f>"－"</f>
        <v>－</v>
      </c>
      <c r="V71" s="19"/>
      <c r="W71" s="23"/>
      <c r="X71" s="19" t="str">
        <f>"－"</f>
        <v>－</v>
      </c>
      <c r="Y71" s="19"/>
      <c r="Z71" s="23"/>
      <c r="AA71" s="16"/>
      <c r="AB71" s="20" t="str">
        <f>"－"</f>
        <v>－</v>
      </c>
      <c r="AC71" s="21" t="str">
        <f>"－"</f>
        <v>－</v>
      </c>
    </row>
    <row r="72">
      <c r="A72" s="13" t="s">
        <v>46</v>
      </c>
      <c r="B72" s="14" t="s">
        <v>307</v>
      </c>
      <c r="C72" s="14" t="s">
        <v>308</v>
      </c>
      <c r="D72" s="22"/>
      <c r="E72" s="14" t="s">
        <v>81</v>
      </c>
      <c r="F72" s="15" t="s">
        <v>163</v>
      </c>
      <c r="G72" s="15" t="s">
        <v>83</v>
      </c>
      <c r="H72" s="16"/>
      <c r="I72" s="17" t="s">
        <v>130</v>
      </c>
      <c r="J72" s="16"/>
      <c r="K72" s="17" t="s">
        <v>130</v>
      </c>
      <c r="L72" s="16"/>
      <c r="M72" s="17"/>
      <c r="N72" s="16"/>
      <c r="O72" s="17" t="s">
        <v>130</v>
      </c>
      <c r="P72" s="16"/>
      <c r="Q72" s="17"/>
      <c r="R72" s="16"/>
      <c r="S72" s="17" t="s">
        <v>130</v>
      </c>
      <c r="T72" s="18" t="n">
        <f>249.07</f>
        <v>249.07</v>
      </c>
      <c r="U72" s="19" t="str">
        <f>"－"</f>
        <v>－</v>
      </c>
      <c r="V72" s="19"/>
      <c r="W72" s="23"/>
      <c r="X72" s="19" t="str">
        <f>"－"</f>
        <v>－</v>
      </c>
      <c r="Y72" s="19"/>
      <c r="Z72" s="23"/>
      <c r="AA72" s="16"/>
      <c r="AB72" s="20" t="str">
        <f>"－"</f>
        <v>－</v>
      </c>
      <c r="AC72" s="21" t="str">
        <f>"－"</f>
        <v>－</v>
      </c>
    </row>
    <row r="73">
      <c r="A73" s="13" t="s">
        <v>46</v>
      </c>
      <c r="B73" s="14" t="s">
        <v>313</v>
      </c>
      <c r="C73" s="14" t="s">
        <v>314</v>
      </c>
      <c r="D73" s="22"/>
      <c r="E73" s="14" t="s">
        <v>46</v>
      </c>
      <c r="F73" s="15" t="s">
        <v>82</v>
      </c>
      <c r="G73" s="15" t="s">
        <v>50</v>
      </c>
      <c r="H73" s="16" t="s">
        <v>51</v>
      </c>
      <c r="I73" s="17" t="s">
        <v>315</v>
      </c>
      <c r="J73" s="16" t="s">
        <v>51</v>
      </c>
      <c r="K73" s="17" t="s">
        <v>315</v>
      </c>
      <c r="L73" s="16" t="s">
        <v>51</v>
      </c>
      <c r="M73" s="17" t="s">
        <v>316</v>
      </c>
      <c r="N73" s="16" t="s">
        <v>93</v>
      </c>
      <c r="O73" s="17" t="s">
        <v>317</v>
      </c>
      <c r="P73" s="16" t="s">
        <v>51</v>
      </c>
      <c r="Q73" s="17" t="s">
        <v>318</v>
      </c>
      <c r="R73" s="16" t="s">
        <v>55</v>
      </c>
      <c r="S73" s="17" t="s">
        <v>319</v>
      </c>
      <c r="T73" s="18" t="n">
        <f>1818.1</f>
        <v>1818.1</v>
      </c>
      <c r="U73" s="19" t="n">
        <f>129448</f>
        <v>129448.0</v>
      </c>
      <c r="V73" s="19" t="n">
        <v>116868.0</v>
      </c>
      <c r="W73" s="23" t="n">
        <v>11000.0</v>
      </c>
      <c r="X73" s="19" t="n">
        <f>235674204780</f>
        <v>2.3567420478E11</v>
      </c>
      <c r="Y73" s="19" t="n">
        <v>2.1279299948E11</v>
      </c>
      <c r="Z73" s="23" t="n">
        <v>2.00012878E10</v>
      </c>
      <c r="AA73" s="16" t="s">
        <v>60</v>
      </c>
      <c r="AB73" s="20" t="n">
        <f>21495</f>
        <v>21495.0</v>
      </c>
      <c r="AC73" s="21" t="n">
        <f>5</f>
        <v>5.0</v>
      </c>
    </row>
    <row r="74">
      <c r="A74" s="13" t="s">
        <v>46</v>
      </c>
      <c r="B74" s="14" t="s">
        <v>313</v>
      </c>
      <c r="C74" s="14" t="s">
        <v>314</v>
      </c>
      <c r="D74" s="22"/>
      <c r="E74" s="14" t="s">
        <v>61</v>
      </c>
      <c r="F74" s="15" t="s">
        <v>160</v>
      </c>
      <c r="G74" s="15" t="s">
        <v>63</v>
      </c>
      <c r="H74" s="16" t="s">
        <v>51</v>
      </c>
      <c r="I74" s="17" t="s">
        <v>320</v>
      </c>
      <c r="J74" s="16" t="s">
        <v>51</v>
      </c>
      <c r="K74" s="17" t="s">
        <v>320</v>
      </c>
      <c r="L74" s="16" t="s">
        <v>117</v>
      </c>
      <c r="M74" s="17" t="s">
        <v>321</v>
      </c>
      <c r="N74" s="16" t="s">
        <v>322</v>
      </c>
      <c r="O74" s="17" t="s">
        <v>323</v>
      </c>
      <c r="P74" s="16" t="s">
        <v>322</v>
      </c>
      <c r="Q74" s="17" t="s">
        <v>324</v>
      </c>
      <c r="R74" s="16" t="s">
        <v>72</v>
      </c>
      <c r="S74" s="17" t="s">
        <v>325</v>
      </c>
      <c r="T74" s="18" t="n">
        <f>1776.29</f>
        <v>1776.29</v>
      </c>
      <c r="U74" s="19" t="n">
        <f>156916</f>
        <v>156916.0</v>
      </c>
      <c r="V74" s="19" t="n">
        <v>131086.0</v>
      </c>
      <c r="W74" s="23" t="n">
        <v>11000.0</v>
      </c>
      <c r="X74" s="19" t="n">
        <f>280708650385</f>
        <v>2.80708650385E11</v>
      </c>
      <c r="Y74" s="19" t="n">
        <v>2.34838016785E11</v>
      </c>
      <c r="Z74" s="23" t="n">
        <v>1.97099406E10</v>
      </c>
      <c r="AA74" s="16"/>
      <c r="AB74" s="20" t="n">
        <f>99257</f>
        <v>99257.0</v>
      </c>
      <c r="AC74" s="21" t="n">
        <f>21</f>
        <v>21.0</v>
      </c>
    </row>
    <row r="75">
      <c r="A75" s="13" t="s">
        <v>46</v>
      </c>
      <c r="B75" s="14" t="s">
        <v>313</v>
      </c>
      <c r="C75" s="14" t="s">
        <v>314</v>
      </c>
      <c r="D75" s="22"/>
      <c r="E75" s="14" t="s">
        <v>74</v>
      </c>
      <c r="F75" s="15" t="s">
        <v>101</v>
      </c>
      <c r="G75" s="15" t="s">
        <v>75</v>
      </c>
      <c r="H75" s="16"/>
      <c r="I75" s="17" t="s">
        <v>130</v>
      </c>
      <c r="J75" s="16"/>
      <c r="K75" s="17" t="s">
        <v>130</v>
      </c>
      <c r="L75" s="16"/>
      <c r="M75" s="17"/>
      <c r="N75" s="16"/>
      <c r="O75" s="17" t="s">
        <v>130</v>
      </c>
      <c r="P75" s="16"/>
      <c r="Q75" s="17"/>
      <c r="R75" s="16"/>
      <c r="S75" s="17" t="s">
        <v>130</v>
      </c>
      <c r="T75" s="18" t="n">
        <f>1765.02</f>
        <v>1765.02</v>
      </c>
      <c r="U75" s="19" t="str">
        <f>"－"</f>
        <v>－</v>
      </c>
      <c r="V75" s="19"/>
      <c r="W75" s="23"/>
      <c r="X75" s="19" t="str">
        <f>"－"</f>
        <v>－</v>
      </c>
      <c r="Y75" s="19"/>
      <c r="Z75" s="23"/>
      <c r="AA75" s="16"/>
      <c r="AB75" s="20" t="str">
        <f>"－"</f>
        <v>－</v>
      </c>
      <c r="AC75" s="21" t="str">
        <f>"－"</f>
        <v>－</v>
      </c>
    </row>
    <row r="76">
      <c r="A76" s="13" t="s">
        <v>46</v>
      </c>
      <c r="B76" s="14" t="s">
        <v>313</v>
      </c>
      <c r="C76" s="14" t="s">
        <v>314</v>
      </c>
      <c r="D76" s="22"/>
      <c r="E76" s="14" t="s">
        <v>81</v>
      </c>
      <c r="F76" s="15" t="s">
        <v>163</v>
      </c>
      <c r="G76" s="15" t="s">
        <v>83</v>
      </c>
      <c r="H76" s="16"/>
      <c r="I76" s="17" t="s">
        <v>130</v>
      </c>
      <c r="J76" s="16"/>
      <c r="K76" s="17" t="s">
        <v>130</v>
      </c>
      <c r="L76" s="16"/>
      <c r="M76" s="17"/>
      <c r="N76" s="16"/>
      <c r="O76" s="17" t="s">
        <v>130</v>
      </c>
      <c r="P76" s="16"/>
      <c r="Q76" s="17"/>
      <c r="R76" s="16"/>
      <c r="S76" s="17" t="s">
        <v>130</v>
      </c>
      <c r="T76" s="18" t="n">
        <f>1737.38</f>
        <v>1737.38</v>
      </c>
      <c r="U76" s="19" t="str">
        <f>"－"</f>
        <v>－</v>
      </c>
      <c r="V76" s="19"/>
      <c r="W76" s="23"/>
      <c r="X76" s="19" t="str">
        <f>"－"</f>
        <v>－</v>
      </c>
      <c r="Y76" s="19"/>
      <c r="Z76" s="23"/>
      <c r="AA76" s="16"/>
      <c r="AB76" s="20" t="str">
        <f>"－"</f>
        <v>－</v>
      </c>
      <c r="AC76" s="21" t="str">
        <f>"－"</f>
        <v>－</v>
      </c>
    </row>
    <row r="77">
      <c r="A77" s="13" t="s">
        <v>46</v>
      </c>
      <c r="B77" s="14" t="s">
        <v>326</v>
      </c>
      <c r="C77" s="14" t="s">
        <v>327</v>
      </c>
      <c r="D77" s="22"/>
      <c r="E77" s="14" t="s">
        <v>46</v>
      </c>
      <c r="F77" s="15" t="s">
        <v>62</v>
      </c>
      <c r="G77" s="15" t="s">
        <v>50</v>
      </c>
      <c r="H77" s="16"/>
      <c r="I77" s="17" t="s">
        <v>130</v>
      </c>
      <c r="J77" s="16"/>
      <c r="K77" s="17" t="s">
        <v>130</v>
      </c>
      <c r="L77" s="16"/>
      <c r="M77" s="17"/>
      <c r="N77" s="16"/>
      <c r="O77" s="17" t="s">
        <v>130</v>
      </c>
      <c r="P77" s="16"/>
      <c r="Q77" s="17"/>
      <c r="R77" s="16"/>
      <c r="S77" s="17" t="s">
        <v>130</v>
      </c>
      <c r="T77" s="18" t="n">
        <f>1800</f>
        <v>1800.0</v>
      </c>
      <c r="U77" s="19" t="str">
        <f>"－"</f>
        <v>－</v>
      </c>
      <c r="V77" s="19"/>
      <c r="W77" s="23"/>
      <c r="X77" s="19" t="str">
        <f>"－"</f>
        <v>－</v>
      </c>
      <c r="Y77" s="19"/>
      <c r="Z77" s="23"/>
      <c r="AA77" s="16" t="s">
        <v>60</v>
      </c>
      <c r="AB77" s="20" t="str">
        <f>"－"</f>
        <v>－</v>
      </c>
      <c r="AC77" s="21" t="str">
        <f>"－"</f>
        <v>－</v>
      </c>
    </row>
    <row r="78">
      <c r="A78" s="13" t="s">
        <v>46</v>
      </c>
      <c r="B78" s="14" t="s">
        <v>326</v>
      </c>
      <c r="C78" s="14" t="s">
        <v>327</v>
      </c>
      <c r="D78" s="22"/>
      <c r="E78" s="14" t="s">
        <v>61</v>
      </c>
      <c r="F78" s="15" t="s">
        <v>157</v>
      </c>
      <c r="G78" s="15" t="s">
        <v>63</v>
      </c>
      <c r="H78" s="16"/>
      <c r="I78" s="17" t="s">
        <v>130</v>
      </c>
      <c r="J78" s="16"/>
      <c r="K78" s="17" t="s">
        <v>130</v>
      </c>
      <c r="L78" s="16"/>
      <c r="M78" s="17"/>
      <c r="N78" s="16"/>
      <c r="O78" s="17" t="s">
        <v>130</v>
      </c>
      <c r="P78" s="16"/>
      <c r="Q78" s="17"/>
      <c r="R78" s="16"/>
      <c r="S78" s="17" t="s">
        <v>130</v>
      </c>
      <c r="T78" s="18" t="n">
        <f>1785.19</f>
        <v>1785.19</v>
      </c>
      <c r="U78" s="19" t="str">
        <f>"－"</f>
        <v>－</v>
      </c>
      <c r="V78" s="19"/>
      <c r="W78" s="23"/>
      <c r="X78" s="19" t="str">
        <f>"－"</f>
        <v>－</v>
      </c>
      <c r="Y78" s="19"/>
      <c r="Z78" s="23"/>
      <c r="AA78" s="16"/>
      <c r="AB78" s="20" t="str">
        <f>"－"</f>
        <v>－</v>
      </c>
      <c r="AC78" s="21" t="str">
        <f>"－"</f>
        <v>－</v>
      </c>
    </row>
    <row r="79">
      <c r="A79" s="13" t="s">
        <v>46</v>
      </c>
      <c r="B79" s="14" t="s">
        <v>326</v>
      </c>
      <c r="C79" s="14" t="s">
        <v>327</v>
      </c>
      <c r="D79" s="22"/>
      <c r="E79" s="14" t="s">
        <v>74</v>
      </c>
      <c r="F79" s="15" t="s">
        <v>82</v>
      </c>
      <c r="G79" s="15" t="s">
        <v>75</v>
      </c>
      <c r="H79" s="16"/>
      <c r="I79" s="17" t="s">
        <v>130</v>
      </c>
      <c r="J79" s="16"/>
      <c r="K79" s="17" t="s">
        <v>130</v>
      </c>
      <c r="L79" s="16"/>
      <c r="M79" s="17"/>
      <c r="N79" s="16"/>
      <c r="O79" s="17" t="s">
        <v>130</v>
      </c>
      <c r="P79" s="16"/>
      <c r="Q79" s="17"/>
      <c r="R79" s="16"/>
      <c r="S79" s="17" t="s">
        <v>130</v>
      </c>
      <c r="T79" s="18" t="n">
        <f>1767.4</f>
        <v>1767.4</v>
      </c>
      <c r="U79" s="19" t="str">
        <f>"－"</f>
        <v>－</v>
      </c>
      <c r="V79" s="19"/>
      <c r="W79" s="23"/>
      <c r="X79" s="19" t="str">
        <f>"－"</f>
        <v>－</v>
      </c>
      <c r="Y79" s="19"/>
      <c r="Z79" s="23"/>
      <c r="AA79" s="16"/>
      <c r="AB79" s="20" t="str">
        <f>"－"</f>
        <v>－</v>
      </c>
      <c r="AC79" s="21" t="str">
        <f>"－"</f>
        <v>－</v>
      </c>
    </row>
    <row r="80">
      <c r="A80" s="13" t="s">
        <v>46</v>
      </c>
      <c r="B80" s="14" t="s">
        <v>326</v>
      </c>
      <c r="C80" s="14" t="s">
        <v>327</v>
      </c>
      <c r="D80" s="22"/>
      <c r="E80" s="14" t="s">
        <v>81</v>
      </c>
      <c r="F80" s="15" t="s">
        <v>160</v>
      </c>
      <c r="G80" s="15" t="s">
        <v>83</v>
      </c>
      <c r="H80" s="16"/>
      <c r="I80" s="17" t="s">
        <v>130</v>
      </c>
      <c r="J80" s="16"/>
      <c r="K80" s="17" t="s">
        <v>130</v>
      </c>
      <c r="L80" s="16"/>
      <c r="M80" s="17"/>
      <c r="N80" s="16"/>
      <c r="O80" s="17" t="s">
        <v>130</v>
      </c>
      <c r="P80" s="16"/>
      <c r="Q80" s="17"/>
      <c r="R80" s="16"/>
      <c r="S80" s="17" t="s">
        <v>130</v>
      </c>
      <c r="T80" s="18" t="n">
        <f>1766.43</f>
        <v>1766.43</v>
      </c>
      <c r="U80" s="19" t="str">
        <f>"－"</f>
        <v>－</v>
      </c>
      <c r="V80" s="19"/>
      <c r="W80" s="23"/>
      <c r="X80" s="19" t="str">
        <f>"－"</f>
        <v>－</v>
      </c>
      <c r="Y80" s="19"/>
      <c r="Z80" s="23"/>
      <c r="AA80" s="16"/>
      <c r="AB80" s="20" t="str">
        <f>"－"</f>
        <v>－</v>
      </c>
      <c r="AC80" s="21" t="str">
        <f>"－"</f>
        <v>－</v>
      </c>
    </row>
    <row r="81">
      <c r="A81" s="13" t="s">
        <v>46</v>
      </c>
      <c r="B81" s="14" t="s">
        <v>326</v>
      </c>
      <c r="C81" s="14" t="s">
        <v>327</v>
      </c>
      <c r="D81" s="22"/>
      <c r="E81" s="14" t="s">
        <v>91</v>
      </c>
      <c r="F81" s="15" t="s">
        <v>101</v>
      </c>
      <c r="G81" s="15" t="s">
        <v>92</v>
      </c>
      <c r="H81" s="16"/>
      <c r="I81" s="17" t="s">
        <v>130</v>
      </c>
      <c r="J81" s="16"/>
      <c r="K81" s="17" t="s">
        <v>130</v>
      </c>
      <c r="L81" s="16"/>
      <c r="M81" s="17"/>
      <c r="N81" s="16"/>
      <c r="O81" s="17" t="s">
        <v>130</v>
      </c>
      <c r="P81" s="16"/>
      <c r="Q81" s="17"/>
      <c r="R81" s="16"/>
      <c r="S81" s="17" t="s">
        <v>130</v>
      </c>
      <c r="T81" s="18" t="n">
        <f>1750.98</f>
        <v>1750.98</v>
      </c>
      <c r="U81" s="19" t="str">
        <f>"－"</f>
        <v>－</v>
      </c>
      <c r="V81" s="19"/>
      <c r="W81" s="23"/>
      <c r="X81" s="19" t="str">
        <f>"－"</f>
        <v>－</v>
      </c>
      <c r="Y81" s="19"/>
      <c r="Z81" s="23"/>
      <c r="AA81" s="16"/>
      <c r="AB81" s="20" t="str">
        <f>"－"</f>
        <v>－</v>
      </c>
      <c r="AC81" s="21" t="str">
        <f>"－"</f>
        <v>－</v>
      </c>
    </row>
    <row r="82">
      <c r="A82" s="13" t="s">
        <v>46</v>
      </c>
      <c r="B82" s="14" t="s">
        <v>326</v>
      </c>
      <c r="C82" s="14" t="s">
        <v>327</v>
      </c>
      <c r="D82" s="22"/>
      <c r="E82" s="14" t="s">
        <v>100</v>
      </c>
      <c r="F82" s="15" t="s">
        <v>163</v>
      </c>
      <c r="G82" s="15" t="s">
        <v>102</v>
      </c>
      <c r="H82" s="16"/>
      <c r="I82" s="17" t="s">
        <v>130</v>
      </c>
      <c r="J82" s="16"/>
      <c r="K82" s="17" t="s">
        <v>130</v>
      </c>
      <c r="L82" s="16"/>
      <c r="M82" s="17"/>
      <c r="N82" s="16"/>
      <c r="O82" s="17" t="s">
        <v>130</v>
      </c>
      <c r="P82" s="16"/>
      <c r="Q82" s="17"/>
      <c r="R82" s="16"/>
      <c r="S82" s="17" t="s">
        <v>130</v>
      </c>
      <c r="T82" s="18" t="n">
        <f>1745.09</f>
        <v>1745.09</v>
      </c>
      <c r="U82" s="19" t="str">
        <f>"－"</f>
        <v>－</v>
      </c>
      <c r="V82" s="19"/>
      <c r="W82" s="23"/>
      <c r="X82" s="19" t="str">
        <f>"－"</f>
        <v>－</v>
      </c>
      <c r="Y82" s="19"/>
      <c r="Z82" s="23"/>
      <c r="AA82" s="16"/>
      <c r="AB82" s="20" t="str">
        <f>"－"</f>
        <v>－</v>
      </c>
      <c r="AC82" s="21" t="str">
        <f>"－"</f>
        <v>－</v>
      </c>
    </row>
    <row r="83">
      <c r="A83" s="13" t="s">
        <v>46</v>
      </c>
      <c r="B83" s="14" t="s">
        <v>328</v>
      </c>
      <c r="C83" s="14" t="s">
        <v>329</v>
      </c>
      <c r="D83" s="22"/>
      <c r="E83" s="14" t="s">
        <v>46</v>
      </c>
      <c r="F83" s="15" t="s">
        <v>62</v>
      </c>
      <c r="G83" s="15" t="s">
        <v>50</v>
      </c>
      <c r="H83" s="16" t="s">
        <v>51</v>
      </c>
      <c r="I83" s="17" t="s">
        <v>330</v>
      </c>
      <c r="J83" s="16" t="s">
        <v>51</v>
      </c>
      <c r="K83" s="17" t="s">
        <v>330</v>
      </c>
      <c r="L83" s="16" t="s">
        <v>51</v>
      </c>
      <c r="M83" s="17" t="s">
        <v>331</v>
      </c>
      <c r="N83" s="16" t="s">
        <v>58</v>
      </c>
      <c r="O83" s="17" t="s">
        <v>332</v>
      </c>
      <c r="P83" s="16" t="s">
        <v>58</v>
      </c>
      <c r="Q83" s="17" t="s">
        <v>333</v>
      </c>
      <c r="R83" s="16" t="s">
        <v>58</v>
      </c>
      <c r="S83" s="17" t="s">
        <v>332</v>
      </c>
      <c r="T83" s="18" t="n">
        <f>697.6</f>
        <v>697.6</v>
      </c>
      <c r="U83" s="19" t="n">
        <f>90229</f>
        <v>90229.0</v>
      </c>
      <c r="V83" s="19" t="n">
        <v>46473.0</v>
      </c>
      <c r="W83" s="23" t="n">
        <v>12393.0</v>
      </c>
      <c r="X83" s="19" t="n">
        <f>63233725500</f>
        <v>6.32337255E10</v>
      </c>
      <c r="Y83" s="19" t="n">
        <v>3.2621775E10</v>
      </c>
      <c r="Z83" s="23" t="n">
        <v>8.6541055E9</v>
      </c>
      <c r="AA83" s="16" t="s">
        <v>60</v>
      </c>
      <c r="AB83" s="20" t="n">
        <f>5415</f>
        <v>5415.0</v>
      </c>
      <c r="AC83" s="21" t="n">
        <f>5</f>
        <v>5.0</v>
      </c>
    </row>
    <row r="84">
      <c r="A84" s="13" t="s">
        <v>46</v>
      </c>
      <c r="B84" s="14" t="s">
        <v>328</v>
      </c>
      <c r="C84" s="14" t="s">
        <v>329</v>
      </c>
      <c r="D84" s="22"/>
      <c r="E84" s="14" t="s">
        <v>61</v>
      </c>
      <c r="F84" s="15" t="s">
        <v>157</v>
      </c>
      <c r="G84" s="15" t="s">
        <v>63</v>
      </c>
      <c r="H84" s="16" t="s">
        <v>51</v>
      </c>
      <c r="I84" s="17" t="s">
        <v>334</v>
      </c>
      <c r="J84" s="16" t="s">
        <v>51</v>
      </c>
      <c r="K84" s="17" t="s">
        <v>335</v>
      </c>
      <c r="L84" s="16" t="s">
        <v>93</v>
      </c>
      <c r="M84" s="17" t="s">
        <v>336</v>
      </c>
      <c r="N84" s="16" t="s">
        <v>337</v>
      </c>
      <c r="O84" s="17" t="s">
        <v>338</v>
      </c>
      <c r="P84" s="16" t="s">
        <v>337</v>
      </c>
      <c r="Q84" s="17" t="s">
        <v>339</v>
      </c>
      <c r="R84" s="16" t="s">
        <v>72</v>
      </c>
      <c r="S84" s="17" t="s">
        <v>340</v>
      </c>
      <c r="T84" s="18" t="n">
        <f>683.9</f>
        <v>683.9</v>
      </c>
      <c r="U84" s="19" t="n">
        <f>183044</f>
        <v>183044.0</v>
      </c>
      <c r="V84" s="19" t="n">
        <v>52986.0</v>
      </c>
      <c r="W84" s="23" t="n">
        <v>12393.0</v>
      </c>
      <c r="X84" s="19" t="n">
        <f>124916010110</f>
        <v>1.2491601011E11</v>
      </c>
      <c r="Y84" s="19" t="n">
        <v>3.676593611E10</v>
      </c>
      <c r="Z84" s="23" t="n">
        <v>8.55483E9</v>
      </c>
      <c r="AA84" s="16"/>
      <c r="AB84" s="20" t="n">
        <f>41522</f>
        <v>41522.0</v>
      </c>
      <c r="AC84" s="21" t="n">
        <f>21</f>
        <v>21.0</v>
      </c>
    </row>
    <row r="85">
      <c r="A85" s="13" t="s">
        <v>46</v>
      </c>
      <c r="B85" s="14" t="s">
        <v>328</v>
      </c>
      <c r="C85" s="14" t="s">
        <v>329</v>
      </c>
      <c r="D85" s="22"/>
      <c r="E85" s="14" t="s">
        <v>74</v>
      </c>
      <c r="F85" s="15" t="s">
        <v>82</v>
      </c>
      <c r="G85" s="15" t="s">
        <v>75</v>
      </c>
      <c r="H85" s="16" t="s">
        <v>51</v>
      </c>
      <c r="I85" s="17" t="s">
        <v>341</v>
      </c>
      <c r="J85" s="16" t="s">
        <v>51</v>
      </c>
      <c r="K85" s="17" t="s">
        <v>342</v>
      </c>
      <c r="L85" s="16"/>
      <c r="M85" s="17"/>
      <c r="N85" s="16" t="s">
        <v>337</v>
      </c>
      <c r="O85" s="17" t="s">
        <v>343</v>
      </c>
      <c r="P85" s="16"/>
      <c r="Q85" s="17"/>
      <c r="R85" s="16" t="s">
        <v>72</v>
      </c>
      <c r="S85" s="17" t="s">
        <v>344</v>
      </c>
      <c r="T85" s="18" t="n">
        <f>683.43</f>
        <v>683.43</v>
      </c>
      <c r="U85" s="19" t="n">
        <f>716</f>
        <v>716.0</v>
      </c>
      <c r="V85" s="19"/>
      <c r="W85" s="23"/>
      <c r="X85" s="19" t="n">
        <f>481001000</f>
        <v>4.81001E8</v>
      </c>
      <c r="Y85" s="19"/>
      <c r="Z85" s="23"/>
      <c r="AA85" s="16"/>
      <c r="AB85" s="20" t="n">
        <f>278</f>
        <v>278.0</v>
      </c>
      <c r="AC85" s="21" t="n">
        <f>21</f>
        <v>21.0</v>
      </c>
    </row>
    <row r="86">
      <c r="A86" s="13" t="s">
        <v>46</v>
      </c>
      <c r="B86" s="14" t="s">
        <v>328</v>
      </c>
      <c r="C86" s="14" t="s">
        <v>329</v>
      </c>
      <c r="D86" s="22"/>
      <c r="E86" s="14" t="s">
        <v>81</v>
      </c>
      <c r="F86" s="15" t="s">
        <v>160</v>
      </c>
      <c r="G86" s="15" t="s">
        <v>83</v>
      </c>
      <c r="H86" s="16" t="s">
        <v>58</v>
      </c>
      <c r="I86" s="17" t="s">
        <v>345</v>
      </c>
      <c r="J86" s="16" t="s">
        <v>72</v>
      </c>
      <c r="K86" s="17" t="s">
        <v>346</v>
      </c>
      <c r="L86" s="16"/>
      <c r="M86" s="17"/>
      <c r="N86" s="16" t="s">
        <v>337</v>
      </c>
      <c r="O86" s="17" t="s">
        <v>347</v>
      </c>
      <c r="P86" s="16"/>
      <c r="Q86" s="17"/>
      <c r="R86" s="16" t="s">
        <v>72</v>
      </c>
      <c r="S86" s="17" t="s">
        <v>348</v>
      </c>
      <c r="T86" s="18" t="n">
        <f>683.9</f>
        <v>683.9</v>
      </c>
      <c r="U86" s="19" t="n">
        <f>68</f>
        <v>68.0</v>
      </c>
      <c r="V86" s="19"/>
      <c r="W86" s="23"/>
      <c r="X86" s="19" t="n">
        <f>45417000</f>
        <v>4.5417E7</v>
      </c>
      <c r="Y86" s="19"/>
      <c r="Z86" s="23"/>
      <c r="AA86" s="16"/>
      <c r="AB86" s="20" t="n">
        <f>65</f>
        <v>65.0</v>
      </c>
      <c r="AC86" s="21" t="n">
        <f>12</f>
        <v>12.0</v>
      </c>
    </row>
    <row r="87">
      <c r="A87" s="13" t="s">
        <v>46</v>
      </c>
      <c r="B87" s="14" t="s">
        <v>328</v>
      </c>
      <c r="C87" s="14" t="s">
        <v>329</v>
      </c>
      <c r="D87" s="22"/>
      <c r="E87" s="14" t="s">
        <v>91</v>
      </c>
      <c r="F87" s="15" t="s">
        <v>101</v>
      </c>
      <c r="G87" s="15" t="s">
        <v>92</v>
      </c>
      <c r="H87" s="16"/>
      <c r="I87" s="17" t="s">
        <v>130</v>
      </c>
      <c r="J87" s="16"/>
      <c r="K87" s="17" t="s">
        <v>130</v>
      </c>
      <c r="L87" s="16"/>
      <c r="M87" s="17"/>
      <c r="N87" s="16"/>
      <c r="O87" s="17" t="s">
        <v>130</v>
      </c>
      <c r="P87" s="16"/>
      <c r="Q87" s="17"/>
      <c r="R87" s="16"/>
      <c r="S87" s="17" t="s">
        <v>130</v>
      </c>
      <c r="T87" s="18" t="n">
        <f>683.62</f>
        <v>683.62</v>
      </c>
      <c r="U87" s="19" t="str">
        <f>"－"</f>
        <v>－</v>
      </c>
      <c r="V87" s="19"/>
      <c r="W87" s="23"/>
      <c r="X87" s="19" t="str">
        <f>"－"</f>
        <v>－</v>
      </c>
      <c r="Y87" s="19"/>
      <c r="Z87" s="23"/>
      <c r="AA87" s="16"/>
      <c r="AB87" s="20" t="n">
        <f>4</f>
        <v>4.0</v>
      </c>
      <c r="AC87" s="21" t="str">
        <f>"－"</f>
        <v>－</v>
      </c>
    </row>
    <row r="88">
      <c r="A88" s="13" t="s">
        <v>46</v>
      </c>
      <c r="B88" s="14" t="s">
        <v>328</v>
      </c>
      <c r="C88" s="14" t="s">
        <v>329</v>
      </c>
      <c r="D88" s="22"/>
      <c r="E88" s="14" t="s">
        <v>100</v>
      </c>
      <c r="F88" s="15" t="s">
        <v>163</v>
      </c>
      <c r="G88" s="15" t="s">
        <v>102</v>
      </c>
      <c r="H88" s="16"/>
      <c r="I88" s="17" t="s">
        <v>130</v>
      </c>
      <c r="J88" s="16"/>
      <c r="K88" s="17" t="s">
        <v>130</v>
      </c>
      <c r="L88" s="16"/>
      <c r="M88" s="17"/>
      <c r="N88" s="16"/>
      <c r="O88" s="17" t="s">
        <v>130</v>
      </c>
      <c r="P88" s="16"/>
      <c r="Q88" s="17"/>
      <c r="R88" s="16"/>
      <c r="S88" s="17" t="s">
        <v>130</v>
      </c>
      <c r="T88" s="18" t="n">
        <f>679.31</f>
        <v>679.31</v>
      </c>
      <c r="U88" s="19" t="str">
        <f>"－"</f>
        <v>－</v>
      </c>
      <c r="V88" s="19"/>
      <c r="W88" s="23"/>
      <c r="X88" s="19" t="str">
        <f>"－"</f>
        <v>－</v>
      </c>
      <c r="Y88" s="19"/>
      <c r="Z88" s="23"/>
      <c r="AA88" s="16"/>
      <c r="AB88" s="20" t="str">
        <f>"－"</f>
        <v>－</v>
      </c>
      <c r="AC88" s="21" t="str">
        <f>"－"</f>
        <v>－</v>
      </c>
    </row>
    <row r="89">
      <c r="A89" s="13" t="s">
        <v>46</v>
      </c>
      <c r="B89" s="14" t="s">
        <v>349</v>
      </c>
      <c r="C89" s="14" t="s">
        <v>350</v>
      </c>
      <c r="D89" s="22"/>
      <c r="E89" s="14" t="s">
        <v>46</v>
      </c>
      <c r="F89" s="15" t="s">
        <v>351</v>
      </c>
      <c r="G89" s="15" t="s">
        <v>352</v>
      </c>
      <c r="H89" s="16" t="s">
        <v>51</v>
      </c>
      <c r="I89" s="17" t="s">
        <v>353</v>
      </c>
      <c r="J89" s="16" t="s">
        <v>233</v>
      </c>
      <c r="K89" s="17" t="s">
        <v>354</v>
      </c>
      <c r="L89" s="16" t="s">
        <v>233</v>
      </c>
      <c r="M89" s="17" t="s">
        <v>355</v>
      </c>
      <c r="N89" s="16" t="s">
        <v>51</v>
      </c>
      <c r="O89" s="17" t="s">
        <v>356</v>
      </c>
      <c r="P89" s="16" t="s">
        <v>51</v>
      </c>
      <c r="Q89" s="17" t="s">
        <v>357</v>
      </c>
      <c r="R89" s="16" t="s">
        <v>233</v>
      </c>
      <c r="S89" s="17" t="s">
        <v>358</v>
      </c>
      <c r="T89" s="18" t="n">
        <f>36446.09</f>
        <v>36446.09</v>
      </c>
      <c r="U89" s="19" t="n">
        <f>17676</f>
        <v>17676.0</v>
      </c>
      <c r="V89" s="19" t="n">
        <v>63.0</v>
      </c>
      <c r="W89" s="23"/>
      <c r="X89" s="19" t="n">
        <f>64152151100</f>
        <v>6.41521511E10</v>
      </c>
      <c r="Y89" s="19" t="n">
        <v>2.316547E8</v>
      </c>
      <c r="Z89" s="23"/>
      <c r="AA89" s="16" t="s">
        <v>60</v>
      </c>
      <c r="AB89" s="20" t="n">
        <f>5125</f>
        <v>5125.0</v>
      </c>
      <c r="AC89" s="21" t="n">
        <f>11</f>
        <v>11.0</v>
      </c>
    </row>
    <row r="90">
      <c r="A90" s="13" t="s">
        <v>46</v>
      </c>
      <c r="B90" s="14" t="s">
        <v>349</v>
      </c>
      <c r="C90" s="14" t="s">
        <v>350</v>
      </c>
      <c r="D90" s="22"/>
      <c r="E90" s="14" t="s">
        <v>61</v>
      </c>
      <c r="F90" s="15" t="s">
        <v>359</v>
      </c>
      <c r="G90" s="15" t="s">
        <v>360</v>
      </c>
      <c r="H90" s="16" t="s">
        <v>51</v>
      </c>
      <c r="I90" s="17" t="s">
        <v>361</v>
      </c>
      <c r="J90" s="16" t="s">
        <v>72</v>
      </c>
      <c r="K90" s="17" t="s">
        <v>362</v>
      </c>
      <c r="L90" s="16" t="s">
        <v>107</v>
      </c>
      <c r="M90" s="17" t="s">
        <v>363</v>
      </c>
      <c r="N90" s="16" t="s">
        <v>51</v>
      </c>
      <c r="O90" s="17" t="s">
        <v>364</v>
      </c>
      <c r="P90" s="16" t="s">
        <v>231</v>
      </c>
      <c r="Q90" s="17" t="s">
        <v>365</v>
      </c>
      <c r="R90" s="16" t="s">
        <v>72</v>
      </c>
      <c r="S90" s="17" t="s">
        <v>366</v>
      </c>
      <c r="T90" s="18" t="n">
        <f>37212.43</f>
        <v>37212.43</v>
      </c>
      <c r="U90" s="19" t="n">
        <f>13407</f>
        <v>13407.0</v>
      </c>
      <c r="V90" s="19" t="n">
        <v>297.0</v>
      </c>
      <c r="W90" s="23"/>
      <c r="X90" s="19" t="n">
        <f>50270563200</f>
        <v>5.02705632E10</v>
      </c>
      <c r="Y90" s="19" t="n">
        <v>1.1192969E9</v>
      </c>
      <c r="Z90" s="23"/>
      <c r="AA90" s="16"/>
      <c r="AB90" s="20" t="n">
        <f>2925</f>
        <v>2925.0</v>
      </c>
      <c r="AC90" s="21" t="n">
        <f>21</f>
        <v>21.0</v>
      </c>
    </row>
    <row r="91">
      <c r="A91" s="13" t="s">
        <v>46</v>
      </c>
      <c r="B91" s="14" t="s">
        <v>349</v>
      </c>
      <c r="C91" s="14" t="s">
        <v>350</v>
      </c>
      <c r="D91" s="22"/>
      <c r="E91" s="14" t="s">
        <v>74</v>
      </c>
      <c r="F91" s="15" t="s">
        <v>367</v>
      </c>
      <c r="G91" s="15" t="s">
        <v>368</v>
      </c>
      <c r="H91" s="16" t="s">
        <v>93</v>
      </c>
      <c r="I91" s="17" t="s">
        <v>369</v>
      </c>
      <c r="J91" s="16" t="s">
        <v>72</v>
      </c>
      <c r="K91" s="17" t="s">
        <v>370</v>
      </c>
      <c r="L91" s="16"/>
      <c r="M91" s="17"/>
      <c r="N91" s="16" t="s">
        <v>68</v>
      </c>
      <c r="O91" s="17" t="s">
        <v>371</v>
      </c>
      <c r="P91" s="16"/>
      <c r="Q91" s="17"/>
      <c r="R91" s="16" t="s">
        <v>72</v>
      </c>
      <c r="S91" s="17" t="s">
        <v>370</v>
      </c>
      <c r="T91" s="18" t="n">
        <f>37439.29</f>
        <v>37439.29</v>
      </c>
      <c r="U91" s="19" t="n">
        <f>64</f>
        <v>64.0</v>
      </c>
      <c r="V91" s="19"/>
      <c r="W91" s="23"/>
      <c r="X91" s="19" t="n">
        <f>241341100</f>
        <v>2.413411E8</v>
      </c>
      <c r="Y91" s="19"/>
      <c r="Z91" s="23"/>
      <c r="AA91" s="16"/>
      <c r="AB91" s="20" t="n">
        <f>33</f>
        <v>33.0</v>
      </c>
      <c r="AC91" s="21" t="n">
        <f>15</f>
        <v>15.0</v>
      </c>
    </row>
    <row r="92">
      <c r="A92" s="13" t="s">
        <v>46</v>
      </c>
      <c r="B92" s="14" t="s">
        <v>349</v>
      </c>
      <c r="C92" s="14" t="s">
        <v>350</v>
      </c>
      <c r="D92" s="22"/>
      <c r="E92" s="14" t="s">
        <v>81</v>
      </c>
      <c r="F92" s="15" t="s">
        <v>372</v>
      </c>
      <c r="G92" s="15" t="s">
        <v>373</v>
      </c>
      <c r="H92" s="16" t="s">
        <v>65</v>
      </c>
      <c r="I92" s="17" t="s">
        <v>374</v>
      </c>
      <c r="J92" s="16" t="s">
        <v>65</v>
      </c>
      <c r="K92" s="17" t="s">
        <v>374</v>
      </c>
      <c r="L92" s="16"/>
      <c r="M92" s="17"/>
      <c r="N92" s="16" t="s">
        <v>65</v>
      </c>
      <c r="O92" s="17" t="s">
        <v>374</v>
      </c>
      <c r="P92" s="16"/>
      <c r="Q92" s="17"/>
      <c r="R92" s="16" t="s">
        <v>65</v>
      </c>
      <c r="S92" s="17" t="s">
        <v>374</v>
      </c>
      <c r="T92" s="18" t="n">
        <f>37535.67</f>
        <v>37535.67</v>
      </c>
      <c r="U92" s="19" t="n">
        <f>1</f>
        <v>1.0</v>
      </c>
      <c r="V92" s="19"/>
      <c r="W92" s="23"/>
      <c r="X92" s="19" t="n">
        <f>3800000</f>
        <v>3800000.0</v>
      </c>
      <c r="Y92" s="19"/>
      <c r="Z92" s="23"/>
      <c r="AA92" s="16"/>
      <c r="AB92" s="20" t="n">
        <f>1</f>
        <v>1.0</v>
      </c>
      <c r="AC92" s="21" t="n">
        <f>1</f>
        <v>1.0</v>
      </c>
    </row>
    <row r="93">
      <c r="A93" s="13" t="s">
        <v>46</v>
      </c>
      <c r="B93" s="14" t="s">
        <v>349</v>
      </c>
      <c r="C93" s="14" t="s">
        <v>350</v>
      </c>
      <c r="D93" s="22"/>
      <c r="E93" s="14" t="s">
        <v>91</v>
      </c>
      <c r="F93" s="15" t="s">
        <v>375</v>
      </c>
      <c r="G93" s="15" t="s">
        <v>376</v>
      </c>
      <c r="H93" s="16"/>
      <c r="I93" s="17" t="s">
        <v>130</v>
      </c>
      <c r="J93" s="16"/>
      <c r="K93" s="17" t="s">
        <v>130</v>
      </c>
      <c r="L93" s="16"/>
      <c r="M93" s="17"/>
      <c r="N93" s="16"/>
      <c r="O93" s="17" t="s">
        <v>130</v>
      </c>
      <c r="P93" s="16"/>
      <c r="Q93" s="17"/>
      <c r="R93" s="16"/>
      <c r="S93" s="17" t="s">
        <v>130</v>
      </c>
      <c r="T93" s="18" t="n">
        <f>38273.5</f>
        <v>38273.5</v>
      </c>
      <c r="U93" s="19" t="str">
        <f>"－"</f>
        <v>－</v>
      </c>
      <c r="V93" s="19"/>
      <c r="W93" s="23"/>
      <c r="X93" s="19" t="str">
        <f>"－"</f>
        <v>－</v>
      </c>
      <c r="Y93" s="19"/>
      <c r="Z93" s="23"/>
      <c r="AA93" s="16"/>
      <c r="AB93" s="20" t="str">
        <f>"－"</f>
        <v>－</v>
      </c>
      <c r="AC93" s="21" t="str">
        <f>"－"</f>
        <v>－</v>
      </c>
    </row>
    <row r="94">
      <c r="A94" s="13" t="s">
        <v>46</v>
      </c>
      <c r="B94" s="14" t="s">
        <v>377</v>
      </c>
      <c r="C94" s="14" t="s">
        <v>378</v>
      </c>
      <c r="D94" s="22"/>
      <c r="E94" s="14" t="s">
        <v>46</v>
      </c>
      <c r="F94" s="15" t="s">
        <v>379</v>
      </c>
      <c r="G94" s="15" t="s">
        <v>380</v>
      </c>
      <c r="H94" s="16"/>
      <c r="I94" s="17" t="s">
        <v>130</v>
      </c>
      <c r="J94" s="16"/>
      <c r="K94" s="17" t="s">
        <v>130</v>
      </c>
      <c r="L94" s="16"/>
      <c r="M94" s="17"/>
      <c r="N94" s="16"/>
      <c r="O94" s="17" t="s">
        <v>130</v>
      </c>
      <c r="P94" s="16"/>
      <c r="Q94" s="17"/>
      <c r="R94" s="16"/>
      <c r="S94" s="17" t="s">
        <v>130</v>
      </c>
      <c r="T94" s="18" t="n">
        <f>17483.15</f>
        <v>17483.15</v>
      </c>
      <c r="U94" s="19" t="str">
        <f>"－"</f>
        <v>－</v>
      </c>
      <c r="V94" s="19"/>
      <c r="W94" s="23"/>
      <c r="X94" s="19" t="str">
        <f>"－"</f>
        <v>－</v>
      </c>
      <c r="Y94" s="19"/>
      <c r="Z94" s="23"/>
      <c r="AA94" s="16" t="s">
        <v>60</v>
      </c>
      <c r="AB94" s="20" t="str">
        <f>"－"</f>
        <v>－</v>
      </c>
      <c r="AC94" s="21" t="str">
        <f>"－"</f>
        <v>－</v>
      </c>
    </row>
    <row r="95">
      <c r="A95" s="13" t="s">
        <v>46</v>
      </c>
      <c r="B95" s="14" t="s">
        <v>377</v>
      </c>
      <c r="C95" s="14" t="s">
        <v>378</v>
      </c>
      <c r="D95" s="22"/>
      <c r="E95" s="14" t="s">
        <v>172</v>
      </c>
      <c r="F95" s="15" t="s">
        <v>381</v>
      </c>
      <c r="G95" s="15" t="s">
        <v>382</v>
      </c>
      <c r="H95" s="16"/>
      <c r="I95" s="17" t="s">
        <v>130</v>
      </c>
      <c r="J95" s="16"/>
      <c r="K95" s="17" t="s">
        <v>130</v>
      </c>
      <c r="L95" s="16"/>
      <c r="M95" s="17"/>
      <c r="N95" s="16"/>
      <c r="O95" s="17" t="s">
        <v>130</v>
      </c>
      <c r="P95" s="16"/>
      <c r="Q95" s="17"/>
      <c r="R95" s="16"/>
      <c r="S95" s="17" t="s">
        <v>130</v>
      </c>
      <c r="T95" s="18" t="n">
        <f>17566.62</f>
        <v>17566.62</v>
      </c>
      <c r="U95" s="19" t="str">
        <f>"－"</f>
        <v>－</v>
      </c>
      <c r="V95" s="19"/>
      <c r="W95" s="23"/>
      <c r="X95" s="19" t="str">
        <f>"－"</f>
        <v>－</v>
      </c>
      <c r="Y95" s="19"/>
      <c r="Z95" s="23"/>
      <c r="AA95" s="16"/>
      <c r="AB95" s="20" t="str">
        <f>"－"</f>
        <v>－</v>
      </c>
      <c r="AC95" s="21" t="str">
        <f>"－"</f>
        <v>－</v>
      </c>
    </row>
    <row r="96">
      <c r="A96" s="13" t="s">
        <v>46</v>
      </c>
      <c r="B96" s="14" t="s">
        <v>377</v>
      </c>
      <c r="C96" s="14" t="s">
        <v>378</v>
      </c>
      <c r="D96" s="22"/>
      <c r="E96" s="14" t="s">
        <v>180</v>
      </c>
      <c r="F96" s="15" t="s">
        <v>383</v>
      </c>
      <c r="G96" s="15" t="s">
        <v>384</v>
      </c>
      <c r="H96" s="16"/>
      <c r="I96" s="17" t="s">
        <v>130</v>
      </c>
      <c r="J96" s="16"/>
      <c r="K96" s="17" t="s">
        <v>130</v>
      </c>
      <c r="L96" s="16"/>
      <c r="M96" s="17"/>
      <c r="N96" s="16"/>
      <c r="O96" s="17" t="s">
        <v>130</v>
      </c>
      <c r="P96" s="16"/>
      <c r="Q96" s="17"/>
      <c r="R96" s="16"/>
      <c r="S96" s="17" t="s">
        <v>130</v>
      </c>
      <c r="T96" s="18" t="n">
        <f>17699.38</f>
        <v>17699.38</v>
      </c>
      <c r="U96" s="19" t="str">
        <f>"－"</f>
        <v>－</v>
      </c>
      <c r="V96" s="19"/>
      <c r="W96" s="23"/>
      <c r="X96" s="19" t="str">
        <f>"－"</f>
        <v>－</v>
      </c>
      <c r="Y96" s="19"/>
      <c r="Z96" s="23"/>
      <c r="AA96" s="16"/>
      <c r="AB96" s="20" t="str">
        <f>"－"</f>
        <v>－</v>
      </c>
      <c r="AC96" s="21" t="str">
        <f>"－"</f>
        <v>－</v>
      </c>
    </row>
    <row r="97">
      <c r="A97" s="13" t="s">
        <v>46</v>
      </c>
      <c r="B97" s="14" t="s">
        <v>377</v>
      </c>
      <c r="C97" s="14" t="s">
        <v>378</v>
      </c>
      <c r="D97" s="22"/>
      <c r="E97" s="14" t="s">
        <v>61</v>
      </c>
      <c r="F97" s="15" t="s">
        <v>385</v>
      </c>
      <c r="G97" s="15" t="s">
        <v>386</v>
      </c>
      <c r="H97" s="16"/>
      <c r="I97" s="17" t="s">
        <v>130</v>
      </c>
      <c r="J97" s="16"/>
      <c r="K97" s="17" t="s">
        <v>130</v>
      </c>
      <c r="L97" s="16"/>
      <c r="M97" s="17"/>
      <c r="N97" s="16"/>
      <c r="O97" s="17" t="s">
        <v>130</v>
      </c>
      <c r="P97" s="16"/>
      <c r="Q97" s="17"/>
      <c r="R97" s="16"/>
      <c r="S97" s="17" t="s">
        <v>130</v>
      </c>
      <c r="T97" s="18" t="n">
        <f>17560.05</f>
        <v>17560.05</v>
      </c>
      <c r="U97" s="19" t="str">
        <f>"－"</f>
        <v>－</v>
      </c>
      <c r="V97" s="19"/>
      <c r="W97" s="23"/>
      <c r="X97" s="19" t="str">
        <f>"－"</f>
        <v>－</v>
      </c>
      <c r="Y97" s="19"/>
      <c r="Z97" s="23"/>
      <c r="AA97" s="16"/>
      <c r="AB97" s="20" t="str">
        <f>"－"</f>
        <v>－</v>
      </c>
      <c r="AC97" s="21" t="str">
        <f>"－"</f>
        <v>－</v>
      </c>
    </row>
    <row r="98">
      <c r="A98" s="13" t="s">
        <v>46</v>
      </c>
      <c r="B98" s="14" t="s">
        <v>377</v>
      </c>
      <c r="C98" s="14" t="s">
        <v>378</v>
      </c>
      <c r="D98" s="22"/>
      <c r="E98" s="14" t="s">
        <v>74</v>
      </c>
      <c r="F98" s="15" t="s">
        <v>387</v>
      </c>
      <c r="G98" s="15" t="s">
        <v>388</v>
      </c>
      <c r="H98" s="16"/>
      <c r="I98" s="17" t="s">
        <v>130</v>
      </c>
      <c r="J98" s="16"/>
      <c r="K98" s="17" t="s">
        <v>130</v>
      </c>
      <c r="L98" s="16"/>
      <c r="M98" s="17"/>
      <c r="N98" s="16"/>
      <c r="O98" s="17" t="s">
        <v>130</v>
      </c>
      <c r="P98" s="16"/>
      <c r="Q98" s="17"/>
      <c r="R98" s="16"/>
      <c r="S98" s="17" t="s">
        <v>130</v>
      </c>
      <c r="T98" s="18" t="n">
        <f>17544.19</f>
        <v>17544.19</v>
      </c>
      <c r="U98" s="19" t="str">
        <f>"－"</f>
        <v>－</v>
      </c>
      <c r="V98" s="19"/>
      <c r="W98" s="23"/>
      <c r="X98" s="19" t="str">
        <f>"－"</f>
        <v>－</v>
      </c>
      <c r="Y98" s="19"/>
      <c r="Z98" s="23"/>
      <c r="AA98" s="16"/>
      <c r="AB98" s="20" t="str">
        <f>"－"</f>
        <v>－</v>
      </c>
      <c r="AC98" s="21" t="str">
        <f>"－"</f>
        <v>－</v>
      </c>
    </row>
    <row r="99">
      <c r="A99" s="13" t="s">
        <v>46</v>
      </c>
      <c r="B99" s="14" t="s">
        <v>377</v>
      </c>
      <c r="C99" s="14" t="s">
        <v>378</v>
      </c>
      <c r="D99" s="22"/>
      <c r="E99" s="14" t="s">
        <v>81</v>
      </c>
      <c r="F99" s="15" t="s">
        <v>389</v>
      </c>
      <c r="G99" s="15" t="s">
        <v>390</v>
      </c>
      <c r="H99" s="16"/>
      <c r="I99" s="17" t="s">
        <v>130</v>
      </c>
      <c r="J99" s="16"/>
      <c r="K99" s="17" t="s">
        <v>130</v>
      </c>
      <c r="L99" s="16"/>
      <c r="M99" s="17"/>
      <c r="N99" s="16"/>
      <c r="O99" s="17" t="s">
        <v>130</v>
      </c>
      <c r="P99" s="16"/>
      <c r="Q99" s="17"/>
      <c r="R99" s="16"/>
      <c r="S99" s="17" t="s">
        <v>130</v>
      </c>
      <c r="T99" s="18" t="n">
        <f>17339.62</f>
        <v>17339.62</v>
      </c>
      <c r="U99" s="19" t="str">
        <f>"－"</f>
        <v>－</v>
      </c>
      <c r="V99" s="19"/>
      <c r="W99" s="23"/>
      <c r="X99" s="19" t="str">
        <f>"－"</f>
        <v>－</v>
      </c>
      <c r="Y99" s="19"/>
      <c r="Z99" s="23"/>
      <c r="AA99" s="16"/>
      <c r="AB99" s="20" t="str">
        <f>"－"</f>
        <v>－</v>
      </c>
      <c r="AC99" s="21" t="str">
        <f>"－"</f>
        <v>－</v>
      </c>
    </row>
    <row r="100">
      <c r="A100" s="13" t="s">
        <v>46</v>
      </c>
      <c r="B100" s="14" t="s">
        <v>391</v>
      </c>
      <c r="C100" s="14" t="s">
        <v>392</v>
      </c>
      <c r="D100" s="22"/>
      <c r="E100" s="14" t="s">
        <v>46</v>
      </c>
      <c r="F100" s="15" t="s">
        <v>393</v>
      </c>
      <c r="G100" s="15" t="s">
        <v>394</v>
      </c>
      <c r="H100" s="16"/>
      <c r="I100" s="17" t="s">
        <v>130</v>
      </c>
      <c r="J100" s="16"/>
      <c r="K100" s="17" t="s">
        <v>130</v>
      </c>
      <c r="L100" s="16"/>
      <c r="M100" s="17"/>
      <c r="N100" s="16"/>
      <c r="O100" s="17" t="s">
        <v>130</v>
      </c>
      <c r="P100" s="16"/>
      <c r="Q100" s="17"/>
      <c r="R100" s="16"/>
      <c r="S100" s="17" t="s">
        <v>130</v>
      </c>
      <c r="T100" s="18" t="n">
        <f>10703.5</f>
        <v>10703.5</v>
      </c>
      <c r="U100" s="19" t="str">
        <f>"－"</f>
        <v>－</v>
      </c>
      <c r="V100" s="19"/>
      <c r="W100" s="23"/>
      <c r="X100" s="19" t="str">
        <f>"－"</f>
        <v>－</v>
      </c>
      <c r="Y100" s="19"/>
      <c r="Z100" s="23"/>
      <c r="AA100" s="16" t="s">
        <v>60</v>
      </c>
      <c r="AB100" s="20" t="str">
        <f>"－"</f>
        <v>－</v>
      </c>
      <c r="AC100" s="21" t="str">
        <f>"－"</f>
        <v>－</v>
      </c>
    </row>
    <row r="101">
      <c r="A101" s="13" t="s">
        <v>46</v>
      </c>
      <c r="B101" s="14" t="s">
        <v>391</v>
      </c>
      <c r="C101" s="14" t="s">
        <v>392</v>
      </c>
      <c r="D101" s="22"/>
      <c r="E101" s="14" t="s">
        <v>172</v>
      </c>
      <c r="F101" s="15" t="s">
        <v>395</v>
      </c>
      <c r="G101" s="15" t="s">
        <v>396</v>
      </c>
      <c r="H101" s="16"/>
      <c r="I101" s="17" t="s">
        <v>130</v>
      </c>
      <c r="J101" s="16"/>
      <c r="K101" s="17" t="s">
        <v>130</v>
      </c>
      <c r="L101" s="16"/>
      <c r="M101" s="17"/>
      <c r="N101" s="16"/>
      <c r="O101" s="17" t="s">
        <v>130</v>
      </c>
      <c r="P101" s="16"/>
      <c r="Q101" s="17"/>
      <c r="R101" s="16"/>
      <c r="S101" s="17" t="s">
        <v>130</v>
      </c>
      <c r="T101" s="18" t="n">
        <f>10771.43</f>
        <v>10771.43</v>
      </c>
      <c r="U101" s="19" t="str">
        <f>"－"</f>
        <v>－</v>
      </c>
      <c r="V101" s="19"/>
      <c r="W101" s="23"/>
      <c r="X101" s="19" t="str">
        <f>"－"</f>
        <v>－</v>
      </c>
      <c r="Y101" s="19"/>
      <c r="Z101" s="23"/>
      <c r="AA101" s="16"/>
      <c r="AB101" s="20" t="str">
        <f>"－"</f>
        <v>－</v>
      </c>
      <c r="AC101" s="21" t="str">
        <f>"－"</f>
        <v>－</v>
      </c>
    </row>
    <row r="102">
      <c r="A102" s="13" t="s">
        <v>46</v>
      </c>
      <c r="B102" s="14" t="s">
        <v>391</v>
      </c>
      <c r="C102" s="14" t="s">
        <v>392</v>
      </c>
      <c r="D102" s="22"/>
      <c r="E102" s="14" t="s">
        <v>180</v>
      </c>
      <c r="F102" s="15" t="s">
        <v>397</v>
      </c>
      <c r="G102" s="15" t="s">
        <v>398</v>
      </c>
      <c r="H102" s="16"/>
      <c r="I102" s="17" t="s">
        <v>130</v>
      </c>
      <c r="J102" s="16"/>
      <c r="K102" s="17" t="s">
        <v>130</v>
      </c>
      <c r="L102" s="16"/>
      <c r="M102" s="17"/>
      <c r="N102" s="16"/>
      <c r="O102" s="17" t="s">
        <v>130</v>
      </c>
      <c r="P102" s="16"/>
      <c r="Q102" s="17"/>
      <c r="R102" s="16"/>
      <c r="S102" s="17" t="s">
        <v>130</v>
      </c>
      <c r="T102" s="18" t="n">
        <f>10985</f>
        <v>10985.0</v>
      </c>
      <c r="U102" s="19" t="str">
        <f>"－"</f>
        <v>－</v>
      </c>
      <c r="V102" s="19"/>
      <c r="W102" s="23"/>
      <c r="X102" s="19" t="str">
        <f>"－"</f>
        <v>－</v>
      </c>
      <c r="Y102" s="19"/>
      <c r="Z102" s="23"/>
      <c r="AA102" s="16"/>
      <c r="AB102" s="20" t="str">
        <f>"－"</f>
        <v>－</v>
      </c>
      <c r="AC102" s="21" t="str">
        <f>"－"</f>
        <v>－</v>
      </c>
    </row>
    <row r="103">
      <c r="A103" s="13" t="s">
        <v>46</v>
      </c>
      <c r="B103" s="14" t="s">
        <v>391</v>
      </c>
      <c r="C103" s="14" t="s">
        <v>392</v>
      </c>
      <c r="D103" s="22"/>
      <c r="E103" s="14" t="s">
        <v>61</v>
      </c>
      <c r="F103" s="15" t="s">
        <v>399</v>
      </c>
      <c r="G103" s="15" t="s">
        <v>400</v>
      </c>
      <c r="H103" s="16"/>
      <c r="I103" s="17" t="s">
        <v>130</v>
      </c>
      <c r="J103" s="16"/>
      <c r="K103" s="17" t="s">
        <v>130</v>
      </c>
      <c r="L103" s="16"/>
      <c r="M103" s="17"/>
      <c r="N103" s="16"/>
      <c r="O103" s="17" t="s">
        <v>130</v>
      </c>
      <c r="P103" s="16"/>
      <c r="Q103" s="17"/>
      <c r="R103" s="16"/>
      <c r="S103" s="17" t="s">
        <v>130</v>
      </c>
      <c r="T103" s="18" t="n">
        <f>10796.9</f>
        <v>10796.9</v>
      </c>
      <c r="U103" s="19" t="str">
        <f>"－"</f>
        <v>－</v>
      </c>
      <c r="V103" s="19"/>
      <c r="W103" s="23"/>
      <c r="X103" s="19" t="str">
        <f>"－"</f>
        <v>－</v>
      </c>
      <c r="Y103" s="19"/>
      <c r="Z103" s="23"/>
      <c r="AA103" s="16"/>
      <c r="AB103" s="20" t="str">
        <f>"－"</f>
        <v>－</v>
      </c>
      <c r="AC103" s="21" t="str">
        <f>"－"</f>
        <v>－</v>
      </c>
    </row>
    <row r="104">
      <c r="A104" s="13" t="s">
        <v>46</v>
      </c>
      <c r="B104" s="14" t="s">
        <v>391</v>
      </c>
      <c r="C104" s="14" t="s">
        <v>392</v>
      </c>
      <c r="D104" s="22"/>
      <c r="E104" s="14" t="s">
        <v>74</v>
      </c>
      <c r="F104" s="15" t="s">
        <v>401</v>
      </c>
      <c r="G104" s="15" t="s">
        <v>402</v>
      </c>
      <c r="H104" s="16"/>
      <c r="I104" s="17" t="s">
        <v>130</v>
      </c>
      <c r="J104" s="16"/>
      <c r="K104" s="17" t="s">
        <v>130</v>
      </c>
      <c r="L104" s="16"/>
      <c r="M104" s="17"/>
      <c r="N104" s="16"/>
      <c r="O104" s="17" t="s">
        <v>130</v>
      </c>
      <c r="P104" s="16"/>
      <c r="Q104" s="17"/>
      <c r="R104" s="16"/>
      <c r="S104" s="17" t="s">
        <v>130</v>
      </c>
      <c r="T104" s="18" t="n">
        <f>10771.9</f>
        <v>10771.9</v>
      </c>
      <c r="U104" s="19" t="str">
        <f>"－"</f>
        <v>－</v>
      </c>
      <c r="V104" s="19"/>
      <c r="W104" s="23"/>
      <c r="X104" s="19" t="str">
        <f>"－"</f>
        <v>－</v>
      </c>
      <c r="Y104" s="19"/>
      <c r="Z104" s="23"/>
      <c r="AA104" s="16"/>
      <c r="AB104" s="20" t="str">
        <f>"－"</f>
        <v>－</v>
      </c>
      <c r="AC104" s="21" t="str">
        <f>"－"</f>
        <v>－</v>
      </c>
    </row>
    <row r="105">
      <c r="A105" s="13" t="s">
        <v>46</v>
      </c>
      <c r="B105" s="14" t="s">
        <v>403</v>
      </c>
      <c r="C105" s="14" t="s">
        <v>404</v>
      </c>
      <c r="D105" s="22"/>
      <c r="E105" s="14" t="s">
        <v>46</v>
      </c>
      <c r="F105" s="15" t="s">
        <v>405</v>
      </c>
      <c r="G105" s="15" t="s">
        <v>406</v>
      </c>
      <c r="H105" s="16"/>
      <c r="I105" s="17" t="s">
        <v>130</v>
      </c>
      <c r="J105" s="16"/>
      <c r="K105" s="17" t="s">
        <v>130</v>
      </c>
      <c r="L105" s="16"/>
      <c r="M105" s="17"/>
      <c r="N105" s="16"/>
      <c r="O105" s="17" t="s">
        <v>130</v>
      </c>
      <c r="P105" s="16"/>
      <c r="Q105" s="17"/>
      <c r="R105" s="16"/>
      <c r="S105" s="17" t="s">
        <v>130</v>
      </c>
      <c r="T105" s="18" t="n">
        <f>642</f>
        <v>642.0</v>
      </c>
      <c r="U105" s="19" t="str">
        <f>"－"</f>
        <v>－</v>
      </c>
      <c r="V105" s="19"/>
      <c r="W105" s="23"/>
      <c r="X105" s="19" t="str">
        <f>"－"</f>
        <v>－</v>
      </c>
      <c r="Y105" s="19"/>
      <c r="Z105" s="23"/>
      <c r="AA105" s="16"/>
      <c r="AB105" s="20" t="n">
        <f>7135</f>
        <v>7135.0</v>
      </c>
      <c r="AC105" s="21" t="str">
        <f>"－"</f>
        <v>－</v>
      </c>
    </row>
    <row r="106">
      <c r="A106" s="13" t="s">
        <v>46</v>
      </c>
      <c r="B106" s="14" t="s">
        <v>403</v>
      </c>
      <c r="C106" s="14" t="s">
        <v>404</v>
      </c>
      <c r="D106" s="22"/>
      <c r="E106" s="14" t="s">
        <v>91</v>
      </c>
      <c r="F106" s="15" t="s">
        <v>407</v>
      </c>
      <c r="G106" s="15" t="s">
        <v>408</v>
      </c>
      <c r="H106" s="16"/>
      <c r="I106" s="17" t="s">
        <v>130</v>
      </c>
      <c r="J106" s="16"/>
      <c r="K106" s="17" t="s">
        <v>130</v>
      </c>
      <c r="L106" s="16"/>
      <c r="M106" s="17"/>
      <c r="N106" s="16"/>
      <c r="O106" s="17" t="s">
        <v>130</v>
      </c>
      <c r="P106" s="16"/>
      <c r="Q106" s="17"/>
      <c r="R106" s="16"/>
      <c r="S106" s="17" t="s">
        <v>130</v>
      </c>
      <c r="T106" s="18" t="n">
        <f>653.81</f>
        <v>653.81</v>
      </c>
      <c r="U106" s="19" t="str">
        <f>"－"</f>
        <v>－</v>
      </c>
      <c r="V106" s="19"/>
      <c r="W106" s="23"/>
      <c r="X106" s="19" t="str">
        <f>"－"</f>
        <v>－</v>
      </c>
      <c r="Y106" s="19"/>
      <c r="Z106" s="23"/>
      <c r="AA106" s="16"/>
      <c r="AB106" s="20" t="n">
        <f>5597</f>
        <v>5597.0</v>
      </c>
      <c r="AC106" s="21" t="str">
        <f>"－"</f>
        <v>－</v>
      </c>
    </row>
    <row r="107">
      <c r="A107" s="13" t="s">
        <v>46</v>
      </c>
      <c r="B107" s="14" t="s">
        <v>403</v>
      </c>
      <c r="C107" s="14" t="s">
        <v>404</v>
      </c>
      <c r="D107" s="22"/>
      <c r="E107" s="14" t="s">
        <v>115</v>
      </c>
      <c r="F107" s="15" t="s">
        <v>409</v>
      </c>
      <c r="G107" s="15" t="s">
        <v>410</v>
      </c>
      <c r="H107" s="16"/>
      <c r="I107" s="17" t="s">
        <v>130</v>
      </c>
      <c r="J107" s="16"/>
      <c r="K107" s="17" t="s">
        <v>130</v>
      </c>
      <c r="L107" s="16"/>
      <c r="M107" s="17"/>
      <c r="N107" s="16"/>
      <c r="O107" s="17" t="s">
        <v>130</v>
      </c>
      <c r="P107" s="16"/>
      <c r="Q107" s="17"/>
      <c r="R107" s="16"/>
      <c r="S107" s="17" t="s">
        <v>130</v>
      </c>
      <c r="T107" s="18" t="n">
        <f>652.95</f>
        <v>652.95</v>
      </c>
      <c r="U107" s="19" t="str">
        <f>"－"</f>
        <v>－</v>
      </c>
      <c r="V107" s="19"/>
      <c r="W107" s="23"/>
      <c r="X107" s="19" t="str">
        <f>"－"</f>
        <v>－</v>
      </c>
      <c r="Y107" s="19"/>
      <c r="Z107" s="23"/>
      <c r="AA107" s="16"/>
      <c r="AB107" s="20" t="n">
        <f>516</f>
        <v>516.0</v>
      </c>
      <c r="AC107" s="21" t="str">
        <f>"－"</f>
        <v>－</v>
      </c>
    </row>
    <row r="108">
      <c r="A108" s="13" t="s">
        <v>46</v>
      </c>
      <c r="B108" s="14" t="s">
        <v>403</v>
      </c>
      <c r="C108" s="14" t="s">
        <v>404</v>
      </c>
      <c r="D108" s="22"/>
      <c r="E108" s="14" t="s">
        <v>127</v>
      </c>
      <c r="F108" s="15" t="s">
        <v>411</v>
      </c>
      <c r="G108" s="15" t="s">
        <v>412</v>
      </c>
      <c r="H108" s="16"/>
      <c r="I108" s="17" t="s">
        <v>130</v>
      </c>
      <c r="J108" s="16"/>
      <c r="K108" s="17" t="s">
        <v>130</v>
      </c>
      <c r="L108" s="16"/>
      <c r="M108" s="17"/>
      <c r="N108" s="16"/>
      <c r="O108" s="17" t="s">
        <v>130</v>
      </c>
      <c r="P108" s="16"/>
      <c r="Q108" s="17"/>
      <c r="R108" s="16"/>
      <c r="S108" s="17" t="s">
        <v>130</v>
      </c>
      <c r="T108" s="18" t="n">
        <f>648.9</f>
        <v>648.9</v>
      </c>
      <c r="U108" s="19" t="str">
        <f>"－"</f>
        <v>－</v>
      </c>
      <c r="V108" s="19"/>
      <c r="W108" s="23"/>
      <c r="X108" s="19" t="str">
        <f>"－"</f>
        <v>－</v>
      </c>
      <c r="Y108" s="19"/>
      <c r="Z108" s="23"/>
      <c r="AA108" s="16"/>
      <c r="AB108" s="20" t="n">
        <f>250</f>
        <v>250.0</v>
      </c>
      <c r="AC108" s="21" t="str">
        <f>"－"</f>
        <v>－</v>
      </c>
    </row>
    <row r="109">
      <c r="A109" s="13" t="s">
        <v>46</v>
      </c>
      <c r="B109" s="14" t="s">
        <v>403</v>
      </c>
      <c r="C109" s="14" t="s">
        <v>404</v>
      </c>
      <c r="D109" s="22"/>
      <c r="E109" s="14" t="s">
        <v>136</v>
      </c>
      <c r="F109" s="15" t="s">
        <v>413</v>
      </c>
      <c r="G109" s="15" t="s">
        <v>414</v>
      </c>
      <c r="H109" s="16"/>
      <c r="I109" s="17" t="s">
        <v>130</v>
      </c>
      <c r="J109" s="16"/>
      <c r="K109" s="17" t="s">
        <v>130</v>
      </c>
      <c r="L109" s="16"/>
      <c r="M109" s="17"/>
      <c r="N109" s="16"/>
      <c r="O109" s="17" t="s">
        <v>130</v>
      </c>
      <c r="P109" s="16"/>
      <c r="Q109" s="17"/>
      <c r="R109" s="16"/>
      <c r="S109" s="17" t="s">
        <v>130</v>
      </c>
      <c r="T109" s="18" t="n">
        <f>641.29</f>
        <v>641.29</v>
      </c>
      <c r="U109" s="19" t="str">
        <f>"－"</f>
        <v>－</v>
      </c>
      <c r="V109" s="19"/>
      <c r="W109" s="23"/>
      <c r="X109" s="19" t="str">
        <f>"－"</f>
        <v>－</v>
      </c>
      <c r="Y109" s="19"/>
      <c r="Z109" s="23"/>
      <c r="AA109" s="16"/>
      <c r="AB109" s="20" t="str">
        <f>"－"</f>
        <v>－</v>
      </c>
      <c r="AC109" s="21" t="str">
        <f>"－"</f>
        <v>－</v>
      </c>
    </row>
    <row r="110">
      <c r="A110" s="13" t="s">
        <v>46</v>
      </c>
      <c r="B110" s="14" t="s">
        <v>403</v>
      </c>
      <c r="C110" s="14" t="s">
        <v>404</v>
      </c>
      <c r="D110" s="22"/>
      <c r="E110" s="14" t="s">
        <v>143</v>
      </c>
      <c r="F110" s="15" t="s">
        <v>415</v>
      </c>
      <c r="G110" s="15" t="s">
        <v>416</v>
      </c>
      <c r="H110" s="16"/>
      <c r="I110" s="17" t="s">
        <v>130</v>
      </c>
      <c r="J110" s="16"/>
      <c r="K110" s="17" t="s">
        <v>130</v>
      </c>
      <c r="L110" s="16"/>
      <c r="M110" s="17"/>
      <c r="N110" s="16"/>
      <c r="O110" s="17" t="s">
        <v>130</v>
      </c>
      <c r="P110" s="16"/>
      <c r="Q110" s="17"/>
      <c r="R110" s="16"/>
      <c r="S110" s="17" t="s">
        <v>130</v>
      </c>
      <c r="T110" s="18" t="n">
        <f>588.81</f>
        <v>588.81</v>
      </c>
      <c r="U110" s="19" t="str">
        <f>"－"</f>
        <v>－</v>
      </c>
      <c r="V110" s="19"/>
      <c r="W110" s="23"/>
      <c r="X110" s="19" t="str">
        <f>"－"</f>
        <v>－</v>
      </c>
      <c r="Y110" s="19"/>
      <c r="Z110" s="23"/>
      <c r="AA110" s="16"/>
      <c r="AB110" s="20" t="str">
        <f>"－"</f>
        <v>－</v>
      </c>
      <c r="AC110" s="21" t="str">
        <f>"－"</f>
        <v>－</v>
      </c>
    </row>
    <row r="111">
      <c r="A111" s="13" t="s">
        <v>46</v>
      </c>
      <c r="B111" s="14" t="s">
        <v>403</v>
      </c>
      <c r="C111" s="14" t="s">
        <v>404</v>
      </c>
      <c r="D111" s="22"/>
      <c r="E111" s="14" t="s">
        <v>150</v>
      </c>
      <c r="F111" s="15" t="s">
        <v>417</v>
      </c>
      <c r="G111" s="15" t="s">
        <v>418</v>
      </c>
      <c r="H111" s="16"/>
      <c r="I111" s="17" t="s">
        <v>130</v>
      </c>
      <c r="J111" s="16"/>
      <c r="K111" s="17" t="s">
        <v>130</v>
      </c>
      <c r="L111" s="16"/>
      <c r="M111" s="17"/>
      <c r="N111" s="16"/>
      <c r="O111" s="17" t="s">
        <v>130</v>
      </c>
      <c r="P111" s="16"/>
      <c r="Q111" s="17"/>
      <c r="R111" s="16"/>
      <c r="S111" s="17" t="s">
        <v>130</v>
      </c>
      <c r="T111" s="18" t="n">
        <f>588.81</f>
        <v>588.81</v>
      </c>
      <c r="U111" s="19" t="str">
        <f>"－"</f>
        <v>－</v>
      </c>
      <c r="V111" s="19"/>
      <c r="W111" s="23"/>
      <c r="X111" s="19" t="str">
        <f>"－"</f>
        <v>－</v>
      </c>
      <c r="Y111" s="19"/>
      <c r="Z111" s="23"/>
      <c r="AA111" s="16"/>
      <c r="AB111" s="20" t="str">
        <f>"－"</f>
        <v>－</v>
      </c>
      <c r="AC111" s="21" t="str">
        <f>"－"</f>
        <v>－</v>
      </c>
    </row>
    <row r="112">
      <c r="A112" s="13" t="s">
        <v>46</v>
      </c>
      <c r="B112" s="14" t="s">
        <v>403</v>
      </c>
      <c r="C112" s="14" t="s">
        <v>404</v>
      </c>
      <c r="D112" s="22"/>
      <c r="E112" s="14" t="s">
        <v>156</v>
      </c>
      <c r="F112" s="15" t="s">
        <v>419</v>
      </c>
      <c r="G112" s="15" t="s">
        <v>420</v>
      </c>
      <c r="H112" s="16"/>
      <c r="I112" s="17" t="s">
        <v>130</v>
      </c>
      <c r="J112" s="16"/>
      <c r="K112" s="17" t="s">
        <v>130</v>
      </c>
      <c r="L112" s="16"/>
      <c r="M112" s="17"/>
      <c r="N112" s="16"/>
      <c r="O112" s="17" t="s">
        <v>130</v>
      </c>
      <c r="P112" s="16"/>
      <c r="Q112" s="17"/>
      <c r="R112" s="16"/>
      <c r="S112" s="17" t="s">
        <v>130</v>
      </c>
      <c r="T112" s="18" t="n">
        <f>588.81</f>
        <v>588.81</v>
      </c>
      <c r="U112" s="19" t="str">
        <f>"－"</f>
        <v>－</v>
      </c>
      <c r="V112" s="19"/>
      <c r="W112" s="23"/>
      <c r="X112" s="19" t="str">
        <f>"－"</f>
        <v>－</v>
      </c>
      <c r="Y112" s="19"/>
      <c r="Z112" s="23"/>
      <c r="AA112" s="16"/>
      <c r="AB112" s="20" t="str">
        <f>"－"</f>
        <v>－</v>
      </c>
      <c r="AC112" s="21" t="str">
        <f>"－"</f>
        <v>－</v>
      </c>
    </row>
    <row r="113">
      <c r="A113" s="13" t="s">
        <v>46</v>
      </c>
      <c r="B113" s="14" t="s">
        <v>421</v>
      </c>
      <c r="C113" s="14" t="s">
        <v>422</v>
      </c>
      <c r="D113" s="22"/>
      <c r="E113" s="14" t="s">
        <v>46</v>
      </c>
      <c r="F113" s="15" t="s">
        <v>423</v>
      </c>
      <c r="G113" s="15" t="s">
        <v>424</v>
      </c>
      <c r="H113" s="16" t="s">
        <v>51</v>
      </c>
      <c r="I113" s="17" t="s">
        <v>425</v>
      </c>
      <c r="J113" s="16" t="s">
        <v>68</v>
      </c>
      <c r="K113" s="17" t="s">
        <v>426</v>
      </c>
      <c r="L113" s="16"/>
      <c r="M113" s="17"/>
      <c r="N113" s="16" t="s">
        <v>51</v>
      </c>
      <c r="O113" s="17" t="s">
        <v>427</v>
      </c>
      <c r="P113" s="16"/>
      <c r="Q113" s="17"/>
      <c r="R113" s="16" t="s">
        <v>103</v>
      </c>
      <c r="S113" s="17" t="s">
        <v>428</v>
      </c>
      <c r="T113" s="18" t="n">
        <f>18.38</f>
        <v>18.38</v>
      </c>
      <c r="U113" s="19" t="n">
        <f>141</f>
        <v>141.0</v>
      </c>
      <c r="V113" s="19"/>
      <c r="W113" s="23"/>
      <c r="X113" s="19" t="n">
        <f>26473500</f>
        <v>2.64735E7</v>
      </c>
      <c r="Y113" s="19"/>
      <c r="Z113" s="23"/>
      <c r="AA113" s="16" t="s">
        <v>60</v>
      </c>
      <c r="AB113" s="20" t="n">
        <f>28</f>
        <v>28.0</v>
      </c>
      <c r="AC113" s="21" t="n">
        <f>8</f>
        <v>8.0</v>
      </c>
    </row>
    <row r="114">
      <c r="A114" s="13" t="s">
        <v>46</v>
      </c>
      <c r="B114" s="14" t="s">
        <v>421</v>
      </c>
      <c r="C114" s="14" t="s">
        <v>422</v>
      </c>
      <c r="D114" s="22"/>
      <c r="E114" s="14" t="s">
        <v>172</v>
      </c>
      <c r="F114" s="15" t="s">
        <v>429</v>
      </c>
      <c r="G114" s="15" t="s">
        <v>430</v>
      </c>
      <c r="H114" s="16" t="s">
        <v>51</v>
      </c>
      <c r="I114" s="17" t="s">
        <v>431</v>
      </c>
      <c r="J114" s="16" t="s">
        <v>68</v>
      </c>
      <c r="K114" s="17" t="s">
        <v>432</v>
      </c>
      <c r="L114" s="16"/>
      <c r="M114" s="17"/>
      <c r="N114" s="16" t="s">
        <v>287</v>
      </c>
      <c r="O114" s="17" t="s">
        <v>433</v>
      </c>
      <c r="P114" s="16"/>
      <c r="Q114" s="17"/>
      <c r="R114" s="16" t="s">
        <v>72</v>
      </c>
      <c r="S114" s="17" t="s">
        <v>434</v>
      </c>
      <c r="T114" s="18" t="n">
        <f>19.35</f>
        <v>19.35</v>
      </c>
      <c r="U114" s="19" t="n">
        <f>99</f>
        <v>99.0</v>
      </c>
      <c r="V114" s="19"/>
      <c r="W114" s="23"/>
      <c r="X114" s="19" t="n">
        <f>19174000</f>
        <v>1.9174E7</v>
      </c>
      <c r="Y114" s="19"/>
      <c r="Z114" s="23"/>
      <c r="AA114" s="16"/>
      <c r="AB114" s="20" t="n">
        <f>56</f>
        <v>56.0</v>
      </c>
      <c r="AC114" s="21" t="n">
        <f>18</f>
        <v>18.0</v>
      </c>
    </row>
    <row r="115">
      <c r="A115" s="13" t="s">
        <v>46</v>
      </c>
      <c r="B115" s="14" t="s">
        <v>421</v>
      </c>
      <c r="C115" s="14" t="s">
        <v>422</v>
      </c>
      <c r="D115" s="22"/>
      <c r="E115" s="14" t="s">
        <v>180</v>
      </c>
      <c r="F115" s="15" t="s">
        <v>435</v>
      </c>
      <c r="G115" s="15" t="s">
        <v>436</v>
      </c>
      <c r="H115" s="16" t="s">
        <v>55</v>
      </c>
      <c r="I115" s="17" t="s">
        <v>426</v>
      </c>
      <c r="J115" s="16" t="s">
        <v>68</v>
      </c>
      <c r="K115" s="17" t="s">
        <v>437</v>
      </c>
      <c r="L115" s="16"/>
      <c r="M115" s="17"/>
      <c r="N115" s="16" t="s">
        <v>287</v>
      </c>
      <c r="O115" s="17" t="s">
        <v>438</v>
      </c>
      <c r="P115" s="16"/>
      <c r="Q115" s="17"/>
      <c r="R115" s="16" t="s">
        <v>107</v>
      </c>
      <c r="S115" s="17" t="s">
        <v>434</v>
      </c>
      <c r="T115" s="18" t="n">
        <f>19.73</f>
        <v>19.73</v>
      </c>
      <c r="U115" s="19" t="n">
        <f>66</f>
        <v>66.0</v>
      </c>
      <c r="V115" s="19"/>
      <c r="W115" s="23"/>
      <c r="X115" s="19" t="n">
        <f>13011000</f>
        <v>1.3011E7</v>
      </c>
      <c r="Y115" s="19"/>
      <c r="Z115" s="23"/>
      <c r="AA115" s="16"/>
      <c r="AB115" s="20" t="n">
        <f>18</f>
        <v>18.0</v>
      </c>
      <c r="AC115" s="21" t="n">
        <f>16</f>
        <v>16.0</v>
      </c>
    </row>
    <row r="116">
      <c r="A116" s="13" t="s">
        <v>46</v>
      </c>
      <c r="B116" s="14" t="s">
        <v>421</v>
      </c>
      <c r="C116" s="14" t="s">
        <v>422</v>
      </c>
      <c r="D116" s="22"/>
      <c r="E116" s="14" t="s">
        <v>61</v>
      </c>
      <c r="F116" s="15" t="s">
        <v>439</v>
      </c>
      <c r="G116" s="15" t="s">
        <v>440</v>
      </c>
      <c r="H116" s="16" t="s">
        <v>58</v>
      </c>
      <c r="I116" s="17" t="s">
        <v>432</v>
      </c>
      <c r="J116" s="16" t="s">
        <v>120</v>
      </c>
      <c r="K116" s="17" t="s">
        <v>441</v>
      </c>
      <c r="L116" s="16"/>
      <c r="M116" s="17"/>
      <c r="N116" s="16" t="s">
        <v>322</v>
      </c>
      <c r="O116" s="17" t="s">
        <v>442</v>
      </c>
      <c r="P116" s="16"/>
      <c r="Q116" s="17"/>
      <c r="R116" s="16" t="s">
        <v>322</v>
      </c>
      <c r="S116" s="17" t="s">
        <v>442</v>
      </c>
      <c r="T116" s="18" t="n">
        <f>20.87</f>
        <v>20.87</v>
      </c>
      <c r="U116" s="19" t="n">
        <f>27</f>
        <v>27.0</v>
      </c>
      <c r="V116" s="19"/>
      <c r="W116" s="23"/>
      <c r="X116" s="19" t="n">
        <f>5709500</f>
        <v>5709500.0</v>
      </c>
      <c r="Y116" s="19"/>
      <c r="Z116" s="23"/>
      <c r="AA116" s="16"/>
      <c r="AB116" s="20" t="n">
        <f>10</f>
        <v>10.0</v>
      </c>
      <c r="AC116" s="21" t="n">
        <f>9</f>
        <v>9.0</v>
      </c>
    </row>
    <row r="117">
      <c r="A117" s="13" t="s">
        <v>46</v>
      </c>
      <c r="B117" s="14" t="s">
        <v>421</v>
      </c>
      <c r="C117" s="14" t="s">
        <v>422</v>
      </c>
      <c r="D117" s="22"/>
      <c r="E117" s="14" t="s">
        <v>194</v>
      </c>
      <c r="F117" s="15" t="s">
        <v>443</v>
      </c>
      <c r="G117" s="15" t="s">
        <v>444</v>
      </c>
      <c r="H117" s="16" t="s">
        <v>65</v>
      </c>
      <c r="I117" s="17" t="s">
        <v>445</v>
      </c>
      <c r="J117" s="16" t="s">
        <v>446</v>
      </c>
      <c r="K117" s="17" t="s">
        <v>447</v>
      </c>
      <c r="L117" s="16"/>
      <c r="M117" s="17"/>
      <c r="N117" s="16" t="s">
        <v>65</v>
      </c>
      <c r="O117" s="17" t="s">
        <v>445</v>
      </c>
      <c r="P117" s="16"/>
      <c r="Q117" s="17"/>
      <c r="R117" s="16" t="s">
        <v>446</v>
      </c>
      <c r="S117" s="17" t="s">
        <v>447</v>
      </c>
      <c r="T117" s="18" t="n">
        <f>20.18</f>
        <v>20.18</v>
      </c>
      <c r="U117" s="19" t="n">
        <f>4</f>
        <v>4.0</v>
      </c>
      <c r="V117" s="19"/>
      <c r="W117" s="23"/>
      <c r="X117" s="19" t="n">
        <f>825000</f>
        <v>825000.0</v>
      </c>
      <c r="Y117" s="19"/>
      <c r="Z117" s="23"/>
      <c r="AA117" s="16"/>
      <c r="AB117" s="20" t="n">
        <f>2</f>
        <v>2.0</v>
      </c>
      <c r="AC117" s="21" t="n">
        <f>2</f>
        <v>2.0</v>
      </c>
    </row>
    <row r="118">
      <c r="A118" s="13" t="s">
        <v>46</v>
      </c>
      <c r="B118" s="14" t="s">
        <v>421</v>
      </c>
      <c r="C118" s="14" t="s">
        <v>422</v>
      </c>
      <c r="D118" s="22"/>
      <c r="E118" s="14" t="s">
        <v>448</v>
      </c>
      <c r="F118" s="15" t="s">
        <v>449</v>
      </c>
      <c r="G118" s="15" t="s">
        <v>450</v>
      </c>
      <c r="H118" s="16"/>
      <c r="I118" s="17" t="s">
        <v>130</v>
      </c>
      <c r="J118" s="16"/>
      <c r="K118" s="17" t="s">
        <v>130</v>
      </c>
      <c r="L118" s="16"/>
      <c r="M118" s="17"/>
      <c r="N118" s="16"/>
      <c r="O118" s="17" t="s">
        <v>130</v>
      </c>
      <c r="P118" s="16"/>
      <c r="Q118" s="17"/>
      <c r="R118" s="16"/>
      <c r="S118" s="17" t="s">
        <v>130</v>
      </c>
      <c r="T118" s="18" t="n">
        <f>20.29</f>
        <v>20.29</v>
      </c>
      <c r="U118" s="19" t="str">
        <f>"－"</f>
        <v>－</v>
      </c>
      <c r="V118" s="19"/>
      <c r="W118" s="23"/>
      <c r="X118" s="19" t="str">
        <f>"－"</f>
        <v>－</v>
      </c>
      <c r="Y118" s="19"/>
      <c r="Z118" s="23"/>
      <c r="AA118" s="16"/>
      <c r="AB118" s="20" t="str">
        <f>"－"</f>
        <v>－</v>
      </c>
      <c r="AC118" s="21" t="str">
        <f>"－"</f>
        <v>－</v>
      </c>
    </row>
    <row r="119">
      <c r="A119" s="13" t="s">
        <v>46</v>
      </c>
      <c r="B119" s="14" t="s">
        <v>421</v>
      </c>
      <c r="C119" s="14" t="s">
        <v>422</v>
      </c>
      <c r="D119" s="22"/>
      <c r="E119" s="14" t="s">
        <v>74</v>
      </c>
      <c r="F119" s="15" t="s">
        <v>451</v>
      </c>
      <c r="G119" s="15" t="s">
        <v>452</v>
      </c>
      <c r="H119" s="16"/>
      <c r="I119" s="17" t="s">
        <v>130</v>
      </c>
      <c r="J119" s="16"/>
      <c r="K119" s="17" t="s">
        <v>130</v>
      </c>
      <c r="L119" s="16"/>
      <c r="M119" s="17"/>
      <c r="N119" s="16"/>
      <c r="O119" s="17" t="s">
        <v>130</v>
      </c>
      <c r="P119" s="16"/>
      <c r="Q119" s="17"/>
      <c r="R119" s="16"/>
      <c r="S119" s="17" t="s">
        <v>130</v>
      </c>
      <c r="T119" s="18" t="n">
        <f>20.34</f>
        <v>20.34</v>
      </c>
      <c r="U119" s="19" t="str">
        <f>"－"</f>
        <v>－</v>
      </c>
      <c r="V119" s="19"/>
      <c r="W119" s="23"/>
      <c r="X119" s="19" t="str">
        <f>"－"</f>
        <v>－</v>
      </c>
      <c r="Y119" s="19"/>
      <c r="Z119" s="23"/>
      <c r="AA119" s="16"/>
      <c r="AB119" s="20" t="str">
        <f>"－"</f>
        <v>－</v>
      </c>
      <c r="AC119" s="21" t="str">
        <f>"－"</f>
        <v>－</v>
      </c>
    </row>
    <row r="120">
      <c r="A120" s="13" t="s">
        <v>46</v>
      </c>
      <c r="B120" s="14" t="s">
        <v>421</v>
      </c>
      <c r="C120" s="14" t="s">
        <v>422</v>
      </c>
      <c r="D120" s="22"/>
      <c r="E120" s="14" t="s">
        <v>453</v>
      </c>
      <c r="F120" s="15" t="s">
        <v>454</v>
      </c>
      <c r="G120" s="15" t="s">
        <v>455</v>
      </c>
      <c r="H120" s="16"/>
      <c r="I120" s="17" t="s">
        <v>130</v>
      </c>
      <c r="J120" s="16"/>
      <c r="K120" s="17" t="s">
        <v>130</v>
      </c>
      <c r="L120" s="16"/>
      <c r="M120" s="17"/>
      <c r="N120" s="16"/>
      <c r="O120" s="17" t="s">
        <v>130</v>
      </c>
      <c r="P120" s="16"/>
      <c r="Q120" s="17"/>
      <c r="R120" s="16"/>
      <c r="S120" s="17" t="s">
        <v>130</v>
      </c>
      <c r="T120" s="18" t="n">
        <f>20.49</f>
        <v>20.49</v>
      </c>
      <c r="U120" s="19" t="str">
        <f>"－"</f>
        <v>－</v>
      </c>
      <c r="V120" s="19"/>
      <c r="W120" s="23"/>
      <c r="X120" s="19" t="str">
        <f>"－"</f>
        <v>－</v>
      </c>
      <c r="Y120" s="19"/>
      <c r="Z120" s="23"/>
      <c r="AA120" s="16"/>
      <c r="AB120" s="20" t="str">
        <f>"－"</f>
        <v>－</v>
      </c>
      <c r="AC120" s="21" t="str">
        <f>"－"</f>
        <v>－</v>
      </c>
    </row>
    <row r="121">
      <c r="A121" s="13" t="s">
        <v>46</v>
      </c>
      <c r="B121" s="14" t="s">
        <v>421</v>
      </c>
      <c r="C121" s="14" t="s">
        <v>422</v>
      </c>
      <c r="D121" s="22"/>
      <c r="E121" s="14" t="s">
        <v>456</v>
      </c>
      <c r="F121" s="15" t="s">
        <v>457</v>
      </c>
      <c r="G121" s="15" t="s">
        <v>458</v>
      </c>
      <c r="H121" s="16"/>
      <c r="I121" s="17" t="s">
        <v>130</v>
      </c>
      <c r="J121" s="16"/>
      <c r="K121" s="17" t="s">
        <v>130</v>
      </c>
      <c r="L121" s="16"/>
      <c r="M121" s="17"/>
      <c r="N121" s="16"/>
      <c r="O121" s="17" t="s">
        <v>130</v>
      </c>
      <c r="P121" s="16"/>
      <c r="Q121" s="17"/>
      <c r="R121" s="16"/>
      <c r="S121" s="17" t="s">
        <v>130</v>
      </c>
      <c r="T121" s="18" t="n">
        <f>20.75</f>
        <v>20.75</v>
      </c>
      <c r="U121" s="19" t="str">
        <f>"－"</f>
        <v>－</v>
      </c>
      <c r="V121" s="19"/>
      <c r="W121" s="23"/>
      <c r="X121" s="19" t="str">
        <f>"－"</f>
        <v>－</v>
      </c>
      <c r="Y121" s="19"/>
      <c r="Z121" s="23"/>
      <c r="AA121" s="16"/>
      <c r="AB121" s="20" t="str">
        <f>"－"</f>
        <v>－</v>
      </c>
      <c r="AC121" s="21" t="str">
        <f>"－"</f>
        <v>－</v>
      </c>
    </row>
    <row r="122">
      <c r="A122" s="13" t="s">
        <v>46</v>
      </c>
      <c r="B122" s="14" t="s">
        <v>459</v>
      </c>
      <c r="C122" s="14" t="s">
        <v>460</v>
      </c>
      <c r="D122" s="22"/>
      <c r="E122" s="14" t="s">
        <v>46</v>
      </c>
      <c r="F122" s="15" t="s">
        <v>461</v>
      </c>
      <c r="G122" s="15" t="s">
        <v>50</v>
      </c>
      <c r="H122" s="16"/>
      <c r="I122" s="17" t="s">
        <v>130</v>
      </c>
      <c r="J122" s="16"/>
      <c r="K122" s="17" t="s">
        <v>130</v>
      </c>
      <c r="L122" s="16"/>
      <c r="M122" s="17"/>
      <c r="N122" s="16"/>
      <c r="O122" s="17" t="s">
        <v>130</v>
      </c>
      <c r="P122" s="16"/>
      <c r="Q122" s="17"/>
      <c r="R122" s="16"/>
      <c r="S122" s="17" t="s">
        <v>130</v>
      </c>
      <c r="T122" s="18" t="n">
        <f>2687.9</f>
        <v>2687.9</v>
      </c>
      <c r="U122" s="19" t="str">
        <f>"－"</f>
        <v>－</v>
      </c>
      <c r="V122" s="19"/>
      <c r="W122" s="23"/>
      <c r="X122" s="19" t="str">
        <f>"－"</f>
        <v>－</v>
      </c>
      <c r="Y122" s="19"/>
      <c r="Z122" s="23"/>
      <c r="AA122" s="16" t="s">
        <v>60</v>
      </c>
      <c r="AB122" s="20" t="str">
        <f>"－"</f>
        <v>－</v>
      </c>
      <c r="AC122" s="21" t="str">
        <f>"－"</f>
        <v>－</v>
      </c>
    </row>
    <row r="123">
      <c r="A123" s="13" t="s">
        <v>46</v>
      </c>
      <c r="B123" s="14" t="s">
        <v>459</v>
      </c>
      <c r="C123" s="14" t="s">
        <v>460</v>
      </c>
      <c r="D123" s="22"/>
      <c r="E123" s="14" t="s">
        <v>61</v>
      </c>
      <c r="F123" s="15" t="s">
        <v>160</v>
      </c>
      <c r="G123" s="15" t="s">
        <v>63</v>
      </c>
      <c r="H123" s="16"/>
      <c r="I123" s="17" t="s">
        <v>130</v>
      </c>
      <c r="J123" s="16"/>
      <c r="K123" s="17" t="s">
        <v>130</v>
      </c>
      <c r="L123" s="16"/>
      <c r="M123" s="17"/>
      <c r="N123" s="16"/>
      <c r="O123" s="17" t="s">
        <v>130</v>
      </c>
      <c r="P123" s="16"/>
      <c r="Q123" s="17"/>
      <c r="R123" s="16"/>
      <c r="S123" s="17" t="s">
        <v>130</v>
      </c>
      <c r="T123" s="18" t="n">
        <f>2661.5</f>
        <v>2661.5</v>
      </c>
      <c r="U123" s="19" t="str">
        <f>"－"</f>
        <v>－</v>
      </c>
      <c r="V123" s="19"/>
      <c r="W123" s="23"/>
      <c r="X123" s="19" t="str">
        <f>"－"</f>
        <v>－</v>
      </c>
      <c r="Y123" s="19"/>
      <c r="Z123" s="23"/>
      <c r="AA123" s="16"/>
      <c r="AB123" s="20" t="str">
        <f>"－"</f>
        <v>－</v>
      </c>
      <c r="AC123" s="21" t="str">
        <f>"－"</f>
        <v>－</v>
      </c>
    </row>
    <row r="124">
      <c r="A124" s="13" t="s">
        <v>46</v>
      </c>
      <c r="B124" s="14" t="s">
        <v>459</v>
      </c>
      <c r="C124" s="14" t="s">
        <v>460</v>
      </c>
      <c r="D124" s="22"/>
      <c r="E124" s="14" t="s">
        <v>74</v>
      </c>
      <c r="F124" s="15" t="s">
        <v>101</v>
      </c>
      <c r="G124" s="15" t="s">
        <v>75</v>
      </c>
      <c r="H124" s="16"/>
      <c r="I124" s="17" t="s">
        <v>130</v>
      </c>
      <c r="J124" s="16"/>
      <c r="K124" s="17" t="s">
        <v>130</v>
      </c>
      <c r="L124" s="16"/>
      <c r="M124" s="17"/>
      <c r="N124" s="16"/>
      <c r="O124" s="17" t="s">
        <v>130</v>
      </c>
      <c r="P124" s="16"/>
      <c r="Q124" s="17"/>
      <c r="R124" s="16"/>
      <c r="S124" s="17" t="s">
        <v>130</v>
      </c>
      <c r="T124" s="18" t="n">
        <f>2635.05</f>
        <v>2635.05</v>
      </c>
      <c r="U124" s="19" t="str">
        <f>"－"</f>
        <v>－</v>
      </c>
      <c r="V124" s="19"/>
      <c r="W124" s="23"/>
      <c r="X124" s="19" t="str">
        <f>"－"</f>
        <v>－</v>
      </c>
      <c r="Y124" s="19"/>
      <c r="Z124" s="23"/>
      <c r="AA124" s="16"/>
      <c r="AB124" s="20" t="str">
        <f>"－"</f>
        <v>－</v>
      </c>
      <c r="AC124" s="21" t="str">
        <f>"－"</f>
        <v>－</v>
      </c>
    </row>
    <row r="125">
      <c r="A125" s="13" t="s">
        <v>46</v>
      </c>
      <c r="B125" s="14" t="s">
        <v>459</v>
      </c>
      <c r="C125" s="14" t="s">
        <v>460</v>
      </c>
      <c r="D125" s="22"/>
      <c r="E125" s="14" t="s">
        <v>81</v>
      </c>
      <c r="F125" s="15" t="s">
        <v>163</v>
      </c>
      <c r="G125" s="15" t="s">
        <v>83</v>
      </c>
      <c r="H125" s="16"/>
      <c r="I125" s="17" t="s">
        <v>130</v>
      </c>
      <c r="J125" s="16"/>
      <c r="K125" s="17" t="s">
        <v>130</v>
      </c>
      <c r="L125" s="16"/>
      <c r="M125" s="17"/>
      <c r="N125" s="16"/>
      <c r="O125" s="17" t="s">
        <v>130</v>
      </c>
      <c r="P125" s="16"/>
      <c r="Q125" s="17"/>
      <c r="R125" s="16"/>
      <c r="S125" s="17" t="s">
        <v>130</v>
      </c>
      <c r="T125" s="18" t="n">
        <f>2626.5</f>
        <v>2626.5</v>
      </c>
      <c r="U125" s="19" t="str">
        <f>"－"</f>
        <v>－</v>
      </c>
      <c r="V125" s="19"/>
      <c r="W125" s="23"/>
      <c r="X125" s="19" t="str">
        <f>"－"</f>
        <v>－</v>
      </c>
      <c r="Y125" s="19"/>
      <c r="Z125" s="23"/>
      <c r="AA125" s="16"/>
      <c r="AB125" s="20" t="str">
        <f>"－"</f>
        <v>－</v>
      </c>
      <c r="AC125" s="21" t="str">
        <f>"－"</f>
        <v>－</v>
      </c>
    </row>
    <row r="126">
      <c r="A126" s="13" t="s">
        <v>46</v>
      </c>
      <c r="B126" s="14" t="s">
        <v>462</v>
      </c>
      <c r="C126" s="14" t="s">
        <v>463</v>
      </c>
      <c r="D126" s="22"/>
      <c r="E126" s="14" t="s">
        <v>46</v>
      </c>
      <c r="F126" s="15" t="s">
        <v>461</v>
      </c>
      <c r="G126" s="15" t="s">
        <v>50</v>
      </c>
      <c r="H126" s="16"/>
      <c r="I126" s="17" t="s">
        <v>130</v>
      </c>
      <c r="J126" s="16"/>
      <c r="K126" s="17" t="s">
        <v>130</v>
      </c>
      <c r="L126" s="16"/>
      <c r="M126" s="17"/>
      <c r="N126" s="16"/>
      <c r="O126" s="17" t="s">
        <v>130</v>
      </c>
      <c r="P126" s="16"/>
      <c r="Q126" s="17"/>
      <c r="R126" s="16"/>
      <c r="S126" s="17" t="s">
        <v>130</v>
      </c>
      <c r="T126" s="18" t="n">
        <f>1629.5</f>
        <v>1629.5</v>
      </c>
      <c r="U126" s="19" t="str">
        <f>"－"</f>
        <v>－</v>
      </c>
      <c r="V126" s="19"/>
      <c r="W126" s="23"/>
      <c r="X126" s="19" t="str">
        <f>"－"</f>
        <v>－</v>
      </c>
      <c r="Y126" s="19"/>
      <c r="Z126" s="23"/>
      <c r="AA126" s="16" t="s">
        <v>60</v>
      </c>
      <c r="AB126" s="20" t="str">
        <f>"－"</f>
        <v>－</v>
      </c>
      <c r="AC126" s="21" t="str">
        <f>"－"</f>
        <v>－</v>
      </c>
    </row>
    <row r="127">
      <c r="A127" s="13" t="s">
        <v>46</v>
      </c>
      <c r="B127" s="14" t="s">
        <v>462</v>
      </c>
      <c r="C127" s="14" t="s">
        <v>463</v>
      </c>
      <c r="D127" s="22"/>
      <c r="E127" s="14" t="s">
        <v>61</v>
      </c>
      <c r="F127" s="15" t="s">
        <v>160</v>
      </c>
      <c r="G127" s="15" t="s">
        <v>63</v>
      </c>
      <c r="H127" s="16"/>
      <c r="I127" s="17" t="s">
        <v>130</v>
      </c>
      <c r="J127" s="16"/>
      <c r="K127" s="17" t="s">
        <v>130</v>
      </c>
      <c r="L127" s="16"/>
      <c r="M127" s="17"/>
      <c r="N127" s="16"/>
      <c r="O127" s="17" t="s">
        <v>130</v>
      </c>
      <c r="P127" s="16"/>
      <c r="Q127" s="17"/>
      <c r="R127" s="16"/>
      <c r="S127" s="17" t="s">
        <v>130</v>
      </c>
      <c r="T127" s="18" t="n">
        <f>1617</f>
        <v>1617.0</v>
      </c>
      <c r="U127" s="19" t="str">
        <f>"－"</f>
        <v>－</v>
      </c>
      <c r="V127" s="19"/>
      <c r="W127" s="23"/>
      <c r="X127" s="19" t="str">
        <f>"－"</f>
        <v>－</v>
      </c>
      <c r="Y127" s="19"/>
      <c r="Z127" s="23"/>
      <c r="AA127" s="16"/>
      <c r="AB127" s="20" t="str">
        <f>"－"</f>
        <v>－</v>
      </c>
      <c r="AC127" s="21" t="str">
        <f>"－"</f>
        <v>－</v>
      </c>
    </row>
    <row r="128">
      <c r="A128" s="13" t="s">
        <v>46</v>
      </c>
      <c r="B128" s="14" t="s">
        <v>462</v>
      </c>
      <c r="C128" s="14" t="s">
        <v>463</v>
      </c>
      <c r="D128" s="22"/>
      <c r="E128" s="14" t="s">
        <v>74</v>
      </c>
      <c r="F128" s="15" t="s">
        <v>101</v>
      </c>
      <c r="G128" s="15" t="s">
        <v>75</v>
      </c>
      <c r="H128" s="16"/>
      <c r="I128" s="17" t="s">
        <v>130</v>
      </c>
      <c r="J128" s="16"/>
      <c r="K128" s="17" t="s">
        <v>130</v>
      </c>
      <c r="L128" s="16"/>
      <c r="M128" s="17"/>
      <c r="N128" s="16"/>
      <c r="O128" s="17" t="s">
        <v>130</v>
      </c>
      <c r="P128" s="16"/>
      <c r="Q128" s="17"/>
      <c r="R128" s="16"/>
      <c r="S128" s="17" t="s">
        <v>130</v>
      </c>
      <c r="T128" s="18" t="n">
        <f>1600.95</f>
        <v>1600.95</v>
      </c>
      <c r="U128" s="19" t="str">
        <f>"－"</f>
        <v>－</v>
      </c>
      <c r="V128" s="19"/>
      <c r="W128" s="23"/>
      <c r="X128" s="19" t="str">
        <f>"－"</f>
        <v>－</v>
      </c>
      <c r="Y128" s="19"/>
      <c r="Z128" s="23"/>
      <c r="AA128" s="16"/>
      <c r="AB128" s="20" t="str">
        <f>"－"</f>
        <v>－</v>
      </c>
      <c r="AC128" s="21" t="str">
        <f>"－"</f>
        <v>－</v>
      </c>
    </row>
    <row r="129">
      <c r="A129" s="13" t="s">
        <v>46</v>
      </c>
      <c r="B129" s="14" t="s">
        <v>462</v>
      </c>
      <c r="C129" s="14" t="s">
        <v>463</v>
      </c>
      <c r="D129" s="22"/>
      <c r="E129" s="14" t="s">
        <v>81</v>
      </c>
      <c r="F129" s="15" t="s">
        <v>163</v>
      </c>
      <c r="G129" s="15" t="s">
        <v>83</v>
      </c>
      <c r="H129" s="16"/>
      <c r="I129" s="17" t="s">
        <v>130</v>
      </c>
      <c r="J129" s="16"/>
      <c r="K129" s="17" t="s">
        <v>130</v>
      </c>
      <c r="L129" s="16"/>
      <c r="M129" s="17"/>
      <c r="N129" s="16"/>
      <c r="O129" s="17" t="s">
        <v>130</v>
      </c>
      <c r="P129" s="16"/>
      <c r="Q129" s="17"/>
      <c r="R129" s="16"/>
      <c r="S129" s="17" t="s">
        <v>130</v>
      </c>
      <c r="T129" s="18" t="n">
        <f>1596.81</f>
        <v>1596.81</v>
      </c>
      <c r="U129" s="19" t="str">
        <f>"－"</f>
        <v>－</v>
      </c>
      <c r="V129" s="19"/>
      <c r="W129" s="23"/>
      <c r="X129" s="19" t="str">
        <f>"－"</f>
        <v>－</v>
      </c>
      <c r="Y129" s="19"/>
      <c r="Z129" s="23"/>
      <c r="AA129" s="16"/>
      <c r="AB129" s="20" t="str">
        <f>"－"</f>
        <v>－</v>
      </c>
      <c r="AC129" s="21" t="str">
        <f>"－"</f>
        <v>－</v>
      </c>
    </row>
    <row r="130">
      <c r="A130" s="13" t="s">
        <v>46</v>
      </c>
      <c r="B130" s="14" t="s">
        <v>464</v>
      </c>
      <c r="C130" s="14" t="s">
        <v>465</v>
      </c>
      <c r="D130" s="22"/>
      <c r="E130" s="14" t="s">
        <v>46</v>
      </c>
      <c r="F130" s="15" t="s">
        <v>461</v>
      </c>
      <c r="G130" s="15" t="s">
        <v>50</v>
      </c>
      <c r="H130" s="16"/>
      <c r="I130" s="17" t="s">
        <v>130</v>
      </c>
      <c r="J130" s="16"/>
      <c r="K130" s="17" t="s">
        <v>130</v>
      </c>
      <c r="L130" s="16"/>
      <c r="M130" s="17"/>
      <c r="N130" s="16"/>
      <c r="O130" s="17" t="s">
        <v>130</v>
      </c>
      <c r="P130" s="16"/>
      <c r="Q130" s="17"/>
      <c r="R130" s="16"/>
      <c r="S130" s="17" t="s">
        <v>130</v>
      </c>
      <c r="T130" s="18" t="n">
        <f>32910</f>
        <v>32910.0</v>
      </c>
      <c r="U130" s="19" t="str">
        <f>"－"</f>
        <v>－</v>
      </c>
      <c r="V130" s="19"/>
      <c r="W130" s="23"/>
      <c r="X130" s="19" t="str">
        <f>"－"</f>
        <v>－</v>
      </c>
      <c r="Y130" s="19"/>
      <c r="Z130" s="23"/>
      <c r="AA130" s="16" t="s">
        <v>60</v>
      </c>
      <c r="AB130" s="20" t="str">
        <f>"－"</f>
        <v>－</v>
      </c>
      <c r="AC130" s="21" t="str">
        <f>"－"</f>
        <v>－</v>
      </c>
    </row>
    <row r="131">
      <c r="A131" s="13" t="s">
        <v>46</v>
      </c>
      <c r="B131" s="14" t="s">
        <v>464</v>
      </c>
      <c r="C131" s="14" t="s">
        <v>465</v>
      </c>
      <c r="D131" s="22"/>
      <c r="E131" s="14" t="s">
        <v>61</v>
      </c>
      <c r="F131" s="15" t="s">
        <v>160</v>
      </c>
      <c r="G131" s="15" t="s">
        <v>63</v>
      </c>
      <c r="H131" s="16"/>
      <c r="I131" s="17" t="s">
        <v>130</v>
      </c>
      <c r="J131" s="16"/>
      <c r="K131" s="17" t="s">
        <v>130</v>
      </c>
      <c r="L131" s="16"/>
      <c r="M131" s="17"/>
      <c r="N131" s="16"/>
      <c r="O131" s="17" t="s">
        <v>130</v>
      </c>
      <c r="P131" s="16"/>
      <c r="Q131" s="17"/>
      <c r="R131" s="16"/>
      <c r="S131" s="17" t="s">
        <v>130</v>
      </c>
      <c r="T131" s="18" t="n">
        <f>32869.05</f>
        <v>32869.05</v>
      </c>
      <c r="U131" s="19" t="str">
        <f>"－"</f>
        <v>－</v>
      </c>
      <c r="V131" s="19"/>
      <c r="W131" s="23"/>
      <c r="X131" s="19" t="str">
        <f>"－"</f>
        <v>－</v>
      </c>
      <c r="Y131" s="19"/>
      <c r="Z131" s="23"/>
      <c r="AA131" s="16"/>
      <c r="AB131" s="20" t="str">
        <f>"－"</f>
        <v>－</v>
      </c>
      <c r="AC131" s="21" t="str">
        <f>"－"</f>
        <v>－</v>
      </c>
    </row>
    <row r="132">
      <c r="A132" s="13" t="s">
        <v>46</v>
      </c>
      <c r="B132" s="14" t="s">
        <v>464</v>
      </c>
      <c r="C132" s="14" t="s">
        <v>465</v>
      </c>
      <c r="D132" s="22"/>
      <c r="E132" s="14" t="s">
        <v>74</v>
      </c>
      <c r="F132" s="15" t="s">
        <v>101</v>
      </c>
      <c r="G132" s="15" t="s">
        <v>75</v>
      </c>
      <c r="H132" s="16"/>
      <c r="I132" s="17" t="s">
        <v>130</v>
      </c>
      <c r="J132" s="16"/>
      <c r="K132" s="17" t="s">
        <v>130</v>
      </c>
      <c r="L132" s="16"/>
      <c r="M132" s="17"/>
      <c r="N132" s="16"/>
      <c r="O132" s="17" t="s">
        <v>130</v>
      </c>
      <c r="P132" s="16"/>
      <c r="Q132" s="17"/>
      <c r="R132" s="16"/>
      <c r="S132" s="17" t="s">
        <v>130</v>
      </c>
      <c r="T132" s="18" t="n">
        <f>32640.48</f>
        <v>32640.48</v>
      </c>
      <c r="U132" s="19" t="str">
        <f>"－"</f>
        <v>－</v>
      </c>
      <c r="V132" s="19"/>
      <c r="W132" s="23"/>
      <c r="X132" s="19" t="str">
        <f>"－"</f>
        <v>－</v>
      </c>
      <c r="Y132" s="19"/>
      <c r="Z132" s="23"/>
      <c r="AA132" s="16"/>
      <c r="AB132" s="20" t="str">
        <f>"－"</f>
        <v>－</v>
      </c>
      <c r="AC132" s="21" t="str">
        <f>"－"</f>
        <v>－</v>
      </c>
    </row>
    <row r="133">
      <c r="A133" s="13" t="s">
        <v>46</v>
      </c>
      <c r="B133" s="14" t="s">
        <v>464</v>
      </c>
      <c r="C133" s="14" t="s">
        <v>465</v>
      </c>
      <c r="D133" s="22"/>
      <c r="E133" s="14" t="s">
        <v>81</v>
      </c>
      <c r="F133" s="15" t="s">
        <v>163</v>
      </c>
      <c r="G133" s="15" t="s">
        <v>83</v>
      </c>
      <c r="H133" s="16"/>
      <c r="I133" s="17" t="s">
        <v>130</v>
      </c>
      <c r="J133" s="16"/>
      <c r="K133" s="17" t="s">
        <v>130</v>
      </c>
      <c r="L133" s="16"/>
      <c r="M133" s="17"/>
      <c r="N133" s="16"/>
      <c r="O133" s="17" t="s">
        <v>130</v>
      </c>
      <c r="P133" s="16"/>
      <c r="Q133" s="17"/>
      <c r="R133" s="16"/>
      <c r="S133" s="17" t="s">
        <v>130</v>
      </c>
      <c r="T133" s="18" t="n">
        <f>32617.5</f>
        <v>32617.5</v>
      </c>
      <c r="U133" s="19" t="str">
        <f>"－"</f>
        <v>－</v>
      </c>
      <c r="V133" s="19"/>
      <c r="W133" s="23"/>
      <c r="X133" s="19" t="str">
        <f>"－"</f>
        <v>－</v>
      </c>
      <c r="Y133" s="19"/>
      <c r="Z133" s="23"/>
      <c r="AA133" s="16"/>
      <c r="AB133" s="20" t="str">
        <f>"－"</f>
        <v>－</v>
      </c>
      <c r="AC133" s="21" t="str">
        <f>"－"</f>
        <v>－</v>
      </c>
    </row>
  </sheetData>
  <mergeCells count="32">
    <mergeCell ref="F6:G6"/>
    <mergeCell ref="AA6:AB6"/>
    <mergeCell ref="AA3:AB5"/>
    <mergeCell ref="Y4:Y5"/>
    <mergeCell ref="AC3:AC5"/>
    <mergeCell ref="U4:U5"/>
    <mergeCell ref="T3:T5"/>
    <mergeCell ref="I4:I5"/>
    <mergeCell ref="P4:Q4"/>
    <mergeCell ref="V4:V5"/>
    <mergeCell ref="X4:X5"/>
    <mergeCell ref="A2:C2"/>
    <mergeCell ref="A1:K1"/>
    <mergeCell ref="A3:A5"/>
    <mergeCell ref="H3:S3"/>
    <mergeCell ref="H4:H5"/>
    <mergeCell ref="K4:K5"/>
    <mergeCell ref="J4:J5"/>
    <mergeCell ref="O4:O5"/>
    <mergeCell ref="N4:N5"/>
    <mergeCell ref="S4:S5"/>
    <mergeCell ref="R4:R5"/>
    <mergeCell ref="E3:E5"/>
    <mergeCell ref="F3:G5"/>
    <mergeCell ref="L4:M4"/>
    <mergeCell ref="B3:B6"/>
    <mergeCell ref="C3:C6"/>
    <mergeCell ref="D3:D5"/>
    <mergeCell ref="W4:W5"/>
    <mergeCell ref="Z4:Z5"/>
    <mergeCell ref="X3:Z3"/>
    <mergeCell ref="U3:W3"/>
  </mergeCells>
  <phoneticPr fontId="6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6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BO_DM0000</vt:lpstr>
      <vt:lpstr>BO_DM0000!Print_Titles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2020-11-12T08:28:40Z</cp:lastPrinted>
  <dcterms:modified xsi:type="dcterms:W3CDTF">2020-11-12T08:28:46Z</dcterms:modified>
</cp:coreProperties>
</file>