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<sst xmlns="http://schemas.openxmlformats.org/spreadsheetml/2006/main" count="512" uniqueCount="68">
  <si>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</si>
  <si>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</si>
  <si>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</si>
  <si>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</si>
  <si>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</si>
  <si>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</si>
  <si>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</si>
  <si>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</si>
  <si>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</si>
  <si>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</si>
  <si>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</si>
  <si>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</si>
  <si>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</si>
  <si>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</si>
  <si>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</si>
  <si>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</si>
  <si>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</si>
  <si>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</si>
  <si>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</si>
  <si>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</si>
  <si>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</si>
  <si>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</si>
  <si>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</si>
  <si>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</si>
  <si>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</si>
  <si>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</si>
  <si>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1.1</t>
  </si>
  <si>
    <t>日経225オプション</t>
  </si>
  <si>
    <t>Nikkei 225 Options</t>
  </si>
  <si>
    <t>2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</si>
  <si>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</si>
  <si>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</si>
  <si>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</si>
  <si>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</si>
  <si>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</si>
  <si>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</si>
  <si>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</si>
  <si>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</si>
  <si>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</si>
  <si>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●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</si>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</sst>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33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/>
      <c r="F11" s="23"/>
      <c r="G11" s="25"/>
      <c r="H11" s="23"/>
      <c r="I11" s="26"/>
      <c r="J11" s="24"/>
      <c r="K11" s="25"/>
      <c r="L11" s="23"/>
      <c r="M11" s="25"/>
      <c r="N11" s="23"/>
      <c r="O11" s="26"/>
      <c r="P11" s="27"/>
      <c r="Q11" s="28"/>
      <c r="R11" s="29"/>
      <c r="S11" s="24"/>
      <c r="T11" s="25"/>
      <c r="U11" s="23"/>
      <c r="V11" s="25"/>
      <c r="W11" s="23"/>
      <c r="X11" s="26"/>
      <c r="Y11" s="24"/>
      <c r="Z11" s="25"/>
      <c r="AA11" s="23"/>
      <c r="AB11" s="25"/>
      <c r="AC11" s="23"/>
      <c r="AD11" s="26"/>
    </row>
    <row r="12">
      <c r="A12" s="30" t="s">
        <v>30</v>
      </c>
      <c r="B12" s="22" t="s">
        <v>27</v>
      </c>
      <c r="C12" s="22" t="s">
        <v>28</v>
      </c>
      <c r="D12" s="24"/>
      <c r="E12" s="25"/>
      <c r="F12" s="23"/>
      <c r="G12" s="25"/>
      <c r="H12" s="23"/>
      <c r="I12" s="26"/>
      <c r="J12" s="24"/>
      <c r="K12" s="25"/>
      <c r="L12" s="23"/>
      <c r="M12" s="25"/>
      <c r="N12" s="23"/>
      <c r="O12" s="26"/>
      <c r="P12" s="27"/>
      <c r="Q12" s="28"/>
      <c r="R12" s="29"/>
      <c r="S12" s="24"/>
      <c r="T12" s="25"/>
      <c r="U12" s="23"/>
      <c r="V12" s="25"/>
      <c r="W12" s="23"/>
      <c r="X12" s="26"/>
      <c r="Y12" s="24"/>
      <c r="Z12" s="25"/>
      <c r="AA12" s="23"/>
      <c r="AB12" s="25"/>
      <c r="AC12" s="23"/>
      <c r="AD12" s="26"/>
    </row>
    <row r="13">
      <c r="A13" s="30" t="s">
        <v>31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32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33</v>
      </c>
      <c r="B15" s="22" t="s">
        <v>27</v>
      </c>
      <c r="C15" s="22" t="s">
        <v>28</v>
      </c>
      <c r="D15" s="24"/>
      <c r="E15" s="25" t="n">
        <f>90179</f>
        <v>90179.0</v>
      </c>
      <c r="F15" s="23"/>
      <c r="G15" s="25" t="n">
        <f>70913</f>
        <v>70913.0</v>
      </c>
      <c r="H15" s="23"/>
      <c r="I15" s="26" t="n">
        <f>161092</f>
        <v>161092.0</v>
      </c>
      <c r="J15" s="24"/>
      <c r="K15" s="25" t="n">
        <f>12490796875</f>
        <v>1.2490796875E10</v>
      </c>
      <c r="L15" s="23"/>
      <c r="M15" s="25" t="n">
        <f>13553923000</f>
        <v>1.3553923E10</v>
      </c>
      <c r="N15" s="23"/>
      <c r="O15" s="26" t="n">
        <f>26044719875</f>
        <v>2.6044719875E10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13965</f>
        <v>13965.0</v>
      </c>
      <c r="U15" s="23"/>
      <c r="V15" s="25" t="n">
        <f>14177</f>
        <v>14177.0</v>
      </c>
      <c r="W15" s="23"/>
      <c r="X15" s="26" t="n">
        <f>28142</f>
        <v>28142.0</v>
      </c>
      <c r="Y15" s="24"/>
      <c r="Z15" s="25" t="n">
        <f>1031247</f>
        <v>1031247.0</v>
      </c>
      <c r="AA15" s="23"/>
      <c r="AB15" s="25" t="n">
        <f>524911</f>
        <v>524911.0</v>
      </c>
      <c r="AC15" s="23"/>
      <c r="AD15" s="26" t="n">
        <f>1556158</f>
        <v>1556158.0</v>
      </c>
    </row>
    <row r="16">
      <c r="A16" s="30" t="s">
        <v>34</v>
      </c>
      <c r="B16" s="22" t="s">
        <v>27</v>
      </c>
      <c r="C16" s="22" t="s">
        <v>28</v>
      </c>
      <c r="D16" s="24"/>
      <c r="E16" s="25" t="n">
        <f>91471</f>
        <v>91471.0</v>
      </c>
      <c r="F16" s="23"/>
      <c r="G16" s="25" t="n">
        <f>69722</f>
        <v>69722.0</v>
      </c>
      <c r="H16" s="23"/>
      <c r="I16" s="26" t="n">
        <f>161193</f>
        <v>161193.0</v>
      </c>
      <c r="J16" s="24"/>
      <c r="K16" s="25" t="n">
        <f>11892751334</f>
        <v>1.1892751334E10</v>
      </c>
      <c r="L16" s="23"/>
      <c r="M16" s="25" t="n">
        <f>7048448700</f>
        <v>7.0484487E9</v>
      </c>
      <c r="N16" s="23"/>
      <c r="O16" s="26" t="n">
        <f>18941200034</f>
        <v>1.8941200034E10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18636</f>
        <v>18636.0</v>
      </c>
      <c r="U16" s="23"/>
      <c r="V16" s="25" t="n">
        <f>10014</f>
        <v>10014.0</v>
      </c>
      <c r="W16" s="23"/>
      <c r="X16" s="26" t="n">
        <f>28650</f>
        <v>28650.0</v>
      </c>
      <c r="Y16" s="24"/>
      <c r="Z16" s="25" t="n">
        <f>1043437</f>
        <v>1043437.0</v>
      </c>
      <c r="AA16" s="23"/>
      <c r="AB16" s="25" t="n">
        <f>531115</f>
        <v>531115.0</v>
      </c>
      <c r="AC16" s="23"/>
      <c r="AD16" s="26" t="n">
        <f>1574552</f>
        <v>1574552.0</v>
      </c>
    </row>
    <row r="17">
      <c r="A17" s="30" t="s">
        <v>35</v>
      </c>
      <c r="B17" s="22" t="s">
        <v>27</v>
      </c>
      <c r="C17" s="22" t="s">
        <v>28</v>
      </c>
      <c r="D17" s="24" t="s">
        <v>36</v>
      </c>
      <c r="E17" s="25" t="n">
        <f>142668</f>
        <v>142668.0</v>
      </c>
      <c r="F17" s="23"/>
      <c r="G17" s="25" t="n">
        <f>91267</f>
        <v>91267.0</v>
      </c>
      <c r="H17" s="23" t="s">
        <v>36</v>
      </c>
      <c r="I17" s="26" t="n">
        <f>233935</f>
        <v>233935.0</v>
      </c>
      <c r="J17" s="24"/>
      <c r="K17" s="25" t="n">
        <f>17958495160</f>
        <v>1.795849516E10</v>
      </c>
      <c r="L17" s="23"/>
      <c r="M17" s="25" t="n">
        <f>9507903000</f>
        <v>9.507903E9</v>
      </c>
      <c r="N17" s="23"/>
      <c r="O17" s="26" t="n">
        <f>27466398160</f>
        <v>2.746639816E10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18163</f>
        <v>18163.0</v>
      </c>
      <c r="U17" s="23"/>
      <c r="V17" s="25" t="n">
        <f>14108</f>
        <v>14108.0</v>
      </c>
      <c r="W17" s="23"/>
      <c r="X17" s="26" t="n">
        <f>32271</f>
        <v>32271.0</v>
      </c>
      <c r="Y17" s="24"/>
      <c r="Z17" s="25" t="n">
        <f>1050603</f>
        <v>1050603.0</v>
      </c>
      <c r="AA17" s="23"/>
      <c r="AB17" s="25" t="n">
        <f>541746</f>
        <v>541746.0</v>
      </c>
      <c r="AC17" s="23"/>
      <c r="AD17" s="26" t="n">
        <f>1592349</f>
        <v>1592349.0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98370</f>
        <v>98370.0</v>
      </c>
      <c r="F18" s="23" t="s">
        <v>36</v>
      </c>
      <c r="G18" s="25" t="n">
        <f>112403</f>
        <v>112403.0</v>
      </c>
      <c r="H18" s="23"/>
      <c r="I18" s="26" t="n">
        <f>210773</f>
        <v>210773.0</v>
      </c>
      <c r="J18" s="24"/>
      <c r="K18" s="25" t="n">
        <f>13842684000</f>
        <v>1.3842684E10</v>
      </c>
      <c r="L18" s="23"/>
      <c r="M18" s="25" t="n">
        <f>14189855920</f>
        <v>1.418985592E10</v>
      </c>
      <c r="N18" s="23"/>
      <c r="O18" s="26" t="n">
        <f>28032539920</f>
        <v>2.803253992E10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15550</f>
        <v>15550.0</v>
      </c>
      <c r="U18" s="23"/>
      <c r="V18" s="25" t="n">
        <f>34342</f>
        <v>34342.0</v>
      </c>
      <c r="W18" s="23"/>
      <c r="X18" s="26" t="n">
        <f>49892</f>
        <v>49892.0</v>
      </c>
      <c r="Y18" s="24"/>
      <c r="Z18" s="25" t="n">
        <f>1066526</f>
        <v>1066526.0</v>
      </c>
      <c r="AA18" s="23" t="s">
        <v>36</v>
      </c>
      <c r="AB18" s="25" t="n">
        <f>576454</f>
        <v>576454.0</v>
      </c>
      <c r="AC18" s="23"/>
      <c r="AD18" s="26" t="n">
        <f>1642980</f>
        <v>1642980.0</v>
      </c>
    </row>
    <row r="19">
      <c r="A19" s="30" t="s">
        <v>38</v>
      </c>
      <c r="B19" s="22" t="s">
        <v>27</v>
      </c>
      <c r="C19" s="22" t="s">
        <v>28</v>
      </c>
      <c r="D19" s="24"/>
      <c r="E19" s="25" t="n">
        <f>66280</f>
        <v>66280.0</v>
      </c>
      <c r="F19" s="23"/>
      <c r="G19" s="25" t="n">
        <f>42300</f>
        <v>42300.0</v>
      </c>
      <c r="H19" s="23"/>
      <c r="I19" s="26" t="n">
        <f>108580</f>
        <v>108580.0</v>
      </c>
      <c r="J19" s="24"/>
      <c r="K19" s="25" t="n">
        <f>13853152500</f>
        <v>1.38531525E10</v>
      </c>
      <c r="L19" s="23"/>
      <c r="M19" s="25" t="n">
        <f>10629015210</f>
        <v>1.062901521E10</v>
      </c>
      <c r="N19" s="23"/>
      <c r="O19" s="26" t="n">
        <f>24482167710</f>
        <v>2.448216771E10</v>
      </c>
      <c r="P19" s="27" t="n">
        <f>4746</f>
        <v>4746.0</v>
      </c>
      <c r="Q19" s="28" t="n">
        <f>23065</f>
        <v>23065.0</v>
      </c>
      <c r="R19" s="29" t="n">
        <f>27811</f>
        <v>27811.0</v>
      </c>
      <c r="S19" s="24"/>
      <c r="T19" s="25" t="n">
        <f>10712</f>
        <v>10712.0</v>
      </c>
      <c r="U19" s="23"/>
      <c r="V19" s="25" t="n">
        <f>8402</f>
        <v>8402.0</v>
      </c>
      <c r="W19" s="23"/>
      <c r="X19" s="26" t="n">
        <f>19114</f>
        <v>19114.0</v>
      </c>
      <c r="Y19" s="24" t="s">
        <v>39</v>
      </c>
      <c r="Z19" s="25" t="n">
        <f>929633</f>
        <v>929633.0</v>
      </c>
      <c r="AA19" s="23" t="s">
        <v>39</v>
      </c>
      <c r="AB19" s="25" t="n">
        <f>479052</f>
        <v>479052.0</v>
      </c>
      <c r="AC19" s="23" t="s">
        <v>39</v>
      </c>
      <c r="AD19" s="26" t="n">
        <f>1408685</f>
        <v>1408685.0</v>
      </c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/>
      <c r="E22" s="25"/>
      <c r="F22" s="23"/>
      <c r="G22" s="25"/>
      <c r="H22" s="23"/>
      <c r="I22" s="26"/>
      <c r="J22" s="24"/>
      <c r="K22" s="25"/>
      <c r="L22" s="23"/>
      <c r="M22" s="25"/>
      <c r="N22" s="23"/>
      <c r="O22" s="26"/>
      <c r="P22" s="27"/>
      <c r="Q22" s="28"/>
      <c r="R22" s="29"/>
      <c r="S22" s="24"/>
      <c r="T22" s="25"/>
      <c r="U22" s="23"/>
      <c r="V22" s="25"/>
      <c r="W22" s="23"/>
      <c r="X22" s="26"/>
      <c r="Y22" s="24"/>
      <c r="Z22" s="25"/>
      <c r="AA22" s="23"/>
      <c r="AB22" s="25"/>
      <c r="AC22" s="23"/>
      <c r="AD22" s="26"/>
    </row>
    <row r="23">
      <c r="A23" s="30" t="s">
        <v>43</v>
      </c>
      <c r="B23" s="22" t="s">
        <v>27</v>
      </c>
      <c r="C23" s="22" t="s">
        <v>28</v>
      </c>
      <c r="D23" s="24"/>
      <c r="E23" s="25" t="n">
        <f>97102</f>
        <v>97102.0</v>
      </c>
      <c r="F23" s="23"/>
      <c r="G23" s="25" t="n">
        <f>47444</f>
        <v>47444.0</v>
      </c>
      <c r="H23" s="23"/>
      <c r="I23" s="26" t="n">
        <f>144546</f>
        <v>144546.0</v>
      </c>
      <c r="J23" s="24"/>
      <c r="K23" s="25" t="n">
        <f>19198074200</f>
        <v>1.91980742E10</v>
      </c>
      <c r="L23" s="23"/>
      <c r="M23" s="25" t="n">
        <f>7372953422</f>
        <v>7.372953422E9</v>
      </c>
      <c r="N23" s="23"/>
      <c r="O23" s="26" t="n">
        <f>26571027622</f>
        <v>2.6571027622E10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 t="s">
        <v>36</v>
      </c>
      <c r="T23" s="25" t="n">
        <f>35355</f>
        <v>35355.0</v>
      </c>
      <c r="U23" s="23"/>
      <c r="V23" s="25" t="n">
        <f>6594</f>
        <v>6594.0</v>
      </c>
      <c r="W23" s="23"/>
      <c r="X23" s="26" t="n">
        <f>41949</f>
        <v>41949.0</v>
      </c>
      <c r="Y23" s="24"/>
      <c r="Z23" s="25" t="n">
        <f>959894</f>
        <v>959894.0</v>
      </c>
      <c r="AA23" s="23"/>
      <c r="AB23" s="25" t="n">
        <f>488096</f>
        <v>488096.0</v>
      </c>
      <c r="AC23" s="23"/>
      <c r="AD23" s="26" t="n">
        <f>1447990</f>
        <v>1447990.0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89166</f>
        <v>89166.0</v>
      </c>
      <c r="F24" s="23"/>
      <c r="G24" s="25" t="n">
        <f>34265</f>
        <v>34265.0</v>
      </c>
      <c r="H24" s="23"/>
      <c r="I24" s="26" t="n">
        <f>123431</f>
        <v>123431.0</v>
      </c>
      <c r="J24" s="24"/>
      <c r="K24" s="25" t="n">
        <f>10949006800</f>
        <v>1.09490068E10</v>
      </c>
      <c r="L24" s="23"/>
      <c r="M24" s="25" t="n">
        <f>8406319213</f>
        <v>8.406319213E9</v>
      </c>
      <c r="N24" s="23"/>
      <c r="O24" s="26" t="n">
        <f>19355326013</f>
        <v>1.9355326013E10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17749</f>
        <v>17749.0</v>
      </c>
      <c r="U24" s="23"/>
      <c r="V24" s="25" t="n">
        <f>5259</f>
        <v>5259.0</v>
      </c>
      <c r="W24" s="23"/>
      <c r="X24" s="26" t="n">
        <f>23008</f>
        <v>23008.0</v>
      </c>
      <c r="Y24" s="24"/>
      <c r="Z24" s="25" t="n">
        <f>981219</f>
        <v>981219.0</v>
      </c>
      <c r="AA24" s="23"/>
      <c r="AB24" s="25" t="n">
        <f>495352</f>
        <v>495352.0</v>
      </c>
      <c r="AC24" s="23"/>
      <c r="AD24" s="26" t="n">
        <f>1476571</f>
        <v>1476571.0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48662</f>
        <v>48662.0</v>
      </c>
      <c r="F25" s="23" t="s">
        <v>39</v>
      </c>
      <c r="G25" s="25" t="n">
        <f>26126</f>
        <v>26126.0</v>
      </c>
      <c r="H25" s="23" t="s">
        <v>39</v>
      </c>
      <c r="I25" s="26" t="n">
        <f>74788</f>
        <v>74788.0</v>
      </c>
      <c r="J25" s="24" t="s">
        <v>39</v>
      </c>
      <c r="K25" s="25" t="n">
        <f>6822123370</f>
        <v>6.82212337E9</v>
      </c>
      <c r="L25" s="23" t="s">
        <v>39</v>
      </c>
      <c r="M25" s="25" t="n">
        <f>3867625000</f>
        <v>3.867625E9</v>
      </c>
      <c r="N25" s="23" t="s">
        <v>39</v>
      </c>
      <c r="O25" s="26" t="n">
        <f>10689748370</f>
        <v>1.068974837E10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8594</f>
        <v>8594.0</v>
      </c>
      <c r="U25" s="23" t="s">
        <v>39</v>
      </c>
      <c r="V25" s="25" t="n">
        <f>2717</f>
        <v>2717.0</v>
      </c>
      <c r="W25" s="23" t="s">
        <v>39</v>
      </c>
      <c r="X25" s="26" t="n">
        <f>11311</f>
        <v>11311.0</v>
      </c>
      <c r="Y25" s="24"/>
      <c r="Z25" s="25" t="n">
        <f>991336</f>
        <v>991336.0</v>
      </c>
      <c r="AA25" s="23"/>
      <c r="AB25" s="25" t="n">
        <f>500160</f>
        <v>500160.0</v>
      </c>
      <c r="AC25" s="23"/>
      <c r="AD25" s="26" t="n">
        <f>1491496</f>
        <v>1491496.0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61000</f>
        <v>61000.0</v>
      </c>
      <c r="F26" s="23"/>
      <c r="G26" s="25" t="n">
        <f>34719</f>
        <v>34719.0</v>
      </c>
      <c r="H26" s="23"/>
      <c r="I26" s="26" t="n">
        <f>95719</f>
        <v>95719.0</v>
      </c>
      <c r="J26" s="24"/>
      <c r="K26" s="25" t="n">
        <f>7891264500</f>
        <v>7.8912645E9</v>
      </c>
      <c r="L26" s="23"/>
      <c r="M26" s="25" t="n">
        <f>4458088900</f>
        <v>4.4580889E9</v>
      </c>
      <c r="N26" s="23"/>
      <c r="O26" s="26" t="n">
        <f>12349353400</f>
        <v>1.23493534E10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10223</f>
        <v>10223.0</v>
      </c>
      <c r="U26" s="23"/>
      <c r="V26" s="25" t="n">
        <f>4842</f>
        <v>4842.0</v>
      </c>
      <c r="W26" s="23"/>
      <c r="X26" s="26" t="n">
        <f>15065</f>
        <v>15065.0</v>
      </c>
      <c r="Y26" s="24"/>
      <c r="Z26" s="25" t="n">
        <f>1005946</f>
        <v>1005946.0</v>
      </c>
      <c r="AA26" s="23"/>
      <c r="AB26" s="25" t="n">
        <f>503113</f>
        <v>503113.0</v>
      </c>
      <c r="AC26" s="23"/>
      <c r="AD26" s="26" t="n">
        <f>1509059</f>
        <v>1509059.0</v>
      </c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 t="s">
        <v>39</v>
      </c>
      <c r="E29" s="25" t="n">
        <f>40040</f>
        <v>40040.0</v>
      </c>
      <c r="F29" s="23"/>
      <c r="G29" s="25" t="n">
        <f>68541</f>
        <v>68541.0</v>
      </c>
      <c r="H29" s="23"/>
      <c r="I29" s="26" t="n">
        <f>108581</f>
        <v>108581.0</v>
      </c>
      <c r="J29" s="24"/>
      <c r="K29" s="25" t="n">
        <f>7559224570</f>
        <v>7.55922457E9</v>
      </c>
      <c r="L29" s="23" t="s">
        <v>36</v>
      </c>
      <c r="M29" s="25" t="n">
        <f>14206191440</f>
        <v>1.420619144E10</v>
      </c>
      <c r="N29" s="23"/>
      <c r="O29" s="26" t="n">
        <f>21765416010</f>
        <v>2.176541601E10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6968</f>
        <v>6968.0</v>
      </c>
      <c r="U29" s="23" t="s">
        <v>36</v>
      </c>
      <c r="V29" s="25" t="n">
        <f>47994</f>
        <v>47994.0</v>
      </c>
      <c r="W29" s="23" t="s">
        <v>36</v>
      </c>
      <c r="X29" s="26" t="n">
        <f>54962</f>
        <v>54962.0</v>
      </c>
      <c r="Y29" s="24"/>
      <c r="Z29" s="25" t="n">
        <f>1017262</f>
        <v>1017262.0</v>
      </c>
      <c r="AA29" s="23"/>
      <c r="AB29" s="25" t="n">
        <f>527195</f>
        <v>527195.0</v>
      </c>
      <c r="AC29" s="23"/>
      <c r="AD29" s="26" t="n">
        <f>1544457</f>
        <v>1544457.0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62588</f>
        <v>62588.0</v>
      </c>
      <c r="F30" s="23"/>
      <c r="G30" s="25" t="n">
        <f>37738</f>
        <v>37738.0</v>
      </c>
      <c r="H30" s="23"/>
      <c r="I30" s="26" t="n">
        <f>100326</f>
        <v>100326.0</v>
      </c>
      <c r="J30" s="24"/>
      <c r="K30" s="25" t="n">
        <f>8113263867</f>
        <v>8.113263867E9</v>
      </c>
      <c r="L30" s="23"/>
      <c r="M30" s="25" t="n">
        <f>4044444875</f>
        <v>4.044444875E9</v>
      </c>
      <c r="N30" s="23"/>
      <c r="O30" s="26" t="n">
        <f>12157708742</f>
        <v>1.2157708742E10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 t="s">
        <v>39</v>
      </c>
      <c r="T30" s="25" t="n">
        <f>5689</f>
        <v>5689.0</v>
      </c>
      <c r="U30" s="23"/>
      <c r="V30" s="25" t="n">
        <f>5855</f>
        <v>5855.0</v>
      </c>
      <c r="W30" s="23"/>
      <c r="X30" s="26" t="n">
        <f>11544</f>
        <v>11544.0</v>
      </c>
      <c r="Y30" s="24"/>
      <c r="Z30" s="25" t="n">
        <f>1027366</f>
        <v>1027366.0</v>
      </c>
      <c r="AA30" s="23"/>
      <c r="AB30" s="25" t="n">
        <f>529212</f>
        <v>529212.0</v>
      </c>
      <c r="AC30" s="23"/>
      <c r="AD30" s="26" t="n">
        <f>1556578</f>
        <v>1556578.0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98529</f>
        <v>98529.0</v>
      </c>
      <c r="F31" s="23"/>
      <c r="G31" s="25" t="n">
        <f>39124</f>
        <v>39124.0</v>
      </c>
      <c r="H31" s="23"/>
      <c r="I31" s="26" t="n">
        <f>137653</f>
        <v>137653.0</v>
      </c>
      <c r="J31" s="24"/>
      <c r="K31" s="25" t="n">
        <f>12598682000</f>
        <v>1.2598682E10</v>
      </c>
      <c r="L31" s="23"/>
      <c r="M31" s="25" t="n">
        <f>5014613800</f>
        <v>5.0146138E9</v>
      </c>
      <c r="N31" s="23"/>
      <c r="O31" s="26" t="n">
        <f>17613295800</f>
        <v>1.76132958E10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21539</f>
        <v>21539.0</v>
      </c>
      <c r="U31" s="23"/>
      <c r="V31" s="25" t="n">
        <f>4440</f>
        <v>4440.0</v>
      </c>
      <c r="W31" s="23"/>
      <c r="X31" s="26" t="n">
        <f>25979</f>
        <v>25979.0</v>
      </c>
      <c r="Y31" s="24"/>
      <c r="Z31" s="25" t="n">
        <f>1055314</f>
        <v>1055314.0</v>
      </c>
      <c r="AA31" s="23"/>
      <c r="AB31" s="25" t="n">
        <f>535989</f>
        <v>535989.0</v>
      </c>
      <c r="AC31" s="23"/>
      <c r="AD31" s="26" t="n">
        <f>1591303</f>
        <v>1591303.0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64548</f>
        <v>64548.0</v>
      </c>
      <c r="F32" s="23"/>
      <c r="G32" s="25" t="n">
        <f>36975</f>
        <v>36975.0</v>
      </c>
      <c r="H32" s="23"/>
      <c r="I32" s="26" t="n">
        <f>101523</f>
        <v>101523.0</v>
      </c>
      <c r="J32" s="24"/>
      <c r="K32" s="25" t="n">
        <f>13252593000</f>
        <v>1.3252593E10</v>
      </c>
      <c r="L32" s="23"/>
      <c r="M32" s="25" t="n">
        <f>8998876000</f>
        <v>8.998876E9</v>
      </c>
      <c r="N32" s="23"/>
      <c r="O32" s="26" t="n">
        <f>22251469000</f>
        <v>2.2251469E10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9543</f>
        <v>9543.0</v>
      </c>
      <c r="U32" s="23"/>
      <c r="V32" s="25" t="n">
        <f>6238</f>
        <v>6238.0</v>
      </c>
      <c r="W32" s="23"/>
      <c r="X32" s="26" t="n">
        <f>15781</f>
        <v>15781.0</v>
      </c>
      <c r="Y32" s="24"/>
      <c r="Z32" s="25" t="n">
        <f>1062304</f>
        <v>1062304.0</v>
      </c>
      <c r="AA32" s="23"/>
      <c r="AB32" s="25" t="n">
        <f>540172</f>
        <v>540172.0</v>
      </c>
      <c r="AC32" s="23"/>
      <c r="AD32" s="26" t="n">
        <f>1602476</f>
        <v>1602476.0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59408</f>
        <v>59408.0</v>
      </c>
      <c r="F33" s="23"/>
      <c r="G33" s="25" t="n">
        <f>51013</f>
        <v>51013.0</v>
      </c>
      <c r="H33" s="23"/>
      <c r="I33" s="26" t="n">
        <f>110421</f>
        <v>110421.0</v>
      </c>
      <c r="J33" s="24"/>
      <c r="K33" s="25" t="n">
        <f>20166295200</f>
        <v>2.01662952E10</v>
      </c>
      <c r="L33" s="23"/>
      <c r="M33" s="25" t="n">
        <f>8666598290</f>
        <v>8.66659829E9</v>
      </c>
      <c r="N33" s="23"/>
      <c r="O33" s="26" t="n">
        <f>28832893490</f>
        <v>2.883289349E10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10850</f>
        <v>10850.0</v>
      </c>
      <c r="U33" s="23"/>
      <c r="V33" s="25" t="n">
        <f>3923</f>
        <v>3923.0</v>
      </c>
      <c r="W33" s="23"/>
      <c r="X33" s="26" t="n">
        <f>14773</f>
        <v>14773.0</v>
      </c>
      <c r="Y33" s="24"/>
      <c r="Z33" s="25" t="n">
        <f>1074405</f>
        <v>1074405.0</v>
      </c>
      <c r="AA33" s="23"/>
      <c r="AB33" s="25" t="n">
        <f>525685</f>
        <v>525685.0</v>
      </c>
      <c r="AC33" s="23"/>
      <c r="AD33" s="26" t="n">
        <f>1600090</f>
        <v>1600090.0</v>
      </c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 t="n">
        <f>131214</f>
        <v>131214.0</v>
      </c>
      <c r="F36" s="23"/>
      <c r="G36" s="25" t="n">
        <f>59503</f>
        <v>59503.0</v>
      </c>
      <c r="H36" s="23"/>
      <c r="I36" s="26" t="n">
        <f>190717</f>
        <v>190717.0</v>
      </c>
      <c r="J36" s="24"/>
      <c r="K36" s="25" t="n">
        <f>27001235000</f>
        <v>2.7001235E10</v>
      </c>
      <c r="L36" s="23"/>
      <c r="M36" s="25" t="n">
        <f>9011018000</f>
        <v>9.011018E9</v>
      </c>
      <c r="N36" s="23" t="s">
        <v>36</v>
      </c>
      <c r="O36" s="26" t="n">
        <f>36012253000</f>
        <v>3.6012253E10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18136</f>
        <v>18136.0</v>
      </c>
      <c r="U36" s="23"/>
      <c r="V36" s="25" t="n">
        <f>16111</f>
        <v>16111.0</v>
      </c>
      <c r="W36" s="23"/>
      <c r="X36" s="26" t="n">
        <f>34247</f>
        <v>34247.0</v>
      </c>
      <c r="Y36" s="24"/>
      <c r="Z36" s="25" t="n">
        <f>1091633</f>
        <v>1091633.0</v>
      </c>
      <c r="AA36" s="23"/>
      <c r="AB36" s="25" t="n">
        <f>531420</f>
        <v>531420.0</v>
      </c>
      <c r="AC36" s="23"/>
      <c r="AD36" s="26" t="n">
        <f>1623053</f>
        <v>1623053.0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123991</f>
        <v>123991.0</v>
      </c>
      <c r="F37" s="23"/>
      <c r="G37" s="25" t="n">
        <f>62347</f>
        <v>62347.0</v>
      </c>
      <c r="H37" s="23"/>
      <c r="I37" s="26" t="n">
        <f>186338</f>
        <v>186338.0</v>
      </c>
      <c r="J37" s="24" t="s">
        <v>36</v>
      </c>
      <c r="K37" s="25" t="n">
        <f>27141651400</f>
        <v>2.71416514E10</v>
      </c>
      <c r="L37" s="23"/>
      <c r="M37" s="25" t="n">
        <f>8134391200</f>
        <v>8.1343912E9</v>
      </c>
      <c r="N37" s="23"/>
      <c r="O37" s="26" t="n">
        <f>35276042600</f>
        <v>3.52760426E10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22699</f>
        <v>22699.0</v>
      </c>
      <c r="U37" s="23"/>
      <c r="V37" s="25" t="n">
        <f>10082</f>
        <v>10082.0</v>
      </c>
      <c r="W37" s="23"/>
      <c r="X37" s="26" t="n">
        <f>32781</f>
        <v>32781.0</v>
      </c>
      <c r="Y37" s="24"/>
      <c r="Z37" s="25" t="n">
        <f>1109404</f>
        <v>1109404.0</v>
      </c>
      <c r="AA37" s="23"/>
      <c r="AB37" s="25" t="n">
        <f>540570</f>
        <v>540570.0</v>
      </c>
      <c r="AC37" s="23"/>
      <c r="AD37" s="26" t="n">
        <f>1649974</f>
        <v>1649974.0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86680</f>
        <v>86680.0</v>
      </c>
      <c r="F38" s="23"/>
      <c r="G38" s="25" t="n">
        <f>50015</f>
        <v>50015.0</v>
      </c>
      <c r="H38" s="23"/>
      <c r="I38" s="26" t="n">
        <f>136695</f>
        <v>136695.0</v>
      </c>
      <c r="J38" s="24"/>
      <c r="K38" s="25" t="n">
        <f>12664023000</f>
        <v>1.2664023E10</v>
      </c>
      <c r="L38" s="23"/>
      <c r="M38" s="25" t="n">
        <f>6822618375</f>
        <v>6.822618375E9</v>
      </c>
      <c r="N38" s="23"/>
      <c r="O38" s="26" t="n">
        <f>19486641375</f>
        <v>1.9486641375E10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11524</f>
        <v>11524.0</v>
      </c>
      <c r="U38" s="23"/>
      <c r="V38" s="25" t="n">
        <f>6533</f>
        <v>6533.0</v>
      </c>
      <c r="W38" s="23"/>
      <c r="X38" s="26" t="n">
        <f>18057</f>
        <v>18057.0</v>
      </c>
      <c r="Y38" s="24"/>
      <c r="Z38" s="25" t="n">
        <f>1120424</f>
        <v>1120424.0</v>
      </c>
      <c r="AA38" s="23"/>
      <c r="AB38" s="25" t="n">
        <f>546550</f>
        <v>546550.0</v>
      </c>
      <c r="AC38" s="23"/>
      <c r="AD38" s="26" t="n">
        <f>1666974</f>
        <v>1666974.0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107852</f>
        <v>107852.0</v>
      </c>
      <c r="F39" s="23"/>
      <c r="G39" s="25" t="n">
        <f>64722</f>
        <v>64722.0</v>
      </c>
      <c r="H39" s="23"/>
      <c r="I39" s="26" t="n">
        <f>172574</f>
        <v>172574.0</v>
      </c>
      <c r="J39" s="24"/>
      <c r="K39" s="25" t="n">
        <f>18838549300</f>
        <v>1.88385493E10</v>
      </c>
      <c r="L39" s="23"/>
      <c r="M39" s="25" t="n">
        <f>6086886000</f>
        <v>6.086886E9</v>
      </c>
      <c r="N39" s="23"/>
      <c r="O39" s="26" t="n">
        <f>24925435300</f>
        <v>2.49254353E10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11288</f>
        <v>11288.0</v>
      </c>
      <c r="U39" s="23"/>
      <c r="V39" s="25" t="n">
        <f>6674</f>
        <v>6674.0</v>
      </c>
      <c r="W39" s="23"/>
      <c r="X39" s="26" t="n">
        <f>17962</f>
        <v>17962.0</v>
      </c>
      <c r="Y39" s="24"/>
      <c r="Z39" s="25" t="n">
        <f>1139782</f>
        <v>1139782.0</v>
      </c>
      <c r="AA39" s="23"/>
      <c r="AB39" s="25" t="n">
        <f>559178</f>
        <v>559178.0</v>
      </c>
      <c r="AC39" s="23"/>
      <c r="AD39" s="26" t="n">
        <f>1698960</f>
        <v>1698960.0</v>
      </c>
    </row>
    <row r="40">
      <c r="A40" s="30" t="s">
        <v>60</v>
      </c>
      <c r="B40" s="22" t="s">
        <v>27</v>
      </c>
      <c r="C40" s="22" t="s">
        <v>28</v>
      </c>
      <c r="D40" s="24"/>
      <c r="E40" s="25" t="n">
        <f>133632</f>
        <v>133632.0</v>
      </c>
      <c r="F40" s="23"/>
      <c r="G40" s="25" t="n">
        <f>68354</f>
        <v>68354.0</v>
      </c>
      <c r="H40" s="23"/>
      <c r="I40" s="26" t="n">
        <f>201986</f>
        <v>201986.0</v>
      </c>
      <c r="J40" s="24"/>
      <c r="K40" s="25" t="n">
        <f>20963457740</f>
        <v>2.096345774E10</v>
      </c>
      <c r="L40" s="23"/>
      <c r="M40" s="25" t="n">
        <f>10697988000</f>
        <v>1.0697988E10</v>
      </c>
      <c r="N40" s="23"/>
      <c r="O40" s="26" t="n">
        <f>31661445740</f>
        <v>3.166144574E10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14690</f>
        <v>14690.0</v>
      </c>
      <c r="U40" s="23"/>
      <c r="V40" s="25" t="n">
        <f>7194</f>
        <v>7194.0</v>
      </c>
      <c r="W40" s="23"/>
      <c r="X40" s="26" t="n">
        <f>21884</f>
        <v>21884.0</v>
      </c>
      <c r="Y40" s="24" t="s">
        <v>36</v>
      </c>
      <c r="Z40" s="25" t="n">
        <f>1147580</f>
        <v>1147580.0</v>
      </c>
      <c r="AA40" s="23"/>
      <c r="AB40" s="25" t="n">
        <f>558691</f>
        <v>558691.0</v>
      </c>
      <c r="AC40" s="23" t="s">
        <v>36</v>
      </c>
      <c r="AD40" s="26" t="n">
        <f>1706271</f>
        <v>1706271.0</v>
      </c>
    </row>
    <row r="41">
      <c r="A41" s="30" t="s">
        <v>26</v>
      </c>
      <c r="B41" s="22" t="s">
        <v>61</v>
      </c>
      <c r="C41" s="22" t="s">
        <v>62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29</v>
      </c>
      <c r="B42" s="22" t="s">
        <v>61</v>
      </c>
      <c r="C42" s="22" t="s">
        <v>62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30</v>
      </c>
      <c r="B43" s="22" t="s">
        <v>61</v>
      </c>
      <c r="C43" s="22" t="s">
        <v>62</v>
      </c>
      <c r="D43" s="24"/>
      <c r="E43" s="25"/>
      <c r="F43" s="23"/>
      <c r="G43" s="25"/>
      <c r="H43" s="23"/>
      <c r="I43" s="26"/>
      <c r="J43" s="24"/>
      <c r="K43" s="25"/>
      <c r="L43" s="23"/>
      <c r="M43" s="25"/>
      <c r="N43" s="23"/>
      <c r="O43" s="26"/>
      <c r="P43" s="27"/>
      <c r="Q43" s="28"/>
      <c r="R43" s="29"/>
      <c r="S43" s="24"/>
      <c r="T43" s="25"/>
      <c r="U43" s="23"/>
      <c r="V43" s="25"/>
      <c r="W43" s="23"/>
      <c r="X43" s="26"/>
      <c r="Y43" s="24"/>
      <c r="Z43" s="25"/>
      <c r="AA43" s="23"/>
      <c r="AB43" s="25"/>
      <c r="AC43" s="23"/>
      <c r="AD43" s="26"/>
    </row>
    <row r="44">
      <c r="A44" s="30" t="s">
        <v>31</v>
      </c>
      <c r="B44" s="22" t="s">
        <v>61</v>
      </c>
      <c r="C44" s="22" t="s">
        <v>62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>
      <c r="A45" s="30" t="s">
        <v>32</v>
      </c>
      <c r="B45" s="22" t="s">
        <v>61</v>
      </c>
      <c r="C45" s="22" t="s">
        <v>62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>
      <c r="A46" s="30" t="s">
        <v>33</v>
      </c>
      <c r="B46" s="22" t="s">
        <v>61</v>
      </c>
      <c r="C46" s="22" t="s">
        <v>62</v>
      </c>
      <c r="D46" s="24" t="s">
        <v>39</v>
      </c>
      <c r="E46" s="25" t="n">
        <f>345</f>
        <v>345.0</v>
      </c>
      <c r="F46" s="23" t="s">
        <v>39</v>
      </c>
      <c r="G46" s="25" t="n">
        <f>194</f>
        <v>194.0</v>
      </c>
      <c r="H46" s="23" t="s">
        <v>39</v>
      </c>
      <c r="I46" s="26" t="n">
        <f>539</f>
        <v>539.0</v>
      </c>
      <c r="J46" s="24"/>
      <c r="K46" s="25" t="n">
        <f>98106000</f>
        <v>9.8106E7</v>
      </c>
      <c r="L46" s="23" t="s">
        <v>39</v>
      </c>
      <c r="M46" s="25" t="n">
        <f>13858000</f>
        <v>1.3858E7</v>
      </c>
      <c r="N46" s="23"/>
      <c r="O46" s="26" t="n">
        <f>111964000</f>
        <v>1.11964E8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 t="s">
        <v>39</v>
      </c>
      <c r="T46" s="25" t="n">
        <f>1</f>
        <v>1.0</v>
      </c>
      <c r="U46" s="23" t="s">
        <v>39</v>
      </c>
      <c r="V46" s="25" t="n">
        <f>23</f>
        <v>23.0</v>
      </c>
      <c r="W46" s="23" t="s">
        <v>39</v>
      </c>
      <c r="X46" s="26" t="n">
        <f>24</f>
        <v>24.0</v>
      </c>
      <c r="Y46" s="24" t="s">
        <v>39</v>
      </c>
      <c r="Z46" s="25" t="n">
        <f>380</f>
        <v>380.0</v>
      </c>
      <c r="AA46" s="23" t="s">
        <v>39</v>
      </c>
      <c r="AB46" s="25" t="n">
        <f>670</f>
        <v>670.0</v>
      </c>
      <c r="AC46" s="23" t="s">
        <v>39</v>
      </c>
      <c r="AD46" s="26" t="n">
        <f>1050</f>
        <v>1050.0</v>
      </c>
    </row>
    <row r="47">
      <c r="A47" s="30" t="s">
        <v>34</v>
      </c>
      <c r="B47" s="22" t="s">
        <v>61</v>
      </c>
      <c r="C47" s="22" t="s">
        <v>62</v>
      </c>
      <c r="D47" s="24"/>
      <c r="E47" s="25" t="n">
        <f>388</f>
        <v>388.0</v>
      </c>
      <c r="F47" s="23"/>
      <c r="G47" s="25" t="n">
        <f>588</f>
        <v>588.0</v>
      </c>
      <c r="H47" s="23"/>
      <c r="I47" s="26" t="n">
        <f>976</f>
        <v>976.0</v>
      </c>
      <c r="J47" s="24" t="s">
        <v>39</v>
      </c>
      <c r="K47" s="25" t="n">
        <f>39647000</f>
        <v>3.9647E7</v>
      </c>
      <c r="L47" s="23"/>
      <c r="M47" s="25" t="n">
        <f>39584000</f>
        <v>3.9584E7</v>
      </c>
      <c r="N47" s="23" t="s">
        <v>39</v>
      </c>
      <c r="O47" s="26" t="n">
        <f>79231000</f>
        <v>7.9231E7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53</f>
        <v>53.0</v>
      </c>
      <c r="U47" s="23"/>
      <c r="V47" s="25" t="n">
        <f>43</f>
        <v>43.0</v>
      </c>
      <c r="W47" s="23"/>
      <c r="X47" s="26" t="n">
        <f>96</f>
        <v>96.0</v>
      </c>
      <c r="Y47" s="24"/>
      <c r="Z47" s="25" t="n">
        <f>630</f>
        <v>630.0</v>
      </c>
      <c r="AA47" s="23"/>
      <c r="AB47" s="25" t="n">
        <f>1029</f>
        <v>1029.0</v>
      </c>
      <c r="AC47" s="23"/>
      <c r="AD47" s="26" t="n">
        <f>1659</f>
        <v>1659.0</v>
      </c>
    </row>
    <row r="48">
      <c r="A48" s="30" t="s">
        <v>35</v>
      </c>
      <c r="B48" s="22" t="s">
        <v>61</v>
      </c>
      <c r="C48" s="22" t="s">
        <v>62</v>
      </c>
      <c r="D48" s="24"/>
      <c r="E48" s="25" t="n">
        <f>592</f>
        <v>592.0</v>
      </c>
      <c r="F48" s="23"/>
      <c r="G48" s="25" t="n">
        <f>1001</f>
        <v>1001.0</v>
      </c>
      <c r="H48" s="23"/>
      <c r="I48" s="26" t="n">
        <f>1593</f>
        <v>1593.0</v>
      </c>
      <c r="J48" s="24"/>
      <c r="K48" s="25" t="n">
        <f>59953000</f>
        <v>5.9953E7</v>
      </c>
      <c r="L48" s="23"/>
      <c r="M48" s="25" t="n">
        <f>55334000</f>
        <v>5.5334E7</v>
      </c>
      <c r="N48" s="23"/>
      <c r="O48" s="26" t="n">
        <f>115287000</f>
        <v>1.15287E8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83</f>
        <v>83.0</v>
      </c>
      <c r="U48" s="23"/>
      <c r="V48" s="25" t="n">
        <f>51</f>
        <v>51.0</v>
      </c>
      <c r="W48" s="23"/>
      <c r="X48" s="26" t="n">
        <f>134</f>
        <v>134.0</v>
      </c>
      <c r="Y48" s="24"/>
      <c r="Z48" s="25" t="n">
        <f>1023</f>
        <v>1023.0</v>
      </c>
      <c r="AA48" s="23"/>
      <c r="AB48" s="25" t="n">
        <f>1481</f>
        <v>1481.0</v>
      </c>
      <c r="AC48" s="23"/>
      <c r="AD48" s="26" t="n">
        <f>2504</f>
        <v>2504.0</v>
      </c>
    </row>
    <row r="49">
      <c r="A49" s="30" t="s">
        <v>37</v>
      </c>
      <c r="B49" s="22" t="s">
        <v>61</v>
      </c>
      <c r="C49" s="22" t="s">
        <v>62</v>
      </c>
      <c r="D49" s="24"/>
      <c r="E49" s="25" t="n">
        <f>1316</f>
        <v>1316.0</v>
      </c>
      <c r="F49" s="23"/>
      <c r="G49" s="25" t="n">
        <f>1503</f>
        <v>1503.0</v>
      </c>
      <c r="H49" s="23"/>
      <c r="I49" s="26" t="n">
        <f>2819</f>
        <v>2819.0</v>
      </c>
      <c r="J49" s="24"/>
      <c r="K49" s="25" t="n">
        <f>85385000</f>
        <v>8.5385E7</v>
      </c>
      <c r="L49" s="23"/>
      <c r="M49" s="25" t="n">
        <f>104114000</f>
        <v>1.04114E8</v>
      </c>
      <c r="N49" s="23"/>
      <c r="O49" s="26" t="n">
        <f>189499000</f>
        <v>1.89499E8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192</f>
        <v>192.0</v>
      </c>
      <c r="U49" s="23"/>
      <c r="V49" s="25" t="n">
        <f>79</f>
        <v>79.0</v>
      </c>
      <c r="W49" s="23"/>
      <c r="X49" s="26" t="n">
        <f>271</f>
        <v>271.0</v>
      </c>
      <c r="Y49" s="24"/>
      <c r="Z49" s="25" t="n">
        <f>1453</f>
        <v>1453.0</v>
      </c>
      <c r="AA49" s="23"/>
      <c r="AB49" s="25" t="n">
        <f>2309</f>
        <v>2309.0</v>
      </c>
      <c r="AC49" s="23"/>
      <c r="AD49" s="26" t="n">
        <f>3762</f>
        <v>3762.0</v>
      </c>
    </row>
    <row r="50">
      <c r="A50" s="30" t="s">
        <v>38</v>
      </c>
      <c r="B50" s="22" t="s">
        <v>61</v>
      </c>
      <c r="C50" s="22" t="s">
        <v>62</v>
      </c>
      <c r="D50" s="24"/>
      <c r="E50" s="25" t="n">
        <f>2435</f>
        <v>2435.0</v>
      </c>
      <c r="F50" s="23"/>
      <c r="G50" s="25" t="n">
        <f>2010</f>
        <v>2010.0</v>
      </c>
      <c r="H50" s="23"/>
      <c r="I50" s="26" t="n">
        <f>4445</f>
        <v>4445.0</v>
      </c>
      <c r="J50" s="24"/>
      <c r="K50" s="25" t="n">
        <f>165422000</f>
        <v>1.65422E8</v>
      </c>
      <c r="L50" s="23" t="s">
        <v>36</v>
      </c>
      <c r="M50" s="25" t="n">
        <f>200936074</f>
        <v>2.00936074E8</v>
      </c>
      <c r="N50" s="23"/>
      <c r="O50" s="26" t="n">
        <f>366358074</f>
        <v>3.66358074E8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138</f>
        <v>138.0</v>
      </c>
      <c r="U50" s="23"/>
      <c r="V50" s="25" t="n">
        <f>346</f>
        <v>346.0</v>
      </c>
      <c r="W50" s="23"/>
      <c r="X50" s="26" t="n">
        <f>484</f>
        <v>484.0</v>
      </c>
      <c r="Y50" s="24"/>
      <c r="Z50" s="25" t="n">
        <f>1816</f>
        <v>1816.0</v>
      </c>
      <c r="AA50" s="23"/>
      <c r="AB50" s="25" t="n">
        <f>2965</f>
        <v>2965.0</v>
      </c>
      <c r="AC50" s="23"/>
      <c r="AD50" s="26" t="n">
        <f>4781</f>
        <v>4781.0</v>
      </c>
    </row>
    <row r="51">
      <c r="A51" s="30" t="s">
        <v>40</v>
      </c>
      <c r="B51" s="22" t="s">
        <v>61</v>
      </c>
      <c r="C51" s="22" t="s">
        <v>62</v>
      </c>
      <c r="D51" s="24"/>
      <c r="E51" s="25"/>
      <c r="F51" s="23"/>
      <c r="G51" s="25"/>
      <c r="H51" s="23"/>
      <c r="I51" s="26"/>
      <c r="J51" s="24"/>
      <c r="K51" s="25"/>
      <c r="L51" s="23"/>
      <c r="M51" s="25"/>
      <c r="N51" s="23"/>
      <c r="O51" s="26"/>
      <c r="P51" s="27"/>
      <c r="Q51" s="28"/>
      <c r="R51" s="29"/>
      <c r="S51" s="24"/>
      <c r="T51" s="25"/>
      <c r="U51" s="23"/>
      <c r="V51" s="25"/>
      <c r="W51" s="23"/>
      <c r="X51" s="26"/>
      <c r="Y51" s="24"/>
      <c r="Z51" s="25"/>
      <c r="AA51" s="23"/>
      <c r="AB51" s="25"/>
      <c r="AC51" s="23"/>
      <c r="AD51" s="26"/>
    </row>
    <row r="52">
      <c r="A52" s="30" t="s">
        <v>41</v>
      </c>
      <c r="B52" s="22" t="s">
        <v>61</v>
      </c>
      <c r="C52" s="22" t="s">
        <v>62</v>
      </c>
      <c r="D52" s="24"/>
      <c r="E52" s="25"/>
      <c r="F52" s="23"/>
      <c r="G52" s="25"/>
      <c r="H52" s="23"/>
      <c r="I52" s="26"/>
      <c r="J52" s="24"/>
      <c r="K52" s="25"/>
      <c r="L52" s="23"/>
      <c r="M52" s="25"/>
      <c r="N52" s="23"/>
      <c r="O52" s="26"/>
      <c r="P52" s="27"/>
      <c r="Q52" s="28"/>
      <c r="R52" s="29"/>
      <c r="S52" s="24"/>
      <c r="T52" s="25"/>
      <c r="U52" s="23"/>
      <c r="V52" s="25"/>
      <c r="W52" s="23"/>
      <c r="X52" s="26"/>
      <c r="Y52" s="24"/>
      <c r="Z52" s="25"/>
      <c r="AA52" s="23"/>
      <c r="AB52" s="25"/>
      <c r="AC52" s="23"/>
      <c r="AD52" s="26"/>
    </row>
    <row r="53">
      <c r="A53" s="30" t="s">
        <v>42</v>
      </c>
      <c r="B53" s="22" t="s">
        <v>61</v>
      </c>
      <c r="C53" s="22" t="s">
        <v>62</v>
      </c>
      <c r="D53" s="24"/>
      <c r="E53" s="25"/>
      <c r="F53" s="23"/>
      <c r="G53" s="25"/>
      <c r="H53" s="23"/>
      <c r="I53" s="26"/>
      <c r="J53" s="24"/>
      <c r="K53" s="25"/>
      <c r="L53" s="23"/>
      <c r="M53" s="25"/>
      <c r="N53" s="23"/>
      <c r="O53" s="26"/>
      <c r="P53" s="27"/>
      <c r="Q53" s="28"/>
      <c r="R53" s="29"/>
      <c r="S53" s="24"/>
      <c r="T53" s="25"/>
      <c r="U53" s="23"/>
      <c r="V53" s="25"/>
      <c r="W53" s="23"/>
      <c r="X53" s="26"/>
      <c r="Y53" s="24"/>
      <c r="Z53" s="25"/>
      <c r="AA53" s="23"/>
      <c r="AB53" s="25"/>
      <c r="AC53" s="23"/>
      <c r="AD53" s="26"/>
    </row>
    <row r="54">
      <c r="A54" s="30" t="s">
        <v>43</v>
      </c>
      <c r="B54" s="22" t="s">
        <v>61</v>
      </c>
      <c r="C54" s="22" t="s">
        <v>62</v>
      </c>
      <c r="D54" s="24"/>
      <c r="E54" s="25" t="n">
        <f>3388</f>
        <v>3388.0</v>
      </c>
      <c r="F54" s="23"/>
      <c r="G54" s="25" t="n">
        <f>2007</f>
        <v>2007.0</v>
      </c>
      <c r="H54" s="23"/>
      <c r="I54" s="26" t="n">
        <f>5395</f>
        <v>5395.0</v>
      </c>
      <c r="J54" s="24"/>
      <c r="K54" s="25" t="n">
        <f>96149000</f>
        <v>9.6149E7</v>
      </c>
      <c r="L54" s="23"/>
      <c r="M54" s="25" t="n">
        <f>100343000</f>
        <v>1.00343E8</v>
      </c>
      <c r="N54" s="23"/>
      <c r="O54" s="26" t="n">
        <f>196492000</f>
        <v>1.96492E8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430</f>
        <v>430.0</v>
      </c>
      <c r="U54" s="23"/>
      <c r="V54" s="25" t="n">
        <f>186</f>
        <v>186.0</v>
      </c>
      <c r="W54" s="23"/>
      <c r="X54" s="26" t="n">
        <f>616</f>
        <v>616.0</v>
      </c>
      <c r="Y54" s="24"/>
      <c r="Z54" s="25" t="n">
        <f>3070</f>
        <v>3070.0</v>
      </c>
      <c r="AA54" s="23"/>
      <c r="AB54" s="25" t="n">
        <f>3240</f>
        <v>3240.0</v>
      </c>
      <c r="AC54" s="23"/>
      <c r="AD54" s="26" t="n">
        <f>6310</f>
        <v>6310.0</v>
      </c>
    </row>
    <row r="55">
      <c r="A55" s="30" t="s">
        <v>44</v>
      </c>
      <c r="B55" s="22" t="s">
        <v>61</v>
      </c>
      <c r="C55" s="22" t="s">
        <v>62</v>
      </c>
      <c r="D55" s="24"/>
      <c r="E55" s="25" t="n">
        <f>4929</f>
        <v>4929.0</v>
      </c>
      <c r="F55" s="23"/>
      <c r="G55" s="25" t="n">
        <f>1693</f>
        <v>1693.0</v>
      </c>
      <c r="H55" s="23"/>
      <c r="I55" s="26" t="n">
        <f>6622</f>
        <v>6622.0</v>
      </c>
      <c r="J55" s="24"/>
      <c r="K55" s="25" t="n">
        <f>248048000</f>
        <v>2.48048E8</v>
      </c>
      <c r="L55" s="23"/>
      <c r="M55" s="25" t="n">
        <f>83001000</f>
        <v>8.3001E7</v>
      </c>
      <c r="N55" s="23"/>
      <c r="O55" s="26" t="n">
        <f>331049000</f>
        <v>3.31049E8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410</f>
        <v>410.0</v>
      </c>
      <c r="U55" s="23"/>
      <c r="V55" s="25" t="n">
        <f>107</f>
        <v>107.0</v>
      </c>
      <c r="W55" s="23"/>
      <c r="X55" s="26" t="n">
        <f>517</f>
        <v>517.0</v>
      </c>
      <c r="Y55" s="24"/>
      <c r="Z55" s="25" t="n">
        <f>5221</f>
        <v>5221.0</v>
      </c>
      <c r="AA55" s="23"/>
      <c r="AB55" s="25" t="n">
        <f>3552</f>
        <v>3552.0</v>
      </c>
      <c r="AC55" s="23"/>
      <c r="AD55" s="26" t="n">
        <f>8773</f>
        <v>8773.0</v>
      </c>
    </row>
    <row r="56">
      <c r="A56" s="30" t="s">
        <v>45</v>
      </c>
      <c r="B56" s="22" t="s">
        <v>61</v>
      </c>
      <c r="C56" s="22" t="s">
        <v>62</v>
      </c>
      <c r="D56" s="24"/>
      <c r="E56" s="25" t="n">
        <f>3898</f>
        <v>3898.0</v>
      </c>
      <c r="F56" s="23"/>
      <c r="G56" s="25" t="n">
        <f>3712</f>
        <v>3712.0</v>
      </c>
      <c r="H56" s="23"/>
      <c r="I56" s="26" t="n">
        <f>7610</f>
        <v>7610.0</v>
      </c>
      <c r="J56" s="24"/>
      <c r="K56" s="25" t="n">
        <f>122173000</f>
        <v>1.22173E8</v>
      </c>
      <c r="L56" s="23"/>
      <c r="M56" s="25" t="n">
        <f>167173000</f>
        <v>1.67173E8</v>
      </c>
      <c r="N56" s="23"/>
      <c r="O56" s="26" t="n">
        <f>289346000</f>
        <v>2.89346E8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181</f>
        <v>181.0</v>
      </c>
      <c r="U56" s="23"/>
      <c r="V56" s="25" t="n">
        <f>203</f>
        <v>203.0</v>
      </c>
      <c r="W56" s="23"/>
      <c r="X56" s="26" t="n">
        <f>384</f>
        <v>384.0</v>
      </c>
      <c r="Y56" s="24" t="s">
        <v>36</v>
      </c>
      <c r="Z56" s="25" t="n">
        <f>5454</f>
        <v>5454.0</v>
      </c>
      <c r="AA56" s="23"/>
      <c r="AB56" s="25" t="n">
        <f>4579</f>
        <v>4579.0</v>
      </c>
      <c r="AC56" s="23"/>
      <c r="AD56" s="26" t="n">
        <f>10033</f>
        <v>10033.0</v>
      </c>
    </row>
    <row r="57">
      <c r="A57" s="30" t="s">
        <v>46</v>
      </c>
      <c r="B57" s="22" t="s">
        <v>61</v>
      </c>
      <c r="C57" s="22" t="s">
        <v>62</v>
      </c>
      <c r="D57" s="24"/>
      <c r="E57" s="25" t="n">
        <f>1214</f>
        <v>1214.0</v>
      </c>
      <c r="F57" s="23"/>
      <c r="G57" s="25" t="n">
        <f>1257</f>
        <v>1257.0</v>
      </c>
      <c r="H57" s="23"/>
      <c r="I57" s="26" t="n">
        <f>2471</f>
        <v>2471.0</v>
      </c>
      <c r="J57" s="24"/>
      <c r="K57" s="25" t="n">
        <f>53164000</f>
        <v>5.3164E7</v>
      </c>
      <c r="L57" s="23"/>
      <c r="M57" s="25" t="n">
        <f>112232344</f>
        <v>1.12232344E8</v>
      </c>
      <c r="N57" s="23"/>
      <c r="O57" s="26" t="n">
        <f>165396344</f>
        <v>1.65396344E8</v>
      </c>
      <c r="P57" s="27" t="n">
        <f>4</f>
        <v>4.0</v>
      </c>
      <c r="Q57" s="28" t="n">
        <f>1773</f>
        <v>1773.0</v>
      </c>
      <c r="R57" s="29" t="n">
        <f>1777</f>
        <v>1777.0</v>
      </c>
      <c r="S57" s="24"/>
      <c r="T57" s="25" t="n">
        <f>166</f>
        <v>166.0</v>
      </c>
      <c r="U57" s="23"/>
      <c r="V57" s="25" t="n">
        <f>327</f>
        <v>327.0</v>
      </c>
      <c r="W57" s="23"/>
      <c r="X57" s="26" t="n">
        <f>493</f>
        <v>493.0</v>
      </c>
      <c r="Y57" s="24"/>
      <c r="Z57" s="25" t="n">
        <f>1738</f>
        <v>1738.0</v>
      </c>
      <c r="AA57" s="23"/>
      <c r="AB57" s="25" t="n">
        <f>1912</f>
        <v>1912.0</v>
      </c>
      <c r="AC57" s="23"/>
      <c r="AD57" s="26" t="n">
        <f>3650</f>
        <v>3650.0</v>
      </c>
    </row>
    <row r="58">
      <c r="A58" s="30" t="s">
        <v>47</v>
      </c>
      <c r="B58" s="22" t="s">
        <v>61</v>
      </c>
      <c r="C58" s="22" t="s">
        <v>62</v>
      </c>
      <c r="D58" s="24"/>
      <c r="E58" s="25"/>
      <c r="F58" s="23"/>
      <c r="G58" s="25"/>
      <c r="H58" s="23"/>
      <c r="I58" s="26"/>
      <c r="J58" s="24"/>
      <c r="K58" s="25"/>
      <c r="L58" s="23"/>
      <c r="M58" s="25"/>
      <c r="N58" s="23"/>
      <c r="O58" s="26"/>
      <c r="P58" s="27"/>
      <c r="Q58" s="28"/>
      <c r="R58" s="29"/>
      <c r="S58" s="24"/>
      <c r="T58" s="25"/>
      <c r="U58" s="23"/>
      <c r="V58" s="25"/>
      <c r="W58" s="23"/>
      <c r="X58" s="26"/>
      <c r="Y58" s="24"/>
      <c r="Z58" s="25"/>
      <c r="AA58" s="23"/>
      <c r="AB58" s="25"/>
      <c r="AC58" s="23"/>
      <c r="AD58" s="26"/>
    </row>
    <row r="59">
      <c r="A59" s="30" t="s">
        <v>48</v>
      </c>
      <c r="B59" s="22" t="s">
        <v>61</v>
      </c>
      <c r="C59" s="22" t="s">
        <v>62</v>
      </c>
      <c r="D59" s="24"/>
      <c r="E59" s="25"/>
      <c r="F59" s="23"/>
      <c r="G59" s="25"/>
      <c r="H59" s="23"/>
      <c r="I59" s="26"/>
      <c r="J59" s="24"/>
      <c r="K59" s="25"/>
      <c r="L59" s="23"/>
      <c r="M59" s="25"/>
      <c r="N59" s="23"/>
      <c r="O59" s="26"/>
      <c r="P59" s="27"/>
      <c r="Q59" s="28"/>
      <c r="R59" s="29"/>
      <c r="S59" s="24"/>
      <c r="T59" s="25"/>
      <c r="U59" s="23"/>
      <c r="V59" s="25"/>
      <c r="W59" s="23"/>
      <c r="X59" s="26"/>
      <c r="Y59" s="24"/>
      <c r="Z59" s="25"/>
      <c r="AA59" s="23"/>
      <c r="AB59" s="25"/>
      <c r="AC59" s="23"/>
      <c r="AD59" s="26"/>
    </row>
    <row r="60">
      <c r="A60" s="30" t="s">
        <v>49</v>
      </c>
      <c r="B60" s="22" t="s">
        <v>61</v>
      </c>
      <c r="C60" s="22" t="s">
        <v>62</v>
      </c>
      <c r="D60" s="24"/>
      <c r="E60" s="25" t="n">
        <f>3428</f>
        <v>3428.0</v>
      </c>
      <c r="F60" s="23"/>
      <c r="G60" s="25" t="n">
        <f>1433</f>
        <v>1433.0</v>
      </c>
      <c r="H60" s="23"/>
      <c r="I60" s="26" t="n">
        <f>4861</f>
        <v>4861.0</v>
      </c>
      <c r="J60" s="24"/>
      <c r="K60" s="25" t="n">
        <f>143315000</f>
        <v>1.43315E8</v>
      </c>
      <c r="L60" s="23"/>
      <c r="M60" s="25" t="n">
        <f>48969000</f>
        <v>4.8969E7</v>
      </c>
      <c r="N60" s="23"/>
      <c r="O60" s="26" t="n">
        <f>192284000</f>
        <v>1.92284E8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754</f>
        <v>754.0</v>
      </c>
      <c r="U60" s="23"/>
      <c r="V60" s="25" t="n">
        <f>189</f>
        <v>189.0</v>
      </c>
      <c r="W60" s="23"/>
      <c r="X60" s="26" t="n">
        <f>943</f>
        <v>943.0</v>
      </c>
      <c r="Y60" s="24"/>
      <c r="Z60" s="25" t="n">
        <f>3106</f>
        <v>3106.0</v>
      </c>
      <c r="AA60" s="23"/>
      <c r="AB60" s="25" t="n">
        <f>2583</f>
        <v>2583.0</v>
      </c>
      <c r="AC60" s="23"/>
      <c r="AD60" s="26" t="n">
        <f>5689</f>
        <v>5689.0</v>
      </c>
    </row>
    <row r="61">
      <c r="A61" s="30" t="s">
        <v>50</v>
      </c>
      <c r="B61" s="22" t="s">
        <v>61</v>
      </c>
      <c r="C61" s="22" t="s">
        <v>62</v>
      </c>
      <c r="D61" s="24"/>
      <c r="E61" s="25" t="n">
        <f>4040</f>
        <v>4040.0</v>
      </c>
      <c r="F61" s="23"/>
      <c r="G61" s="25" t="n">
        <f>2185</f>
        <v>2185.0</v>
      </c>
      <c r="H61" s="23"/>
      <c r="I61" s="26" t="n">
        <f>6225</f>
        <v>6225.0</v>
      </c>
      <c r="J61" s="24"/>
      <c r="K61" s="25" t="n">
        <f>140989000</f>
        <v>1.40989E8</v>
      </c>
      <c r="L61" s="23"/>
      <c r="M61" s="25" t="n">
        <f>80565000</f>
        <v>8.0565E7</v>
      </c>
      <c r="N61" s="23"/>
      <c r="O61" s="26" t="n">
        <f>221554000</f>
        <v>2.21554E8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/>
      <c r="T61" s="25" t="n">
        <f>755</f>
        <v>755.0</v>
      </c>
      <c r="U61" s="23"/>
      <c r="V61" s="25" t="n">
        <f>245</f>
        <v>245.0</v>
      </c>
      <c r="W61" s="23"/>
      <c r="X61" s="26" t="n">
        <f>1000</f>
        <v>1000.0</v>
      </c>
      <c r="Y61" s="24"/>
      <c r="Z61" s="25" t="n">
        <f>3821</f>
        <v>3821.0</v>
      </c>
      <c r="AA61" s="23"/>
      <c r="AB61" s="25" t="n">
        <f>2958</f>
        <v>2958.0</v>
      </c>
      <c r="AC61" s="23"/>
      <c r="AD61" s="26" t="n">
        <f>6779</f>
        <v>6779.0</v>
      </c>
    </row>
    <row r="62">
      <c r="A62" s="30" t="s">
        <v>51</v>
      </c>
      <c r="B62" s="22" t="s">
        <v>61</v>
      </c>
      <c r="C62" s="22" t="s">
        <v>62</v>
      </c>
      <c r="D62" s="24"/>
      <c r="E62" s="25" t="n">
        <f>3470</f>
        <v>3470.0</v>
      </c>
      <c r="F62" s="23"/>
      <c r="G62" s="25" t="n">
        <f>2287</f>
        <v>2287.0</v>
      </c>
      <c r="H62" s="23"/>
      <c r="I62" s="26" t="n">
        <f>5757</f>
        <v>5757.0</v>
      </c>
      <c r="J62" s="24"/>
      <c r="K62" s="25" t="n">
        <f>100613000</f>
        <v>1.00613E8</v>
      </c>
      <c r="L62" s="23"/>
      <c r="M62" s="25" t="n">
        <f>93487000</f>
        <v>9.3487E7</v>
      </c>
      <c r="N62" s="23"/>
      <c r="O62" s="26" t="n">
        <f>194100000</f>
        <v>1.941E8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/>
      <c r="T62" s="25" t="n">
        <f>573</f>
        <v>573.0</v>
      </c>
      <c r="U62" s="23"/>
      <c r="V62" s="25" t="n">
        <f>224</f>
        <v>224.0</v>
      </c>
      <c r="W62" s="23"/>
      <c r="X62" s="26" t="n">
        <f>797</f>
        <v>797.0</v>
      </c>
      <c r="Y62" s="24"/>
      <c r="Z62" s="25" t="n">
        <f>4744</f>
        <v>4744.0</v>
      </c>
      <c r="AA62" s="23"/>
      <c r="AB62" s="25" t="n">
        <f>3262</f>
        <v>3262.0</v>
      </c>
      <c r="AC62" s="23"/>
      <c r="AD62" s="26" t="n">
        <f>8006</f>
        <v>8006.0</v>
      </c>
    </row>
    <row r="63">
      <c r="A63" s="30" t="s">
        <v>52</v>
      </c>
      <c r="B63" s="22" t="s">
        <v>61</v>
      </c>
      <c r="C63" s="22" t="s">
        <v>62</v>
      </c>
      <c r="D63" s="24" t="s">
        <v>36</v>
      </c>
      <c r="E63" s="25" t="n">
        <f>5994</f>
        <v>5994.0</v>
      </c>
      <c r="F63" s="23"/>
      <c r="G63" s="25" t="n">
        <f>3773</f>
        <v>3773.0</v>
      </c>
      <c r="H63" s="23" t="s">
        <v>36</v>
      </c>
      <c r="I63" s="26" t="n">
        <f>9767</f>
        <v>9767.0</v>
      </c>
      <c r="J63" s="24" t="s">
        <v>36</v>
      </c>
      <c r="K63" s="25" t="n">
        <f>293230560</f>
        <v>2.9323056E8</v>
      </c>
      <c r="L63" s="23"/>
      <c r="M63" s="25" t="n">
        <f>116324000</f>
        <v>1.16324E8</v>
      </c>
      <c r="N63" s="23"/>
      <c r="O63" s="26" t="n">
        <f>409554560</f>
        <v>4.0955456E8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 t="s">
        <v>36</v>
      </c>
      <c r="T63" s="25" t="n">
        <f>1261</f>
        <v>1261.0</v>
      </c>
      <c r="U63" s="23"/>
      <c r="V63" s="25" t="n">
        <f>264</f>
        <v>264.0</v>
      </c>
      <c r="W63" s="23" t="s">
        <v>36</v>
      </c>
      <c r="X63" s="26" t="n">
        <f>1525</f>
        <v>1525.0</v>
      </c>
      <c r="Y63" s="24"/>
      <c r="Z63" s="25" t="n">
        <f>4910</f>
        <v>4910.0</v>
      </c>
      <c r="AA63" s="23"/>
      <c r="AB63" s="25" t="n">
        <f>4060</f>
        <v>4060.0</v>
      </c>
      <c r="AC63" s="23"/>
      <c r="AD63" s="26" t="n">
        <f>8970</f>
        <v>8970.0</v>
      </c>
    </row>
    <row r="64">
      <c r="A64" s="30" t="s">
        <v>53</v>
      </c>
      <c r="B64" s="22" t="s">
        <v>61</v>
      </c>
      <c r="C64" s="22" t="s">
        <v>62</v>
      </c>
      <c r="D64" s="24"/>
      <c r="E64" s="25" t="n">
        <f>2006</f>
        <v>2006.0</v>
      </c>
      <c r="F64" s="23"/>
      <c r="G64" s="25" t="n">
        <f>1245</f>
        <v>1245.0</v>
      </c>
      <c r="H64" s="23"/>
      <c r="I64" s="26" t="n">
        <f>3251</f>
        <v>3251.0</v>
      </c>
      <c r="J64" s="24"/>
      <c r="K64" s="25" t="n">
        <f>97718000</f>
        <v>9.7718E7</v>
      </c>
      <c r="L64" s="23"/>
      <c r="M64" s="25" t="n">
        <f>97864000</f>
        <v>9.7864E7</v>
      </c>
      <c r="N64" s="23"/>
      <c r="O64" s="26" t="n">
        <f>195582000</f>
        <v>1.95582E8</v>
      </c>
      <c r="P64" s="27" t="n">
        <f>263</f>
        <v>263.0</v>
      </c>
      <c r="Q64" s="28" t="n">
        <f>135</f>
        <v>135.0</v>
      </c>
      <c r="R64" s="29" t="n">
        <f>398</f>
        <v>398.0</v>
      </c>
      <c r="S64" s="24"/>
      <c r="T64" s="25" t="n">
        <f>346</f>
        <v>346.0</v>
      </c>
      <c r="U64" s="23"/>
      <c r="V64" s="25" t="n">
        <f>419</f>
        <v>419.0</v>
      </c>
      <c r="W64" s="23"/>
      <c r="X64" s="26" t="n">
        <f>765</f>
        <v>765.0</v>
      </c>
      <c r="Y64" s="24"/>
      <c r="Z64" s="25" t="n">
        <f>2341</f>
        <v>2341.0</v>
      </c>
      <c r="AA64" s="23"/>
      <c r="AB64" s="25" t="n">
        <f>1791</f>
        <v>1791.0</v>
      </c>
      <c r="AC64" s="23"/>
      <c r="AD64" s="26" t="n">
        <f>4132</f>
        <v>4132.0</v>
      </c>
    </row>
    <row r="65">
      <c r="A65" s="30" t="s">
        <v>54</v>
      </c>
      <c r="B65" s="22" t="s">
        <v>61</v>
      </c>
      <c r="C65" s="22" t="s">
        <v>62</v>
      </c>
      <c r="D65" s="24"/>
      <c r="E65" s="25"/>
      <c r="F65" s="23"/>
      <c r="G65" s="25"/>
      <c r="H65" s="23"/>
      <c r="I65" s="26"/>
      <c r="J65" s="24"/>
      <c r="K65" s="25"/>
      <c r="L65" s="23"/>
      <c r="M65" s="25"/>
      <c r="N65" s="23"/>
      <c r="O65" s="26"/>
      <c r="P65" s="27"/>
      <c r="Q65" s="28"/>
      <c r="R65" s="29"/>
      <c r="S65" s="24"/>
      <c r="T65" s="25"/>
      <c r="U65" s="23"/>
      <c r="V65" s="25"/>
      <c r="W65" s="23"/>
      <c r="X65" s="26"/>
      <c r="Y65" s="24"/>
      <c r="Z65" s="25"/>
      <c r="AA65" s="23"/>
      <c r="AB65" s="25"/>
      <c r="AC65" s="23"/>
      <c r="AD65" s="26"/>
    </row>
    <row r="66">
      <c r="A66" s="30" t="s">
        <v>55</v>
      </c>
      <c r="B66" s="22" t="s">
        <v>61</v>
      </c>
      <c r="C66" s="22" t="s">
        <v>62</v>
      </c>
      <c r="D66" s="24"/>
      <c r="E66" s="25"/>
      <c r="F66" s="23"/>
      <c r="G66" s="25"/>
      <c r="H66" s="23"/>
      <c r="I66" s="26"/>
      <c r="J66" s="24"/>
      <c r="K66" s="25"/>
      <c r="L66" s="23"/>
      <c r="M66" s="25"/>
      <c r="N66" s="23"/>
      <c r="O66" s="26"/>
      <c r="P66" s="27"/>
      <c r="Q66" s="28"/>
      <c r="R66" s="29"/>
      <c r="S66" s="24"/>
      <c r="T66" s="25"/>
      <c r="U66" s="23"/>
      <c r="V66" s="25"/>
      <c r="W66" s="23"/>
      <c r="X66" s="26"/>
      <c r="Y66" s="24"/>
      <c r="Z66" s="25"/>
      <c r="AA66" s="23"/>
      <c r="AB66" s="25"/>
      <c r="AC66" s="23"/>
      <c r="AD66" s="26"/>
    </row>
    <row r="67">
      <c r="A67" s="30" t="s">
        <v>56</v>
      </c>
      <c r="B67" s="22" t="s">
        <v>61</v>
      </c>
      <c r="C67" s="22" t="s">
        <v>62</v>
      </c>
      <c r="D67" s="24"/>
      <c r="E67" s="25" t="n">
        <f>3937</f>
        <v>3937.0</v>
      </c>
      <c r="F67" s="23"/>
      <c r="G67" s="25" t="n">
        <f>4241</f>
        <v>4241.0</v>
      </c>
      <c r="H67" s="23"/>
      <c r="I67" s="26" t="n">
        <f>8178</f>
        <v>8178.0</v>
      </c>
      <c r="J67" s="24"/>
      <c r="K67" s="25" t="n">
        <f>256219000</f>
        <v>2.56219E8</v>
      </c>
      <c r="L67" s="23"/>
      <c r="M67" s="25" t="n">
        <f>155371000</f>
        <v>1.55371E8</v>
      </c>
      <c r="N67" s="23" t="s">
        <v>36</v>
      </c>
      <c r="O67" s="26" t="n">
        <f>411590000</f>
        <v>4.1159E8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537</f>
        <v>537.0</v>
      </c>
      <c r="U67" s="23"/>
      <c r="V67" s="25" t="n">
        <f>434</f>
        <v>434.0</v>
      </c>
      <c r="W67" s="23"/>
      <c r="X67" s="26" t="n">
        <f>971</f>
        <v>971.0</v>
      </c>
      <c r="Y67" s="24"/>
      <c r="Z67" s="25" t="n">
        <f>2763</f>
        <v>2763.0</v>
      </c>
      <c r="AA67" s="23"/>
      <c r="AB67" s="25" t="n">
        <f>3221</f>
        <v>3221.0</v>
      </c>
      <c r="AC67" s="23"/>
      <c r="AD67" s="26" t="n">
        <f>5984</f>
        <v>5984.0</v>
      </c>
    </row>
    <row r="68">
      <c r="A68" s="30" t="s">
        <v>57</v>
      </c>
      <c r="B68" s="22" t="s">
        <v>61</v>
      </c>
      <c r="C68" s="22" t="s">
        <v>62</v>
      </c>
      <c r="D68" s="24"/>
      <c r="E68" s="25" t="n">
        <f>2740</f>
        <v>2740.0</v>
      </c>
      <c r="F68" s="23"/>
      <c r="G68" s="25" t="n">
        <f>3294</f>
        <v>3294.0</v>
      </c>
      <c r="H68" s="23"/>
      <c r="I68" s="26" t="n">
        <f>6034</f>
        <v>6034.0</v>
      </c>
      <c r="J68" s="24"/>
      <c r="K68" s="25" t="n">
        <f>265447000</f>
        <v>2.65447E8</v>
      </c>
      <c r="L68" s="23"/>
      <c r="M68" s="25" t="n">
        <f>111731000</f>
        <v>1.11731E8</v>
      </c>
      <c r="N68" s="23"/>
      <c r="O68" s="26" t="n">
        <f>377178000</f>
        <v>3.77178E8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397</f>
        <v>397.0</v>
      </c>
      <c r="U68" s="23"/>
      <c r="V68" s="25" t="n">
        <f>379</f>
        <v>379.0</v>
      </c>
      <c r="W68" s="23"/>
      <c r="X68" s="26" t="n">
        <f>776</f>
        <v>776.0</v>
      </c>
      <c r="Y68" s="24"/>
      <c r="Z68" s="25" t="n">
        <f>3423</f>
        <v>3423.0</v>
      </c>
      <c r="AA68" s="23"/>
      <c r="AB68" s="25" t="n">
        <f>3743</f>
        <v>3743.0</v>
      </c>
      <c r="AC68" s="23"/>
      <c r="AD68" s="26" t="n">
        <f>7166</f>
        <v>7166.0</v>
      </c>
    </row>
    <row r="69">
      <c r="A69" s="30" t="s">
        <v>58</v>
      </c>
      <c r="B69" s="22" t="s">
        <v>61</v>
      </c>
      <c r="C69" s="22" t="s">
        <v>62</v>
      </c>
      <c r="D69" s="24"/>
      <c r="E69" s="25" t="n">
        <f>2503</f>
        <v>2503.0</v>
      </c>
      <c r="F69" s="23"/>
      <c r="G69" s="25" t="n">
        <f>2696</f>
        <v>2696.0</v>
      </c>
      <c r="H69" s="23"/>
      <c r="I69" s="26" t="n">
        <f>5199</f>
        <v>5199.0</v>
      </c>
      <c r="J69" s="24"/>
      <c r="K69" s="25" t="n">
        <f>144329000</f>
        <v>1.44329E8</v>
      </c>
      <c r="L69" s="23"/>
      <c r="M69" s="25" t="n">
        <f>91249000</f>
        <v>9.1249E7</v>
      </c>
      <c r="N69" s="23"/>
      <c r="O69" s="26" t="n">
        <f>235578000</f>
        <v>2.35578E8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376</f>
        <v>376.0</v>
      </c>
      <c r="U69" s="23"/>
      <c r="V69" s="25" t="n">
        <f>234</f>
        <v>234.0</v>
      </c>
      <c r="W69" s="23"/>
      <c r="X69" s="26" t="n">
        <f>610</f>
        <v>610.0</v>
      </c>
      <c r="Y69" s="24"/>
      <c r="Z69" s="25" t="n">
        <f>3677</f>
        <v>3677.0</v>
      </c>
      <c r="AA69" s="23"/>
      <c r="AB69" s="25" t="n">
        <f>4514</f>
        <v>4514.0</v>
      </c>
      <c r="AC69" s="23"/>
      <c r="AD69" s="26" t="n">
        <f>8191</f>
        <v>8191.0</v>
      </c>
    </row>
    <row r="70">
      <c r="A70" s="30" t="s">
        <v>59</v>
      </c>
      <c r="B70" s="22" t="s">
        <v>61</v>
      </c>
      <c r="C70" s="22" t="s">
        <v>62</v>
      </c>
      <c r="D70" s="24"/>
      <c r="E70" s="25" t="n">
        <f>4497</f>
        <v>4497.0</v>
      </c>
      <c r="F70" s="23" t="s">
        <v>36</v>
      </c>
      <c r="G70" s="25" t="n">
        <f>4493</f>
        <v>4493.0</v>
      </c>
      <c r="H70" s="23"/>
      <c r="I70" s="26" t="n">
        <f>8990</f>
        <v>8990.0</v>
      </c>
      <c r="J70" s="24"/>
      <c r="K70" s="25" t="n">
        <f>244051000</f>
        <v>2.44051E8</v>
      </c>
      <c r="L70" s="23"/>
      <c r="M70" s="25" t="n">
        <f>147390000</f>
        <v>1.4739E8</v>
      </c>
      <c r="N70" s="23"/>
      <c r="O70" s="26" t="n">
        <f>391441000</f>
        <v>3.91441E8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1041</f>
        <v>1041.0</v>
      </c>
      <c r="U70" s="23"/>
      <c r="V70" s="25" t="n">
        <f>264</f>
        <v>264.0</v>
      </c>
      <c r="W70" s="23"/>
      <c r="X70" s="26" t="n">
        <f>1305</f>
        <v>1305.0</v>
      </c>
      <c r="Y70" s="24"/>
      <c r="Z70" s="25" t="n">
        <f>5078</f>
        <v>5078.0</v>
      </c>
      <c r="AA70" s="23" t="s">
        <v>36</v>
      </c>
      <c r="AB70" s="25" t="n">
        <f>5421</f>
        <v>5421.0</v>
      </c>
      <c r="AC70" s="23" t="s">
        <v>36</v>
      </c>
      <c r="AD70" s="26" t="n">
        <f>10499</f>
        <v>10499.0</v>
      </c>
    </row>
    <row r="71">
      <c r="A71" s="30" t="s">
        <v>60</v>
      </c>
      <c r="B71" s="22" t="s">
        <v>61</v>
      </c>
      <c r="C71" s="22" t="s">
        <v>62</v>
      </c>
      <c r="D71" s="24"/>
      <c r="E71" s="25" t="n">
        <f>1388</f>
        <v>1388.0</v>
      </c>
      <c r="F71" s="23"/>
      <c r="G71" s="25" t="n">
        <f>2210</f>
        <v>2210.0</v>
      </c>
      <c r="H71" s="23"/>
      <c r="I71" s="26" t="n">
        <f>3598</f>
        <v>3598.0</v>
      </c>
      <c r="J71" s="24"/>
      <c r="K71" s="25" t="n">
        <f>135542000</f>
        <v>1.35542E8</v>
      </c>
      <c r="L71" s="23"/>
      <c r="M71" s="25" t="n">
        <f>154264000</f>
        <v>1.54264E8</v>
      </c>
      <c r="N71" s="23"/>
      <c r="O71" s="26" t="n">
        <f>289806000</f>
        <v>2.89806E8</v>
      </c>
      <c r="P71" s="27" t="n">
        <f>1093</f>
        <v>1093.0</v>
      </c>
      <c r="Q71" s="28" t="n">
        <f>52</f>
        <v>52.0</v>
      </c>
      <c r="R71" s="29" t="n">
        <f>1145</f>
        <v>1145.0</v>
      </c>
      <c r="S71" s="24"/>
      <c r="T71" s="25" t="n">
        <f>316</f>
        <v>316.0</v>
      </c>
      <c r="U71" s="23" t="s">
        <v>36</v>
      </c>
      <c r="V71" s="25" t="n">
        <f>450</f>
        <v>450.0</v>
      </c>
      <c r="W71" s="23"/>
      <c r="X71" s="26" t="n">
        <f>766</f>
        <v>766.0</v>
      </c>
      <c r="Y71" s="24"/>
      <c r="Z71" s="25" t="n">
        <f>1296</f>
        <v>1296.0</v>
      </c>
      <c r="AA71" s="23"/>
      <c r="AB71" s="25" t="n">
        <f>2036</f>
        <v>2036.0</v>
      </c>
      <c r="AC71" s="23"/>
      <c r="AD71" s="26" t="n">
        <f>3332</f>
        <v>3332.0</v>
      </c>
    </row>
    <row r="72">
      <c r="A72" s="30" t="s">
        <v>26</v>
      </c>
      <c r="B72" s="22" t="s">
        <v>63</v>
      </c>
      <c r="C72" s="22" t="s">
        <v>64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29</v>
      </c>
      <c r="B73" s="22" t="s">
        <v>63</v>
      </c>
      <c r="C73" s="22" t="s">
        <v>64</v>
      </c>
      <c r="D73" s="24"/>
      <c r="E73" s="25"/>
      <c r="F73" s="23"/>
      <c r="G73" s="25"/>
      <c r="H73" s="23"/>
      <c r="I73" s="26"/>
      <c r="J73" s="24"/>
      <c r="K73" s="25"/>
      <c r="L73" s="23"/>
      <c r="M73" s="25"/>
      <c r="N73" s="23"/>
      <c r="O73" s="26"/>
      <c r="P73" s="27"/>
      <c r="Q73" s="28"/>
      <c r="R73" s="29"/>
      <c r="S73" s="24"/>
      <c r="T73" s="25"/>
      <c r="U73" s="23"/>
      <c r="V73" s="25"/>
      <c r="W73" s="23"/>
      <c r="X73" s="26"/>
      <c r="Y73" s="24"/>
      <c r="Z73" s="25"/>
      <c r="AA73" s="23"/>
      <c r="AB73" s="25"/>
      <c r="AC73" s="23"/>
      <c r="AD73" s="26"/>
    </row>
    <row r="74">
      <c r="A74" s="30" t="s">
        <v>30</v>
      </c>
      <c r="B74" s="22" t="s">
        <v>63</v>
      </c>
      <c r="C74" s="22" t="s">
        <v>64</v>
      </c>
      <c r="D74" s="24"/>
      <c r="E74" s="25"/>
      <c r="F74" s="23"/>
      <c r="G74" s="25"/>
      <c r="H74" s="23"/>
      <c r="I74" s="26"/>
      <c r="J74" s="24"/>
      <c r="K74" s="25"/>
      <c r="L74" s="23"/>
      <c r="M74" s="25"/>
      <c r="N74" s="23"/>
      <c r="O74" s="26"/>
      <c r="P74" s="27"/>
      <c r="Q74" s="28"/>
      <c r="R74" s="29"/>
      <c r="S74" s="24"/>
      <c r="T74" s="25"/>
      <c r="U74" s="23"/>
      <c r="V74" s="25"/>
      <c r="W74" s="23"/>
      <c r="X74" s="26"/>
      <c r="Y74" s="24"/>
      <c r="Z74" s="25"/>
      <c r="AA74" s="23"/>
      <c r="AB74" s="25"/>
      <c r="AC74" s="23"/>
      <c r="AD74" s="26"/>
    </row>
    <row r="75">
      <c r="A75" s="30" t="s">
        <v>31</v>
      </c>
      <c r="B75" s="22" t="s">
        <v>63</v>
      </c>
      <c r="C75" s="22" t="s">
        <v>64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32</v>
      </c>
      <c r="B76" s="22" t="s">
        <v>63</v>
      </c>
      <c r="C76" s="22" t="s">
        <v>64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33</v>
      </c>
      <c r="B77" s="22" t="s">
        <v>63</v>
      </c>
      <c r="C77" s="22" t="s">
        <v>64</v>
      </c>
      <c r="D77" s="24" t="s">
        <v>39</v>
      </c>
      <c r="E77" s="25" t="str">
        <f>"－"</f>
        <v>－</v>
      </c>
      <c r="F77" s="23" t="s">
        <v>39</v>
      </c>
      <c r="G77" s="25" t="str">
        <f>"－"</f>
        <v>－</v>
      </c>
      <c r="H77" s="23" t="s">
        <v>39</v>
      </c>
      <c r="I77" s="26" t="str">
        <f>"－"</f>
        <v>－</v>
      </c>
      <c r="J77" s="24" t="s">
        <v>39</v>
      </c>
      <c r="K77" s="25" t="str">
        <f>"－"</f>
        <v>－</v>
      </c>
      <c r="L77" s="23" t="s">
        <v>39</v>
      </c>
      <c r="M77" s="25" t="str">
        <f>"－"</f>
        <v>－</v>
      </c>
      <c r="N77" s="23" t="s">
        <v>39</v>
      </c>
      <c r="O77" s="26" t="str">
        <f>"－"</f>
        <v>－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 t="s">
        <v>39</v>
      </c>
      <c r="T77" s="25" t="str">
        <f>"－"</f>
        <v>－</v>
      </c>
      <c r="U77" s="23" t="s">
        <v>39</v>
      </c>
      <c r="V77" s="25" t="str">
        <f>"－"</f>
        <v>－</v>
      </c>
      <c r="W77" s="23" t="s">
        <v>39</v>
      </c>
      <c r="X77" s="26" t="str">
        <f>"－"</f>
        <v>－</v>
      </c>
      <c r="Y77" s="24" t="s">
        <v>39</v>
      </c>
      <c r="Z77" s="25" t="n">
        <f>79851</f>
        <v>79851.0</v>
      </c>
      <c r="AA77" s="23"/>
      <c r="AB77" s="25" t="n">
        <f>20025</f>
        <v>20025.0</v>
      </c>
      <c r="AC77" s="23"/>
      <c r="AD77" s="26" t="n">
        <f>99876</f>
        <v>99876.0</v>
      </c>
    </row>
    <row r="78">
      <c r="A78" s="30" t="s">
        <v>34</v>
      </c>
      <c r="B78" s="22" t="s">
        <v>63</v>
      </c>
      <c r="C78" s="22" t="s">
        <v>64</v>
      </c>
      <c r="D78" s="24"/>
      <c r="E78" s="25" t="str">
        <f>"－"</f>
        <v>－</v>
      </c>
      <c r="F78" s="23"/>
      <c r="G78" s="25" t="str">
        <f>"－"</f>
        <v>－</v>
      </c>
      <c r="H78" s="23"/>
      <c r="I78" s="26" t="str">
        <f>"－"</f>
        <v>－</v>
      </c>
      <c r="J78" s="24"/>
      <c r="K78" s="25" t="str">
        <f>"－"</f>
        <v>－</v>
      </c>
      <c r="L78" s="23"/>
      <c r="M78" s="25" t="str">
        <f>"－"</f>
        <v>－</v>
      </c>
      <c r="N78" s="23"/>
      <c r="O78" s="26" t="str">
        <f>"－"</f>
        <v>－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str">
        <f>"－"</f>
        <v>－</v>
      </c>
      <c r="U78" s="23"/>
      <c r="V78" s="25" t="str">
        <f>"－"</f>
        <v>－</v>
      </c>
      <c r="W78" s="23"/>
      <c r="X78" s="26" t="str">
        <f>"－"</f>
        <v>－</v>
      </c>
      <c r="Y78" s="24"/>
      <c r="Z78" s="25" t="n">
        <f>79851</f>
        <v>79851.0</v>
      </c>
      <c r="AA78" s="23"/>
      <c r="AB78" s="25" t="n">
        <f>20025</f>
        <v>20025.0</v>
      </c>
      <c r="AC78" s="23"/>
      <c r="AD78" s="26" t="n">
        <f>99876</f>
        <v>99876.0</v>
      </c>
    </row>
    <row r="79">
      <c r="A79" s="30" t="s">
        <v>35</v>
      </c>
      <c r="B79" s="22" t="s">
        <v>63</v>
      </c>
      <c r="C79" s="22" t="s">
        <v>64</v>
      </c>
      <c r="D79" s="24"/>
      <c r="E79" s="25" t="n">
        <f>400</f>
        <v>400.0</v>
      </c>
      <c r="F79" s="23"/>
      <c r="G79" s="25" t="n">
        <f>400</f>
        <v>400.0</v>
      </c>
      <c r="H79" s="23"/>
      <c r="I79" s="26" t="n">
        <f>800</f>
        <v>800.0</v>
      </c>
      <c r="J79" s="24"/>
      <c r="K79" s="25" t="n">
        <f>28000000</f>
        <v>2.8E7</v>
      </c>
      <c r="L79" s="23"/>
      <c r="M79" s="25" t="n">
        <f>44000000</f>
        <v>4.4E7</v>
      </c>
      <c r="N79" s="23"/>
      <c r="O79" s="26" t="n">
        <f>72000000</f>
        <v>7.2E7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str">
        <f>"－"</f>
        <v>－</v>
      </c>
      <c r="W79" s="23"/>
      <c r="X79" s="26" t="str">
        <f>"－"</f>
        <v>－</v>
      </c>
      <c r="Y79" s="24"/>
      <c r="Z79" s="25" t="n">
        <f>80251</f>
        <v>80251.0</v>
      </c>
      <c r="AA79" s="23"/>
      <c r="AB79" s="25" t="n">
        <f>20425</f>
        <v>20425.0</v>
      </c>
      <c r="AC79" s="23"/>
      <c r="AD79" s="26" t="n">
        <f>100676</f>
        <v>100676.0</v>
      </c>
    </row>
    <row r="80">
      <c r="A80" s="30" t="s">
        <v>37</v>
      </c>
      <c r="B80" s="22" t="s">
        <v>63</v>
      </c>
      <c r="C80" s="22" t="s">
        <v>64</v>
      </c>
      <c r="D80" s="24"/>
      <c r="E80" s="25" t="str">
        <f>"－"</f>
        <v>－</v>
      </c>
      <c r="F80" s="23" t="s">
        <v>36</v>
      </c>
      <c r="G80" s="25" t="n">
        <f>3172</f>
        <v>3172.0</v>
      </c>
      <c r="H80" s="23" t="s">
        <v>36</v>
      </c>
      <c r="I80" s="26" t="n">
        <f>3172</f>
        <v>3172.0</v>
      </c>
      <c r="J80" s="24"/>
      <c r="K80" s="25" t="str">
        <f>"－"</f>
        <v>－</v>
      </c>
      <c r="L80" s="23" t="s">
        <v>36</v>
      </c>
      <c r="M80" s="25" t="n">
        <f>218861656</f>
        <v>2.18861656E8</v>
      </c>
      <c r="N80" s="23"/>
      <c r="O80" s="26" t="n">
        <f>218861656</f>
        <v>2.18861656E8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str">
        <f>"－"</f>
        <v>－</v>
      </c>
      <c r="U80" s="23"/>
      <c r="V80" s="25" t="str">
        <f>"－"</f>
        <v>－</v>
      </c>
      <c r="W80" s="23"/>
      <c r="X80" s="26" t="str">
        <f>"－"</f>
        <v>－</v>
      </c>
      <c r="Y80" s="24"/>
      <c r="Z80" s="25" t="n">
        <f>80251</f>
        <v>80251.0</v>
      </c>
      <c r="AA80" s="23" t="s">
        <v>36</v>
      </c>
      <c r="AB80" s="25" t="n">
        <f>22011</f>
        <v>22011.0</v>
      </c>
      <c r="AC80" s="23"/>
      <c r="AD80" s="26" t="n">
        <f>102262</f>
        <v>102262.0</v>
      </c>
    </row>
    <row r="81">
      <c r="A81" s="30" t="s">
        <v>38</v>
      </c>
      <c r="B81" s="22" t="s">
        <v>63</v>
      </c>
      <c r="C81" s="22" t="s">
        <v>64</v>
      </c>
      <c r="D81" s="24"/>
      <c r="E81" s="25" t="n">
        <f>1407</f>
        <v>1407.0</v>
      </c>
      <c r="F81" s="23"/>
      <c r="G81" s="25" t="str">
        <f>"－"</f>
        <v>－</v>
      </c>
      <c r="H81" s="23"/>
      <c r="I81" s="26" t="n">
        <f>1407</f>
        <v>1407.0</v>
      </c>
      <c r="J81" s="24"/>
      <c r="K81" s="25" t="n">
        <f>670128600</f>
        <v>6.701286E8</v>
      </c>
      <c r="L81" s="23"/>
      <c r="M81" s="25" t="str">
        <f>"－"</f>
        <v>－</v>
      </c>
      <c r="N81" s="23"/>
      <c r="O81" s="26" t="n">
        <f>670128600</f>
        <v>6.701286E8</v>
      </c>
      <c r="P81" s="27" t="str">
        <f>"－"</f>
        <v>－</v>
      </c>
      <c r="Q81" s="28" t="n">
        <f>1586</f>
        <v>1586.0</v>
      </c>
      <c r="R81" s="29" t="n">
        <f>1586</f>
        <v>1586.0</v>
      </c>
      <c r="S81" s="24"/>
      <c r="T81" s="25" t="n">
        <f>1407</f>
        <v>1407.0</v>
      </c>
      <c r="U81" s="23"/>
      <c r="V81" s="25" t="str">
        <f>"－"</f>
        <v>－</v>
      </c>
      <c r="W81" s="23"/>
      <c r="X81" s="26" t="n">
        <f>1407</f>
        <v>1407.0</v>
      </c>
      <c r="Y81" s="24"/>
      <c r="Z81" s="25" t="n">
        <f>80901</f>
        <v>80901.0</v>
      </c>
      <c r="AA81" s="23" t="s">
        <v>39</v>
      </c>
      <c r="AB81" s="25" t="n">
        <f>18163</f>
        <v>18163.0</v>
      </c>
      <c r="AC81" s="23" t="s">
        <v>39</v>
      </c>
      <c r="AD81" s="26" t="n">
        <f>99064</f>
        <v>99064.0</v>
      </c>
    </row>
    <row r="82">
      <c r="A82" s="30" t="s">
        <v>40</v>
      </c>
      <c r="B82" s="22" t="s">
        <v>63</v>
      </c>
      <c r="C82" s="22" t="s">
        <v>64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41</v>
      </c>
      <c r="B83" s="22" t="s">
        <v>63</v>
      </c>
      <c r="C83" s="22" t="s">
        <v>64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42</v>
      </c>
      <c r="B84" s="22" t="s">
        <v>63</v>
      </c>
      <c r="C84" s="22" t="s">
        <v>64</v>
      </c>
      <c r="D84" s="24"/>
      <c r="E84" s="25"/>
      <c r="F84" s="23"/>
      <c r="G84" s="25"/>
      <c r="H84" s="23"/>
      <c r="I84" s="26"/>
      <c r="J84" s="24"/>
      <c r="K84" s="25"/>
      <c r="L84" s="23"/>
      <c r="M84" s="25"/>
      <c r="N84" s="23"/>
      <c r="O84" s="26"/>
      <c r="P84" s="27"/>
      <c r="Q84" s="28"/>
      <c r="R84" s="29"/>
      <c r="S84" s="24"/>
      <c r="T84" s="25"/>
      <c r="U84" s="23"/>
      <c r="V84" s="25"/>
      <c r="W84" s="23"/>
      <c r="X84" s="26"/>
      <c r="Y84" s="24"/>
      <c r="Z84" s="25"/>
      <c r="AA84" s="23"/>
      <c r="AB84" s="25"/>
      <c r="AC84" s="23"/>
      <c r="AD84" s="26"/>
    </row>
    <row r="85">
      <c r="A85" s="30" t="s">
        <v>43</v>
      </c>
      <c r="B85" s="22" t="s">
        <v>63</v>
      </c>
      <c r="C85" s="22" t="s">
        <v>64</v>
      </c>
      <c r="D85" s="24"/>
      <c r="E85" s="25" t="str">
        <f>"－"</f>
        <v>－</v>
      </c>
      <c r="F85" s="23"/>
      <c r="G85" s="25" t="n">
        <f>285</f>
        <v>285.0</v>
      </c>
      <c r="H85" s="23"/>
      <c r="I85" s="26" t="n">
        <f>285</f>
        <v>285.0</v>
      </c>
      <c r="J85" s="24"/>
      <c r="K85" s="25" t="str">
        <f>"－"</f>
        <v>－</v>
      </c>
      <c r="L85" s="23"/>
      <c r="M85" s="25" t="n">
        <f>18783500</f>
        <v>1.87835E7</v>
      </c>
      <c r="N85" s="23"/>
      <c r="O85" s="26" t="n">
        <f>18783500</f>
        <v>1.87835E7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 t="s">
        <v>36</v>
      </c>
      <c r="V85" s="25" t="n">
        <f>285</f>
        <v>285.0</v>
      </c>
      <c r="W85" s="23"/>
      <c r="X85" s="26" t="n">
        <f>285</f>
        <v>285.0</v>
      </c>
      <c r="Y85" s="24"/>
      <c r="Z85" s="25" t="n">
        <f>80901</f>
        <v>80901.0</v>
      </c>
      <c r="AA85" s="23"/>
      <c r="AB85" s="25" t="n">
        <f>18448</f>
        <v>18448.0</v>
      </c>
      <c r="AC85" s="23"/>
      <c r="AD85" s="26" t="n">
        <f>99349</f>
        <v>99349.0</v>
      </c>
    </row>
    <row r="86">
      <c r="A86" s="30" t="s">
        <v>44</v>
      </c>
      <c r="B86" s="22" t="s">
        <v>63</v>
      </c>
      <c r="C86" s="22" t="s">
        <v>64</v>
      </c>
      <c r="D86" s="24"/>
      <c r="E86" s="25" t="n">
        <f>600</f>
        <v>600.0</v>
      </c>
      <c r="F86" s="23"/>
      <c r="G86" s="25" t="str">
        <f>"－"</f>
        <v>－</v>
      </c>
      <c r="H86" s="23"/>
      <c r="I86" s="26" t="n">
        <f>600</f>
        <v>600.0</v>
      </c>
      <c r="J86" s="24"/>
      <c r="K86" s="25" t="n">
        <f>315000000</f>
        <v>3.15E8</v>
      </c>
      <c r="L86" s="23"/>
      <c r="M86" s="25" t="str">
        <f>"－"</f>
        <v>－</v>
      </c>
      <c r="N86" s="23"/>
      <c r="O86" s="26" t="n">
        <f>315000000</f>
        <v>3.15E8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81501</f>
        <v>81501.0</v>
      </c>
      <c r="AA86" s="23"/>
      <c r="AB86" s="25" t="n">
        <f>18448</f>
        <v>18448.0</v>
      </c>
      <c r="AC86" s="23"/>
      <c r="AD86" s="26" t="n">
        <f>99949</f>
        <v>99949.0</v>
      </c>
    </row>
    <row r="87">
      <c r="A87" s="30" t="s">
        <v>45</v>
      </c>
      <c r="B87" s="22" t="s">
        <v>63</v>
      </c>
      <c r="C87" s="22" t="s">
        <v>64</v>
      </c>
      <c r="D87" s="24"/>
      <c r="E87" s="25" t="str">
        <f>"－"</f>
        <v>－</v>
      </c>
      <c r="F87" s="23"/>
      <c r="G87" s="25" t="n">
        <f>60</f>
        <v>60.0</v>
      </c>
      <c r="H87" s="23"/>
      <c r="I87" s="26" t="n">
        <f>60</f>
        <v>60.0</v>
      </c>
      <c r="J87" s="24"/>
      <c r="K87" s="25" t="str">
        <f>"－"</f>
        <v>－</v>
      </c>
      <c r="L87" s="23"/>
      <c r="M87" s="25" t="n">
        <f>25500000</f>
        <v>2.55E7</v>
      </c>
      <c r="N87" s="23"/>
      <c r="O87" s="26" t="n">
        <f>25500000</f>
        <v>2.55E7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81501</f>
        <v>81501.0</v>
      </c>
      <c r="AA87" s="23"/>
      <c r="AB87" s="25" t="n">
        <f>18448</f>
        <v>18448.0</v>
      </c>
      <c r="AC87" s="23"/>
      <c r="AD87" s="26" t="n">
        <f>99949</f>
        <v>99949.0</v>
      </c>
    </row>
    <row r="88">
      <c r="A88" s="30" t="s">
        <v>46</v>
      </c>
      <c r="B88" s="22" t="s">
        <v>63</v>
      </c>
      <c r="C88" s="22" t="s">
        <v>64</v>
      </c>
      <c r="D88" s="24"/>
      <c r="E88" s="25" t="n">
        <f>700</f>
        <v>700.0</v>
      </c>
      <c r="F88" s="23"/>
      <c r="G88" s="25" t="str">
        <f>"－"</f>
        <v>－</v>
      </c>
      <c r="H88" s="23"/>
      <c r="I88" s="26" t="n">
        <f>700</f>
        <v>700.0</v>
      </c>
      <c r="J88" s="24"/>
      <c r="K88" s="25" t="n">
        <f>59150000</f>
        <v>5.915E7</v>
      </c>
      <c r="L88" s="23"/>
      <c r="M88" s="25" t="str">
        <f>"－"</f>
        <v>－</v>
      </c>
      <c r="N88" s="23"/>
      <c r="O88" s="26" t="n">
        <f>59150000</f>
        <v>5.915E7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82101</f>
        <v>82101.0</v>
      </c>
      <c r="AA88" s="23"/>
      <c r="AB88" s="25" t="n">
        <f>18448</f>
        <v>18448.0</v>
      </c>
      <c r="AC88" s="23"/>
      <c r="AD88" s="26" t="n">
        <f>100549</f>
        <v>100549.0</v>
      </c>
    </row>
    <row r="89">
      <c r="A89" s="30" t="s">
        <v>47</v>
      </c>
      <c r="B89" s="22" t="s">
        <v>63</v>
      </c>
      <c r="C89" s="22" t="s">
        <v>64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48</v>
      </c>
      <c r="B90" s="22" t="s">
        <v>63</v>
      </c>
      <c r="C90" s="22" t="s">
        <v>64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49</v>
      </c>
      <c r="B91" s="22" t="s">
        <v>63</v>
      </c>
      <c r="C91" s="22" t="s">
        <v>64</v>
      </c>
      <c r="D91" s="24"/>
      <c r="E91" s="25" t="str">
        <f>"－"</f>
        <v>－</v>
      </c>
      <c r="F91" s="23"/>
      <c r="G91" s="25" t="n">
        <f>600</f>
        <v>600.0</v>
      </c>
      <c r="H91" s="23"/>
      <c r="I91" s="26" t="n">
        <f>600</f>
        <v>600.0</v>
      </c>
      <c r="J91" s="24"/>
      <c r="K91" s="25" t="str">
        <f>"－"</f>
        <v>－</v>
      </c>
      <c r="L91" s="23"/>
      <c r="M91" s="25" t="n">
        <f>58500000</f>
        <v>5.85E7</v>
      </c>
      <c r="N91" s="23"/>
      <c r="O91" s="26" t="n">
        <f>58500000</f>
        <v>5.85E7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str">
        <f>"－"</f>
        <v>－</v>
      </c>
      <c r="U91" s="23"/>
      <c r="V91" s="25" t="str">
        <f>"－"</f>
        <v>－</v>
      </c>
      <c r="W91" s="23"/>
      <c r="X91" s="26" t="str">
        <f>"－"</f>
        <v>－</v>
      </c>
      <c r="Y91" s="24"/>
      <c r="Z91" s="25" t="n">
        <f>82101</f>
        <v>82101.0</v>
      </c>
      <c r="AA91" s="23"/>
      <c r="AB91" s="25" t="n">
        <f>18448</f>
        <v>18448.0</v>
      </c>
      <c r="AC91" s="23"/>
      <c r="AD91" s="26" t="n">
        <f>100549</f>
        <v>100549.0</v>
      </c>
    </row>
    <row r="92">
      <c r="A92" s="30" t="s">
        <v>50</v>
      </c>
      <c r="B92" s="22" t="s">
        <v>63</v>
      </c>
      <c r="C92" s="22" t="s">
        <v>64</v>
      </c>
      <c r="D92" s="24"/>
      <c r="E92" s="25" t="n">
        <f>150</f>
        <v>150.0</v>
      </c>
      <c r="F92" s="23"/>
      <c r="G92" s="25" t="str">
        <f>"－"</f>
        <v>－</v>
      </c>
      <c r="H92" s="23"/>
      <c r="I92" s="26" t="n">
        <f>150</f>
        <v>150.0</v>
      </c>
      <c r="J92" s="24"/>
      <c r="K92" s="25" t="n">
        <f>76950000</f>
        <v>7.695E7</v>
      </c>
      <c r="L92" s="23"/>
      <c r="M92" s="25" t="str">
        <f>"－"</f>
        <v>－</v>
      </c>
      <c r="N92" s="23"/>
      <c r="O92" s="26" t="n">
        <f>76950000</f>
        <v>7.695E7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82101</f>
        <v>82101.0</v>
      </c>
      <c r="AA92" s="23"/>
      <c r="AB92" s="25" t="n">
        <f>18448</f>
        <v>18448.0</v>
      </c>
      <c r="AC92" s="23"/>
      <c r="AD92" s="26" t="n">
        <f>100549</f>
        <v>100549.0</v>
      </c>
    </row>
    <row r="93">
      <c r="A93" s="30" t="s">
        <v>51</v>
      </c>
      <c r="B93" s="22" t="s">
        <v>63</v>
      </c>
      <c r="C93" s="22" t="s">
        <v>64</v>
      </c>
      <c r="D93" s="24"/>
      <c r="E93" s="25" t="n">
        <f>100</f>
        <v>100.0</v>
      </c>
      <c r="F93" s="23"/>
      <c r="G93" s="25" t="n">
        <f>100</f>
        <v>100.0</v>
      </c>
      <c r="H93" s="23"/>
      <c r="I93" s="26" t="n">
        <f>200</f>
        <v>200.0</v>
      </c>
      <c r="J93" s="24"/>
      <c r="K93" s="25" t="n">
        <f>157100000</f>
        <v>1.571E8</v>
      </c>
      <c r="L93" s="23"/>
      <c r="M93" s="25" t="n">
        <f>120000000</f>
        <v>1.2E8</v>
      </c>
      <c r="N93" s="23"/>
      <c r="O93" s="26" t="n">
        <f>277100000</f>
        <v>2.771E8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82201</f>
        <v>82201.0</v>
      </c>
      <c r="AA93" s="23"/>
      <c r="AB93" s="25" t="n">
        <f>18548</f>
        <v>18548.0</v>
      </c>
      <c r="AC93" s="23"/>
      <c r="AD93" s="26" t="n">
        <f>100749</f>
        <v>100749.0</v>
      </c>
    </row>
    <row r="94">
      <c r="A94" s="30" t="s">
        <v>52</v>
      </c>
      <c r="B94" s="22" t="s">
        <v>63</v>
      </c>
      <c r="C94" s="22" t="s">
        <v>64</v>
      </c>
      <c r="D94" s="24"/>
      <c r="E94" s="25" t="n">
        <f>592</f>
        <v>592.0</v>
      </c>
      <c r="F94" s="23"/>
      <c r="G94" s="25" t="str">
        <f>"－"</f>
        <v>－</v>
      </c>
      <c r="H94" s="23"/>
      <c r="I94" s="26" t="n">
        <f>592</f>
        <v>592.0</v>
      </c>
      <c r="J94" s="24"/>
      <c r="K94" s="25" t="n">
        <f>61236500</f>
        <v>6.12365E7</v>
      </c>
      <c r="L94" s="23"/>
      <c r="M94" s="25" t="str">
        <f>"－"</f>
        <v>－</v>
      </c>
      <c r="N94" s="23"/>
      <c r="O94" s="26" t="n">
        <f>61236500</f>
        <v>6.12365E7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n">
        <f>592</f>
        <v>592.0</v>
      </c>
      <c r="U94" s="23"/>
      <c r="V94" s="25" t="str">
        <f>"－"</f>
        <v>－</v>
      </c>
      <c r="W94" s="23"/>
      <c r="X94" s="26" t="n">
        <f>592</f>
        <v>592.0</v>
      </c>
      <c r="Y94" s="24"/>
      <c r="Z94" s="25" t="n">
        <f>82528</f>
        <v>82528.0</v>
      </c>
      <c r="AA94" s="23"/>
      <c r="AB94" s="25" t="n">
        <f>18548</f>
        <v>18548.0</v>
      </c>
      <c r="AC94" s="23"/>
      <c r="AD94" s="26" t="n">
        <f>101076</f>
        <v>101076.0</v>
      </c>
    </row>
    <row r="95">
      <c r="A95" s="30" t="s">
        <v>53</v>
      </c>
      <c r="B95" s="22" t="s">
        <v>63</v>
      </c>
      <c r="C95" s="22" t="s">
        <v>64</v>
      </c>
      <c r="D95" s="24"/>
      <c r="E95" s="25" t="str">
        <f>"－"</f>
        <v>－</v>
      </c>
      <c r="F95" s="23"/>
      <c r="G95" s="25" t="str">
        <f>"－"</f>
        <v>－</v>
      </c>
      <c r="H95" s="23"/>
      <c r="I95" s="26" t="str">
        <f>"－"</f>
        <v>－</v>
      </c>
      <c r="J95" s="24"/>
      <c r="K95" s="25" t="str">
        <f>"－"</f>
        <v>－</v>
      </c>
      <c r="L95" s="23"/>
      <c r="M95" s="25" t="str">
        <f>"－"</f>
        <v>－</v>
      </c>
      <c r="N95" s="23"/>
      <c r="O95" s="26" t="str">
        <f>"－"</f>
        <v>－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n">
        <f>82500</f>
        <v>82500.0</v>
      </c>
      <c r="AA95" s="23"/>
      <c r="AB95" s="25" t="n">
        <f>18548</f>
        <v>18548.0</v>
      </c>
      <c r="AC95" s="23"/>
      <c r="AD95" s="26" t="n">
        <f>101048</f>
        <v>101048.0</v>
      </c>
    </row>
    <row r="96">
      <c r="A96" s="30" t="s">
        <v>54</v>
      </c>
      <c r="B96" s="22" t="s">
        <v>63</v>
      </c>
      <c r="C96" s="22" t="s">
        <v>64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55</v>
      </c>
      <c r="B97" s="22" t="s">
        <v>63</v>
      </c>
      <c r="C97" s="22" t="s">
        <v>64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56</v>
      </c>
      <c r="B98" s="22" t="s">
        <v>63</v>
      </c>
      <c r="C98" s="22" t="s">
        <v>64</v>
      </c>
      <c r="D98" s="24"/>
      <c r="E98" s="25" t="n">
        <f>100</f>
        <v>100.0</v>
      </c>
      <c r="F98" s="23"/>
      <c r="G98" s="25" t="n">
        <f>100</f>
        <v>100.0</v>
      </c>
      <c r="H98" s="23"/>
      <c r="I98" s="26" t="n">
        <f>200</f>
        <v>200.0</v>
      </c>
      <c r="J98" s="24"/>
      <c r="K98" s="25" t="n">
        <f>180500000</f>
        <v>1.805E8</v>
      </c>
      <c r="L98" s="23"/>
      <c r="M98" s="25" t="n">
        <f>103000000</f>
        <v>1.03E8</v>
      </c>
      <c r="N98" s="23"/>
      <c r="O98" s="26" t="n">
        <f>283500000</f>
        <v>2.835E8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82600</f>
        <v>82600.0</v>
      </c>
      <c r="AA98" s="23"/>
      <c r="AB98" s="25" t="n">
        <f>18648</f>
        <v>18648.0</v>
      </c>
      <c r="AC98" s="23"/>
      <c r="AD98" s="26" t="n">
        <f>101248</f>
        <v>101248.0</v>
      </c>
    </row>
    <row r="99">
      <c r="A99" s="30" t="s">
        <v>57</v>
      </c>
      <c r="B99" s="22" t="s">
        <v>63</v>
      </c>
      <c r="C99" s="22" t="s">
        <v>64</v>
      </c>
      <c r="D99" s="24"/>
      <c r="E99" s="25" t="n">
        <f>300</f>
        <v>300.0</v>
      </c>
      <c r="F99" s="23"/>
      <c r="G99" s="25" t="str">
        <f>"－"</f>
        <v>－</v>
      </c>
      <c r="H99" s="23"/>
      <c r="I99" s="26" t="n">
        <f>300</f>
        <v>300.0</v>
      </c>
      <c r="J99" s="24"/>
      <c r="K99" s="25" t="n">
        <f>192000000</f>
        <v>1.92E8</v>
      </c>
      <c r="L99" s="23"/>
      <c r="M99" s="25" t="str">
        <f>"－"</f>
        <v>－</v>
      </c>
      <c r="N99" s="23"/>
      <c r="O99" s="26" t="n">
        <f>192000000</f>
        <v>1.92E8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82900</f>
        <v>82900.0</v>
      </c>
      <c r="AA99" s="23"/>
      <c r="AB99" s="25" t="n">
        <f>18648</f>
        <v>18648.0</v>
      </c>
      <c r="AC99" s="23"/>
      <c r="AD99" s="26" t="n">
        <f>101548</f>
        <v>101548.0</v>
      </c>
    </row>
    <row r="100">
      <c r="A100" s="30" t="s">
        <v>58</v>
      </c>
      <c r="B100" s="22" t="s">
        <v>63</v>
      </c>
      <c r="C100" s="22" t="s">
        <v>64</v>
      </c>
      <c r="D100" s="24"/>
      <c r="E100" s="25" t="n">
        <f>250</f>
        <v>250.0</v>
      </c>
      <c r="F100" s="23"/>
      <c r="G100" s="25" t="n">
        <f>250</f>
        <v>250.0</v>
      </c>
      <c r="H100" s="23"/>
      <c r="I100" s="26" t="n">
        <f>500</f>
        <v>500.0</v>
      </c>
      <c r="J100" s="24"/>
      <c r="K100" s="25" t="n">
        <f>100000000</f>
        <v>1.0E8</v>
      </c>
      <c r="L100" s="23"/>
      <c r="M100" s="25" t="n">
        <f>75000000</f>
        <v>7.5E7</v>
      </c>
      <c r="N100" s="23"/>
      <c r="O100" s="26" t="n">
        <f>175000000</f>
        <v>1.75E8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str">
        <f>"－"</f>
        <v>－</v>
      </c>
      <c r="U100" s="23"/>
      <c r="V100" s="25" t="str">
        <f>"－"</f>
        <v>－</v>
      </c>
      <c r="W100" s="23"/>
      <c r="X100" s="26" t="str">
        <f>"－"</f>
        <v>－</v>
      </c>
      <c r="Y100" s="24"/>
      <c r="Z100" s="25" t="n">
        <f>83150</f>
        <v>83150.0</v>
      </c>
      <c r="AA100" s="23"/>
      <c r="AB100" s="25" t="n">
        <f>18648</f>
        <v>18648.0</v>
      </c>
      <c r="AC100" s="23"/>
      <c r="AD100" s="26" t="n">
        <f>101798</f>
        <v>101798.0</v>
      </c>
    </row>
    <row r="101">
      <c r="A101" s="30" t="s">
        <v>59</v>
      </c>
      <c r="B101" s="22" t="s">
        <v>63</v>
      </c>
      <c r="C101" s="22" t="s">
        <v>64</v>
      </c>
      <c r="D101" s="24" t="s">
        <v>36</v>
      </c>
      <c r="E101" s="25" t="n">
        <f>2700</f>
        <v>2700.0</v>
      </c>
      <c r="F101" s="23"/>
      <c r="G101" s="25" t="str">
        <f>"－"</f>
        <v>－</v>
      </c>
      <c r="H101" s="23"/>
      <c r="I101" s="26" t="n">
        <f>2700</f>
        <v>2700.0</v>
      </c>
      <c r="J101" s="24" t="s">
        <v>36</v>
      </c>
      <c r="K101" s="25" t="n">
        <f>1264500000</f>
        <v>1.2645E9</v>
      </c>
      <c r="L101" s="23"/>
      <c r="M101" s="25" t="str">
        <f>"－"</f>
        <v>－</v>
      </c>
      <c r="N101" s="23" t="s">
        <v>36</v>
      </c>
      <c r="O101" s="26" t="n">
        <f>1264500000</f>
        <v>1.2645E9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 t="s">
        <v>36</v>
      </c>
      <c r="T101" s="25" t="n">
        <f>3600</f>
        <v>3600.0</v>
      </c>
      <c r="U101" s="23"/>
      <c r="V101" s="25" t="str">
        <f>"－"</f>
        <v>－</v>
      </c>
      <c r="W101" s="23" t="s">
        <v>36</v>
      </c>
      <c r="X101" s="26" t="n">
        <f>3600</f>
        <v>3600.0</v>
      </c>
      <c r="Y101" s="24" t="s">
        <v>36</v>
      </c>
      <c r="Z101" s="25" t="n">
        <f>84950</f>
        <v>84950.0</v>
      </c>
      <c r="AA101" s="23"/>
      <c r="AB101" s="25" t="n">
        <f>18648</f>
        <v>18648.0</v>
      </c>
      <c r="AC101" s="23" t="s">
        <v>36</v>
      </c>
      <c r="AD101" s="26" t="n">
        <f>103598</f>
        <v>103598.0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n">
        <f>84950</f>
        <v>84950.0</v>
      </c>
      <c r="AA102" s="23"/>
      <c r="AB102" s="25" t="n">
        <f>18648</f>
        <v>18648.0</v>
      </c>
      <c r="AC102" s="23"/>
      <c r="AD102" s="26" t="n">
        <f>103598</f>
        <v>103598.0</v>
      </c>
    </row>
    <row r="103">
      <c r="A103" s="30" t="s">
        <v>26</v>
      </c>
      <c r="B103" s="22" t="s">
        <v>65</v>
      </c>
      <c r="C103" s="22" t="s">
        <v>66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29</v>
      </c>
      <c r="B104" s="22" t="s">
        <v>65</v>
      </c>
      <c r="C104" s="22" t="s">
        <v>66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30</v>
      </c>
      <c r="B105" s="22" t="s">
        <v>65</v>
      </c>
      <c r="C105" s="22" t="s">
        <v>66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>
      <c r="A106" s="30" t="s">
        <v>31</v>
      </c>
      <c r="B106" s="22" t="s">
        <v>65</v>
      </c>
      <c r="C106" s="22" t="s">
        <v>66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>
      <c r="A107" s="30" t="s">
        <v>32</v>
      </c>
      <c r="B107" s="22" t="s">
        <v>65</v>
      </c>
      <c r="C107" s="22" t="s">
        <v>66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33</v>
      </c>
      <c r="B108" s="22" t="s">
        <v>65</v>
      </c>
      <c r="C108" s="22" t="s">
        <v>66</v>
      </c>
      <c r="D108" s="24" t="s">
        <v>67</v>
      </c>
      <c r="E108" s="25" t="str">
        <f>"－"</f>
        <v>－</v>
      </c>
      <c r="F108" s="23" t="s">
        <v>67</v>
      </c>
      <c r="G108" s="25" t="str">
        <f>"－"</f>
        <v>－</v>
      </c>
      <c r="H108" s="23" t="s">
        <v>67</v>
      </c>
      <c r="I108" s="26" t="str">
        <f>"－"</f>
        <v>－</v>
      </c>
      <c r="J108" s="24" t="s">
        <v>67</v>
      </c>
      <c r="K108" s="25" t="str">
        <f>"－"</f>
        <v>－</v>
      </c>
      <c r="L108" s="23" t="s">
        <v>67</v>
      </c>
      <c r="M108" s="25" t="str">
        <f>"－"</f>
        <v>－</v>
      </c>
      <c r="N108" s="23" t="s">
        <v>67</v>
      </c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 t="s">
        <v>67</v>
      </c>
      <c r="T108" s="25" t="str">
        <f>"－"</f>
        <v>－</v>
      </c>
      <c r="U108" s="23" t="s">
        <v>67</v>
      </c>
      <c r="V108" s="25" t="str">
        <f>"－"</f>
        <v>－</v>
      </c>
      <c r="W108" s="23" t="s">
        <v>67</v>
      </c>
      <c r="X108" s="26" t="str">
        <f>"－"</f>
        <v>－</v>
      </c>
      <c r="Y108" s="24" t="s">
        <v>67</v>
      </c>
      <c r="Z108" s="25" t="str">
        <f>"－"</f>
        <v>－</v>
      </c>
      <c r="AA108" s="23" t="s">
        <v>67</v>
      </c>
      <c r="AB108" s="25" t="str">
        <f>"－"</f>
        <v>－</v>
      </c>
      <c r="AC108" s="23" t="s">
        <v>67</v>
      </c>
      <c r="AD108" s="26" t="str">
        <f>"－"</f>
        <v>－</v>
      </c>
    </row>
    <row r="109">
      <c r="A109" s="30" t="s">
        <v>34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35</v>
      </c>
      <c r="B110" s="22" t="s">
        <v>65</v>
      </c>
      <c r="C110" s="22" t="s">
        <v>66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37</v>
      </c>
      <c r="B111" s="22" t="s">
        <v>65</v>
      </c>
      <c r="C111" s="22" t="s">
        <v>66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38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40</v>
      </c>
      <c r="B113" s="22" t="s">
        <v>65</v>
      </c>
      <c r="C113" s="22" t="s">
        <v>66</v>
      </c>
      <c r="D113" s="24"/>
      <c r="E113" s="25"/>
      <c r="F113" s="23"/>
      <c r="G113" s="25"/>
      <c r="H113" s="23"/>
      <c r="I113" s="26"/>
      <c r="J113" s="24"/>
      <c r="K113" s="25"/>
      <c r="L113" s="23"/>
      <c r="M113" s="25"/>
      <c r="N113" s="23"/>
      <c r="O113" s="26"/>
      <c r="P113" s="27"/>
      <c r="Q113" s="28"/>
      <c r="R113" s="29"/>
      <c r="S113" s="24"/>
      <c r="T113" s="25"/>
      <c r="U113" s="23"/>
      <c r="V113" s="25"/>
      <c r="W113" s="23"/>
      <c r="X113" s="26"/>
      <c r="Y113" s="24"/>
      <c r="Z113" s="25"/>
      <c r="AA113" s="23"/>
      <c r="AB113" s="25"/>
      <c r="AC113" s="23"/>
      <c r="AD113" s="26"/>
    </row>
    <row r="114">
      <c r="A114" s="30" t="s">
        <v>41</v>
      </c>
      <c r="B114" s="22" t="s">
        <v>65</v>
      </c>
      <c r="C114" s="22" t="s">
        <v>66</v>
      </c>
      <c r="D114" s="24"/>
      <c r="E114" s="25"/>
      <c r="F114" s="23"/>
      <c r="G114" s="25"/>
      <c r="H114" s="23"/>
      <c r="I114" s="26"/>
      <c r="J114" s="24"/>
      <c r="K114" s="25"/>
      <c r="L114" s="23"/>
      <c r="M114" s="25"/>
      <c r="N114" s="23"/>
      <c r="O114" s="26"/>
      <c r="P114" s="27"/>
      <c r="Q114" s="28"/>
      <c r="R114" s="29"/>
      <c r="S114" s="24"/>
      <c r="T114" s="25"/>
      <c r="U114" s="23"/>
      <c r="V114" s="25"/>
      <c r="W114" s="23"/>
      <c r="X114" s="26"/>
      <c r="Y114" s="24"/>
      <c r="Z114" s="25"/>
      <c r="AA114" s="23"/>
      <c r="AB114" s="25"/>
      <c r="AC114" s="23"/>
      <c r="AD114" s="26"/>
    </row>
    <row r="115">
      <c r="A115" s="30" t="s">
        <v>42</v>
      </c>
      <c r="B115" s="22" t="s">
        <v>65</v>
      </c>
      <c r="C115" s="22" t="s">
        <v>66</v>
      </c>
      <c r="D115" s="24"/>
      <c r="E115" s="25"/>
      <c r="F115" s="23"/>
      <c r="G115" s="25"/>
      <c r="H115" s="23"/>
      <c r="I115" s="26"/>
      <c r="J115" s="24"/>
      <c r="K115" s="25"/>
      <c r="L115" s="23"/>
      <c r="M115" s="25"/>
      <c r="N115" s="23"/>
      <c r="O115" s="26"/>
      <c r="P115" s="27"/>
      <c r="Q115" s="28"/>
      <c r="R115" s="29"/>
      <c r="S115" s="24"/>
      <c r="T115" s="25"/>
      <c r="U115" s="23"/>
      <c r="V115" s="25"/>
      <c r="W115" s="23"/>
      <c r="X115" s="26"/>
      <c r="Y115" s="24"/>
      <c r="Z115" s="25"/>
      <c r="AA115" s="23"/>
      <c r="AB115" s="25"/>
      <c r="AC115" s="23"/>
      <c r="AD115" s="26"/>
    </row>
    <row r="116">
      <c r="A116" s="30" t="s">
        <v>43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48</v>
      </c>
      <c r="B121" s="22" t="s">
        <v>65</v>
      </c>
      <c r="C121" s="22" t="s">
        <v>66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51</v>
      </c>
      <c r="B124" s="22" t="s">
        <v>65</v>
      </c>
      <c r="C124" s="22" t="s">
        <v>66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52</v>
      </c>
      <c r="B125" s="22" t="s">
        <v>65</v>
      </c>
      <c r="C125" s="22" t="s">
        <v>66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55</v>
      </c>
      <c r="B128" s="22" t="s">
        <v>65</v>
      </c>
      <c r="C128" s="22" t="s">
        <v>66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 t="str">
        <f>"－"</f>
        <v>－</v>
      </c>
      <c r="F131" s="23"/>
      <c r="G131" s="25" t="str">
        <f>"－"</f>
        <v>－</v>
      </c>
      <c r="H131" s="23"/>
      <c r="I131" s="26" t="str">
        <f>"－"</f>
        <v>－</v>
      </c>
      <c r="J131" s="24"/>
      <c r="K131" s="25" t="str">
        <f>"－"</f>
        <v>－</v>
      </c>
      <c r="L131" s="23"/>
      <c r="M131" s="25" t="str">
        <f>"－"</f>
        <v>－</v>
      </c>
      <c r="N131" s="23"/>
      <c r="O131" s="26" t="str">
        <f>"－"</f>
        <v>－</v>
      </c>
      <c r="P131" s="27" t="str">
        <f>"－"</f>
        <v>－</v>
      </c>
      <c r="Q131" s="28" t="str">
        <f>"－"</f>
        <v>－</v>
      </c>
      <c r="R131" s="29" t="str">
        <f>"－"</f>
        <v>－</v>
      </c>
      <c r="S131" s="24"/>
      <c r="T131" s="25" t="str">
        <f>"－"</f>
        <v>－</v>
      </c>
      <c r="U131" s="23"/>
      <c r="V131" s="25" t="str">
        <f>"－"</f>
        <v>－</v>
      </c>
      <c r="W131" s="23"/>
      <c r="X131" s="26" t="str">
        <f>"－"</f>
        <v>－</v>
      </c>
      <c r="Y131" s="24"/>
      <c r="Z131" s="25" t="str">
        <f>"－"</f>
        <v>－</v>
      </c>
      <c r="AA131" s="23"/>
      <c r="AB131" s="25" t="str">
        <f>"－"</f>
        <v>－</v>
      </c>
      <c r="AC131" s="23"/>
      <c r="AD131" s="26" t="str">
        <f>"－"</f>
        <v>－</v>
      </c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2019-03-19T11:56:46Z</dcterms:modified>
</cp:coreProperties>
</file>