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<sst xmlns="http://schemas.openxmlformats.org/spreadsheetml/2006/main" count="1609" uniqueCount="82">
  <si>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</si>
  <si>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</si>
  <si>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</si>
  <si>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</si>
  <si>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</si>
  <si>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</si>
  <si>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</si>
  <si>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</si>
  <si>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</si>
  <si>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</si>
  <si>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</si>
  <si>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</si>
  <si>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</si>
  <si>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</si>
  <si>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</si>
  <si>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</si>
  <si>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2.1</t>
  </si>
  <si>
    <t>日経225先物</t>
  </si>
  <si>
    <t>Nikkei 225 Futures</t>
  </si>
  <si>
    <t>2</t>
  </si>
  <si>
    <t>3</t>
  </si>
  <si>
    <t>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</si>
  <si>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</si>
  <si>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</si>
  <si>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</si>
  <si>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</si>
  <si>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</si>
  <si>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</si>
  <si>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</si>
  <si>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</si>
  <si>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</si>
  <si>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</si>
  <si>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</si>
  <si>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</si>
  <si>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</si>
  <si>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</si>
  <si>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</si>
  <si>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</si>
  <si>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</si>
  <si>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</si>
  <si>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</si>
  <si>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</si>
  <si>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</si>
  <si>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</si>
  <si>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</si>
  <si>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</si>
  <si>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◎</t>
  </si>
  <si>
    <t>28</t>
  </si>
  <si>
    <t>29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</si>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</sst>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498"/>
  <sheetViews>
    <sheetView showGridLines="0" tabSelected="1" view="pageBreakPreview" workbookViewId="0" zoomScaleNormal="70" zoomScaleSheetLayoutView="100">
      <selection sqref="A1:C1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/>
      <c r="F6" s="10"/>
      <c r="G6" s="2"/>
      <c r="H6" s="10"/>
      <c r="I6" s="2"/>
      <c r="J6" s="10"/>
      <c r="K6" s="2"/>
    </row>
    <row r="7">
      <c r="A7" s="8" t="s">
        <v>19</v>
      </c>
      <c r="B7" s="9" t="s">
        <v>17</v>
      </c>
      <c r="C7" s="9" t="s">
        <v>18</v>
      </c>
      <c r="D7" s="10"/>
      <c r="E7" s="2"/>
      <c r="F7" s="10"/>
      <c r="G7" s="2"/>
      <c r="H7" s="10"/>
      <c r="I7" s="2"/>
      <c r="J7" s="10"/>
      <c r="K7" s="2"/>
    </row>
    <row r="8">
      <c r="A8" s="8" t="s">
        <v>20</v>
      </c>
      <c r="B8" s="9" t="s">
        <v>17</v>
      </c>
      <c r="C8" s="9" t="s">
        <v>18</v>
      </c>
      <c r="D8" s="10"/>
      <c r="E8" s="2" t="n">
        <f>153859</f>
        <v>153859.0</v>
      </c>
      <c r="F8" s="10"/>
      <c r="G8" s="2" t="n">
        <f>3519813267190</f>
        <v>3.51981326719E12</v>
      </c>
      <c r="H8" s="10"/>
      <c r="I8" s="2" t="n">
        <f>15293</f>
        <v>15293.0</v>
      </c>
      <c r="J8" s="10" t="s">
        <v>21</v>
      </c>
      <c r="K8" s="2" t="n">
        <f>352355</f>
        <v>352355.0</v>
      </c>
    </row>
    <row r="9">
      <c r="A9" s="8" t="s">
        <v>22</v>
      </c>
      <c r="B9" s="9" t="s">
        <v>17</v>
      </c>
      <c r="C9" s="9" t="s">
        <v>18</v>
      </c>
      <c r="D9" s="10"/>
      <c r="E9" s="2" t="n">
        <f>116733</f>
        <v>116733.0</v>
      </c>
      <c r="F9" s="10"/>
      <c r="G9" s="2" t="n">
        <f>2675748315067</f>
        <v>2.675748315067E12</v>
      </c>
      <c r="H9" s="10"/>
      <c r="I9" s="2" t="n">
        <f>8211</f>
        <v>8211.0</v>
      </c>
      <c r="J9" s="10"/>
      <c r="K9" s="2" t="n">
        <f>356756</f>
        <v>356756.0</v>
      </c>
    </row>
    <row r="10">
      <c r="A10" s="8" t="s">
        <v>23</v>
      </c>
      <c r="B10" s="9" t="s">
        <v>17</v>
      </c>
      <c r="C10" s="9" t="s">
        <v>18</v>
      </c>
      <c r="D10" s="10"/>
      <c r="E10" s="2" t="n">
        <f>97249</f>
        <v>97249.0</v>
      </c>
      <c r="F10" s="10"/>
      <c r="G10" s="2" t="n">
        <f>2263932340600</f>
        <v>2.2639323406E12</v>
      </c>
      <c r="H10" s="10"/>
      <c r="I10" s="2" t="n">
        <f>7682</f>
        <v>7682.0</v>
      </c>
      <c r="J10" s="10"/>
      <c r="K10" s="2" t="n">
        <f>354755</f>
        <v>354755.0</v>
      </c>
    </row>
    <row r="11">
      <c r="A11" s="8" t="s">
        <v>24</v>
      </c>
      <c r="B11" s="9" t="s">
        <v>17</v>
      </c>
      <c r="C11" s="9" t="s">
        <v>18</v>
      </c>
      <c r="D11" s="10"/>
      <c r="E11" s="2" t="n">
        <f>139064</f>
        <v>139064.0</v>
      </c>
      <c r="F11" s="10"/>
      <c r="G11" s="2" t="n">
        <f>3299719245210</f>
        <v>3.29971924521E12</v>
      </c>
      <c r="H11" s="10"/>
      <c r="I11" s="2" t="n">
        <f>10339</f>
        <v>10339.0</v>
      </c>
      <c r="J11" s="10"/>
      <c r="K11" s="2" t="n">
        <f>355782</f>
        <v>355782.0</v>
      </c>
    </row>
    <row r="12">
      <c r="A12" s="8" t="s">
        <v>25</v>
      </c>
      <c r="B12" s="9" t="s">
        <v>17</v>
      </c>
      <c r="C12" s="9" t="s">
        <v>18</v>
      </c>
      <c r="D12" s="10"/>
      <c r="E12" s="2" t="n">
        <f>90239</f>
        <v>90239.0</v>
      </c>
      <c r="F12" s="10"/>
      <c r="G12" s="2" t="n">
        <f>2149945863796</f>
        <v>2.149945863796E12</v>
      </c>
      <c r="H12" s="10"/>
      <c r="I12" s="2" t="n">
        <f>6502</f>
        <v>6502.0</v>
      </c>
      <c r="J12" s="10"/>
      <c r="K12" s="2" t="n">
        <f>355766</f>
        <v>355766.0</v>
      </c>
    </row>
    <row r="13">
      <c r="A13" s="8" t="s">
        <v>26</v>
      </c>
      <c r="B13" s="9" t="s">
        <v>17</v>
      </c>
      <c r="C13" s="9" t="s">
        <v>18</v>
      </c>
      <c r="D13" s="10"/>
      <c r="E13" s="2"/>
      <c r="F13" s="10"/>
      <c r="G13" s="2"/>
      <c r="H13" s="10"/>
      <c r="I13" s="2"/>
      <c r="J13" s="10"/>
      <c r="K13" s="2"/>
    </row>
    <row r="14">
      <c r="A14" s="8" t="s">
        <v>27</v>
      </c>
      <c r="B14" s="9" t="s">
        <v>17</v>
      </c>
      <c r="C14" s="9" t="s">
        <v>18</v>
      </c>
      <c r="D14" s="10"/>
      <c r="E14" s="2"/>
      <c r="F14" s="10"/>
      <c r="G14" s="2"/>
      <c r="H14" s="10"/>
      <c r="I14" s="2"/>
      <c r="J14" s="10"/>
      <c r="K14" s="2"/>
    </row>
    <row r="15">
      <c r="A15" s="8" t="s">
        <v>28</v>
      </c>
      <c r="B15" s="9" t="s">
        <v>17</v>
      </c>
      <c r="C15" s="9" t="s">
        <v>18</v>
      </c>
      <c r="D15" s="10"/>
      <c r="E15" s="2" t="n">
        <f>92212</f>
        <v>92212.0</v>
      </c>
      <c r="F15" s="10"/>
      <c r="G15" s="2" t="n">
        <f>2185479470000</f>
        <v>2.18547947E12</v>
      </c>
      <c r="H15" s="10"/>
      <c r="I15" s="2" t="n">
        <f>6216</f>
        <v>6216.0</v>
      </c>
      <c r="J15" s="10"/>
      <c r="K15" s="2" t="n">
        <f>356978</f>
        <v>356978.0</v>
      </c>
    </row>
    <row r="16">
      <c r="A16" s="8" t="s">
        <v>29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30</v>
      </c>
      <c r="B17" s="9" t="s">
        <v>17</v>
      </c>
      <c r="C17" s="9" t="s">
        <v>18</v>
      </c>
      <c r="D17" s="10" t="s">
        <v>21</v>
      </c>
      <c r="E17" s="2" t="n">
        <f>67841</f>
        <v>67841.0</v>
      </c>
      <c r="F17" s="10" t="s">
        <v>21</v>
      </c>
      <c r="G17" s="2" t="n">
        <f>1610788718731</f>
        <v>1.610788718731E12</v>
      </c>
      <c r="H17" s="10"/>
      <c r="I17" s="2" t="n">
        <f>5737</f>
        <v>5737.0</v>
      </c>
      <c r="J17" s="10"/>
      <c r="K17" s="2" t="n">
        <f>358448</f>
        <v>358448.0</v>
      </c>
    </row>
    <row r="18">
      <c r="A18" s="8" t="s">
        <v>31</v>
      </c>
      <c r="B18" s="9" t="s">
        <v>17</v>
      </c>
      <c r="C18" s="9" t="s">
        <v>18</v>
      </c>
      <c r="D18" s="10"/>
      <c r="E18" s="2" t="n">
        <f>78067</f>
        <v>78067.0</v>
      </c>
      <c r="F18" s="10"/>
      <c r="G18" s="2" t="n">
        <f>1861678820540</f>
        <v>1.86167882054E12</v>
      </c>
      <c r="H18" s="10" t="s">
        <v>21</v>
      </c>
      <c r="I18" s="2" t="n">
        <f>3641</f>
        <v>3641.0</v>
      </c>
      <c r="J18" s="10"/>
      <c r="K18" s="2" t="n">
        <f>358276</f>
        <v>358276.0</v>
      </c>
    </row>
    <row r="19">
      <c r="A19" s="8" t="s">
        <v>32</v>
      </c>
      <c r="B19" s="9" t="s">
        <v>17</v>
      </c>
      <c r="C19" s="9" t="s">
        <v>18</v>
      </c>
      <c r="D19" s="10"/>
      <c r="E19" s="2" t="n">
        <f>93515</f>
        <v>93515.0</v>
      </c>
      <c r="F19" s="10"/>
      <c r="G19" s="2" t="n">
        <f>2212997017750</f>
        <v>2.21299701775E12</v>
      </c>
      <c r="H19" s="10"/>
      <c r="I19" s="2" t="n">
        <f>6340</f>
        <v>6340.0</v>
      </c>
      <c r="J19" s="10"/>
      <c r="K19" s="2" t="n">
        <f>359907</f>
        <v>359907.0</v>
      </c>
    </row>
    <row r="20">
      <c r="A20" s="8" t="s">
        <v>33</v>
      </c>
      <c r="B20" s="9" t="s">
        <v>17</v>
      </c>
      <c r="C20" s="9" t="s">
        <v>18</v>
      </c>
      <c r="D20" s="10"/>
      <c r="E20" s="2"/>
      <c r="F20" s="10"/>
      <c r="G20" s="2"/>
      <c r="H20" s="10"/>
      <c r="I20" s="2"/>
      <c r="J20" s="10"/>
      <c r="K20" s="2"/>
    </row>
    <row r="21">
      <c r="A21" s="8" t="s">
        <v>34</v>
      </c>
      <c r="B21" s="9" t="s">
        <v>17</v>
      </c>
      <c r="C21" s="9" t="s">
        <v>18</v>
      </c>
      <c r="D21" s="10"/>
      <c r="E21" s="2"/>
      <c r="F21" s="10"/>
      <c r="G21" s="2"/>
      <c r="H21" s="10"/>
      <c r="I21" s="2"/>
      <c r="J21" s="10"/>
      <c r="K21" s="2"/>
    </row>
    <row r="22">
      <c r="A22" s="8" t="s">
        <v>35</v>
      </c>
      <c r="B22" s="9" t="s">
        <v>17</v>
      </c>
      <c r="C22" s="9" t="s">
        <v>18</v>
      </c>
      <c r="D22" s="10"/>
      <c r="E22" s="2" t="n">
        <f>82556</f>
        <v>82556.0</v>
      </c>
      <c r="F22" s="10"/>
      <c r="G22" s="2" t="n">
        <f>1938587360770</f>
        <v>1.93858736077E12</v>
      </c>
      <c r="H22" s="10"/>
      <c r="I22" s="2" t="n">
        <f>5252</f>
        <v>5252.0</v>
      </c>
      <c r="J22" s="10"/>
      <c r="K22" s="2" t="n">
        <f>364317</f>
        <v>364317.0</v>
      </c>
    </row>
    <row r="23">
      <c r="A23" s="8" t="s">
        <v>36</v>
      </c>
      <c r="B23" s="9" t="s">
        <v>17</v>
      </c>
      <c r="C23" s="9" t="s">
        <v>18</v>
      </c>
      <c r="D23" s="10"/>
      <c r="E23" s="2" t="n">
        <f>78207</f>
        <v>78207.0</v>
      </c>
      <c r="F23" s="10"/>
      <c r="G23" s="2" t="n">
        <f>1818012343220</f>
        <v>1.81801234322E12</v>
      </c>
      <c r="H23" s="10"/>
      <c r="I23" s="2" t="n">
        <f>6755</f>
        <v>6755.0</v>
      </c>
      <c r="J23" s="10"/>
      <c r="K23" s="2" t="n">
        <f>368083</f>
        <v>368083.0</v>
      </c>
    </row>
    <row r="24">
      <c r="A24" s="8" t="s">
        <v>37</v>
      </c>
      <c r="B24" s="9" t="s">
        <v>17</v>
      </c>
      <c r="C24" s="9" t="s">
        <v>18</v>
      </c>
      <c r="D24" s="10"/>
      <c r="E24" s="2" t="n">
        <f>107454</f>
        <v>107454.0</v>
      </c>
      <c r="F24" s="10"/>
      <c r="G24" s="2" t="n">
        <f>2501874176120</f>
        <v>2.50187417612E12</v>
      </c>
      <c r="H24" s="10"/>
      <c r="I24" s="2" t="n">
        <f>6749</f>
        <v>6749.0</v>
      </c>
      <c r="J24" s="10"/>
      <c r="K24" s="2" t="n">
        <f>368580</f>
        <v>368580.0</v>
      </c>
    </row>
    <row r="25">
      <c r="A25" s="8" t="s">
        <v>38</v>
      </c>
      <c r="B25" s="9" t="s">
        <v>17</v>
      </c>
      <c r="C25" s="9" t="s">
        <v>18</v>
      </c>
      <c r="D25" s="10"/>
      <c r="E25" s="2" t="n">
        <f>112738</f>
        <v>112738.0</v>
      </c>
      <c r="F25" s="10"/>
      <c r="G25" s="2" t="n">
        <f>2656383124958</f>
        <v>2.656383124958E12</v>
      </c>
      <c r="H25" s="10"/>
      <c r="I25" s="2" t="n">
        <f>8621</f>
        <v>8621.0</v>
      </c>
      <c r="J25" s="10"/>
      <c r="K25" s="2" t="n">
        <f>367741</f>
        <v>367741.0</v>
      </c>
    </row>
    <row r="26">
      <c r="A26" s="8" t="s">
        <v>39</v>
      </c>
      <c r="B26" s="9" t="s">
        <v>17</v>
      </c>
      <c r="C26" s="9" t="s">
        <v>18</v>
      </c>
      <c r="D26" s="10"/>
      <c r="E26" s="2" t="n">
        <f>101920</f>
        <v>101920.0</v>
      </c>
      <c r="F26" s="10"/>
      <c r="G26" s="2" t="n">
        <f>2390371572325</f>
        <v>2.390371572325E12</v>
      </c>
      <c r="H26" s="10"/>
      <c r="I26" s="2" t="n">
        <f>6394</f>
        <v>6394.0</v>
      </c>
      <c r="J26" s="10"/>
      <c r="K26" s="2" t="n">
        <f>368888</f>
        <v>368888.0</v>
      </c>
    </row>
    <row r="27">
      <c r="A27" s="8" t="s">
        <v>40</v>
      </c>
      <c r="B27" s="9" t="s">
        <v>17</v>
      </c>
      <c r="C27" s="9" t="s">
        <v>18</v>
      </c>
      <c r="D27" s="10"/>
      <c r="E27" s="2"/>
      <c r="F27" s="10"/>
      <c r="G27" s="2"/>
      <c r="H27" s="10"/>
      <c r="I27" s="2"/>
      <c r="J27" s="10"/>
      <c r="K27" s="2"/>
    </row>
    <row r="28">
      <c r="A28" s="8" t="s">
        <v>41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42</v>
      </c>
      <c r="B29" s="9" t="s">
        <v>17</v>
      </c>
      <c r="C29" s="9" t="s">
        <v>18</v>
      </c>
      <c r="D29" s="10"/>
      <c r="E29" s="2"/>
      <c r="F29" s="10"/>
      <c r="G29" s="2"/>
      <c r="H29" s="10"/>
      <c r="I29" s="2"/>
      <c r="J29" s="10"/>
      <c r="K29" s="2"/>
    </row>
    <row r="30">
      <c r="A30" s="8" t="s">
        <v>43</v>
      </c>
      <c r="B30" s="9" t="s">
        <v>17</v>
      </c>
      <c r="C30" s="9" t="s">
        <v>18</v>
      </c>
      <c r="D30" s="10"/>
      <c r="E30" s="2" t="n">
        <f>170125</f>
        <v>170125.0</v>
      </c>
      <c r="F30" s="10"/>
      <c r="G30" s="2" t="n">
        <f>3870344244096</f>
        <v>3.870344244096E12</v>
      </c>
      <c r="H30" s="10"/>
      <c r="I30" s="2" t="n">
        <f>15696</f>
        <v>15696.0</v>
      </c>
      <c r="J30" s="10"/>
      <c r="K30" s="2" t="n">
        <f>374624</f>
        <v>374624.0</v>
      </c>
    </row>
    <row r="31">
      <c r="A31" s="8" t="s">
        <v>44</v>
      </c>
      <c r="B31" s="9" t="s">
        <v>17</v>
      </c>
      <c r="C31" s="9" t="s">
        <v>18</v>
      </c>
      <c r="D31" s="10"/>
      <c r="E31" s="2" t="n">
        <f>275574</f>
        <v>275574.0</v>
      </c>
      <c r="F31" s="10"/>
      <c r="G31" s="2" t="n">
        <f>6145230105880</f>
        <v>6.14523010588E12</v>
      </c>
      <c r="H31" s="10"/>
      <c r="I31" s="2" t="n">
        <f>16767</f>
        <v>16767.0</v>
      </c>
      <c r="J31" s="10"/>
      <c r="K31" s="2" t="n">
        <f>387255</f>
        <v>387255.0</v>
      </c>
    </row>
    <row r="32">
      <c r="A32" s="8" t="s">
        <v>45</v>
      </c>
      <c r="B32" s="9" t="s">
        <v>17</v>
      </c>
      <c r="C32" s="9" t="s">
        <v>18</v>
      </c>
      <c r="D32" s="10"/>
      <c r="E32" s="2" t="n">
        <f>258349</f>
        <v>258349.0</v>
      </c>
      <c r="F32" s="10"/>
      <c r="G32" s="2" t="n">
        <f>5715897800335</f>
        <v>5.715897800335E12</v>
      </c>
      <c r="H32" s="10" t="s">
        <v>46</v>
      </c>
      <c r="I32" s="2" t="n">
        <f>21930</f>
        <v>21930.0</v>
      </c>
      <c r="J32" s="10"/>
      <c r="K32" s="2" t="n">
        <f>400875</f>
        <v>400875.0</v>
      </c>
    </row>
    <row r="33">
      <c r="A33" s="8" t="s">
        <v>47</v>
      </c>
      <c r="B33" s="9" t="s">
        <v>17</v>
      </c>
      <c r="C33" s="9" t="s">
        <v>18</v>
      </c>
      <c r="D33" s="10" t="s">
        <v>46</v>
      </c>
      <c r="E33" s="2" t="n">
        <f>333954</f>
        <v>333954.0</v>
      </c>
      <c r="F33" s="10" t="s">
        <v>46</v>
      </c>
      <c r="G33" s="2" t="n">
        <f>7156414362020</f>
        <v>7.15641436202E12</v>
      </c>
      <c r="H33" s="10"/>
      <c r="I33" s="2" t="n">
        <f>21419</f>
        <v>21419.0</v>
      </c>
      <c r="J33" s="10" t="s">
        <v>46</v>
      </c>
      <c r="K33" s="2" t="n">
        <f>428405</f>
        <v>428405.0</v>
      </c>
    </row>
    <row r="34">
      <c r="A34" s="8" t="s">
        <v>48</v>
      </c>
      <c r="B34" s="9" t="s">
        <v>17</v>
      </c>
      <c r="C34" s="9" t="s">
        <v>18</v>
      </c>
      <c r="D34" s="10"/>
      <c r="E34" s="2"/>
      <c r="F34" s="10"/>
      <c r="G34" s="2"/>
      <c r="H34" s="10"/>
      <c r="I34" s="2"/>
      <c r="J34" s="10"/>
      <c r="K34" s="2"/>
    </row>
    <row r="35">
      <c r="A35" s="8" t="s">
        <v>16</v>
      </c>
      <c r="B35" s="9" t="s">
        <v>49</v>
      </c>
      <c r="C35" s="9" t="s">
        <v>50</v>
      </c>
      <c r="D35" s="10"/>
      <c r="E35" s="2"/>
      <c r="F35" s="10"/>
      <c r="G35" s="2"/>
      <c r="H35" s="10"/>
      <c r="I35" s="2"/>
      <c r="J35" s="10"/>
      <c r="K35" s="2"/>
    </row>
    <row r="36">
      <c r="A36" s="8" t="s">
        <v>19</v>
      </c>
      <c r="B36" s="9" t="s">
        <v>49</v>
      </c>
      <c r="C36" s="9" t="s">
        <v>50</v>
      </c>
      <c r="D36" s="10"/>
      <c r="E36" s="2"/>
      <c r="F36" s="10"/>
      <c r="G36" s="2"/>
      <c r="H36" s="10"/>
      <c r="I36" s="2"/>
      <c r="J36" s="10"/>
      <c r="K36" s="2"/>
    </row>
    <row r="37">
      <c r="A37" s="8" t="s">
        <v>20</v>
      </c>
      <c r="B37" s="9" t="s">
        <v>49</v>
      </c>
      <c r="C37" s="9" t="s">
        <v>50</v>
      </c>
      <c r="D37" s="10"/>
      <c r="E37" s="2" t="n">
        <f>2252858</f>
        <v>2252858.0</v>
      </c>
      <c r="F37" s="10"/>
      <c r="G37" s="2" t="n">
        <f>5152506964784</f>
        <v>5.152506964784E12</v>
      </c>
      <c r="H37" s="10"/>
      <c r="I37" s="2" t="n">
        <f>171093</f>
        <v>171093.0</v>
      </c>
      <c r="J37" s="10"/>
      <c r="K37" s="2" t="n">
        <f>526069</f>
        <v>526069.0</v>
      </c>
    </row>
    <row r="38">
      <c r="A38" s="8" t="s">
        <v>22</v>
      </c>
      <c r="B38" s="9" t="s">
        <v>49</v>
      </c>
      <c r="C38" s="9" t="s">
        <v>50</v>
      </c>
      <c r="D38" s="10"/>
      <c r="E38" s="2" t="n">
        <f>1494522</f>
        <v>1494522.0</v>
      </c>
      <c r="F38" s="10"/>
      <c r="G38" s="2" t="n">
        <f>3426315301000</f>
        <v>3.426315301E12</v>
      </c>
      <c r="H38" s="10"/>
      <c r="I38" s="2" t="n">
        <f>127008</f>
        <v>127008.0</v>
      </c>
      <c r="J38" s="10"/>
      <c r="K38" s="2" t="n">
        <f>556315</f>
        <v>556315.0</v>
      </c>
    </row>
    <row r="39">
      <c r="A39" s="8" t="s">
        <v>23</v>
      </c>
      <c r="B39" s="9" t="s">
        <v>49</v>
      </c>
      <c r="C39" s="9" t="s">
        <v>50</v>
      </c>
      <c r="D39" s="10"/>
      <c r="E39" s="2" t="n">
        <f>1487431</f>
        <v>1487431.0</v>
      </c>
      <c r="F39" s="10"/>
      <c r="G39" s="2" t="n">
        <f>3464127556650</f>
        <v>3.46412755665E12</v>
      </c>
      <c r="H39" s="10"/>
      <c r="I39" s="2" t="n">
        <f>135656</f>
        <v>135656.0</v>
      </c>
      <c r="J39" s="10"/>
      <c r="K39" s="2" t="n">
        <f>545323</f>
        <v>545323.0</v>
      </c>
    </row>
    <row r="40">
      <c r="A40" s="8" t="s">
        <v>24</v>
      </c>
      <c r="B40" s="9" t="s">
        <v>49</v>
      </c>
      <c r="C40" s="9" t="s">
        <v>50</v>
      </c>
      <c r="D40" s="10"/>
      <c r="E40" s="2" t="n">
        <f>2115252</f>
        <v>2115252.0</v>
      </c>
      <c r="F40" s="10"/>
      <c r="G40" s="2" t="n">
        <f>5012776301050</f>
        <v>5.01277630105E12</v>
      </c>
      <c r="H40" s="10"/>
      <c r="I40" s="2" t="n">
        <f>234583</f>
        <v>234583.0</v>
      </c>
      <c r="J40" s="10"/>
      <c r="K40" s="2" t="n">
        <f>572832</f>
        <v>572832.0</v>
      </c>
    </row>
    <row r="41">
      <c r="A41" s="8" t="s">
        <v>25</v>
      </c>
      <c r="B41" s="9" t="s">
        <v>49</v>
      </c>
      <c r="C41" s="9" t="s">
        <v>50</v>
      </c>
      <c r="D41" s="10"/>
      <c r="E41" s="2" t="n">
        <f>1341383</f>
        <v>1341383.0</v>
      </c>
      <c r="F41" s="10"/>
      <c r="G41" s="2" t="n">
        <f>3197258558350</f>
        <v>3.19725855835E12</v>
      </c>
      <c r="H41" s="10"/>
      <c r="I41" s="2" t="n">
        <f>122821</f>
        <v>122821.0</v>
      </c>
      <c r="J41" s="10"/>
      <c r="K41" s="2" t="n">
        <f>555471</f>
        <v>555471.0</v>
      </c>
    </row>
    <row r="42">
      <c r="A42" s="8" t="s">
        <v>26</v>
      </c>
      <c r="B42" s="9" t="s">
        <v>49</v>
      </c>
      <c r="C42" s="9" t="s">
        <v>50</v>
      </c>
      <c r="D42" s="10"/>
      <c r="E42" s="2"/>
      <c r="F42" s="10"/>
      <c r="G42" s="2"/>
      <c r="H42" s="10"/>
      <c r="I42" s="2"/>
      <c r="J42" s="10"/>
      <c r="K42" s="2"/>
    </row>
    <row r="43">
      <c r="A43" s="8" t="s">
        <v>27</v>
      </c>
      <c r="B43" s="9" t="s">
        <v>49</v>
      </c>
      <c r="C43" s="9" t="s">
        <v>50</v>
      </c>
      <c r="D43" s="10"/>
      <c r="E43" s="2"/>
      <c r="F43" s="10"/>
      <c r="G43" s="2"/>
      <c r="H43" s="10"/>
      <c r="I43" s="2"/>
      <c r="J43" s="10"/>
      <c r="K43" s="2"/>
    </row>
    <row r="44">
      <c r="A44" s="8" t="s">
        <v>28</v>
      </c>
      <c r="B44" s="9" t="s">
        <v>49</v>
      </c>
      <c r="C44" s="9" t="s">
        <v>50</v>
      </c>
      <c r="D44" s="10"/>
      <c r="E44" s="2" t="n">
        <f>1444002</f>
        <v>1444002.0</v>
      </c>
      <c r="F44" s="10"/>
      <c r="G44" s="2" t="n">
        <f>3423473390990</f>
        <v>3.42347339099E12</v>
      </c>
      <c r="H44" s="10"/>
      <c r="I44" s="2" t="n">
        <f>118329</f>
        <v>118329.0</v>
      </c>
      <c r="J44" s="10"/>
      <c r="K44" s="2" t="n">
        <f>557988</f>
        <v>557988.0</v>
      </c>
    </row>
    <row r="45">
      <c r="A45" s="8" t="s">
        <v>29</v>
      </c>
      <c r="B45" s="9" t="s">
        <v>49</v>
      </c>
      <c r="C45" s="9" t="s">
        <v>50</v>
      </c>
      <c r="D45" s="10"/>
      <c r="E45" s="2"/>
      <c r="F45" s="10"/>
      <c r="G45" s="2"/>
      <c r="H45" s="10"/>
      <c r="I45" s="2"/>
      <c r="J45" s="10"/>
      <c r="K45" s="2"/>
    </row>
    <row r="46">
      <c r="A46" s="8" t="s">
        <v>30</v>
      </c>
      <c r="B46" s="9" t="s">
        <v>49</v>
      </c>
      <c r="C46" s="9" t="s">
        <v>50</v>
      </c>
      <c r="D46" s="10"/>
      <c r="E46" s="2" t="n">
        <f>1052775</f>
        <v>1052775.0</v>
      </c>
      <c r="F46" s="10"/>
      <c r="G46" s="2" t="n">
        <f>2497264742712</f>
        <v>2.497264742712E12</v>
      </c>
      <c r="H46" s="10"/>
      <c r="I46" s="2" t="n">
        <f>95710</f>
        <v>95710.0</v>
      </c>
      <c r="J46" s="10"/>
      <c r="K46" s="2" t="n">
        <f>559099</f>
        <v>559099.0</v>
      </c>
    </row>
    <row r="47">
      <c r="A47" s="8" t="s">
        <v>31</v>
      </c>
      <c r="B47" s="9" t="s">
        <v>49</v>
      </c>
      <c r="C47" s="9" t="s">
        <v>50</v>
      </c>
      <c r="D47" s="10"/>
      <c r="E47" s="2" t="n">
        <f>1163829</f>
        <v>1163829.0</v>
      </c>
      <c r="F47" s="10"/>
      <c r="G47" s="2" t="n">
        <f>2776226259230</f>
        <v>2.77622625923E12</v>
      </c>
      <c r="H47" s="10" t="s">
        <v>21</v>
      </c>
      <c r="I47" s="2" t="n">
        <f>91323</f>
        <v>91323.0</v>
      </c>
      <c r="J47" s="10"/>
      <c r="K47" s="2" t="n">
        <f>569886</f>
        <v>569886.0</v>
      </c>
    </row>
    <row r="48">
      <c r="A48" s="8" t="s">
        <v>32</v>
      </c>
      <c r="B48" s="9" t="s">
        <v>49</v>
      </c>
      <c r="C48" s="9" t="s">
        <v>50</v>
      </c>
      <c r="D48" s="10"/>
      <c r="E48" s="2" t="n">
        <f>1349434</f>
        <v>1349434.0</v>
      </c>
      <c r="F48" s="10"/>
      <c r="G48" s="2" t="n">
        <f>3192662253800</f>
        <v>3.1926622538E12</v>
      </c>
      <c r="H48" s="10"/>
      <c r="I48" s="2" t="n">
        <f>120415</f>
        <v>120415.0</v>
      </c>
      <c r="J48" s="10"/>
      <c r="K48" s="2" t="n">
        <f>573435</f>
        <v>573435.0</v>
      </c>
    </row>
    <row r="49">
      <c r="A49" s="8" t="s">
        <v>33</v>
      </c>
      <c r="B49" s="9" t="s">
        <v>49</v>
      </c>
      <c r="C49" s="9" t="s">
        <v>50</v>
      </c>
      <c r="D49" s="10"/>
      <c r="E49" s="2"/>
      <c r="F49" s="10"/>
      <c r="G49" s="2"/>
      <c r="H49" s="10"/>
      <c r="I49" s="2"/>
      <c r="J49" s="10"/>
      <c r="K49" s="2"/>
    </row>
    <row r="50">
      <c r="A50" s="8" t="s">
        <v>34</v>
      </c>
      <c r="B50" s="9" t="s">
        <v>49</v>
      </c>
      <c r="C50" s="9" t="s">
        <v>50</v>
      </c>
      <c r="D50" s="10"/>
      <c r="E50" s="2"/>
      <c r="F50" s="10"/>
      <c r="G50" s="2"/>
      <c r="H50" s="10"/>
      <c r="I50" s="2"/>
      <c r="J50" s="10"/>
      <c r="K50" s="2"/>
    </row>
    <row r="51">
      <c r="A51" s="8" t="s">
        <v>35</v>
      </c>
      <c r="B51" s="9" t="s">
        <v>49</v>
      </c>
      <c r="C51" s="9" t="s">
        <v>50</v>
      </c>
      <c r="D51" s="10"/>
      <c r="E51" s="2" t="n">
        <f>1202707</f>
        <v>1202707.0</v>
      </c>
      <c r="F51" s="10"/>
      <c r="G51" s="2" t="n">
        <f>2824942180100</f>
        <v>2.8249421801E12</v>
      </c>
      <c r="H51" s="10"/>
      <c r="I51" s="2" t="n">
        <f>109966</f>
        <v>109966.0</v>
      </c>
      <c r="J51" s="10"/>
      <c r="K51" s="2" t="n">
        <f>516514</f>
        <v>516514.0</v>
      </c>
    </row>
    <row r="52">
      <c r="A52" s="8" t="s">
        <v>36</v>
      </c>
      <c r="B52" s="9" t="s">
        <v>49</v>
      </c>
      <c r="C52" s="9" t="s">
        <v>50</v>
      </c>
      <c r="D52" s="10" t="s">
        <v>21</v>
      </c>
      <c r="E52" s="2" t="n">
        <f>941779</f>
        <v>941779.0</v>
      </c>
      <c r="F52" s="10" t="s">
        <v>21</v>
      </c>
      <c r="G52" s="2" t="n">
        <f>2191418659350</f>
        <v>2.19141865935E12</v>
      </c>
      <c r="H52" s="10"/>
      <c r="I52" s="2" t="n">
        <f>94748</f>
        <v>94748.0</v>
      </c>
      <c r="J52" s="10"/>
      <c r="K52" s="2" t="n">
        <f>520330</f>
        <v>520330.0</v>
      </c>
    </row>
    <row r="53">
      <c r="A53" s="8" t="s">
        <v>37</v>
      </c>
      <c r="B53" s="9" t="s">
        <v>49</v>
      </c>
      <c r="C53" s="9" t="s">
        <v>50</v>
      </c>
      <c r="D53" s="10"/>
      <c r="E53" s="2" t="n">
        <f>1346020</f>
        <v>1346020.0</v>
      </c>
      <c r="F53" s="10"/>
      <c r="G53" s="2" t="n">
        <f>3130187936650</f>
        <v>3.13018793665E12</v>
      </c>
      <c r="H53" s="10"/>
      <c r="I53" s="2" t="n">
        <f>111509</f>
        <v>111509.0</v>
      </c>
      <c r="J53" s="10"/>
      <c r="K53" s="2" t="n">
        <f>515825</f>
        <v>515825.0</v>
      </c>
    </row>
    <row r="54">
      <c r="A54" s="8" t="s">
        <v>38</v>
      </c>
      <c r="B54" s="9" t="s">
        <v>49</v>
      </c>
      <c r="C54" s="9" t="s">
        <v>50</v>
      </c>
      <c r="D54" s="10"/>
      <c r="E54" s="2" t="n">
        <f>1656619</f>
        <v>1656619.0</v>
      </c>
      <c r="F54" s="10"/>
      <c r="G54" s="2" t="n">
        <f>3901677919150</f>
        <v>3.90167791915E12</v>
      </c>
      <c r="H54" s="10"/>
      <c r="I54" s="2" t="n">
        <f>160968</f>
        <v>160968.0</v>
      </c>
      <c r="J54" s="10"/>
      <c r="K54" s="2" t="n">
        <f>508166</f>
        <v>508166.0</v>
      </c>
    </row>
    <row r="55">
      <c r="A55" s="8" t="s">
        <v>39</v>
      </c>
      <c r="B55" s="9" t="s">
        <v>49</v>
      </c>
      <c r="C55" s="9" t="s">
        <v>50</v>
      </c>
      <c r="D55" s="10"/>
      <c r="E55" s="2" t="n">
        <f>1610046</f>
        <v>1610046.0</v>
      </c>
      <c r="F55" s="10"/>
      <c r="G55" s="2" t="n">
        <f>3777649540650</f>
        <v>3.77764954065E12</v>
      </c>
      <c r="H55" s="10"/>
      <c r="I55" s="2" t="n">
        <f>154119</f>
        <v>154119.0</v>
      </c>
      <c r="J55" s="10"/>
      <c r="K55" s="2" t="n">
        <f>514909</f>
        <v>514909.0</v>
      </c>
    </row>
    <row r="56">
      <c r="A56" s="8" t="s">
        <v>40</v>
      </c>
      <c r="B56" s="9" t="s">
        <v>49</v>
      </c>
      <c r="C56" s="9" t="s">
        <v>50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41</v>
      </c>
      <c r="B57" s="9" t="s">
        <v>49</v>
      </c>
      <c r="C57" s="9" t="s">
        <v>50</v>
      </c>
      <c r="D57" s="10"/>
      <c r="E57" s="2"/>
      <c r="F57" s="10"/>
      <c r="G57" s="2"/>
      <c r="H57" s="10"/>
      <c r="I57" s="2"/>
      <c r="J57" s="10"/>
      <c r="K57" s="2"/>
    </row>
    <row r="58">
      <c r="A58" s="8" t="s">
        <v>42</v>
      </c>
      <c r="B58" s="9" t="s">
        <v>49</v>
      </c>
      <c r="C58" s="9" t="s">
        <v>50</v>
      </c>
      <c r="D58" s="10"/>
      <c r="E58" s="2"/>
      <c r="F58" s="10"/>
      <c r="G58" s="2"/>
      <c r="H58" s="10"/>
      <c r="I58" s="2"/>
      <c r="J58" s="10"/>
      <c r="K58" s="2"/>
    </row>
    <row r="59">
      <c r="A59" s="8" t="s">
        <v>43</v>
      </c>
      <c r="B59" s="9" t="s">
        <v>49</v>
      </c>
      <c r="C59" s="9" t="s">
        <v>50</v>
      </c>
      <c r="D59" s="10"/>
      <c r="E59" s="2" t="n">
        <f>2230105</f>
        <v>2230105.0</v>
      </c>
      <c r="F59" s="10"/>
      <c r="G59" s="2" t="n">
        <f>5093412928074</f>
        <v>5.093412928074E12</v>
      </c>
      <c r="H59" s="10"/>
      <c r="I59" s="2" t="n">
        <f>209665</f>
        <v>209665.0</v>
      </c>
      <c r="J59" s="10"/>
      <c r="K59" s="2" t="n">
        <f>534222</f>
        <v>534222.0</v>
      </c>
    </row>
    <row r="60">
      <c r="A60" s="8" t="s">
        <v>44</v>
      </c>
      <c r="B60" s="9" t="s">
        <v>49</v>
      </c>
      <c r="C60" s="9" t="s">
        <v>50</v>
      </c>
      <c r="D60" s="10"/>
      <c r="E60" s="2" t="n">
        <f>3408830</f>
        <v>3408830.0</v>
      </c>
      <c r="F60" s="10"/>
      <c r="G60" s="2" t="n">
        <f>7597481153150</f>
        <v>7.59748115315E12</v>
      </c>
      <c r="H60" s="10" t="s">
        <v>46</v>
      </c>
      <c r="I60" s="2" t="n">
        <f>279034</f>
        <v>279034.0</v>
      </c>
      <c r="J60" s="10" t="s">
        <v>21</v>
      </c>
      <c r="K60" s="2" t="n">
        <f>503212</f>
        <v>503212.0</v>
      </c>
    </row>
    <row r="61">
      <c r="A61" s="8" t="s">
        <v>45</v>
      </c>
      <c r="B61" s="9" t="s">
        <v>49</v>
      </c>
      <c r="C61" s="9" t="s">
        <v>50</v>
      </c>
      <c r="D61" s="10"/>
      <c r="E61" s="2" t="n">
        <f>3427210</f>
        <v>3427210.0</v>
      </c>
      <c r="F61" s="10"/>
      <c r="G61" s="2" t="n">
        <f>7593871115104</f>
        <v>7.593871115104E12</v>
      </c>
      <c r="H61" s="10"/>
      <c r="I61" s="2" t="n">
        <f>274759</f>
        <v>274759.0</v>
      </c>
      <c r="J61" s="10"/>
      <c r="K61" s="2" t="n">
        <f>541255</f>
        <v>541255.0</v>
      </c>
    </row>
    <row r="62">
      <c r="A62" s="8" t="s">
        <v>47</v>
      </c>
      <c r="B62" s="9" t="s">
        <v>49</v>
      </c>
      <c r="C62" s="9" t="s">
        <v>50</v>
      </c>
      <c r="D62" s="10" t="s">
        <v>46</v>
      </c>
      <c r="E62" s="2" t="n">
        <f>4088038</f>
        <v>4088038.0</v>
      </c>
      <c r="F62" s="10" t="s">
        <v>46</v>
      </c>
      <c r="G62" s="2" t="n">
        <f>8799935430945</f>
        <v>8.799935430945E12</v>
      </c>
      <c r="H62" s="10"/>
      <c r="I62" s="2" t="n">
        <f>271081</f>
        <v>271081.0</v>
      </c>
      <c r="J62" s="10" t="s">
        <v>46</v>
      </c>
      <c r="K62" s="2" t="n">
        <f>630978</f>
        <v>630978.0</v>
      </c>
    </row>
    <row r="63">
      <c r="A63" s="8" t="s">
        <v>48</v>
      </c>
      <c r="B63" s="9" t="s">
        <v>49</v>
      </c>
      <c r="C63" s="9" t="s">
        <v>50</v>
      </c>
      <c r="D63" s="10"/>
      <c r="E63" s="2"/>
      <c r="F63" s="10"/>
      <c r="G63" s="2"/>
      <c r="H63" s="10"/>
      <c r="I63" s="2"/>
      <c r="J63" s="10"/>
      <c r="K63" s="2"/>
    </row>
    <row r="64">
      <c r="A64" s="8" t="s">
        <v>16</v>
      </c>
      <c r="B64" s="9" t="s">
        <v>51</v>
      </c>
      <c r="C64" s="9" t="s">
        <v>52</v>
      </c>
      <c r="D64" s="10"/>
      <c r="E64" s="2"/>
      <c r="F64" s="10"/>
      <c r="G64" s="2"/>
      <c r="H64" s="10"/>
      <c r="I64" s="2"/>
      <c r="J64" s="10"/>
      <c r="K64" s="2"/>
    </row>
    <row r="65">
      <c r="A65" s="8" t="s">
        <v>19</v>
      </c>
      <c r="B65" s="9" t="s">
        <v>51</v>
      </c>
      <c r="C65" s="9" t="s">
        <v>52</v>
      </c>
      <c r="D65" s="10"/>
      <c r="E65" s="2"/>
      <c r="F65" s="10"/>
      <c r="G65" s="2"/>
      <c r="H65" s="10"/>
      <c r="I65" s="2"/>
      <c r="J65" s="10"/>
      <c r="K65" s="2"/>
    </row>
    <row r="66">
      <c r="A66" s="8" t="s">
        <v>20</v>
      </c>
      <c r="B66" s="9" t="s">
        <v>51</v>
      </c>
      <c r="C66" s="9" t="s">
        <v>52</v>
      </c>
      <c r="D66" s="10"/>
      <c r="E66" s="2" t="n">
        <f>101963</f>
        <v>101963.0</v>
      </c>
      <c r="F66" s="10"/>
      <c r="G66" s="2" t="n">
        <f>1697829938250</f>
        <v>1.69782993825E12</v>
      </c>
      <c r="H66" s="10"/>
      <c r="I66" s="2" t="n">
        <f>14001</f>
        <v>14001.0</v>
      </c>
      <c r="J66" s="10"/>
      <c r="K66" s="2" t="n">
        <f>566930</f>
        <v>566930.0</v>
      </c>
    </row>
    <row r="67">
      <c r="A67" s="8" t="s">
        <v>22</v>
      </c>
      <c r="B67" s="9" t="s">
        <v>51</v>
      </c>
      <c r="C67" s="9" t="s">
        <v>52</v>
      </c>
      <c r="D67" s="10"/>
      <c r="E67" s="2" t="n">
        <f>75770</f>
        <v>75770.0</v>
      </c>
      <c r="F67" s="10"/>
      <c r="G67" s="2" t="n">
        <f>1269313221511</f>
        <v>1.269313221511E12</v>
      </c>
      <c r="H67" s="10"/>
      <c r="I67" s="2" t="n">
        <f>14342</f>
        <v>14342.0</v>
      </c>
      <c r="J67" s="10"/>
      <c r="K67" s="2" t="n">
        <f>566038</f>
        <v>566038.0</v>
      </c>
    </row>
    <row r="68">
      <c r="A68" s="8" t="s">
        <v>23</v>
      </c>
      <c r="B68" s="9" t="s">
        <v>51</v>
      </c>
      <c r="C68" s="9" t="s">
        <v>52</v>
      </c>
      <c r="D68" s="10"/>
      <c r="E68" s="2" t="n">
        <f>76296</f>
        <v>76296.0</v>
      </c>
      <c r="F68" s="10"/>
      <c r="G68" s="2" t="n">
        <f>1297213261790</f>
        <v>1.29721326179E12</v>
      </c>
      <c r="H68" s="10"/>
      <c r="I68" s="2" t="n">
        <f>13373</f>
        <v>13373.0</v>
      </c>
      <c r="J68" s="10" t="s">
        <v>21</v>
      </c>
      <c r="K68" s="2" t="n">
        <f>564440</f>
        <v>564440.0</v>
      </c>
    </row>
    <row r="69">
      <c r="A69" s="8" t="s">
        <v>24</v>
      </c>
      <c r="B69" s="9" t="s">
        <v>51</v>
      </c>
      <c r="C69" s="9" t="s">
        <v>52</v>
      </c>
      <c r="D69" s="10"/>
      <c r="E69" s="2" t="n">
        <f>109911</f>
        <v>109911.0</v>
      </c>
      <c r="F69" s="10"/>
      <c r="G69" s="2" t="n">
        <f>1903890032198</f>
        <v>1.903890032198E12</v>
      </c>
      <c r="H69" s="10"/>
      <c r="I69" s="2" t="n">
        <f>19660</f>
        <v>19660.0</v>
      </c>
      <c r="J69" s="10"/>
      <c r="K69" s="2" t="n">
        <f>573124</f>
        <v>573124.0</v>
      </c>
    </row>
    <row r="70">
      <c r="A70" s="8" t="s">
        <v>25</v>
      </c>
      <c r="B70" s="9" t="s">
        <v>51</v>
      </c>
      <c r="C70" s="9" t="s">
        <v>52</v>
      </c>
      <c r="D70" s="10"/>
      <c r="E70" s="2" t="n">
        <f>71622</f>
        <v>71622.0</v>
      </c>
      <c r="F70" s="10"/>
      <c r="G70" s="2" t="n">
        <f>1241083271796</f>
        <v>1.241083271796E12</v>
      </c>
      <c r="H70" s="10"/>
      <c r="I70" s="2" t="n">
        <f>13451</f>
        <v>13451.0</v>
      </c>
      <c r="J70" s="10"/>
      <c r="K70" s="2" t="n">
        <f>577275</f>
        <v>577275.0</v>
      </c>
    </row>
    <row r="71">
      <c r="A71" s="8" t="s">
        <v>26</v>
      </c>
      <c r="B71" s="9" t="s">
        <v>51</v>
      </c>
      <c r="C71" s="9" t="s">
        <v>52</v>
      </c>
      <c r="D71" s="10"/>
      <c r="E71" s="2"/>
      <c r="F71" s="10"/>
      <c r="G71" s="2"/>
      <c r="H71" s="10"/>
      <c r="I71" s="2"/>
      <c r="J71" s="10"/>
      <c r="K71" s="2"/>
    </row>
    <row r="72">
      <c r="A72" s="8" t="s">
        <v>27</v>
      </c>
      <c r="B72" s="9" t="s">
        <v>51</v>
      </c>
      <c r="C72" s="9" t="s">
        <v>52</v>
      </c>
      <c r="D72" s="10"/>
      <c r="E72" s="2"/>
      <c r="F72" s="10"/>
      <c r="G72" s="2"/>
      <c r="H72" s="10"/>
      <c r="I72" s="2"/>
      <c r="J72" s="10"/>
      <c r="K72" s="2"/>
    </row>
    <row r="73">
      <c r="A73" s="8" t="s">
        <v>28</v>
      </c>
      <c r="B73" s="9" t="s">
        <v>51</v>
      </c>
      <c r="C73" s="9" t="s">
        <v>52</v>
      </c>
      <c r="D73" s="10"/>
      <c r="E73" s="2" t="n">
        <f>66984</f>
        <v>66984.0</v>
      </c>
      <c r="F73" s="10"/>
      <c r="G73" s="2" t="n">
        <f>1152807825050</f>
        <v>1.15280782505E12</v>
      </c>
      <c r="H73" s="10"/>
      <c r="I73" s="2" t="n">
        <f>11341</f>
        <v>11341.0</v>
      </c>
      <c r="J73" s="10"/>
      <c r="K73" s="2" t="n">
        <f>571546</f>
        <v>571546.0</v>
      </c>
    </row>
    <row r="74">
      <c r="A74" s="8" t="s">
        <v>29</v>
      </c>
      <c r="B74" s="9" t="s">
        <v>51</v>
      </c>
      <c r="C74" s="9" t="s">
        <v>52</v>
      </c>
      <c r="D74" s="10"/>
      <c r="E74" s="2"/>
      <c r="F74" s="10"/>
      <c r="G74" s="2"/>
      <c r="H74" s="10"/>
      <c r="I74" s="2"/>
      <c r="J74" s="10"/>
      <c r="K74" s="2"/>
    </row>
    <row r="75">
      <c r="A75" s="8" t="s">
        <v>30</v>
      </c>
      <c r="B75" s="9" t="s">
        <v>51</v>
      </c>
      <c r="C75" s="9" t="s">
        <v>52</v>
      </c>
      <c r="D75" s="10"/>
      <c r="E75" s="2" t="n">
        <f>71810</f>
        <v>71810.0</v>
      </c>
      <c r="F75" s="10"/>
      <c r="G75" s="2" t="n">
        <f>1232776715600</f>
        <v>1.2327767156E12</v>
      </c>
      <c r="H75" s="10"/>
      <c r="I75" s="2" t="n">
        <f>15450</f>
        <v>15450.0</v>
      </c>
      <c r="J75" s="10"/>
      <c r="K75" s="2" t="n">
        <f>572508</f>
        <v>572508.0</v>
      </c>
    </row>
    <row r="76">
      <c r="A76" s="8" t="s">
        <v>31</v>
      </c>
      <c r="B76" s="9" t="s">
        <v>51</v>
      </c>
      <c r="C76" s="9" t="s">
        <v>52</v>
      </c>
      <c r="D76" s="10"/>
      <c r="E76" s="2" t="n">
        <f>70027</f>
        <v>70027.0</v>
      </c>
      <c r="F76" s="10"/>
      <c r="G76" s="2" t="n">
        <f>1200990868509</f>
        <v>1.200990868509E12</v>
      </c>
      <c r="H76" s="10"/>
      <c r="I76" s="2" t="n">
        <f>12602</f>
        <v>12602.0</v>
      </c>
      <c r="J76" s="10"/>
      <c r="K76" s="2" t="n">
        <f>577497</f>
        <v>577497.0</v>
      </c>
    </row>
    <row r="77">
      <c r="A77" s="8" t="s">
        <v>32</v>
      </c>
      <c r="B77" s="9" t="s">
        <v>51</v>
      </c>
      <c r="C77" s="9" t="s">
        <v>52</v>
      </c>
      <c r="D77" s="10"/>
      <c r="E77" s="2" t="n">
        <f>72356</f>
        <v>72356.0</v>
      </c>
      <c r="F77" s="10"/>
      <c r="G77" s="2" t="n">
        <f>1231013478750</f>
        <v>1.23101347875E12</v>
      </c>
      <c r="H77" s="10"/>
      <c r="I77" s="2" t="n">
        <f>16575</f>
        <v>16575.0</v>
      </c>
      <c r="J77" s="10"/>
      <c r="K77" s="2" t="n">
        <f>572792</f>
        <v>572792.0</v>
      </c>
    </row>
    <row r="78">
      <c r="A78" s="8" t="s">
        <v>33</v>
      </c>
      <c r="B78" s="9" t="s">
        <v>51</v>
      </c>
      <c r="C78" s="9" t="s">
        <v>52</v>
      </c>
      <c r="D78" s="10"/>
      <c r="E78" s="2"/>
      <c r="F78" s="10"/>
      <c r="G78" s="2"/>
      <c r="H78" s="10"/>
      <c r="I78" s="2"/>
      <c r="J78" s="10"/>
      <c r="K78" s="2"/>
    </row>
    <row r="79">
      <c r="A79" s="8" t="s">
        <v>34</v>
      </c>
      <c r="B79" s="9" t="s">
        <v>51</v>
      </c>
      <c r="C79" s="9" t="s">
        <v>52</v>
      </c>
      <c r="D79" s="10"/>
      <c r="E79" s="2"/>
      <c r="F79" s="10"/>
      <c r="G79" s="2"/>
      <c r="H79" s="10"/>
      <c r="I79" s="2"/>
      <c r="J79" s="10"/>
      <c r="K79" s="2"/>
    </row>
    <row r="80">
      <c r="A80" s="8" t="s">
        <v>35</v>
      </c>
      <c r="B80" s="9" t="s">
        <v>51</v>
      </c>
      <c r="C80" s="9" t="s">
        <v>52</v>
      </c>
      <c r="D80" s="10" t="s">
        <v>21</v>
      </c>
      <c r="E80" s="2" t="n">
        <f>65474</f>
        <v>65474.0</v>
      </c>
      <c r="F80" s="10" t="s">
        <v>21</v>
      </c>
      <c r="G80" s="2" t="n">
        <f>1104251502110</f>
        <v>1.10425150211E12</v>
      </c>
      <c r="H80" s="10" t="s">
        <v>21</v>
      </c>
      <c r="I80" s="2" t="n">
        <f>9096</f>
        <v>9096.0</v>
      </c>
      <c r="J80" s="10"/>
      <c r="K80" s="2" t="n">
        <f>574002</f>
        <v>574002.0</v>
      </c>
    </row>
    <row r="81">
      <c r="A81" s="8" t="s">
        <v>36</v>
      </c>
      <c r="B81" s="9" t="s">
        <v>51</v>
      </c>
      <c r="C81" s="9" t="s">
        <v>52</v>
      </c>
      <c r="D81" s="10"/>
      <c r="E81" s="2" t="n">
        <f>74529</f>
        <v>74529.0</v>
      </c>
      <c r="F81" s="10"/>
      <c r="G81" s="2" t="n">
        <f>1244166583998</f>
        <v>1.244166583998E12</v>
      </c>
      <c r="H81" s="10"/>
      <c r="I81" s="2" t="n">
        <f>12106</f>
        <v>12106.0</v>
      </c>
      <c r="J81" s="10"/>
      <c r="K81" s="2" t="n">
        <f>576561</f>
        <v>576561.0</v>
      </c>
    </row>
    <row r="82">
      <c r="A82" s="8" t="s">
        <v>37</v>
      </c>
      <c r="B82" s="9" t="s">
        <v>51</v>
      </c>
      <c r="C82" s="9" t="s">
        <v>52</v>
      </c>
      <c r="D82" s="10"/>
      <c r="E82" s="2" t="n">
        <f>87301</f>
        <v>87301.0</v>
      </c>
      <c r="F82" s="10"/>
      <c r="G82" s="2" t="n">
        <f>1457804741090</f>
        <v>1.45780474109E12</v>
      </c>
      <c r="H82" s="10"/>
      <c r="I82" s="2" t="n">
        <f>11424</f>
        <v>11424.0</v>
      </c>
      <c r="J82" s="10"/>
      <c r="K82" s="2" t="n">
        <f>582265</f>
        <v>582265.0</v>
      </c>
    </row>
    <row r="83">
      <c r="A83" s="8" t="s">
        <v>38</v>
      </c>
      <c r="B83" s="9" t="s">
        <v>51</v>
      </c>
      <c r="C83" s="9" t="s">
        <v>52</v>
      </c>
      <c r="D83" s="10"/>
      <c r="E83" s="2" t="n">
        <f>92585</f>
        <v>92585.0</v>
      </c>
      <c r="F83" s="10"/>
      <c r="G83" s="2" t="n">
        <f>1554590954250</f>
        <v>1.55459095425E12</v>
      </c>
      <c r="H83" s="10"/>
      <c r="I83" s="2" t="n">
        <f>14870</f>
        <v>14870.0</v>
      </c>
      <c r="J83" s="10"/>
      <c r="K83" s="2" t="n">
        <f>586180</f>
        <v>586180.0</v>
      </c>
    </row>
    <row r="84">
      <c r="A84" s="8" t="s">
        <v>39</v>
      </c>
      <c r="B84" s="9" t="s">
        <v>51</v>
      </c>
      <c r="C84" s="9" t="s">
        <v>52</v>
      </c>
      <c r="D84" s="10"/>
      <c r="E84" s="2" t="n">
        <f>79451</f>
        <v>79451.0</v>
      </c>
      <c r="F84" s="10"/>
      <c r="G84" s="2" t="n">
        <f>1331457991836</f>
        <v>1.331457991836E12</v>
      </c>
      <c r="H84" s="10"/>
      <c r="I84" s="2" t="n">
        <f>12673</f>
        <v>12673.0</v>
      </c>
      <c r="J84" s="10"/>
      <c r="K84" s="2" t="n">
        <f>588360</f>
        <v>588360.0</v>
      </c>
    </row>
    <row r="85">
      <c r="A85" s="8" t="s">
        <v>40</v>
      </c>
      <c r="B85" s="9" t="s">
        <v>51</v>
      </c>
      <c r="C85" s="9" t="s">
        <v>52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41</v>
      </c>
      <c r="B86" s="9" t="s">
        <v>51</v>
      </c>
      <c r="C86" s="9" t="s">
        <v>52</v>
      </c>
      <c r="D86" s="10"/>
      <c r="E86" s="2"/>
      <c r="F86" s="10"/>
      <c r="G86" s="2"/>
      <c r="H86" s="10"/>
      <c r="I86" s="2"/>
      <c r="J86" s="10"/>
      <c r="K86" s="2"/>
    </row>
    <row r="87">
      <c r="A87" s="8" t="s">
        <v>42</v>
      </c>
      <c r="B87" s="9" t="s">
        <v>51</v>
      </c>
      <c r="C87" s="9" t="s">
        <v>52</v>
      </c>
      <c r="D87" s="10"/>
      <c r="E87" s="2"/>
      <c r="F87" s="10"/>
      <c r="G87" s="2"/>
      <c r="H87" s="10"/>
      <c r="I87" s="2"/>
      <c r="J87" s="10"/>
      <c r="K87" s="2"/>
    </row>
    <row r="88">
      <c r="A88" s="8" t="s">
        <v>43</v>
      </c>
      <c r="B88" s="9" t="s">
        <v>51</v>
      </c>
      <c r="C88" s="9" t="s">
        <v>52</v>
      </c>
      <c r="D88" s="10"/>
      <c r="E88" s="2" t="n">
        <f>155145</f>
        <v>155145.0</v>
      </c>
      <c r="F88" s="10"/>
      <c r="G88" s="2" t="n">
        <f>2521105845200</f>
        <v>2.5211058452E12</v>
      </c>
      <c r="H88" s="10"/>
      <c r="I88" s="2" t="n">
        <f>26698</f>
        <v>26698.0</v>
      </c>
      <c r="J88" s="10"/>
      <c r="K88" s="2" t="n">
        <f>587613</f>
        <v>587613.0</v>
      </c>
    </row>
    <row r="89">
      <c r="A89" s="8" t="s">
        <v>44</v>
      </c>
      <c r="B89" s="9" t="s">
        <v>51</v>
      </c>
      <c r="C89" s="9" t="s">
        <v>52</v>
      </c>
      <c r="D89" s="10"/>
      <c r="E89" s="2" t="n">
        <f>158847</f>
        <v>158847.0</v>
      </c>
      <c r="F89" s="10"/>
      <c r="G89" s="2" t="n">
        <f>2536919447400</f>
        <v>2.5369194474E12</v>
      </c>
      <c r="H89" s="10"/>
      <c r="I89" s="2" t="n">
        <f>25352</f>
        <v>25352.0</v>
      </c>
      <c r="J89" s="10"/>
      <c r="K89" s="2" t="n">
        <f>590653</f>
        <v>590653.0</v>
      </c>
    </row>
    <row r="90">
      <c r="A90" s="8" t="s">
        <v>45</v>
      </c>
      <c r="B90" s="9" t="s">
        <v>51</v>
      </c>
      <c r="C90" s="9" t="s">
        <v>52</v>
      </c>
      <c r="D90" s="10"/>
      <c r="E90" s="2" t="n">
        <f>173865</f>
        <v>173865.0</v>
      </c>
      <c r="F90" s="10"/>
      <c r="G90" s="2" t="n">
        <f>2748286249247</f>
        <v>2.748286249247E12</v>
      </c>
      <c r="H90" s="10" t="s">
        <v>46</v>
      </c>
      <c r="I90" s="2" t="n">
        <f>37321</f>
        <v>37321.0</v>
      </c>
      <c r="J90" s="10"/>
      <c r="K90" s="2" t="n">
        <f>602200</f>
        <v>602200.0</v>
      </c>
    </row>
    <row r="91">
      <c r="A91" s="8" t="s">
        <v>47</v>
      </c>
      <c r="B91" s="9" t="s">
        <v>51</v>
      </c>
      <c r="C91" s="9" t="s">
        <v>52</v>
      </c>
      <c r="D91" s="10" t="s">
        <v>46</v>
      </c>
      <c r="E91" s="2" t="n">
        <f>216228</f>
        <v>216228.0</v>
      </c>
      <c r="F91" s="10" t="s">
        <v>46</v>
      </c>
      <c r="G91" s="2" t="n">
        <f>3299708397147</f>
        <v>3.299708397147E12</v>
      </c>
      <c r="H91" s="10"/>
      <c r="I91" s="2" t="n">
        <f>36144</f>
        <v>36144.0</v>
      </c>
      <c r="J91" s="10" t="s">
        <v>46</v>
      </c>
      <c r="K91" s="2" t="n">
        <f>620240</f>
        <v>620240.0</v>
      </c>
    </row>
    <row r="92">
      <c r="A92" s="8" t="s">
        <v>48</v>
      </c>
      <c r="B92" s="9" t="s">
        <v>51</v>
      </c>
      <c r="C92" s="9" t="s">
        <v>52</v>
      </c>
      <c r="D92" s="10"/>
      <c r="E92" s="2"/>
      <c r="F92" s="10"/>
      <c r="G92" s="2"/>
      <c r="H92" s="10"/>
      <c r="I92" s="2"/>
      <c r="J92" s="10"/>
      <c r="K92" s="2"/>
    </row>
    <row r="93">
      <c r="A93" s="8" t="s">
        <v>16</v>
      </c>
      <c r="B93" s="9" t="s">
        <v>53</v>
      </c>
      <c r="C93" s="9" t="s">
        <v>54</v>
      </c>
      <c r="D93" s="10"/>
      <c r="E93" s="2"/>
      <c r="F93" s="10"/>
      <c r="G93" s="2"/>
      <c r="H93" s="10"/>
      <c r="I93" s="2"/>
      <c r="J93" s="10"/>
      <c r="K93" s="2"/>
    </row>
    <row r="94">
      <c r="A94" s="8" t="s">
        <v>19</v>
      </c>
      <c r="B94" s="9" t="s">
        <v>53</v>
      </c>
      <c r="C94" s="9" t="s">
        <v>54</v>
      </c>
      <c r="D94" s="10"/>
      <c r="E94" s="2"/>
      <c r="F94" s="10"/>
      <c r="G94" s="2"/>
      <c r="H94" s="10"/>
      <c r="I94" s="2"/>
      <c r="J94" s="10"/>
      <c r="K94" s="2"/>
    </row>
    <row r="95">
      <c r="A95" s="8" t="s">
        <v>20</v>
      </c>
      <c r="B95" s="9" t="s">
        <v>53</v>
      </c>
      <c r="C95" s="9" t="s">
        <v>54</v>
      </c>
      <c r="D95" s="10"/>
      <c r="E95" s="2" t="n">
        <f>36527</f>
        <v>36527.0</v>
      </c>
      <c r="F95" s="10"/>
      <c r="G95" s="2" t="n">
        <f>60775701315</f>
        <v>6.0775701315E10</v>
      </c>
      <c r="H95" s="10"/>
      <c r="I95" s="2" t="n">
        <f>1022</f>
        <v>1022.0</v>
      </c>
      <c r="J95" s="10" t="s">
        <v>21</v>
      </c>
      <c r="K95" s="2" t="n">
        <f>42309</f>
        <v>42309.0</v>
      </c>
    </row>
    <row r="96">
      <c r="A96" s="8" t="s">
        <v>22</v>
      </c>
      <c r="B96" s="9" t="s">
        <v>53</v>
      </c>
      <c r="C96" s="9" t="s">
        <v>54</v>
      </c>
      <c r="D96" s="10"/>
      <c r="E96" s="2" t="n">
        <f>25651</f>
        <v>25651.0</v>
      </c>
      <c r="F96" s="10"/>
      <c r="G96" s="2" t="n">
        <f>42926122450</f>
        <v>4.292612245E10</v>
      </c>
      <c r="H96" s="10"/>
      <c r="I96" s="2" t="n">
        <f>781</f>
        <v>781.0</v>
      </c>
      <c r="J96" s="10"/>
      <c r="K96" s="2" t="n">
        <f>42826</f>
        <v>42826.0</v>
      </c>
    </row>
    <row r="97">
      <c r="A97" s="8" t="s">
        <v>23</v>
      </c>
      <c r="B97" s="9" t="s">
        <v>53</v>
      </c>
      <c r="C97" s="9" t="s">
        <v>54</v>
      </c>
      <c r="D97" s="10"/>
      <c r="E97" s="2" t="n">
        <f>24464</f>
        <v>24464.0</v>
      </c>
      <c r="F97" s="10"/>
      <c r="G97" s="2" t="n">
        <f>41604016300</f>
        <v>4.16040163E10</v>
      </c>
      <c r="H97" s="10"/>
      <c r="I97" s="2" t="n">
        <f>885</f>
        <v>885.0</v>
      </c>
      <c r="J97" s="10"/>
      <c r="K97" s="2" t="n">
        <f>45322</f>
        <v>45322.0</v>
      </c>
    </row>
    <row r="98">
      <c r="A98" s="8" t="s">
        <v>24</v>
      </c>
      <c r="B98" s="9" t="s">
        <v>53</v>
      </c>
      <c r="C98" s="9" t="s">
        <v>54</v>
      </c>
      <c r="D98" s="10"/>
      <c r="E98" s="2" t="n">
        <f>43961</f>
        <v>43961.0</v>
      </c>
      <c r="F98" s="10"/>
      <c r="G98" s="2" t="n">
        <f>76117358650</f>
        <v>7.611735865E10</v>
      </c>
      <c r="H98" s="10"/>
      <c r="I98" s="2" t="n">
        <f>1317</f>
        <v>1317.0</v>
      </c>
      <c r="J98" s="10"/>
      <c r="K98" s="2" t="n">
        <f>52134</f>
        <v>52134.0</v>
      </c>
    </row>
    <row r="99">
      <c r="A99" s="8" t="s">
        <v>25</v>
      </c>
      <c r="B99" s="9" t="s">
        <v>53</v>
      </c>
      <c r="C99" s="9" t="s">
        <v>54</v>
      </c>
      <c r="D99" s="10" t="s">
        <v>21</v>
      </c>
      <c r="E99" s="2" t="n">
        <f>20543</f>
        <v>20543.0</v>
      </c>
      <c r="F99" s="10" t="s">
        <v>21</v>
      </c>
      <c r="G99" s="2" t="n">
        <f>35621263300</f>
        <v>3.56212633E10</v>
      </c>
      <c r="H99" s="10"/>
      <c r="I99" s="2" t="n">
        <f>691</f>
        <v>691.0</v>
      </c>
      <c r="J99" s="10"/>
      <c r="K99" s="2" t="n">
        <f>51980</f>
        <v>51980.0</v>
      </c>
    </row>
    <row r="100">
      <c r="A100" s="8" t="s">
        <v>26</v>
      </c>
      <c r="B100" s="9" t="s">
        <v>53</v>
      </c>
      <c r="C100" s="9" t="s">
        <v>54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27</v>
      </c>
      <c r="B101" s="9" t="s">
        <v>53</v>
      </c>
      <c r="C101" s="9" t="s">
        <v>54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28</v>
      </c>
      <c r="B102" s="9" t="s">
        <v>53</v>
      </c>
      <c r="C102" s="9" t="s">
        <v>54</v>
      </c>
      <c r="D102" s="10"/>
      <c r="E102" s="2" t="n">
        <f>22798</f>
        <v>22798.0</v>
      </c>
      <c r="F102" s="10"/>
      <c r="G102" s="2" t="n">
        <f>39253050540</f>
        <v>3.925305054E10</v>
      </c>
      <c r="H102" s="10"/>
      <c r="I102" s="2" t="n">
        <f>727</f>
        <v>727.0</v>
      </c>
      <c r="J102" s="10"/>
      <c r="K102" s="2" t="n">
        <f>50539</f>
        <v>50539.0</v>
      </c>
    </row>
    <row r="103">
      <c r="A103" s="8" t="s">
        <v>29</v>
      </c>
      <c r="B103" s="9" t="s">
        <v>53</v>
      </c>
      <c r="C103" s="9" t="s">
        <v>54</v>
      </c>
      <c r="D103" s="10"/>
      <c r="E103" s="2"/>
      <c r="F103" s="10"/>
      <c r="G103" s="2"/>
      <c r="H103" s="10"/>
      <c r="I103" s="2"/>
      <c r="J103" s="10"/>
      <c r="K103" s="2"/>
    </row>
    <row r="104">
      <c r="A104" s="8" t="s">
        <v>30</v>
      </c>
      <c r="B104" s="9" t="s">
        <v>53</v>
      </c>
      <c r="C104" s="9" t="s">
        <v>54</v>
      </c>
      <c r="D104" s="10"/>
      <c r="E104" s="2" t="n">
        <f>28515</f>
        <v>28515.0</v>
      </c>
      <c r="F104" s="10"/>
      <c r="G104" s="2" t="n">
        <f>48946472620</f>
        <v>4.894647262E10</v>
      </c>
      <c r="H104" s="10" t="s">
        <v>21</v>
      </c>
      <c r="I104" s="2" t="n">
        <f>650</f>
        <v>650.0</v>
      </c>
      <c r="J104" s="10"/>
      <c r="K104" s="2" t="n">
        <f>50175</f>
        <v>50175.0</v>
      </c>
    </row>
    <row r="105">
      <c r="A105" s="8" t="s">
        <v>31</v>
      </c>
      <c r="B105" s="9" t="s">
        <v>53</v>
      </c>
      <c r="C105" s="9" t="s">
        <v>54</v>
      </c>
      <c r="D105" s="10"/>
      <c r="E105" s="2" t="n">
        <f>23874</f>
        <v>23874.0</v>
      </c>
      <c r="F105" s="10"/>
      <c r="G105" s="2" t="n">
        <f>40936129155</f>
        <v>4.0936129155E10</v>
      </c>
      <c r="H105" s="10"/>
      <c r="I105" s="2" t="n">
        <f>715</f>
        <v>715.0</v>
      </c>
      <c r="J105" s="10"/>
      <c r="K105" s="2" t="n">
        <f>50338</f>
        <v>50338.0</v>
      </c>
    </row>
    <row r="106">
      <c r="A106" s="8" t="s">
        <v>32</v>
      </c>
      <c r="B106" s="9" t="s">
        <v>53</v>
      </c>
      <c r="C106" s="9" t="s">
        <v>54</v>
      </c>
      <c r="D106" s="10"/>
      <c r="E106" s="2" t="n">
        <f>32112</f>
        <v>32112.0</v>
      </c>
      <c r="F106" s="10"/>
      <c r="G106" s="2" t="n">
        <f>54629789900</f>
        <v>5.46297899E10</v>
      </c>
      <c r="H106" s="10"/>
      <c r="I106" s="2" t="n">
        <f>1287</f>
        <v>1287.0</v>
      </c>
      <c r="J106" s="10"/>
      <c r="K106" s="2" t="n">
        <f>49749</f>
        <v>49749.0</v>
      </c>
    </row>
    <row r="107">
      <c r="A107" s="8" t="s">
        <v>33</v>
      </c>
      <c r="B107" s="9" t="s">
        <v>53</v>
      </c>
      <c r="C107" s="9" t="s">
        <v>54</v>
      </c>
      <c r="D107" s="10"/>
      <c r="E107" s="2"/>
      <c r="F107" s="10"/>
      <c r="G107" s="2"/>
      <c r="H107" s="10"/>
      <c r="I107" s="2"/>
      <c r="J107" s="10"/>
      <c r="K107" s="2"/>
    </row>
    <row r="108">
      <c r="A108" s="8" t="s">
        <v>34</v>
      </c>
      <c r="B108" s="9" t="s">
        <v>53</v>
      </c>
      <c r="C108" s="9" t="s">
        <v>54</v>
      </c>
      <c r="D108" s="10"/>
      <c r="E108" s="2"/>
      <c r="F108" s="10"/>
      <c r="G108" s="2"/>
      <c r="H108" s="10"/>
      <c r="I108" s="2"/>
      <c r="J108" s="10"/>
      <c r="K108" s="2"/>
    </row>
    <row r="109">
      <c r="A109" s="8" t="s">
        <v>35</v>
      </c>
      <c r="B109" s="9" t="s">
        <v>53</v>
      </c>
      <c r="C109" s="9" t="s">
        <v>54</v>
      </c>
      <c r="D109" s="10"/>
      <c r="E109" s="2" t="n">
        <f>29578</f>
        <v>29578.0</v>
      </c>
      <c r="F109" s="10"/>
      <c r="G109" s="2" t="n">
        <f>49866575000</f>
        <v>4.9866575E10</v>
      </c>
      <c r="H109" s="10"/>
      <c r="I109" s="2" t="n">
        <f>1151</f>
        <v>1151.0</v>
      </c>
      <c r="J109" s="10"/>
      <c r="K109" s="2" t="n">
        <f>50935</f>
        <v>50935.0</v>
      </c>
    </row>
    <row r="110">
      <c r="A110" s="8" t="s">
        <v>36</v>
      </c>
      <c r="B110" s="9" t="s">
        <v>53</v>
      </c>
      <c r="C110" s="9" t="s">
        <v>54</v>
      </c>
      <c r="D110" s="10"/>
      <c r="E110" s="2" t="n">
        <f>28525</f>
        <v>28525.0</v>
      </c>
      <c r="F110" s="10"/>
      <c r="G110" s="2" t="n">
        <f>47636322170</f>
        <v>4.763632217E10</v>
      </c>
      <c r="H110" s="10"/>
      <c r="I110" s="2" t="n">
        <f>835</f>
        <v>835.0</v>
      </c>
      <c r="J110" s="10"/>
      <c r="K110" s="2" t="n">
        <f>52076</f>
        <v>52076.0</v>
      </c>
    </row>
    <row r="111">
      <c r="A111" s="8" t="s">
        <v>37</v>
      </c>
      <c r="B111" s="9" t="s">
        <v>53</v>
      </c>
      <c r="C111" s="9" t="s">
        <v>54</v>
      </c>
      <c r="D111" s="10"/>
      <c r="E111" s="2" t="n">
        <f>26882</f>
        <v>26882.0</v>
      </c>
      <c r="F111" s="10"/>
      <c r="G111" s="2" t="n">
        <f>44896205500</f>
        <v>4.48962055E10</v>
      </c>
      <c r="H111" s="10"/>
      <c r="I111" s="2" t="n">
        <f>929</f>
        <v>929.0</v>
      </c>
      <c r="J111" s="10"/>
      <c r="K111" s="2" t="n">
        <f>51907</f>
        <v>51907.0</v>
      </c>
    </row>
    <row r="112">
      <c r="A112" s="8" t="s">
        <v>38</v>
      </c>
      <c r="B112" s="9" t="s">
        <v>53</v>
      </c>
      <c r="C112" s="9" t="s">
        <v>54</v>
      </c>
      <c r="D112" s="10"/>
      <c r="E112" s="2" t="n">
        <f>34198</f>
        <v>34198.0</v>
      </c>
      <c r="F112" s="10"/>
      <c r="G112" s="2" t="n">
        <f>57441721315</f>
        <v>5.7441721315E10</v>
      </c>
      <c r="H112" s="10"/>
      <c r="I112" s="2" t="n">
        <f>1089</f>
        <v>1089.0</v>
      </c>
      <c r="J112" s="10"/>
      <c r="K112" s="2" t="n">
        <f>52782</f>
        <v>52782.0</v>
      </c>
    </row>
    <row r="113">
      <c r="A113" s="8" t="s">
        <v>39</v>
      </c>
      <c r="B113" s="9" t="s">
        <v>53</v>
      </c>
      <c r="C113" s="9" t="s">
        <v>54</v>
      </c>
      <c r="D113" s="10"/>
      <c r="E113" s="2" t="n">
        <f>29358</f>
        <v>29358.0</v>
      </c>
      <c r="F113" s="10"/>
      <c r="G113" s="2" t="n">
        <f>49235171820</f>
        <v>4.923517182E10</v>
      </c>
      <c r="H113" s="10"/>
      <c r="I113" s="2" t="n">
        <f>1613</f>
        <v>1613.0</v>
      </c>
      <c r="J113" s="10"/>
      <c r="K113" s="2" t="n">
        <f>52525</f>
        <v>52525.0</v>
      </c>
    </row>
    <row r="114">
      <c r="A114" s="8" t="s">
        <v>40</v>
      </c>
      <c r="B114" s="9" t="s">
        <v>53</v>
      </c>
      <c r="C114" s="9" t="s">
        <v>54</v>
      </c>
      <c r="D114" s="10"/>
      <c r="E114" s="2"/>
      <c r="F114" s="10"/>
      <c r="G114" s="2"/>
      <c r="H114" s="10"/>
      <c r="I114" s="2"/>
      <c r="J114" s="10"/>
      <c r="K114" s="2"/>
    </row>
    <row r="115">
      <c r="A115" s="8" t="s">
        <v>41</v>
      </c>
      <c r="B115" s="9" t="s">
        <v>53</v>
      </c>
      <c r="C115" s="9" t="s">
        <v>54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42</v>
      </c>
      <c r="B116" s="9" t="s">
        <v>53</v>
      </c>
      <c r="C116" s="9" t="s">
        <v>54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43</v>
      </c>
      <c r="B117" s="9" t="s">
        <v>53</v>
      </c>
      <c r="C117" s="9" t="s">
        <v>54</v>
      </c>
      <c r="D117" s="10"/>
      <c r="E117" s="2" t="n">
        <f>61922</f>
        <v>61922.0</v>
      </c>
      <c r="F117" s="10" t="s">
        <v>46</v>
      </c>
      <c r="G117" s="2" t="n">
        <f>100569423850</f>
        <v>1.0056942385E11</v>
      </c>
      <c r="H117" s="10"/>
      <c r="I117" s="2" t="n">
        <f>1448</f>
        <v>1448.0</v>
      </c>
      <c r="J117" s="10"/>
      <c r="K117" s="2" t="n">
        <f>48922</f>
        <v>48922.0</v>
      </c>
    </row>
    <row r="118">
      <c r="A118" s="8" t="s">
        <v>44</v>
      </c>
      <c r="B118" s="9" t="s">
        <v>53</v>
      </c>
      <c r="C118" s="9" t="s">
        <v>54</v>
      </c>
      <c r="D118" s="10"/>
      <c r="E118" s="2" t="n">
        <f>51154</f>
        <v>51154.0</v>
      </c>
      <c r="F118" s="10"/>
      <c r="G118" s="2" t="n">
        <f>81696673930</f>
        <v>8.169667393E10</v>
      </c>
      <c r="H118" s="10"/>
      <c r="I118" s="2" t="n">
        <f>1539</f>
        <v>1539.0</v>
      </c>
      <c r="J118" s="10"/>
      <c r="K118" s="2" t="n">
        <f>49818</f>
        <v>49818.0</v>
      </c>
    </row>
    <row r="119">
      <c r="A119" s="8" t="s">
        <v>45</v>
      </c>
      <c r="B119" s="9" t="s">
        <v>53</v>
      </c>
      <c r="C119" s="9" t="s">
        <v>54</v>
      </c>
      <c r="D119" s="10"/>
      <c r="E119" s="2" t="n">
        <f>47283</f>
        <v>47283.0</v>
      </c>
      <c r="F119" s="10"/>
      <c r="G119" s="2" t="n">
        <f>74744990870</f>
        <v>7.474499087E10</v>
      </c>
      <c r="H119" s="10"/>
      <c r="I119" s="2" t="n">
        <f>1782</f>
        <v>1782.0</v>
      </c>
      <c r="J119" s="10"/>
      <c r="K119" s="2" t="n">
        <f>52239</f>
        <v>52239.0</v>
      </c>
    </row>
    <row r="120">
      <c r="A120" s="8" t="s">
        <v>47</v>
      </c>
      <c r="B120" s="9" t="s">
        <v>53</v>
      </c>
      <c r="C120" s="9" t="s">
        <v>54</v>
      </c>
      <c r="D120" s="10" t="s">
        <v>46</v>
      </c>
      <c r="E120" s="2" t="n">
        <f>63010</f>
        <v>63010.0</v>
      </c>
      <c r="F120" s="10"/>
      <c r="G120" s="2" t="n">
        <f>95990104215</f>
        <v>9.5990104215E10</v>
      </c>
      <c r="H120" s="10" t="s">
        <v>46</v>
      </c>
      <c r="I120" s="2" t="n">
        <f>2946</f>
        <v>2946.0</v>
      </c>
      <c r="J120" s="10" t="s">
        <v>46</v>
      </c>
      <c r="K120" s="2" t="n">
        <f>56729</f>
        <v>56729.0</v>
      </c>
    </row>
    <row r="121">
      <c r="A121" s="8" t="s">
        <v>48</v>
      </c>
      <c r="B121" s="9" t="s">
        <v>53</v>
      </c>
      <c r="C121" s="9" t="s">
        <v>54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16</v>
      </c>
      <c r="B122" s="9" t="s">
        <v>55</v>
      </c>
      <c r="C122" s="9" t="s">
        <v>56</v>
      </c>
      <c r="D122" s="10"/>
      <c r="E122" s="2"/>
      <c r="F122" s="10"/>
      <c r="G122" s="2"/>
      <c r="H122" s="10"/>
      <c r="I122" s="2"/>
      <c r="J122" s="10"/>
      <c r="K122" s="2"/>
    </row>
    <row r="123">
      <c r="A123" s="8" t="s">
        <v>19</v>
      </c>
      <c r="B123" s="9" t="s">
        <v>55</v>
      </c>
      <c r="C123" s="9" t="s">
        <v>56</v>
      </c>
      <c r="D123" s="10"/>
      <c r="E123" s="2"/>
      <c r="F123" s="10"/>
      <c r="G123" s="2"/>
      <c r="H123" s="10"/>
      <c r="I123" s="2"/>
      <c r="J123" s="10"/>
      <c r="K123" s="2"/>
    </row>
    <row r="124">
      <c r="A124" s="8" t="s">
        <v>20</v>
      </c>
      <c r="B124" s="9" t="s">
        <v>55</v>
      </c>
      <c r="C124" s="9" t="s">
        <v>56</v>
      </c>
      <c r="D124" s="10"/>
      <c r="E124" s="2" t="n">
        <f>23327</f>
        <v>23327.0</v>
      </c>
      <c r="F124" s="10"/>
      <c r="G124" s="2" t="n">
        <f>34836744200</f>
        <v>3.48367442E10</v>
      </c>
      <c r="H124" s="10"/>
      <c r="I124" s="2" t="n">
        <f>867</f>
        <v>867.0</v>
      </c>
      <c r="J124" s="10"/>
      <c r="K124" s="2" t="n">
        <f>130216</f>
        <v>130216.0</v>
      </c>
    </row>
    <row r="125">
      <c r="A125" s="8" t="s">
        <v>22</v>
      </c>
      <c r="B125" s="9" t="s">
        <v>55</v>
      </c>
      <c r="C125" s="9" t="s">
        <v>56</v>
      </c>
      <c r="D125" s="10"/>
      <c r="E125" s="2" t="n">
        <f>24187</f>
        <v>24187.0</v>
      </c>
      <c r="F125" s="10"/>
      <c r="G125" s="2" t="n">
        <f>36315903730</f>
        <v>3.631590373E10</v>
      </c>
      <c r="H125" s="10"/>
      <c r="I125" s="2" t="n">
        <f>1891</f>
        <v>1891.0</v>
      </c>
      <c r="J125" s="10"/>
      <c r="K125" s="2" t="n">
        <f>129279</f>
        <v>129279.0</v>
      </c>
    </row>
    <row r="126">
      <c r="A126" s="8" t="s">
        <v>23</v>
      </c>
      <c r="B126" s="9" t="s">
        <v>55</v>
      </c>
      <c r="C126" s="9" t="s">
        <v>56</v>
      </c>
      <c r="D126" s="10"/>
      <c r="E126" s="2" t="n">
        <f>17574</f>
        <v>17574.0</v>
      </c>
      <c r="F126" s="10"/>
      <c r="G126" s="2" t="n">
        <f>26786836800</f>
        <v>2.67868368E10</v>
      </c>
      <c r="H126" s="10"/>
      <c r="I126" s="2" t="n">
        <f>1240</f>
        <v>1240.0</v>
      </c>
      <c r="J126" s="10" t="s">
        <v>21</v>
      </c>
      <c r="K126" s="2" t="n">
        <f>127150</f>
        <v>127150.0</v>
      </c>
    </row>
    <row r="127">
      <c r="A127" s="8" t="s">
        <v>24</v>
      </c>
      <c r="B127" s="9" t="s">
        <v>55</v>
      </c>
      <c r="C127" s="9" t="s">
        <v>56</v>
      </c>
      <c r="D127" s="10"/>
      <c r="E127" s="2" t="n">
        <f>26509</f>
        <v>26509.0</v>
      </c>
      <c r="F127" s="10"/>
      <c r="G127" s="2" t="n">
        <f>41143112000</f>
        <v>4.1143112E10</v>
      </c>
      <c r="H127" s="10"/>
      <c r="I127" s="2" t="n">
        <f>833</f>
        <v>833.0</v>
      </c>
      <c r="J127" s="10"/>
      <c r="K127" s="2" t="n">
        <f>128616</f>
        <v>128616.0</v>
      </c>
    </row>
    <row r="128">
      <c r="A128" s="8" t="s">
        <v>25</v>
      </c>
      <c r="B128" s="9" t="s">
        <v>55</v>
      </c>
      <c r="C128" s="9" t="s">
        <v>56</v>
      </c>
      <c r="D128" s="10"/>
      <c r="E128" s="2" t="n">
        <f>15280</f>
        <v>15280.0</v>
      </c>
      <c r="F128" s="10"/>
      <c r="G128" s="2" t="n">
        <f>23751604660</f>
        <v>2.375160466E10</v>
      </c>
      <c r="H128" s="10"/>
      <c r="I128" s="2" t="n">
        <f>733</f>
        <v>733.0</v>
      </c>
      <c r="J128" s="10"/>
      <c r="K128" s="2" t="n">
        <f>128341</f>
        <v>128341.0</v>
      </c>
    </row>
    <row r="129">
      <c r="A129" s="8" t="s">
        <v>26</v>
      </c>
      <c r="B129" s="9" t="s">
        <v>55</v>
      </c>
      <c r="C129" s="9" t="s">
        <v>56</v>
      </c>
      <c r="D129" s="10"/>
      <c r="E129" s="2"/>
      <c r="F129" s="10"/>
      <c r="G129" s="2"/>
      <c r="H129" s="10"/>
      <c r="I129" s="2"/>
      <c r="J129" s="10"/>
      <c r="K129" s="2"/>
    </row>
    <row r="130">
      <c r="A130" s="8" t="s">
        <v>27</v>
      </c>
      <c r="B130" s="9" t="s">
        <v>55</v>
      </c>
      <c r="C130" s="9" t="s">
        <v>56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28</v>
      </c>
      <c r="B131" s="9" t="s">
        <v>55</v>
      </c>
      <c r="C131" s="9" t="s">
        <v>56</v>
      </c>
      <c r="D131" s="10"/>
      <c r="E131" s="2" t="n">
        <f>16038</f>
        <v>16038.0</v>
      </c>
      <c r="F131" s="10"/>
      <c r="G131" s="2" t="n">
        <f>24750411009</f>
        <v>2.4750411009E10</v>
      </c>
      <c r="H131" s="10"/>
      <c r="I131" s="2" t="n">
        <f>1004</f>
        <v>1004.0</v>
      </c>
      <c r="J131" s="10"/>
      <c r="K131" s="2" t="n">
        <f>127759</f>
        <v>127759.0</v>
      </c>
    </row>
    <row r="132">
      <c r="A132" s="8" t="s">
        <v>29</v>
      </c>
      <c r="B132" s="9" t="s">
        <v>55</v>
      </c>
      <c r="C132" s="9" t="s">
        <v>56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30</v>
      </c>
      <c r="B133" s="9" t="s">
        <v>55</v>
      </c>
      <c r="C133" s="9" t="s">
        <v>56</v>
      </c>
      <c r="D133" s="10"/>
      <c r="E133" s="2" t="n">
        <f>21776</f>
        <v>21776.0</v>
      </c>
      <c r="F133" s="10"/>
      <c r="G133" s="2" t="n">
        <f>33514099613</f>
        <v>3.3514099613E10</v>
      </c>
      <c r="H133" s="10"/>
      <c r="I133" s="2" t="n">
        <f>193</f>
        <v>193.0</v>
      </c>
      <c r="J133" s="10"/>
      <c r="K133" s="2" t="n">
        <f>127803</f>
        <v>127803.0</v>
      </c>
    </row>
    <row r="134">
      <c r="A134" s="8" t="s">
        <v>31</v>
      </c>
      <c r="B134" s="9" t="s">
        <v>55</v>
      </c>
      <c r="C134" s="9" t="s">
        <v>56</v>
      </c>
      <c r="D134" s="10"/>
      <c r="E134" s="2" t="n">
        <f>20928</f>
        <v>20928.0</v>
      </c>
      <c r="F134" s="10"/>
      <c r="G134" s="2" t="n">
        <f>32192061400</f>
        <v>3.21920614E10</v>
      </c>
      <c r="H134" s="10"/>
      <c r="I134" s="2" t="n">
        <f>682</f>
        <v>682.0</v>
      </c>
      <c r="J134" s="10"/>
      <c r="K134" s="2" t="n">
        <f>130046</f>
        <v>130046.0</v>
      </c>
    </row>
    <row r="135">
      <c r="A135" s="8" t="s">
        <v>32</v>
      </c>
      <c r="B135" s="9" t="s">
        <v>55</v>
      </c>
      <c r="C135" s="9" t="s">
        <v>56</v>
      </c>
      <c r="D135" s="10"/>
      <c r="E135" s="2" t="n">
        <f>15172</f>
        <v>15172.0</v>
      </c>
      <c r="F135" s="10"/>
      <c r="G135" s="2" t="n">
        <f>23157509300</f>
        <v>2.31575093E10</v>
      </c>
      <c r="H135" s="10"/>
      <c r="I135" s="2" t="n">
        <f>470</f>
        <v>470.0</v>
      </c>
      <c r="J135" s="10"/>
      <c r="K135" s="2" t="n">
        <f>130131</f>
        <v>130131.0</v>
      </c>
    </row>
    <row r="136">
      <c r="A136" s="8" t="s">
        <v>33</v>
      </c>
      <c r="B136" s="9" t="s">
        <v>55</v>
      </c>
      <c r="C136" s="9" t="s">
        <v>56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34</v>
      </c>
      <c r="B137" s="9" t="s">
        <v>55</v>
      </c>
      <c r="C137" s="9" t="s">
        <v>56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35</v>
      </c>
      <c r="B138" s="9" t="s">
        <v>55</v>
      </c>
      <c r="C138" s="9" t="s">
        <v>56</v>
      </c>
      <c r="D138" s="10"/>
      <c r="E138" s="2" t="n">
        <f>13559</f>
        <v>13559.0</v>
      </c>
      <c r="F138" s="10"/>
      <c r="G138" s="2" t="n">
        <f>20532418294</f>
        <v>2.0532418294E10</v>
      </c>
      <c r="H138" s="10"/>
      <c r="I138" s="2" t="n">
        <f>374</f>
        <v>374.0</v>
      </c>
      <c r="J138" s="10"/>
      <c r="K138" s="2" t="n">
        <f>130157</f>
        <v>130157.0</v>
      </c>
    </row>
    <row r="139">
      <c r="A139" s="8" t="s">
        <v>36</v>
      </c>
      <c r="B139" s="9" t="s">
        <v>55</v>
      </c>
      <c r="C139" s="9" t="s">
        <v>56</v>
      </c>
      <c r="D139" s="10" t="s">
        <v>21</v>
      </c>
      <c r="E139" s="2" t="n">
        <f>13102</f>
        <v>13102.0</v>
      </c>
      <c r="F139" s="10" t="s">
        <v>21</v>
      </c>
      <c r="G139" s="2" t="n">
        <f>19632831000</f>
        <v>1.9632831E10</v>
      </c>
      <c r="H139" s="10" t="s">
        <v>21</v>
      </c>
      <c r="I139" s="2" t="n">
        <f>90</f>
        <v>90.0</v>
      </c>
      <c r="J139" s="10"/>
      <c r="K139" s="2" t="n">
        <f>129759</f>
        <v>129759.0</v>
      </c>
    </row>
    <row r="140">
      <c r="A140" s="8" t="s">
        <v>37</v>
      </c>
      <c r="B140" s="9" t="s">
        <v>55</v>
      </c>
      <c r="C140" s="9" t="s">
        <v>56</v>
      </c>
      <c r="D140" s="10"/>
      <c r="E140" s="2" t="n">
        <f>16839</f>
        <v>16839.0</v>
      </c>
      <c r="F140" s="10"/>
      <c r="G140" s="2" t="n">
        <f>25268796923</f>
        <v>2.5268796923E10</v>
      </c>
      <c r="H140" s="10"/>
      <c r="I140" s="2" t="n">
        <f>439</f>
        <v>439.0</v>
      </c>
      <c r="J140" s="10"/>
      <c r="K140" s="2" t="n">
        <f>131754</f>
        <v>131754.0</v>
      </c>
    </row>
    <row r="141">
      <c r="A141" s="8" t="s">
        <v>38</v>
      </c>
      <c r="B141" s="9" t="s">
        <v>55</v>
      </c>
      <c r="C141" s="9" t="s">
        <v>56</v>
      </c>
      <c r="D141" s="10"/>
      <c r="E141" s="2" t="n">
        <f>20270</f>
        <v>20270.0</v>
      </c>
      <c r="F141" s="10"/>
      <c r="G141" s="2" t="n">
        <f>30554935000</f>
        <v>3.0554935E10</v>
      </c>
      <c r="H141" s="10"/>
      <c r="I141" s="2" t="n">
        <f>303</f>
        <v>303.0</v>
      </c>
      <c r="J141" s="10"/>
      <c r="K141" s="2" t="n">
        <f>133301</f>
        <v>133301.0</v>
      </c>
    </row>
    <row r="142">
      <c r="A142" s="8" t="s">
        <v>39</v>
      </c>
      <c r="B142" s="9" t="s">
        <v>55</v>
      </c>
      <c r="C142" s="9" t="s">
        <v>56</v>
      </c>
      <c r="D142" s="10"/>
      <c r="E142" s="2" t="n">
        <f>16755</f>
        <v>16755.0</v>
      </c>
      <c r="F142" s="10"/>
      <c r="G142" s="2" t="n">
        <f>25227125500</f>
        <v>2.52271255E10</v>
      </c>
      <c r="H142" s="10"/>
      <c r="I142" s="2" t="n">
        <f>739</f>
        <v>739.0</v>
      </c>
      <c r="J142" s="10"/>
      <c r="K142" s="2" t="n">
        <f>133768</f>
        <v>133768.0</v>
      </c>
    </row>
    <row r="143">
      <c r="A143" s="8" t="s">
        <v>40</v>
      </c>
      <c r="B143" s="9" t="s">
        <v>55</v>
      </c>
      <c r="C143" s="9" t="s">
        <v>56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41</v>
      </c>
      <c r="B144" s="9" t="s">
        <v>55</v>
      </c>
      <c r="C144" s="9" t="s">
        <v>56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42</v>
      </c>
      <c r="B145" s="9" t="s">
        <v>55</v>
      </c>
      <c r="C145" s="9" t="s">
        <v>56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43</v>
      </c>
      <c r="B146" s="9" t="s">
        <v>55</v>
      </c>
      <c r="C146" s="9" t="s">
        <v>56</v>
      </c>
      <c r="D146" s="10"/>
      <c r="E146" s="2" t="n">
        <f>22243</f>
        <v>22243.0</v>
      </c>
      <c r="F146" s="10"/>
      <c r="G146" s="2" t="n">
        <f>32561870700</f>
        <v>3.25618707E10</v>
      </c>
      <c r="H146" s="10"/>
      <c r="I146" s="2" t="n">
        <f>1322</f>
        <v>1322.0</v>
      </c>
      <c r="J146" s="10"/>
      <c r="K146" s="2" t="n">
        <f>137384</f>
        <v>137384.0</v>
      </c>
    </row>
    <row r="147">
      <c r="A147" s="8" t="s">
        <v>44</v>
      </c>
      <c r="B147" s="9" t="s">
        <v>55</v>
      </c>
      <c r="C147" s="9" t="s">
        <v>56</v>
      </c>
      <c r="D147" s="10"/>
      <c r="E147" s="2" t="n">
        <f>46153</f>
        <v>46153.0</v>
      </c>
      <c r="F147" s="10"/>
      <c r="G147" s="2" t="n">
        <f>66378478487</f>
        <v>6.6378478487E10</v>
      </c>
      <c r="H147" s="10"/>
      <c r="I147" s="2" t="n">
        <f>1536</f>
        <v>1536.0</v>
      </c>
      <c r="J147" s="10"/>
      <c r="K147" s="2" t="n">
        <f>141486</f>
        <v>141486.0</v>
      </c>
    </row>
    <row r="148">
      <c r="A148" s="8" t="s">
        <v>45</v>
      </c>
      <c r="B148" s="9" t="s">
        <v>55</v>
      </c>
      <c r="C148" s="9" t="s">
        <v>56</v>
      </c>
      <c r="D148" s="10"/>
      <c r="E148" s="2" t="n">
        <f>41999</f>
        <v>41999.0</v>
      </c>
      <c r="F148" s="10"/>
      <c r="G148" s="2" t="n">
        <f>59719924450</f>
        <v>5.971992445E10</v>
      </c>
      <c r="H148" s="10"/>
      <c r="I148" s="2" t="n">
        <f>1522</f>
        <v>1522.0</v>
      </c>
      <c r="J148" s="10"/>
      <c r="K148" s="2" t="n">
        <f>145337</f>
        <v>145337.0</v>
      </c>
    </row>
    <row r="149">
      <c r="A149" s="8" t="s">
        <v>47</v>
      </c>
      <c r="B149" s="9" t="s">
        <v>55</v>
      </c>
      <c r="C149" s="9" t="s">
        <v>56</v>
      </c>
      <c r="D149" s="10" t="s">
        <v>46</v>
      </c>
      <c r="E149" s="2" t="n">
        <f>48510</f>
        <v>48510.0</v>
      </c>
      <c r="F149" s="10" t="s">
        <v>46</v>
      </c>
      <c r="G149" s="2" t="n">
        <f>66621783464</f>
        <v>6.6621783464E10</v>
      </c>
      <c r="H149" s="10" t="s">
        <v>46</v>
      </c>
      <c r="I149" s="2" t="n">
        <f>2164</f>
        <v>2164.0</v>
      </c>
      <c r="J149" s="10" t="s">
        <v>46</v>
      </c>
      <c r="K149" s="2" t="n">
        <f>148621</f>
        <v>148621.0</v>
      </c>
    </row>
    <row r="150">
      <c r="A150" s="8" t="s">
        <v>48</v>
      </c>
      <c r="B150" s="9" t="s">
        <v>55</v>
      </c>
      <c r="C150" s="9" t="s">
        <v>56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16</v>
      </c>
      <c r="B151" s="9" t="s">
        <v>57</v>
      </c>
      <c r="C151" s="9" t="s">
        <v>58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19</v>
      </c>
      <c r="B152" s="9" t="s">
        <v>57</v>
      </c>
      <c r="C152" s="9" t="s">
        <v>58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20</v>
      </c>
      <c r="B153" s="9" t="s">
        <v>57</v>
      </c>
      <c r="C153" s="9" t="s">
        <v>58</v>
      </c>
      <c r="D153" s="10"/>
      <c r="E153" s="2" t="n">
        <f>2</f>
        <v>2.0</v>
      </c>
      <c r="F153" s="10"/>
      <c r="G153" s="2" t="n">
        <f>1554500</f>
        <v>1554500.0</v>
      </c>
      <c r="H153" s="10" t="s">
        <v>59</v>
      </c>
      <c r="I153" s="2" t="str">
        <f>"－"</f>
        <v>－</v>
      </c>
      <c r="J153" s="10" t="s">
        <v>46</v>
      </c>
      <c r="K153" s="2" t="n">
        <f>114</f>
        <v>114.0</v>
      </c>
    </row>
    <row r="154">
      <c r="A154" s="8" t="s">
        <v>22</v>
      </c>
      <c r="B154" s="9" t="s">
        <v>57</v>
      </c>
      <c r="C154" s="9" t="s">
        <v>58</v>
      </c>
      <c r="D154" s="10" t="s">
        <v>21</v>
      </c>
      <c r="E154" s="2" t="str">
        <f>"－"</f>
        <v>－</v>
      </c>
      <c r="F154" s="10" t="s">
        <v>21</v>
      </c>
      <c r="G154" s="2" t="str">
        <f>"－"</f>
        <v>－</v>
      </c>
      <c r="H154" s="10"/>
      <c r="I154" s="2" t="str">
        <f>"－"</f>
        <v>－</v>
      </c>
      <c r="J154" s="10"/>
      <c r="K154" s="2" t="n">
        <f>114</f>
        <v>114.0</v>
      </c>
    </row>
    <row r="155">
      <c r="A155" s="8" t="s">
        <v>23</v>
      </c>
      <c r="B155" s="9" t="s">
        <v>57</v>
      </c>
      <c r="C155" s="9" t="s">
        <v>58</v>
      </c>
      <c r="D155" s="10"/>
      <c r="E155" s="2" t="str">
        <f>"－"</f>
        <v>－</v>
      </c>
      <c r="F155" s="10"/>
      <c r="G155" s="2" t="str">
        <f>"－"</f>
        <v>－</v>
      </c>
      <c r="H155" s="10"/>
      <c r="I155" s="2" t="str">
        <f>"－"</f>
        <v>－</v>
      </c>
      <c r="J155" s="10"/>
      <c r="K155" s="2" t="n">
        <f>114</f>
        <v>114.0</v>
      </c>
    </row>
    <row r="156">
      <c r="A156" s="8" t="s">
        <v>24</v>
      </c>
      <c r="B156" s="9" t="s">
        <v>57</v>
      </c>
      <c r="C156" s="9" t="s">
        <v>58</v>
      </c>
      <c r="D156" s="10" t="s">
        <v>46</v>
      </c>
      <c r="E156" s="2" t="n">
        <f>4</f>
        <v>4.0</v>
      </c>
      <c r="F156" s="10" t="s">
        <v>46</v>
      </c>
      <c r="G156" s="2" t="n">
        <f>3165000</f>
        <v>3165000.0</v>
      </c>
      <c r="H156" s="10"/>
      <c r="I156" s="2" t="str">
        <f>"－"</f>
        <v>－</v>
      </c>
      <c r="J156" s="10" t="s">
        <v>21</v>
      </c>
      <c r="K156" s="2" t="n">
        <f>111</f>
        <v>111.0</v>
      </c>
    </row>
    <row r="157">
      <c r="A157" s="8" t="s">
        <v>25</v>
      </c>
      <c r="B157" s="9" t="s">
        <v>57</v>
      </c>
      <c r="C157" s="9" t="s">
        <v>58</v>
      </c>
      <c r="D157" s="10"/>
      <c r="E157" s="2" t="n">
        <f>1</f>
        <v>1.0</v>
      </c>
      <c r="F157" s="10"/>
      <c r="G157" s="2" t="n">
        <f>809000</f>
        <v>809000.0</v>
      </c>
      <c r="H157" s="10"/>
      <c r="I157" s="2" t="str">
        <f>"－"</f>
        <v>－</v>
      </c>
      <c r="J157" s="10"/>
      <c r="K157" s="2" t="n">
        <f>112</f>
        <v>112.0</v>
      </c>
    </row>
    <row r="158">
      <c r="A158" s="8" t="s">
        <v>26</v>
      </c>
      <c r="B158" s="9" t="s">
        <v>57</v>
      </c>
      <c r="C158" s="9" t="s">
        <v>58</v>
      </c>
      <c r="D158" s="10"/>
      <c r="E158" s="2"/>
      <c r="F158" s="10"/>
      <c r="G158" s="2"/>
      <c r="H158" s="10"/>
      <c r="I158" s="2"/>
      <c r="J158" s="10"/>
      <c r="K158" s="2"/>
    </row>
    <row r="159">
      <c r="A159" s="8" t="s">
        <v>27</v>
      </c>
      <c r="B159" s="9" t="s">
        <v>57</v>
      </c>
      <c r="C159" s="9" t="s">
        <v>58</v>
      </c>
      <c r="D159" s="10"/>
      <c r="E159" s="2"/>
      <c r="F159" s="10"/>
      <c r="G159" s="2"/>
      <c r="H159" s="10"/>
      <c r="I159" s="2"/>
      <c r="J159" s="10"/>
      <c r="K159" s="2"/>
    </row>
    <row r="160">
      <c r="A160" s="8" t="s">
        <v>28</v>
      </c>
      <c r="B160" s="9" t="s">
        <v>57</v>
      </c>
      <c r="C160" s="9" t="s">
        <v>58</v>
      </c>
      <c r="D160" s="10"/>
      <c r="E160" s="2" t="str">
        <f>"－"</f>
        <v>－</v>
      </c>
      <c r="F160" s="10"/>
      <c r="G160" s="2" t="str">
        <f>"－"</f>
        <v>－</v>
      </c>
      <c r="H160" s="10"/>
      <c r="I160" s="2" t="str">
        <f>"－"</f>
        <v>－</v>
      </c>
      <c r="J160" s="10"/>
      <c r="K160" s="2" t="n">
        <f>112</f>
        <v>112.0</v>
      </c>
    </row>
    <row r="161">
      <c r="A161" s="8" t="s">
        <v>29</v>
      </c>
      <c r="B161" s="9" t="s">
        <v>57</v>
      </c>
      <c r="C161" s="9" t="s">
        <v>58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30</v>
      </c>
      <c r="B162" s="9" t="s">
        <v>57</v>
      </c>
      <c r="C162" s="9" t="s">
        <v>58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112</f>
        <v>112.0</v>
      </c>
    </row>
    <row r="163">
      <c r="A163" s="8" t="s">
        <v>31</v>
      </c>
      <c r="B163" s="9" t="s">
        <v>57</v>
      </c>
      <c r="C163" s="9" t="s">
        <v>58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112</f>
        <v>112.0</v>
      </c>
    </row>
    <row r="164">
      <c r="A164" s="8" t="s">
        <v>32</v>
      </c>
      <c r="B164" s="9" t="s">
        <v>57</v>
      </c>
      <c r="C164" s="9" t="s">
        <v>58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112</f>
        <v>112.0</v>
      </c>
    </row>
    <row r="165">
      <c r="A165" s="8" t="s">
        <v>33</v>
      </c>
      <c r="B165" s="9" t="s">
        <v>57</v>
      </c>
      <c r="C165" s="9" t="s">
        <v>58</v>
      </c>
      <c r="D165" s="10"/>
      <c r="E165" s="2"/>
      <c r="F165" s="10"/>
      <c r="G165" s="2"/>
      <c r="H165" s="10"/>
      <c r="I165" s="2"/>
      <c r="J165" s="10"/>
      <c r="K165" s="2"/>
    </row>
    <row r="166">
      <c r="A166" s="8" t="s">
        <v>34</v>
      </c>
      <c r="B166" s="9" t="s">
        <v>57</v>
      </c>
      <c r="C166" s="9" t="s">
        <v>58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35</v>
      </c>
      <c r="B167" s="9" t="s">
        <v>57</v>
      </c>
      <c r="C167" s="9" t="s">
        <v>58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112</f>
        <v>112.0</v>
      </c>
    </row>
    <row r="168">
      <c r="A168" s="8" t="s">
        <v>36</v>
      </c>
      <c r="B168" s="9" t="s">
        <v>57</v>
      </c>
      <c r="C168" s="9" t="s">
        <v>58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112</f>
        <v>112.0</v>
      </c>
    </row>
    <row r="169">
      <c r="A169" s="8" t="s">
        <v>37</v>
      </c>
      <c r="B169" s="9" t="s">
        <v>57</v>
      </c>
      <c r="C169" s="9" t="s">
        <v>58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/>
      <c r="K169" s="2" t="n">
        <f>112</f>
        <v>112.0</v>
      </c>
    </row>
    <row r="170">
      <c r="A170" s="8" t="s">
        <v>38</v>
      </c>
      <c r="B170" s="9" t="s">
        <v>57</v>
      </c>
      <c r="C170" s="9" t="s">
        <v>58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112</f>
        <v>112.0</v>
      </c>
    </row>
    <row r="171">
      <c r="A171" s="8" t="s">
        <v>39</v>
      </c>
      <c r="B171" s="9" t="s">
        <v>57</v>
      </c>
      <c r="C171" s="9" t="s">
        <v>58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112</f>
        <v>112.0</v>
      </c>
    </row>
    <row r="172">
      <c r="A172" s="8" t="s">
        <v>40</v>
      </c>
      <c r="B172" s="9" t="s">
        <v>57</v>
      </c>
      <c r="C172" s="9" t="s">
        <v>58</v>
      </c>
      <c r="D172" s="10"/>
      <c r="E172" s="2"/>
      <c r="F172" s="10"/>
      <c r="G172" s="2"/>
      <c r="H172" s="10"/>
      <c r="I172" s="2"/>
      <c r="J172" s="10"/>
      <c r="K172" s="2"/>
    </row>
    <row r="173">
      <c r="A173" s="8" t="s">
        <v>41</v>
      </c>
      <c r="B173" s="9" t="s">
        <v>57</v>
      </c>
      <c r="C173" s="9" t="s">
        <v>58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42</v>
      </c>
      <c r="B174" s="9" t="s">
        <v>57</v>
      </c>
      <c r="C174" s="9" t="s">
        <v>58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43</v>
      </c>
      <c r="B175" s="9" t="s">
        <v>57</v>
      </c>
      <c r="C175" s="9" t="s">
        <v>58</v>
      </c>
      <c r="D175" s="10"/>
      <c r="E175" s="2" t="str">
        <f>"－"</f>
        <v>－</v>
      </c>
      <c r="F175" s="10"/>
      <c r="G175" s="2" t="str">
        <f>"－"</f>
        <v>－</v>
      </c>
      <c r="H175" s="10"/>
      <c r="I175" s="2" t="str">
        <f>"－"</f>
        <v>－</v>
      </c>
      <c r="J175" s="10"/>
      <c r="K175" s="2" t="n">
        <f>112</f>
        <v>112.0</v>
      </c>
    </row>
    <row r="176">
      <c r="A176" s="8" t="s">
        <v>44</v>
      </c>
      <c r="B176" s="9" t="s">
        <v>57</v>
      </c>
      <c r="C176" s="9" t="s">
        <v>58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112</f>
        <v>112.0</v>
      </c>
    </row>
    <row r="177">
      <c r="A177" s="8" t="s">
        <v>45</v>
      </c>
      <c r="B177" s="9" t="s">
        <v>57</v>
      </c>
      <c r="C177" s="9" t="s">
        <v>58</v>
      </c>
      <c r="D177" s="10"/>
      <c r="E177" s="2" t="n">
        <f>1</f>
        <v>1.0</v>
      </c>
      <c r="F177" s="10"/>
      <c r="G177" s="2" t="n">
        <f>740000</f>
        <v>740000.0</v>
      </c>
      <c r="H177" s="10"/>
      <c r="I177" s="2" t="str">
        <f>"－"</f>
        <v>－</v>
      </c>
      <c r="J177" s="10"/>
      <c r="K177" s="2" t="n">
        <f>112</f>
        <v>112.0</v>
      </c>
    </row>
    <row r="178">
      <c r="A178" s="8" t="s">
        <v>47</v>
      </c>
      <c r="B178" s="9" t="s">
        <v>57</v>
      </c>
      <c r="C178" s="9" t="s">
        <v>58</v>
      </c>
      <c r="D178" s="10"/>
      <c r="E178" s="2" t="n">
        <f>1</f>
        <v>1.0</v>
      </c>
      <c r="F178" s="10"/>
      <c r="G178" s="2" t="n">
        <f>720000</f>
        <v>720000.0</v>
      </c>
      <c r="H178" s="10"/>
      <c r="I178" s="2" t="str">
        <f>"－"</f>
        <v>－</v>
      </c>
      <c r="J178" s="10"/>
      <c r="K178" s="2" t="n">
        <f>112</f>
        <v>112.0</v>
      </c>
    </row>
    <row r="179">
      <c r="A179" s="8" t="s">
        <v>48</v>
      </c>
      <c r="B179" s="9" t="s">
        <v>57</v>
      </c>
      <c r="C179" s="9" t="s">
        <v>58</v>
      </c>
      <c r="D179" s="10"/>
      <c r="E179" s="2"/>
      <c r="F179" s="10"/>
      <c r="G179" s="2"/>
      <c r="H179" s="10"/>
      <c r="I179" s="2"/>
      <c r="J179" s="10"/>
      <c r="K179" s="2"/>
    </row>
    <row r="180">
      <c r="A180" s="8" t="s">
        <v>16</v>
      </c>
      <c r="B180" s="9" t="s">
        <v>60</v>
      </c>
      <c r="C180" s="9" t="s">
        <v>61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19</v>
      </c>
      <c r="B181" s="9" t="s">
        <v>60</v>
      </c>
      <c r="C181" s="9" t="s">
        <v>61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20</v>
      </c>
      <c r="B182" s="9" t="s">
        <v>60</v>
      </c>
      <c r="C182" s="9" t="s">
        <v>61</v>
      </c>
      <c r="D182" s="10" t="s">
        <v>21</v>
      </c>
      <c r="E182" s="2" t="str">
        <f>"－"</f>
        <v>－</v>
      </c>
      <c r="F182" s="10" t="s">
        <v>21</v>
      </c>
      <c r="G182" s="2" t="str">
        <f>"－"</f>
        <v>－</v>
      </c>
      <c r="H182" s="10" t="s">
        <v>59</v>
      </c>
      <c r="I182" s="2" t="str">
        <f>"－"</f>
        <v>－</v>
      </c>
      <c r="J182" s="10" t="s">
        <v>59</v>
      </c>
      <c r="K182" s="2" t="n">
        <f>40217</f>
        <v>40217.0</v>
      </c>
    </row>
    <row r="183">
      <c r="A183" s="8" t="s">
        <v>22</v>
      </c>
      <c r="B183" s="9" t="s">
        <v>60</v>
      </c>
      <c r="C183" s="9" t="s">
        <v>61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40217</f>
        <v>40217.0</v>
      </c>
    </row>
    <row r="184">
      <c r="A184" s="8" t="s">
        <v>23</v>
      </c>
      <c r="B184" s="9" t="s">
        <v>60</v>
      </c>
      <c r="C184" s="9" t="s">
        <v>61</v>
      </c>
      <c r="D184" s="10"/>
      <c r="E184" s="2" t="str">
        <f>"－"</f>
        <v>－</v>
      </c>
      <c r="F184" s="10"/>
      <c r="G184" s="2" t="str">
        <f>"－"</f>
        <v>－</v>
      </c>
      <c r="H184" s="10"/>
      <c r="I184" s="2" t="str">
        <f>"－"</f>
        <v>－</v>
      </c>
      <c r="J184" s="10"/>
      <c r="K184" s="2" t="n">
        <f>40217</f>
        <v>40217.0</v>
      </c>
    </row>
    <row r="185">
      <c r="A185" s="8" t="s">
        <v>24</v>
      </c>
      <c r="B185" s="9" t="s">
        <v>60</v>
      </c>
      <c r="C185" s="9" t="s">
        <v>61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40217</f>
        <v>40217.0</v>
      </c>
    </row>
    <row r="186">
      <c r="A186" s="8" t="s">
        <v>25</v>
      </c>
      <c r="B186" s="9" t="s">
        <v>60</v>
      </c>
      <c r="C186" s="9" t="s">
        <v>61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40217</f>
        <v>40217.0</v>
      </c>
    </row>
    <row r="187">
      <c r="A187" s="8" t="s">
        <v>26</v>
      </c>
      <c r="B187" s="9" t="s">
        <v>60</v>
      </c>
      <c r="C187" s="9" t="s">
        <v>61</v>
      </c>
      <c r="D187" s="10"/>
      <c r="E187" s="2"/>
      <c r="F187" s="10"/>
      <c r="G187" s="2"/>
      <c r="H187" s="10"/>
      <c r="I187" s="2"/>
      <c r="J187" s="10"/>
      <c r="K187" s="2"/>
    </row>
    <row r="188">
      <c r="A188" s="8" t="s">
        <v>27</v>
      </c>
      <c r="B188" s="9" t="s">
        <v>60</v>
      </c>
      <c r="C188" s="9" t="s">
        <v>61</v>
      </c>
      <c r="D188" s="10"/>
      <c r="E188" s="2"/>
      <c r="F188" s="10"/>
      <c r="G188" s="2"/>
      <c r="H188" s="10"/>
      <c r="I188" s="2"/>
      <c r="J188" s="10"/>
      <c r="K188" s="2"/>
    </row>
    <row r="189">
      <c r="A189" s="8" t="s">
        <v>28</v>
      </c>
      <c r="B189" s="9" t="s">
        <v>60</v>
      </c>
      <c r="C189" s="9" t="s">
        <v>61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40217</f>
        <v>40217.0</v>
      </c>
    </row>
    <row r="190">
      <c r="A190" s="8" t="s">
        <v>29</v>
      </c>
      <c r="B190" s="9" t="s">
        <v>60</v>
      </c>
      <c r="C190" s="9" t="s">
        <v>61</v>
      </c>
      <c r="D190" s="10"/>
      <c r="E190" s="2"/>
      <c r="F190" s="10"/>
      <c r="G190" s="2"/>
      <c r="H190" s="10"/>
      <c r="I190" s="2"/>
      <c r="J190" s="10"/>
      <c r="K190" s="2"/>
    </row>
    <row r="191">
      <c r="A191" s="8" t="s">
        <v>30</v>
      </c>
      <c r="B191" s="9" t="s">
        <v>60</v>
      </c>
      <c r="C191" s="9" t="s">
        <v>61</v>
      </c>
      <c r="D191" s="10"/>
      <c r="E191" s="2" t="str">
        <f>"－"</f>
        <v>－</v>
      </c>
      <c r="F191" s="10"/>
      <c r="G191" s="2" t="str">
        <f>"－"</f>
        <v>－</v>
      </c>
      <c r="H191" s="10"/>
      <c r="I191" s="2" t="str">
        <f>"－"</f>
        <v>－</v>
      </c>
      <c r="J191" s="10"/>
      <c r="K191" s="2" t="n">
        <f>40217</f>
        <v>40217.0</v>
      </c>
    </row>
    <row r="192">
      <c r="A192" s="8" t="s">
        <v>31</v>
      </c>
      <c r="B192" s="9" t="s">
        <v>60</v>
      </c>
      <c r="C192" s="9" t="s">
        <v>61</v>
      </c>
      <c r="D192" s="10"/>
      <c r="E192" s="2" t="str">
        <f>"－"</f>
        <v>－</v>
      </c>
      <c r="F192" s="10"/>
      <c r="G192" s="2" t="str">
        <f>"－"</f>
        <v>－</v>
      </c>
      <c r="H192" s="10"/>
      <c r="I192" s="2" t="str">
        <f>"－"</f>
        <v>－</v>
      </c>
      <c r="J192" s="10"/>
      <c r="K192" s="2" t="n">
        <f>40217</f>
        <v>40217.0</v>
      </c>
    </row>
    <row r="193">
      <c r="A193" s="8" t="s">
        <v>32</v>
      </c>
      <c r="B193" s="9" t="s">
        <v>60</v>
      </c>
      <c r="C193" s="9" t="s">
        <v>61</v>
      </c>
      <c r="D193" s="10" t="s">
        <v>46</v>
      </c>
      <c r="E193" s="2" t="n">
        <f>111</f>
        <v>111.0</v>
      </c>
      <c r="F193" s="10" t="s">
        <v>46</v>
      </c>
      <c r="G193" s="2" t="n">
        <f>159782000</f>
        <v>1.59782E8</v>
      </c>
      <c r="H193" s="10"/>
      <c r="I193" s="2" t="str">
        <f>"－"</f>
        <v>－</v>
      </c>
      <c r="J193" s="10"/>
      <c r="K193" s="2" t="n">
        <f>40217</f>
        <v>40217.0</v>
      </c>
    </row>
    <row r="194">
      <c r="A194" s="8" t="s">
        <v>33</v>
      </c>
      <c r="B194" s="9" t="s">
        <v>60</v>
      </c>
      <c r="C194" s="9" t="s">
        <v>61</v>
      </c>
      <c r="D194" s="10"/>
      <c r="E194" s="2"/>
      <c r="F194" s="10"/>
      <c r="G194" s="2"/>
      <c r="H194" s="10"/>
      <c r="I194" s="2"/>
      <c r="J194" s="10"/>
      <c r="K194" s="2"/>
    </row>
    <row r="195">
      <c r="A195" s="8" t="s">
        <v>34</v>
      </c>
      <c r="B195" s="9" t="s">
        <v>60</v>
      </c>
      <c r="C195" s="9" t="s">
        <v>61</v>
      </c>
      <c r="D195" s="10"/>
      <c r="E195" s="2"/>
      <c r="F195" s="10"/>
      <c r="G195" s="2"/>
      <c r="H195" s="10"/>
      <c r="I195" s="2"/>
      <c r="J195" s="10"/>
      <c r="K195" s="2"/>
    </row>
    <row r="196">
      <c r="A196" s="8" t="s">
        <v>35</v>
      </c>
      <c r="B196" s="9" t="s">
        <v>60</v>
      </c>
      <c r="C196" s="9" t="s">
        <v>61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40217</f>
        <v>40217.0</v>
      </c>
    </row>
    <row r="197">
      <c r="A197" s="8" t="s">
        <v>36</v>
      </c>
      <c r="B197" s="9" t="s">
        <v>60</v>
      </c>
      <c r="C197" s="9" t="s">
        <v>61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40217</f>
        <v>40217.0</v>
      </c>
    </row>
    <row r="198">
      <c r="A198" s="8" t="s">
        <v>37</v>
      </c>
      <c r="B198" s="9" t="s">
        <v>60</v>
      </c>
      <c r="C198" s="9" t="s">
        <v>61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/>
      <c r="K198" s="2" t="n">
        <f>40217</f>
        <v>40217.0</v>
      </c>
    </row>
    <row r="199">
      <c r="A199" s="8" t="s">
        <v>38</v>
      </c>
      <c r="B199" s="9" t="s">
        <v>60</v>
      </c>
      <c r="C199" s="9" t="s">
        <v>61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40217</f>
        <v>40217.0</v>
      </c>
    </row>
    <row r="200">
      <c r="A200" s="8" t="s">
        <v>39</v>
      </c>
      <c r="B200" s="9" t="s">
        <v>60</v>
      </c>
      <c r="C200" s="9" t="s">
        <v>61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/>
      <c r="K200" s="2" t="n">
        <f>40217</f>
        <v>40217.0</v>
      </c>
    </row>
    <row r="201">
      <c r="A201" s="8" t="s">
        <v>40</v>
      </c>
      <c r="B201" s="9" t="s">
        <v>60</v>
      </c>
      <c r="C201" s="9" t="s">
        <v>61</v>
      </c>
      <c r="D201" s="10"/>
      <c r="E201" s="2"/>
      <c r="F201" s="10"/>
      <c r="G201" s="2"/>
      <c r="H201" s="10"/>
      <c r="I201" s="2"/>
      <c r="J201" s="10"/>
      <c r="K201" s="2"/>
    </row>
    <row r="202">
      <c r="A202" s="8" t="s">
        <v>41</v>
      </c>
      <c r="B202" s="9" t="s">
        <v>60</v>
      </c>
      <c r="C202" s="9" t="s">
        <v>61</v>
      </c>
      <c r="D202" s="10"/>
      <c r="E202" s="2"/>
      <c r="F202" s="10"/>
      <c r="G202" s="2"/>
      <c r="H202" s="10"/>
      <c r="I202" s="2"/>
      <c r="J202" s="10"/>
      <c r="K202" s="2"/>
    </row>
    <row r="203">
      <c r="A203" s="8" t="s">
        <v>42</v>
      </c>
      <c r="B203" s="9" t="s">
        <v>60</v>
      </c>
      <c r="C203" s="9" t="s">
        <v>61</v>
      </c>
      <c r="D203" s="10"/>
      <c r="E203" s="2"/>
      <c r="F203" s="10"/>
      <c r="G203" s="2"/>
      <c r="H203" s="10"/>
      <c r="I203" s="2"/>
      <c r="J203" s="10"/>
      <c r="K203" s="2"/>
    </row>
    <row r="204">
      <c r="A204" s="8" t="s">
        <v>43</v>
      </c>
      <c r="B204" s="9" t="s">
        <v>60</v>
      </c>
      <c r="C204" s="9" t="s">
        <v>61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40217</f>
        <v>40217.0</v>
      </c>
    </row>
    <row r="205">
      <c r="A205" s="8" t="s">
        <v>44</v>
      </c>
      <c r="B205" s="9" t="s">
        <v>60</v>
      </c>
      <c r="C205" s="9" t="s">
        <v>61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40217</f>
        <v>40217.0</v>
      </c>
    </row>
    <row r="206">
      <c r="A206" s="8" t="s">
        <v>45</v>
      </c>
      <c r="B206" s="9" t="s">
        <v>60</v>
      </c>
      <c r="C206" s="9" t="s">
        <v>61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40217</f>
        <v>40217.0</v>
      </c>
    </row>
    <row r="207">
      <c r="A207" s="8" t="s">
        <v>47</v>
      </c>
      <c r="B207" s="9" t="s">
        <v>60</v>
      </c>
      <c r="C207" s="9" t="s">
        <v>61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40217</f>
        <v>40217.0</v>
      </c>
    </row>
    <row r="208">
      <c r="A208" s="8" t="s">
        <v>48</v>
      </c>
      <c r="B208" s="9" t="s">
        <v>60</v>
      </c>
      <c r="C208" s="9" t="s">
        <v>61</v>
      </c>
      <c r="D208" s="10"/>
      <c r="E208" s="2"/>
      <c r="F208" s="10"/>
      <c r="G208" s="2"/>
      <c r="H208" s="10"/>
      <c r="I208" s="2"/>
      <c r="J208" s="10"/>
      <c r="K208" s="2"/>
    </row>
    <row r="209">
      <c r="A209" s="8" t="s">
        <v>16</v>
      </c>
      <c r="B209" s="9" t="s">
        <v>62</v>
      </c>
      <c r="C209" s="9" t="s">
        <v>63</v>
      </c>
      <c r="D209" s="10"/>
      <c r="E209" s="2"/>
      <c r="F209" s="10"/>
      <c r="G209" s="2"/>
      <c r="H209" s="10"/>
      <c r="I209" s="2"/>
      <c r="J209" s="10"/>
      <c r="K209" s="2"/>
    </row>
    <row r="210">
      <c r="A210" s="8" t="s">
        <v>19</v>
      </c>
      <c r="B210" s="9" t="s">
        <v>62</v>
      </c>
      <c r="C210" s="9" t="s">
        <v>63</v>
      </c>
      <c r="D210" s="10"/>
      <c r="E210" s="2"/>
      <c r="F210" s="10"/>
      <c r="G210" s="2"/>
      <c r="H210" s="10"/>
      <c r="I210" s="2"/>
      <c r="J210" s="10"/>
      <c r="K210" s="2"/>
    </row>
    <row r="211">
      <c r="A211" s="8" t="s">
        <v>20</v>
      </c>
      <c r="B211" s="9" t="s">
        <v>62</v>
      </c>
      <c r="C211" s="9" t="s">
        <v>63</v>
      </c>
      <c r="D211" s="10"/>
      <c r="E211" s="2" t="n">
        <f>3259</f>
        <v>3259.0</v>
      </c>
      <c r="F211" s="10"/>
      <c r="G211" s="2" t="n">
        <f>7124507630</f>
        <v>7.12450763E9</v>
      </c>
      <c r="H211" s="10"/>
      <c r="I211" s="2" t="n">
        <f>140</f>
        <v>140.0</v>
      </c>
      <c r="J211" s="10"/>
      <c r="K211" s="2" t="n">
        <f>84309</f>
        <v>84309.0</v>
      </c>
    </row>
    <row r="212">
      <c r="A212" s="8" t="s">
        <v>22</v>
      </c>
      <c r="B212" s="9" t="s">
        <v>62</v>
      </c>
      <c r="C212" s="9" t="s">
        <v>63</v>
      </c>
      <c r="D212" s="10"/>
      <c r="E212" s="2" t="n">
        <f>821</f>
        <v>821.0</v>
      </c>
      <c r="F212" s="10"/>
      <c r="G212" s="2" t="n">
        <f>1790655800</f>
        <v>1.7906558E9</v>
      </c>
      <c r="H212" s="10"/>
      <c r="I212" s="2" t="n">
        <f>18</f>
        <v>18.0</v>
      </c>
      <c r="J212" s="10" t="s">
        <v>21</v>
      </c>
      <c r="K212" s="2" t="n">
        <f>84058</f>
        <v>84058.0</v>
      </c>
    </row>
    <row r="213">
      <c r="A213" s="8" t="s">
        <v>23</v>
      </c>
      <c r="B213" s="9" t="s">
        <v>62</v>
      </c>
      <c r="C213" s="9" t="s">
        <v>63</v>
      </c>
      <c r="D213" s="10"/>
      <c r="E213" s="2" t="n">
        <f>4143</f>
        <v>4143.0</v>
      </c>
      <c r="F213" s="10"/>
      <c r="G213" s="2" t="n">
        <f>9094755500</f>
        <v>9.0947555E9</v>
      </c>
      <c r="H213" s="10" t="s">
        <v>21</v>
      </c>
      <c r="I213" s="2" t="str">
        <f>"－"</f>
        <v>－</v>
      </c>
      <c r="J213" s="10"/>
      <c r="K213" s="2" t="n">
        <f>85133</f>
        <v>85133.0</v>
      </c>
    </row>
    <row r="214">
      <c r="A214" s="8" t="s">
        <v>24</v>
      </c>
      <c r="B214" s="9" t="s">
        <v>62</v>
      </c>
      <c r="C214" s="9" t="s">
        <v>63</v>
      </c>
      <c r="D214" s="10"/>
      <c r="E214" s="2" t="n">
        <f>806</f>
        <v>806.0</v>
      </c>
      <c r="F214" s="10"/>
      <c r="G214" s="2" t="n">
        <f>1774682000</f>
        <v>1.774682E9</v>
      </c>
      <c r="H214" s="10"/>
      <c r="I214" s="2" t="n">
        <f>11</f>
        <v>11.0</v>
      </c>
      <c r="J214" s="10"/>
      <c r="K214" s="2" t="n">
        <f>85178</f>
        <v>85178.0</v>
      </c>
    </row>
    <row r="215">
      <c r="A215" s="8" t="s">
        <v>25</v>
      </c>
      <c r="B215" s="9" t="s">
        <v>62</v>
      </c>
      <c r="C215" s="9" t="s">
        <v>63</v>
      </c>
      <c r="D215" s="10"/>
      <c r="E215" s="2" t="n">
        <f>1297</f>
        <v>1297.0</v>
      </c>
      <c r="F215" s="10"/>
      <c r="G215" s="2" t="n">
        <f>2850796000</f>
        <v>2.850796E9</v>
      </c>
      <c r="H215" s="10"/>
      <c r="I215" s="2" t="n">
        <f>56</f>
        <v>56.0</v>
      </c>
      <c r="J215" s="10"/>
      <c r="K215" s="2" t="n">
        <f>85141</f>
        <v>85141.0</v>
      </c>
    </row>
    <row r="216">
      <c r="A216" s="8" t="s">
        <v>26</v>
      </c>
      <c r="B216" s="9" t="s">
        <v>62</v>
      </c>
      <c r="C216" s="9" t="s">
        <v>63</v>
      </c>
      <c r="D216" s="10"/>
      <c r="E216" s="2"/>
      <c r="F216" s="10"/>
      <c r="G216" s="2"/>
      <c r="H216" s="10"/>
      <c r="I216" s="2"/>
      <c r="J216" s="10"/>
      <c r="K216" s="2"/>
    </row>
    <row r="217">
      <c r="A217" s="8" t="s">
        <v>27</v>
      </c>
      <c r="B217" s="9" t="s">
        <v>62</v>
      </c>
      <c r="C217" s="9" t="s">
        <v>63</v>
      </c>
      <c r="D217" s="10"/>
      <c r="E217" s="2"/>
      <c r="F217" s="10"/>
      <c r="G217" s="2"/>
      <c r="H217" s="10"/>
      <c r="I217" s="2"/>
      <c r="J217" s="10"/>
      <c r="K217" s="2"/>
    </row>
    <row r="218">
      <c r="A218" s="8" t="s">
        <v>28</v>
      </c>
      <c r="B218" s="9" t="s">
        <v>62</v>
      </c>
      <c r="C218" s="9" t="s">
        <v>63</v>
      </c>
      <c r="D218" s="10" t="s">
        <v>21</v>
      </c>
      <c r="E218" s="2" t="n">
        <f>527</f>
        <v>527.0</v>
      </c>
      <c r="F218" s="10" t="s">
        <v>21</v>
      </c>
      <c r="G218" s="2" t="n">
        <f>1159619380</f>
        <v>1.15961938E9</v>
      </c>
      <c r="H218" s="10"/>
      <c r="I218" s="2" t="str">
        <f>"－"</f>
        <v>－</v>
      </c>
      <c r="J218" s="10"/>
      <c r="K218" s="2" t="n">
        <f>85233</f>
        <v>85233.0</v>
      </c>
    </row>
    <row r="219">
      <c r="A219" s="8" t="s">
        <v>29</v>
      </c>
      <c r="B219" s="9" t="s">
        <v>62</v>
      </c>
      <c r="C219" s="9" t="s">
        <v>63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30</v>
      </c>
      <c r="B220" s="9" t="s">
        <v>62</v>
      </c>
      <c r="C220" s="9" t="s">
        <v>63</v>
      </c>
      <c r="D220" s="10"/>
      <c r="E220" s="2" t="n">
        <f>1262</f>
        <v>1262.0</v>
      </c>
      <c r="F220" s="10"/>
      <c r="G220" s="2" t="n">
        <f>2785503500</f>
        <v>2.7855035E9</v>
      </c>
      <c r="H220" s="10"/>
      <c r="I220" s="2" t="n">
        <f>16</f>
        <v>16.0</v>
      </c>
      <c r="J220" s="10"/>
      <c r="K220" s="2" t="n">
        <f>85595</f>
        <v>85595.0</v>
      </c>
    </row>
    <row r="221">
      <c r="A221" s="8" t="s">
        <v>31</v>
      </c>
      <c r="B221" s="9" t="s">
        <v>62</v>
      </c>
      <c r="C221" s="9" t="s">
        <v>63</v>
      </c>
      <c r="D221" s="10"/>
      <c r="E221" s="2" t="n">
        <f>2512</f>
        <v>2512.0</v>
      </c>
      <c r="F221" s="10"/>
      <c r="G221" s="2" t="n">
        <f>5571989720</f>
        <v>5.57198972E9</v>
      </c>
      <c r="H221" s="10"/>
      <c r="I221" s="2" t="str">
        <f>"－"</f>
        <v>－</v>
      </c>
      <c r="J221" s="10" t="s">
        <v>46</v>
      </c>
      <c r="K221" s="2" t="n">
        <f>87245</f>
        <v>87245.0</v>
      </c>
    </row>
    <row r="222">
      <c r="A222" s="8" t="s">
        <v>32</v>
      </c>
      <c r="B222" s="9" t="s">
        <v>62</v>
      </c>
      <c r="C222" s="9" t="s">
        <v>63</v>
      </c>
      <c r="D222" s="10"/>
      <c r="E222" s="2" t="n">
        <f>941</f>
        <v>941.0</v>
      </c>
      <c r="F222" s="10"/>
      <c r="G222" s="2" t="n">
        <f>2088567570</f>
        <v>2.08856757E9</v>
      </c>
      <c r="H222" s="10"/>
      <c r="I222" s="2" t="n">
        <f>10</f>
        <v>10.0</v>
      </c>
      <c r="J222" s="10"/>
      <c r="K222" s="2" t="n">
        <f>86961</f>
        <v>86961.0</v>
      </c>
    </row>
    <row r="223">
      <c r="A223" s="8" t="s">
        <v>33</v>
      </c>
      <c r="B223" s="9" t="s">
        <v>62</v>
      </c>
      <c r="C223" s="9" t="s">
        <v>63</v>
      </c>
      <c r="D223" s="10"/>
      <c r="E223" s="2"/>
      <c r="F223" s="10"/>
      <c r="G223" s="2"/>
      <c r="H223" s="10"/>
      <c r="I223" s="2"/>
      <c r="J223" s="10"/>
      <c r="K223" s="2"/>
    </row>
    <row r="224">
      <c r="A224" s="8" t="s">
        <v>34</v>
      </c>
      <c r="B224" s="9" t="s">
        <v>62</v>
      </c>
      <c r="C224" s="9" t="s">
        <v>63</v>
      </c>
      <c r="D224" s="10"/>
      <c r="E224" s="2"/>
      <c r="F224" s="10"/>
      <c r="G224" s="2"/>
      <c r="H224" s="10"/>
      <c r="I224" s="2"/>
      <c r="J224" s="10"/>
      <c r="K224" s="2"/>
    </row>
    <row r="225">
      <c r="A225" s="8" t="s">
        <v>35</v>
      </c>
      <c r="B225" s="9" t="s">
        <v>62</v>
      </c>
      <c r="C225" s="9" t="s">
        <v>63</v>
      </c>
      <c r="D225" s="10"/>
      <c r="E225" s="2" t="n">
        <f>1939</f>
        <v>1939.0</v>
      </c>
      <c r="F225" s="10"/>
      <c r="G225" s="2" t="n">
        <f>4310066440</f>
        <v>4.31006644E9</v>
      </c>
      <c r="H225" s="10"/>
      <c r="I225" s="2" t="str">
        <f>"－"</f>
        <v>－</v>
      </c>
      <c r="J225" s="10"/>
      <c r="K225" s="2" t="n">
        <f>85314</f>
        <v>85314.0</v>
      </c>
    </row>
    <row r="226">
      <c r="A226" s="8" t="s">
        <v>36</v>
      </c>
      <c r="B226" s="9" t="s">
        <v>62</v>
      </c>
      <c r="C226" s="9" t="s">
        <v>63</v>
      </c>
      <c r="D226" s="10"/>
      <c r="E226" s="2" t="n">
        <f>1535</f>
        <v>1535.0</v>
      </c>
      <c r="F226" s="10"/>
      <c r="G226" s="2" t="n">
        <f>3414510700</f>
        <v>3.4145107E9</v>
      </c>
      <c r="H226" s="10"/>
      <c r="I226" s="2" t="n">
        <f>12</f>
        <v>12.0</v>
      </c>
      <c r="J226" s="10"/>
      <c r="K226" s="2" t="n">
        <f>85203</f>
        <v>85203.0</v>
      </c>
    </row>
    <row r="227">
      <c r="A227" s="8" t="s">
        <v>37</v>
      </c>
      <c r="B227" s="9" t="s">
        <v>62</v>
      </c>
      <c r="C227" s="9" t="s">
        <v>63</v>
      </c>
      <c r="D227" s="10"/>
      <c r="E227" s="2" t="n">
        <f>2388</f>
        <v>2388.0</v>
      </c>
      <c r="F227" s="10"/>
      <c r="G227" s="2" t="n">
        <f>5330517750</f>
        <v>5.33051775E9</v>
      </c>
      <c r="H227" s="10"/>
      <c r="I227" s="2" t="n">
        <f>51</f>
        <v>51.0</v>
      </c>
      <c r="J227" s="10"/>
      <c r="K227" s="2" t="n">
        <f>85591</f>
        <v>85591.0</v>
      </c>
    </row>
    <row r="228">
      <c r="A228" s="8" t="s">
        <v>38</v>
      </c>
      <c r="B228" s="9" t="s">
        <v>62</v>
      </c>
      <c r="C228" s="9" t="s">
        <v>63</v>
      </c>
      <c r="D228" s="10"/>
      <c r="E228" s="2" t="n">
        <f>2264</f>
        <v>2264.0</v>
      </c>
      <c r="F228" s="10"/>
      <c r="G228" s="2" t="n">
        <f>5057899740</f>
        <v>5.05789974E9</v>
      </c>
      <c r="H228" s="10"/>
      <c r="I228" s="2" t="n">
        <f>80</f>
        <v>80.0</v>
      </c>
      <c r="J228" s="10"/>
      <c r="K228" s="2" t="n">
        <f>85303</f>
        <v>85303.0</v>
      </c>
    </row>
    <row r="229">
      <c r="A229" s="8" t="s">
        <v>39</v>
      </c>
      <c r="B229" s="9" t="s">
        <v>62</v>
      </c>
      <c r="C229" s="9" t="s">
        <v>63</v>
      </c>
      <c r="D229" s="10"/>
      <c r="E229" s="2" t="n">
        <f>1873</f>
        <v>1873.0</v>
      </c>
      <c r="F229" s="10"/>
      <c r="G229" s="2" t="n">
        <f>4190930620</f>
        <v>4.19093062E9</v>
      </c>
      <c r="H229" s="10" t="s">
        <v>46</v>
      </c>
      <c r="I229" s="2" t="n">
        <f>249</f>
        <v>249.0</v>
      </c>
      <c r="J229" s="10"/>
      <c r="K229" s="2" t="n">
        <f>85657</f>
        <v>85657.0</v>
      </c>
    </row>
    <row r="230">
      <c r="A230" s="8" t="s">
        <v>40</v>
      </c>
      <c r="B230" s="9" t="s">
        <v>62</v>
      </c>
      <c r="C230" s="9" t="s">
        <v>63</v>
      </c>
      <c r="D230" s="10"/>
      <c r="E230" s="2"/>
      <c r="F230" s="10"/>
      <c r="G230" s="2"/>
      <c r="H230" s="10"/>
      <c r="I230" s="2"/>
      <c r="J230" s="10"/>
      <c r="K230" s="2"/>
    </row>
    <row r="231">
      <c r="A231" s="8" t="s">
        <v>41</v>
      </c>
      <c r="B231" s="9" t="s">
        <v>62</v>
      </c>
      <c r="C231" s="9" t="s">
        <v>63</v>
      </c>
      <c r="D231" s="10"/>
      <c r="E231" s="2"/>
      <c r="F231" s="10"/>
      <c r="G231" s="2"/>
      <c r="H231" s="10"/>
      <c r="I231" s="2"/>
      <c r="J231" s="10"/>
      <c r="K231" s="2"/>
    </row>
    <row r="232">
      <c r="A232" s="8" t="s">
        <v>42</v>
      </c>
      <c r="B232" s="9" t="s">
        <v>62</v>
      </c>
      <c r="C232" s="9" t="s">
        <v>63</v>
      </c>
      <c r="D232" s="10"/>
      <c r="E232" s="2"/>
      <c r="F232" s="10"/>
      <c r="G232" s="2"/>
      <c r="H232" s="10"/>
      <c r="I232" s="2"/>
      <c r="J232" s="10"/>
      <c r="K232" s="2"/>
    </row>
    <row r="233">
      <c r="A233" s="8" t="s">
        <v>43</v>
      </c>
      <c r="B233" s="9" t="s">
        <v>62</v>
      </c>
      <c r="C233" s="9" t="s">
        <v>63</v>
      </c>
      <c r="D233" s="10"/>
      <c r="E233" s="2" t="n">
        <f>5175</f>
        <v>5175.0</v>
      </c>
      <c r="F233" s="10"/>
      <c r="G233" s="2" t="n">
        <f>11472495320</f>
        <v>1.147249532E10</v>
      </c>
      <c r="H233" s="10"/>
      <c r="I233" s="2" t="n">
        <f>20</f>
        <v>20.0</v>
      </c>
      <c r="J233" s="10"/>
      <c r="K233" s="2" t="n">
        <f>85705</f>
        <v>85705.0</v>
      </c>
    </row>
    <row r="234">
      <c r="A234" s="8" t="s">
        <v>44</v>
      </c>
      <c r="B234" s="9" t="s">
        <v>62</v>
      </c>
      <c r="C234" s="9" t="s">
        <v>63</v>
      </c>
      <c r="D234" s="10"/>
      <c r="E234" s="2" t="n">
        <f>5809</f>
        <v>5809.0</v>
      </c>
      <c r="F234" s="10"/>
      <c r="G234" s="2" t="n">
        <f>12688090800</f>
        <v>1.26880908E10</v>
      </c>
      <c r="H234" s="10"/>
      <c r="I234" s="2" t="n">
        <f>168</f>
        <v>168.0</v>
      </c>
      <c r="J234" s="10"/>
      <c r="K234" s="2" t="n">
        <f>84958</f>
        <v>84958.0</v>
      </c>
    </row>
    <row r="235">
      <c r="A235" s="8" t="s">
        <v>45</v>
      </c>
      <c r="B235" s="9" t="s">
        <v>62</v>
      </c>
      <c r="C235" s="9" t="s">
        <v>63</v>
      </c>
      <c r="D235" s="10"/>
      <c r="E235" s="2" t="n">
        <f>7173</f>
        <v>7173.0</v>
      </c>
      <c r="F235" s="10"/>
      <c r="G235" s="2" t="n">
        <f>15439879410</f>
        <v>1.543987941E10</v>
      </c>
      <c r="H235" s="10"/>
      <c r="I235" s="2" t="n">
        <f>77</f>
        <v>77.0</v>
      </c>
      <c r="J235" s="10"/>
      <c r="K235" s="2" t="n">
        <f>84607</f>
        <v>84607.0</v>
      </c>
    </row>
    <row r="236">
      <c r="A236" s="8" t="s">
        <v>47</v>
      </c>
      <c r="B236" s="9" t="s">
        <v>62</v>
      </c>
      <c r="C236" s="9" t="s">
        <v>63</v>
      </c>
      <c r="D236" s="10" t="s">
        <v>46</v>
      </c>
      <c r="E236" s="2" t="n">
        <f>9128</f>
        <v>9128.0</v>
      </c>
      <c r="F236" s="10" t="s">
        <v>46</v>
      </c>
      <c r="G236" s="2" t="n">
        <f>18827844910</f>
        <v>1.882784491E10</v>
      </c>
      <c r="H236" s="10"/>
      <c r="I236" s="2" t="n">
        <f>91</f>
        <v>91.0</v>
      </c>
      <c r="J236" s="10"/>
      <c r="K236" s="2" t="n">
        <f>84473</f>
        <v>84473.0</v>
      </c>
    </row>
    <row r="237">
      <c r="A237" s="8" t="s">
        <v>48</v>
      </c>
      <c r="B237" s="9" t="s">
        <v>62</v>
      </c>
      <c r="C237" s="9" t="s">
        <v>63</v>
      </c>
      <c r="D237" s="10"/>
      <c r="E237" s="2"/>
      <c r="F237" s="10"/>
      <c r="G237" s="2"/>
      <c r="H237" s="10"/>
      <c r="I237" s="2"/>
      <c r="J237" s="10"/>
      <c r="K237" s="2"/>
    </row>
    <row r="238">
      <c r="A238" s="8" t="s">
        <v>16</v>
      </c>
      <c r="B238" s="9" t="s">
        <v>64</v>
      </c>
      <c r="C238" s="9" t="s">
        <v>65</v>
      </c>
      <c r="D238" s="10"/>
      <c r="E238" s="2"/>
      <c r="F238" s="10"/>
      <c r="G238" s="2"/>
      <c r="H238" s="10"/>
      <c r="I238" s="2"/>
      <c r="J238" s="10"/>
      <c r="K238" s="2"/>
    </row>
    <row r="239">
      <c r="A239" s="8" t="s">
        <v>19</v>
      </c>
      <c r="B239" s="9" t="s">
        <v>64</v>
      </c>
      <c r="C239" s="9" t="s">
        <v>65</v>
      </c>
      <c r="D239" s="10"/>
      <c r="E239" s="2"/>
      <c r="F239" s="10"/>
      <c r="G239" s="2"/>
      <c r="H239" s="10"/>
      <c r="I239" s="2"/>
      <c r="J239" s="10"/>
      <c r="K239" s="2"/>
    </row>
    <row r="240">
      <c r="A240" s="8" t="s">
        <v>20</v>
      </c>
      <c r="B240" s="9" t="s">
        <v>64</v>
      </c>
      <c r="C240" s="9" t="s">
        <v>65</v>
      </c>
      <c r="D240" s="10" t="s">
        <v>59</v>
      </c>
      <c r="E240" s="2" t="str">
        <f>"－"</f>
        <v>－</v>
      </c>
      <c r="F240" s="10" t="s">
        <v>59</v>
      </c>
      <c r="G240" s="2" t="str">
        <f>"－"</f>
        <v>－</v>
      </c>
      <c r="H240" s="10" t="s">
        <v>59</v>
      </c>
      <c r="I240" s="2" t="str">
        <f>"－"</f>
        <v>－</v>
      </c>
      <c r="J240" s="10" t="s">
        <v>59</v>
      </c>
      <c r="K240" s="2" t="str">
        <f>"－"</f>
        <v>－</v>
      </c>
    </row>
    <row r="241">
      <c r="A241" s="8" t="s">
        <v>22</v>
      </c>
      <c r="B241" s="9" t="s">
        <v>64</v>
      </c>
      <c r="C241" s="9" t="s">
        <v>65</v>
      </c>
      <c r="D241" s="10"/>
      <c r="E241" s="2" t="str">
        <f>"－"</f>
        <v>－</v>
      </c>
      <c r="F241" s="10"/>
      <c r="G241" s="2" t="str">
        <f>"－"</f>
        <v>－</v>
      </c>
      <c r="H241" s="10"/>
      <c r="I241" s="2" t="str">
        <f>"－"</f>
        <v>－</v>
      </c>
      <c r="J241" s="10"/>
      <c r="K241" s="2" t="str">
        <f>"－"</f>
        <v>－</v>
      </c>
    </row>
    <row r="242">
      <c r="A242" s="8" t="s">
        <v>23</v>
      </c>
      <c r="B242" s="9" t="s">
        <v>64</v>
      </c>
      <c r="C242" s="9" t="s">
        <v>65</v>
      </c>
      <c r="D242" s="10"/>
      <c r="E242" s="2" t="str">
        <f>"－"</f>
        <v>－</v>
      </c>
      <c r="F242" s="10"/>
      <c r="G242" s="2" t="str">
        <f>"－"</f>
        <v>－</v>
      </c>
      <c r="H242" s="10"/>
      <c r="I242" s="2" t="str">
        <f>"－"</f>
        <v>－</v>
      </c>
      <c r="J242" s="10"/>
      <c r="K242" s="2" t="str">
        <f>"－"</f>
        <v>－</v>
      </c>
    </row>
    <row r="243">
      <c r="A243" s="8" t="s">
        <v>24</v>
      </c>
      <c r="B243" s="9" t="s">
        <v>64</v>
      </c>
      <c r="C243" s="9" t="s">
        <v>65</v>
      </c>
      <c r="D243" s="10"/>
      <c r="E243" s="2" t="str">
        <f>"－"</f>
        <v>－</v>
      </c>
      <c r="F243" s="10"/>
      <c r="G243" s="2" t="str">
        <f>"－"</f>
        <v>－</v>
      </c>
      <c r="H243" s="10"/>
      <c r="I243" s="2" t="str">
        <f>"－"</f>
        <v>－</v>
      </c>
      <c r="J243" s="10"/>
      <c r="K243" s="2" t="str">
        <f>"－"</f>
        <v>－</v>
      </c>
    </row>
    <row r="244">
      <c r="A244" s="8" t="s">
        <v>25</v>
      </c>
      <c r="B244" s="9" t="s">
        <v>64</v>
      </c>
      <c r="C244" s="9" t="s">
        <v>65</v>
      </c>
      <c r="D244" s="10"/>
      <c r="E244" s="2" t="str">
        <f>"－"</f>
        <v>－</v>
      </c>
      <c r="F244" s="10"/>
      <c r="G244" s="2" t="str">
        <f>"－"</f>
        <v>－</v>
      </c>
      <c r="H244" s="10"/>
      <c r="I244" s="2" t="str">
        <f>"－"</f>
        <v>－</v>
      </c>
      <c r="J244" s="10"/>
      <c r="K244" s="2" t="str">
        <f>"－"</f>
        <v>－</v>
      </c>
    </row>
    <row r="245">
      <c r="A245" s="8" t="s">
        <v>26</v>
      </c>
      <c r="B245" s="9" t="s">
        <v>64</v>
      </c>
      <c r="C245" s="9" t="s">
        <v>65</v>
      </c>
      <c r="D245" s="10"/>
      <c r="E245" s="2"/>
      <c r="F245" s="10"/>
      <c r="G245" s="2"/>
      <c r="H245" s="10"/>
      <c r="I245" s="2"/>
      <c r="J245" s="10"/>
      <c r="K245" s="2"/>
    </row>
    <row r="246">
      <c r="A246" s="8" t="s">
        <v>27</v>
      </c>
      <c r="B246" s="9" t="s">
        <v>64</v>
      </c>
      <c r="C246" s="9" t="s">
        <v>65</v>
      </c>
      <c r="D246" s="10"/>
      <c r="E246" s="2"/>
      <c r="F246" s="10"/>
      <c r="G246" s="2"/>
      <c r="H246" s="10"/>
      <c r="I246" s="2"/>
      <c r="J246" s="10"/>
      <c r="K246" s="2"/>
    </row>
    <row r="247">
      <c r="A247" s="8" t="s">
        <v>28</v>
      </c>
      <c r="B247" s="9" t="s">
        <v>64</v>
      </c>
      <c r="C247" s="9" t="s">
        <v>65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str">
        <f>"－"</f>
        <v>－</v>
      </c>
    </row>
    <row r="248">
      <c r="A248" s="8" t="s">
        <v>29</v>
      </c>
      <c r="B248" s="9" t="s">
        <v>64</v>
      </c>
      <c r="C248" s="9" t="s">
        <v>65</v>
      </c>
      <c r="D248" s="10"/>
      <c r="E248" s="2"/>
      <c r="F248" s="10"/>
      <c r="G248" s="2"/>
      <c r="H248" s="10"/>
      <c r="I248" s="2"/>
      <c r="J248" s="10"/>
      <c r="K248" s="2"/>
    </row>
    <row r="249">
      <c r="A249" s="8" t="s">
        <v>30</v>
      </c>
      <c r="B249" s="9" t="s">
        <v>64</v>
      </c>
      <c r="C249" s="9" t="s">
        <v>65</v>
      </c>
      <c r="D249" s="10"/>
      <c r="E249" s="2" t="str">
        <f>"－"</f>
        <v>－</v>
      </c>
      <c r="F249" s="10"/>
      <c r="G249" s="2" t="str">
        <f>"－"</f>
        <v>－</v>
      </c>
      <c r="H249" s="10"/>
      <c r="I249" s="2" t="str">
        <f>"－"</f>
        <v>－</v>
      </c>
      <c r="J249" s="10"/>
      <c r="K249" s="2" t="str">
        <f>"－"</f>
        <v>－</v>
      </c>
    </row>
    <row r="250">
      <c r="A250" s="8" t="s">
        <v>31</v>
      </c>
      <c r="B250" s="9" t="s">
        <v>64</v>
      </c>
      <c r="C250" s="9" t="s">
        <v>65</v>
      </c>
      <c r="D250" s="10"/>
      <c r="E250" s="2" t="str">
        <f>"－"</f>
        <v>－</v>
      </c>
      <c r="F250" s="10"/>
      <c r="G250" s="2" t="str">
        <f>"－"</f>
        <v>－</v>
      </c>
      <c r="H250" s="10"/>
      <c r="I250" s="2" t="str">
        <f>"－"</f>
        <v>－</v>
      </c>
      <c r="J250" s="10"/>
      <c r="K250" s="2" t="str">
        <f>"－"</f>
        <v>－</v>
      </c>
    </row>
    <row r="251">
      <c r="A251" s="8" t="s">
        <v>32</v>
      </c>
      <c r="B251" s="9" t="s">
        <v>64</v>
      </c>
      <c r="C251" s="9" t="s">
        <v>65</v>
      </c>
      <c r="D251" s="10"/>
      <c r="E251" s="2" t="str">
        <f>"－"</f>
        <v>－</v>
      </c>
      <c r="F251" s="10"/>
      <c r="G251" s="2" t="str">
        <f>"－"</f>
        <v>－</v>
      </c>
      <c r="H251" s="10"/>
      <c r="I251" s="2" t="str">
        <f>"－"</f>
        <v>－</v>
      </c>
      <c r="J251" s="10"/>
      <c r="K251" s="2" t="str">
        <f>"－"</f>
        <v>－</v>
      </c>
    </row>
    <row r="252">
      <c r="A252" s="8" t="s">
        <v>33</v>
      </c>
      <c r="B252" s="9" t="s">
        <v>64</v>
      </c>
      <c r="C252" s="9" t="s">
        <v>65</v>
      </c>
      <c r="D252" s="10"/>
      <c r="E252" s="2"/>
      <c r="F252" s="10"/>
      <c r="G252" s="2"/>
      <c r="H252" s="10"/>
      <c r="I252" s="2"/>
      <c r="J252" s="10"/>
      <c r="K252" s="2"/>
    </row>
    <row r="253">
      <c r="A253" s="8" t="s">
        <v>34</v>
      </c>
      <c r="B253" s="9" t="s">
        <v>64</v>
      </c>
      <c r="C253" s="9" t="s">
        <v>65</v>
      </c>
      <c r="D253" s="10"/>
      <c r="E253" s="2"/>
      <c r="F253" s="10"/>
      <c r="G253" s="2"/>
      <c r="H253" s="10"/>
      <c r="I253" s="2"/>
      <c r="J253" s="10"/>
      <c r="K253" s="2"/>
    </row>
    <row r="254">
      <c r="A254" s="8" t="s">
        <v>35</v>
      </c>
      <c r="B254" s="9" t="s">
        <v>64</v>
      </c>
      <c r="C254" s="9" t="s">
        <v>65</v>
      </c>
      <c r="D254" s="10"/>
      <c r="E254" s="2" t="str">
        <f>"－"</f>
        <v>－</v>
      </c>
      <c r="F254" s="10"/>
      <c r="G254" s="2" t="str">
        <f>"－"</f>
        <v>－</v>
      </c>
      <c r="H254" s="10"/>
      <c r="I254" s="2" t="str">
        <f>"－"</f>
        <v>－</v>
      </c>
      <c r="J254" s="10"/>
      <c r="K254" s="2" t="str">
        <f>"－"</f>
        <v>－</v>
      </c>
    </row>
    <row r="255">
      <c r="A255" s="8" t="s">
        <v>36</v>
      </c>
      <c r="B255" s="9" t="s">
        <v>64</v>
      </c>
      <c r="C255" s="9" t="s">
        <v>65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37</v>
      </c>
      <c r="B256" s="9" t="s">
        <v>64</v>
      </c>
      <c r="C256" s="9" t="s">
        <v>65</v>
      </c>
      <c r="D256" s="10"/>
      <c r="E256" s="2" t="str">
        <f>"－"</f>
        <v>－</v>
      </c>
      <c r="F256" s="10"/>
      <c r="G256" s="2" t="str">
        <f>"－"</f>
        <v>－</v>
      </c>
      <c r="H256" s="10"/>
      <c r="I256" s="2" t="str">
        <f>"－"</f>
        <v>－</v>
      </c>
      <c r="J256" s="10"/>
      <c r="K256" s="2" t="str">
        <f>"－"</f>
        <v>－</v>
      </c>
    </row>
    <row r="257">
      <c r="A257" s="8" t="s">
        <v>38</v>
      </c>
      <c r="B257" s="9" t="s">
        <v>64</v>
      </c>
      <c r="C257" s="9" t="s">
        <v>65</v>
      </c>
      <c r="D257" s="10"/>
      <c r="E257" s="2" t="str">
        <f>"－"</f>
        <v>－</v>
      </c>
      <c r="F257" s="10"/>
      <c r="G257" s="2" t="str">
        <f>"－"</f>
        <v>－</v>
      </c>
      <c r="H257" s="10"/>
      <c r="I257" s="2" t="str">
        <f>"－"</f>
        <v>－</v>
      </c>
      <c r="J257" s="10"/>
      <c r="K257" s="2" t="str">
        <f>"－"</f>
        <v>－</v>
      </c>
    </row>
    <row r="258">
      <c r="A258" s="8" t="s">
        <v>39</v>
      </c>
      <c r="B258" s="9" t="s">
        <v>64</v>
      </c>
      <c r="C258" s="9" t="s">
        <v>65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40</v>
      </c>
      <c r="B259" s="9" t="s">
        <v>64</v>
      </c>
      <c r="C259" s="9" t="s">
        <v>65</v>
      </c>
      <c r="D259" s="10"/>
      <c r="E259" s="2"/>
      <c r="F259" s="10"/>
      <c r="G259" s="2"/>
      <c r="H259" s="10"/>
      <c r="I259" s="2"/>
      <c r="J259" s="10"/>
      <c r="K259" s="2"/>
    </row>
    <row r="260">
      <c r="A260" s="8" t="s">
        <v>41</v>
      </c>
      <c r="B260" s="9" t="s">
        <v>64</v>
      </c>
      <c r="C260" s="9" t="s">
        <v>65</v>
      </c>
      <c r="D260" s="10"/>
      <c r="E260" s="2"/>
      <c r="F260" s="10"/>
      <c r="G260" s="2"/>
      <c r="H260" s="10"/>
      <c r="I260" s="2"/>
      <c r="J260" s="10"/>
      <c r="K260" s="2"/>
    </row>
    <row r="261">
      <c r="A261" s="8" t="s">
        <v>42</v>
      </c>
      <c r="B261" s="9" t="s">
        <v>64</v>
      </c>
      <c r="C261" s="9" t="s">
        <v>65</v>
      </c>
      <c r="D261" s="10"/>
      <c r="E261" s="2"/>
      <c r="F261" s="10"/>
      <c r="G261" s="2"/>
      <c r="H261" s="10"/>
      <c r="I261" s="2"/>
      <c r="J261" s="10"/>
      <c r="K261" s="2"/>
    </row>
    <row r="262">
      <c r="A262" s="8" t="s">
        <v>43</v>
      </c>
      <c r="B262" s="9" t="s">
        <v>64</v>
      </c>
      <c r="C262" s="9" t="s">
        <v>65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44</v>
      </c>
      <c r="B263" s="9" t="s">
        <v>64</v>
      </c>
      <c r="C263" s="9" t="s">
        <v>65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45</v>
      </c>
      <c r="B264" s="9" t="s">
        <v>64</v>
      </c>
      <c r="C264" s="9" t="s">
        <v>65</v>
      </c>
      <c r="D264" s="10"/>
      <c r="E264" s="2" t="str">
        <f>"－"</f>
        <v>－</v>
      </c>
      <c r="F264" s="10"/>
      <c r="G264" s="2" t="str">
        <f>"－"</f>
        <v>－</v>
      </c>
      <c r="H264" s="10"/>
      <c r="I264" s="2" t="str">
        <f>"－"</f>
        <v>－</v>
      </c>
      <c r="J264" s="10"/>
      <c r="K264" s="2" t="str">
        <f>"－"</f>
        <v>－</v>
      </c>
    </row>
    <row r="265">
      <c r="A265" s="8" t="s">
        <v>47</v>
      </c>
      <c r="B265" s="9" t="s">
        <v>64</v>
      </c>
      <c r="C265" s="9" t="s">
        <v>65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48</v>
      </c>
      <c r="B266" s="9" t="s">
        <v>64</v>
      </c>
      <c r="C266" s="9" t="s">
        <v>65</v>
      </c>
      <c r="D266" s="10"/>
      <c r="E266" s="2"/>
      <c r="F266" s="10"/>
      <c r="G266" s="2"/>
      <c r="H266" s="10"/>
      <c r="I266" s="2"/>
      <c r="J266" s="10"/>
      <c r="K266" s="2"/>
    </row>
    <row r="267">
      <c r="A267" s="8" t="s">
        <v>16</v>
      </c>
      <c r="B267" s="9" t="s">
        <v>66</v>
      </c>
      <c r="C267" s="9" t="s">
        <v>67</v>
      </c>
      <c r="D267" s="10"/>
      <c r="E267" s="2"/>
      <c r="F267" s="10"/>
      <c r="G267" s="2"/>
      <c r="H267" s="10"/>
      <c r="I267" s="2"/>
      <c r="J267" s="10"/>
      <c r="K267" s="2"/>
    </row>
    <row r="268">
      <c r="A268" s="8" t="s">
        <v>19</v>
      </c>
      <c r="B268" s="9" t="s">
        <v>66</v>
      </c>
      <c r="C268" s="9" t="s">
        <v>67</v>
      </c>
      <c r="D268" s="10"/>
      <c r="E268" s="2"/>
      <c r="F268" s="10"/>
      <c r="G268" s="2"/>
      <c r="H268" s="10"/>
      <c r="I268" s="2"/>
      <c r="J268" s="10"/>
      <c r="K268" s="2"/>
    </row>
    <row r="269">
      <c r="A269" s="8" t="s">
        <v>20</v>
      </c>
      <c r="B269" s="9" t="s">
        <v>66</v>
      </c>
      <c r="C269" s="9" t="s">
        <v>67</v>
      </c>
      <c r="D269" s="10"/>
      <c r="E269" s="2" t="n">
        <f>3328</f>
        <v>3328.0</v>
      </c>
      <c r="F269" s="10"/>
      <c r="G269" s="2" t="n">
        <f>2690045460</f>
        <v>2.69004546E9</v>
      </c>
      <c r="H269" s="10"/>
      <c r="I269" s="2" t="n">
        <f>146</f>
        <v>146.0</v>
      </c>
      <c r="J269" s="10"/>
      <c r="K269" s="2" t="n">
        <f>15914</f>
        <v>15914.0</v>
      </c>
    </row>
    <row r="270">
      <c r="A270" s="8" t="s">
        <v>22</v>
      </c>
      <c r="B270" s="9" t="s">
        <v>66</v>
      </c>
      <c r="C270" s="9" t="s">
        <v>67</v>
      </c>
      <c r="D270" s="10"/>
      <c r="E270" s="2" t="n">
        <f>2439</f>
        <v>2439.0</v>
      </c>
      <c r="F270" s="10"/>
      <c r="G270" s="2" t="n">
        <f>2005439340</f>
        <v>2.00543934E9</v>
      </c>
      <c r="H270" s="10"/>
      <c r="I270" s="2" t="n">
        <f>130</f>
        <v>130.0</v>
      </c>
      <c r="J270" s="10"/>
      <c r="K270" s="2" t="n">
        <f>15544</f>
        <v>15544.0</v>
      </c>
    </row>
    <row r="271">
      <c r="A271" s="8" t="s">
        <v>23</v>
      </c>
      <c r="B271" s="9" t="s">
        <v>66</v>
      </c>
      <c r="C271" s="9" t="s">
        <v>67</v>
      </c>
      <c r="D271" s="10"/>
      <c r="E271" s="2" t="n">
        <f>2419</f>
        <v>2419.0</v>
      </c>
      <c r="F271" s="10"/>
      <c r="G271" s="2" t="n">
        <f>2024457890</f>
        <v>2.02445789E9</v>
      </c>
      <c r="H271" s="10"/>
      <c r="I271" s="2" t="n">
        <f>43</f>
        <v>43.0</v>
      </c>
      <c r="J271" s="10"/>
      <c r="K271" s="2" t="n">
        <f>15118</f>
        <v>15118.0</v>
      </c>
    </row>
    <row r="272">
      <c r="A272" s="8" t="s">
        <v>24</v>
      </c>
      <c r="B272" s="9" t="s">
        <v>66</v>
      </c>
      <c r="C272" s="9" t="s">
        <v>67</v>
      </c>
      <c r="D272" s="10"/>
      <c r="E272" s="2" t="n">
        <f>2520</f>
        <v>2520.0</v>
      </c>
      <c r="F272" s="10"/>
      <c r="G272" s="2" t="n">
        <f>2124248720</f>
        <v>2.12424872E9</v>
      </c>
      <c r="H272" s="10"/>
      <c r="I272" s="2" t="n">
        <f>143</f>
        <v>143.0</v>
      </c>
      <c r="J272" s="10"/>
      <c r="K272" s="2" t="n">
        <f>15034</f>
        <v>15034.0</v>
      </c>
    </row>
    <row r="273">
      <c r="A273" s="8" t="s">
        <v>25</v>
      </c>
      <c r="B273" s="9" t="s">
        <v>66</v>
      </c>
      <c r="C273" s="9" t="s">
        <v>67</v>
      </c>
      <c r="D273" s="10"/>
      <c r="E273" s="2" t="n">
        <f>1873</f>
        <v>1873.0</v>
      </c>
      <c r="F273" s="10"/>
      <c r="G273" s="2" t="n">
        <f>1572618540</f>
        <v>1.57261854E9</v>
      </c>
      <c r="H273" s="10"/>
      <c r="I273" s="2" t="n">
        <f>36</f>
        <v>36.0</v>
      </c>
      <c r="J273" s="10"/>
      <c r="K273" s="2" t="n">
        <f>14972</f>
        <v>14972.0</v>
      </c>
    </row>
    <row r="274">
      <c r="A274" s="8" t="s">
        <v>26</v>
      </c>
      <c r="B274" s="9" t="s">
        <v>66</v>
      </c>
      <c r="C274" s="9" t="s">
        <v>67</v>
      </c>
      <c r="D274" s="10"/>
      <c r="E274" s="2"/>
      <c r="F274" s="10"/>
      <c r="G274" s="2"/>
      <c r="H274" s="10"/>
      <c r="I274" s="2"/>
      <c r="J274" s="10"/>
      <c r="K274" s="2"/>
    </row>
    <row r="275">
      <c r="A275" s="8" t="s">
        <v>27</v>
      </c>
      <c r="B275" s="9" t="s">
        <v>66</v>
      </c>
      <c r="C275" s="9" t="s">
        <v>67</v>
      </c>
      <c r="D275" s="10"/>
      <c r="E275" s="2"/>
      <c r="F275" s="10"/>
      <c r="G275" s="2"/>
      <c r="H275" s="10"/>
      <c r="I275" s="2"/>
      <c r="J275" s="10"/>
      <c r="K275" s="2"/>
    </row>
    <row r="276">
      <c r="A276" s="8" t="s">
        <v>28</v>
      </c>
      <c r="B276" s="9" t="s">
        <v>66</v>
      </c>
      <c r="C276" s="9" t="s">
        <v>67</v>
      </c>
      <c r="D276" s="10"/>
      <c r="E276" s="2" t="n">
        <f>1960</f>
        <v>1960.0</v>
      </c>
      <c r="F276" s="10"/>
      <c r="G276" s="2" t="n">
        <f>1635871700</f>
        <v>1.6358717E9</v>
      </c>
      <c r="H276" s="10"/>
      <c r="I276" s="2" t="n">
        <f>73</f>
        <v>73.0</v>
      </c>
      <c r="J276" s="10"/>
      <c r="K276" s="2" t="n">
        <f>14962</f>
        <v>14962.0</v>
      </c>
    </row>
    <row r="277">
      <c r="A277" s="8" t="s">
        <v>29</v>
      </c>
      <c r="B277" s="9" t="s">
        <v>66</v>
      </c>
      <c r="C277" s="9" t="s">
        <v>67</v>
      </c>
      <c r="D277" s="10"/>
      <c r="E277" s="2"/>
      <c r="F277" s="10"/>
      <c r="G277" s="2"/>
      <c r="H277" s="10"/>
      <c r="I277" s="2"/>
      <c r="J277" s="10"/>
      <c r="K277" s="2"/>
    </row>
    <row r="278">
      <c r="A278" s="8" t="s">
        <v>30</v>
      </c>
      <c r="B278" s="9" t="s">
        <v>66</v>
      </c>
      <c r="C278" s="9" t="s">
        <v>67</v>
      </c>
      <c r="D278" s="10"/>
      <c r="E278" s="2" t="n">
        <f>1428</f>
        <v>1428.0</v>
      </c>
      <c r="F278" s="10"/>
      <c r="G278" s="2" t="n">
        <f>1199817400</f>
        <v>1.1998174E9</v>
      </c>
      <c r="H278" s="10"/>
      <c r="I278" s="2" t="n">
        <f>90</f>
        <v>90.0</v>
      </c>
      <c r="J278" s="10"/>
      <c r="K278" s="2" t="n">
        <f>15141</f>
        <v>15141.0</v>
      </c>
    </row>
    <row r="279">
      <c r="A279" s="8" t="s">
        <v>31</v>
      </c>
      <c r="B279" s="9" t="s">
        <v>66</v>
      </c>
      <c r="C279" s="9" t="s">
        <v>67</v>
      </c>
      <c r="D279" s="10" t="s">
        <v>21</v>
      </c>
      <c r="E279" s="2" t="n">
        <f>1363</f>
        <v>1363.0</v>
      </c>
      <c r="F279" s="10" t="s">
        <v>21</v>
      </c>
      <c r="G279" s="2" t="n">
        <f>1159313580</f>
        <v>1.15931358E9</v>
      </c>
      <c r="H279" s="10" t="s">
        <v>21</v>
      </c>
      <c r="I279" s="2" t="n">
        <f>31</f>
        <v>31.0</v>
      </c>
      <c r="J279" s="10"/>
      <c r="K279" s="2" t="n">
        <f>15164</f>
        <v>15164.0</v>
      </c>
    </row>
    <row r="280">
      <c r="A280" s="8" t="s">
        <v>32</v>
      </c>
      <c r="B280" s="9" t="s">
        <v>66</v>
      </c>
      <c r="C280" s="9" t="s">
        <v>67</v>
      </c>
      <c r="D280" s="10"/>
      <c r="E280" s="2" t="n">
        <f>1688</f>
        <v>1688.0</v>
      </c>
      <c r="F280" s="10"/>
      <c r="G280" s="2" t="n">
        <f>1418097520</f>
        <v>1.41809752E9</v>
      </c>
      <c r="H280" s="10"/>
      <c r="I280" s="2" t="n">
        <f>122</f>
        <v>122.0</v>
      </c>
      <c r="J280" s="10"/>
      <c r="K280" s="2" t="n">
        <f>15153</f>
        <v>15153.0</v>
      </c>
    </row>
    <row r="281">
      <c r="A281" s="8" t="s">
        <v>33</v>
      </c>
      <c r="B281" s="9" t="s">
        <v>66</v>
      </c>
      <c r="C281" s="9" t="s">
        <v>67</v>
      </c>
      <c r="D281" s="10"/>
      <c r="E281" s="2"/>
      <c r="F281" s="10"/>
      <c r="G281" s="2"/>
      <c r="H281" s="10"/>
      <c r="I281" s="2"/>
      <c r="J281" s="10"/>
      <c r="K281" s="2"/>
    </row>
    <row r="282">
      <c r="A282" s="8" t="s">
        <v>34</v>
      </c>
      <c r="B282" s="9" t="s">
        <v>66</v>
      </c>
      <c r="C282" s="9" t="s">
        <v>67</v>
      </c>
      <c r="D282" s="10"/>
      <c r="E282" s="2"/>
      <c r="F282" s="10"/>
      <c r="G282" s="2"/>
      <c r="H282" s="10"/>
      <c r="I282" s="2"/>
      <c r="J282" s="10"/>
      <c r="K282" s="2"/>
    </row>
    <row r="283">
      <c r="A283" s="8" t="s">
        <v>35</v>
      </c>
      <c r="B283" s="9" t="s">
        <v>66</v>
      </c>
      <c r="C283" s="9" t="s">
        <v>67</v>
      </c>
      <c r="D283" s="10"/>
      <c r="E283" s="2" t="n">
        <f>2375</f>
        <v>2375.0</v>
      </c>
      <c r="F283" s="10"/>
      <c r="G283" s="2" t="n">
        <f>1961669000</f>
        <v>1.961669E9</v>
      </c>
      <c r="H283" s="10"/>
      <c r="I283" s="2" t="n">
        <f>59</f>
        <v>59.0</v>
      </c>
      <c r="J283" s="10"/>
      <c r="K283" s="2" t="n">
        <f>15291</f>
        <v>15291.0</v>
      </c>
    </row>
    <row r="284">
      <c r="A284" s="8" t="s">
        <v>36</v>
      </c>
      <c r="B284" s="9" t="s">
        <v>66</v>
      </c>
      <c r="C284" s="9" t="s">
        <v>67</v>
      </c>
      <c r="D284" s="10"/>
      <c r="E284" s="2" t="n">
        <f>2881</f>
        <v>2881.0</v>
      </c>
      <c r="F284" s="10"/>
      <c r="G284" s="2" t="n">
        <f>2331450370</f>
        <v>2.33145037E9</v>
      </c>
      <c r="H284" s="10"/>
      <c r="I284" s="2" t="n">
        <f>101</f>
        <v>101.0</v>
      </c>
      <c r="J284" s="10"/>
      <c r="K284" s="2" t="n">
        <f>15902</f>
        <v>15902.0</v>
      </c>
    </row>
    <row r="285">
      <c r="A285" s="8" t="s">
        <v>37</v>
      </c>
      <c r="B285" s="9" t="s">
        <v>66</v>
      </c>
      <c r="C285" s="9" t="s">
        <v>67</v>
      </c>
      <c r="D285" s="10"/>
      <c r="E285" s="2" t="n">
        <f>2697</f>
        <v>2697.0</v>
      </c>
      <c r="F285" s="10"/>
      <c r="G285" s="2" t="n">
        <f>2204126750</f>
        <v>2.20412675E9</v>
      </c>
      <c r="H285" s="10"/>
      <c r="I285" s="2" t="n">
        <f>55</f>
        <v>55.0</v>
      </c>
      <c r="J285" s="10"/>
      <c r="K285" s="2" t="n">
        <f>15529</f>
        <v>15529.0</v>
      </c>
    </row>
    <row r="286">
      <c r="A286" s="8" t="s">
        <v>38</v>
      </c>
      <c r="B286" s="9" t="s">
        <v>66</v>
      </c>
      <c r="C286" s="9" t="s">
        <v>67</v>
      </c>
      <c r="D286" s="10"/>
      <c r="E286" s="2" t="n">
        <f>3644</f>
        <v>3644.0</v>
      </c>
      <c r="F286" s="10"/>
      <c r="G286" s="2" t="n">
        <f>3003327390</f>
        <v>3.00332739E9</v>
      </c>
      <c r="H286" s="10"/>
      <c r="I286" s="2" t="n">
        <f>92</f>
        <v>92.0</v>
      </c>
      <c r="J286" s="10"/>
      <c r="K286" s="2" t="n">
        <f>15102</f>
        <v>15102.0</v>
      </c>
    </row>
    <row r="287">
      <c r="A287" s="8" t="s">
        <v>39</v>
      </c>
      <c r="B287" s="9" t="s">
        <v>66</v>
      </c>
      <c r="C287" s="9" t="s">
        <v>67</v>
      </c>
      <c r="D287" s="10"/>
      <c r="E287" s="2" t="n">
        <f>4066</f>
        <v>4066.0</v>
      </c>
      <c r="F287" s="10"/>
      <c r="G287" s="2" t="n">
        <f>3327564200</f>
        <v>3.3275642E9</v>
      </c>
      <c r="H287" s="10"/>
      <c r="I287" s="2" t="n">
        <f>104</f>
        <v>104.0</v>
      </c>
      <c r="J287" s="10"/>
      <c r="K287" s="2" t="n">
        <f>15957</f>
        <v>15957.0</v>
      </c>
    </row>
    <row r="288">
      <c r="A288" s="8" t="s">
        <v>40</v>
      </c>
      <c r="B288" s="9" t="s">
        <v>66</v>
      </c>
      <c r="C288" s="9" t="s">
        <v>67</v>
      </c>
      <c r="D288" s="10"/>
      <c r="E288" s="2"/>
      <c r="F288" s="10"/>
      <c r="G288" s="2"/>
      <c r="H288" s="10"/>
      <c r="I288" s="2"/>
      <c r="J288" s="10"/>
      <c r="K288" s="2"/>
    </row>
    <row r="289">
      <c r="A289" s="8" t="s">
        <v>41</v>
      </c>
      <c r="B289" s="9" t="s">
        <v>66</v>
      </c>
      <c r="C289" s="9" t="s">
        <v>67</v>
      </c>
      <c r="D289" s="10"/>
      <c r="E289" s="2"/>
      <c r="F289" s="10"/>
      <c r="G289" s="2"/>
      <c r="H289" s="10"/>
      <c r="I289" s="2"/>
      <c r="J289" s="10"/>
      <c r="K289" s="2"/>
    </row>
    <row r="290">
      <c r="A290" s="8" t="s">
        <v>42</v>
      </c>
      <c r="B290" s="9" t="s">
        <v>66</v>
      </c>
      <c r="C290" s="9" t="s">
        <v>67</v>
      </c>
      <c r="D290" s="10"/>
      <c r="E290" s="2"/>
      <c r="F290" s="10"/>
      <c r="G290" s="2"/>
      <c r="H290" s="10"/>
      <c r="I290" s="2"/>
      <c r="J290" s="10"/>
      <c r="K290" s="2"/>
    </row>
    <row r="291">
      <c r="A291" s="8" t="s">
        <v>43</v>
      </c>
      <c r="B291" s="9" t="s">
        <v>66</v>
      </c>
      <c r="C291" s="9" t="s">
        <v>67</v>
      </c>
      <c r="D291" s="10"/>
      <c r="E291" s="2" t="n">
        <f>3371</f>
        <v>3371.0</v>
      </c>
      <c r="F291" s="10"/>
      <c r="G291" s="2" t="n">
        <f>2680623400</f>
        <v>2.6806234E9</v>
      </c>
      <c r="H291" s="10"/>
      <c r="I291" s="2" t="n">
        <f>128</f>
        <v>128.0</v>
      </c>
      <c r="J291" s="10"/>
      <c r="K291" s="2" t="n">
        <f>15916</f>
        <v>15916.0</v>
      </c>
    </row>
    <row r="292">
      <c r="A292" s="8" t="s">
        <v>44</v>
      </c>
      <c r="B292" s="9" t="s">
        <v>66</v>
      </c>
      <c r="C292" s="9" t="s">
        <v>67</v>
      </c>
      <c r="D292" s="10"/>
      <c r="E292" s="2" t="n">
        <f>5484</f>
        <v>5484.0</v>
      </c>
      <c r="F292" s="10"/>
      <c r="G292" s="2" t="n">
        <f>4294929150</f>
        <v>4.29492915E9</v>
      </c>
      <c r="H292" s="10"/>
      <c r="I292" s="2" t="n">
        <f>130</f>
        <v>130.0</v>
      </c>
      <c r="J292" s="10" t="s">
        <v>21</v>
      </c>
      <c r="K292" s="2" t="n">
        <f>14859</f>
        <v>14859.0</v>
      </c>
    </row>
    <row r="293">
      <c r="A293" s="8" t="s">
        <v>45</v>
      </c>
      <c r="B293" s="9" t="s">
        <v>66</v>
      </c>
      <c r="C293" s="9" t="s">
        <v>67</v>
      </c>
      <c r="D293" s="10"/>
      <c r="E293" s="2" t="n">
        <f>6250</f>
        <v>6250.0</v>
      </c>
      <c r="F293" s="10"/>
      <c r="G293" s="2" t="n">
        <f>4773508480</f>
        <v>4.77350848E9</v>
      </c>
      <c r="H293" s="10"/>
      <c r="I293" s="2" t="n">
        <f>90</f>
        <v>90.0</v>
      </c>
      <c r="J293" s="10"/>
      <c r="K293" s="2" t="n">
        <f>15079</f>
        <v>15079.0</v>
      </c>
    </row>
    <row r="294">
      <c r="A294" s="8" t="s">
        <v>47</v>
      </c>
      <c r="B294" s="9" t="s">
        <v>66</v>
      </c>
      <c r="C294" s="9" t="s">
        <v>67</v>
      </c>
      <c r="D294" s="10" t="s">
        <v>46</v>
      </c>
      <c r="E294" s="2" t="n">
        <f>8923</f>
        <v>8923.0</v>
      </c>
      <c r="F294" s="10" t="s">
        <v>46</v>
      </c>
      <c r="G294" s="2" t="n">
        <f>6451086250</f>
        <v>6.45108625E9</v>
      </c>
      <c r="H294" s="10" t="s">
        <v>46</v>
      </c>
      <c r="I294" s="2" t="n">
        <f>175</f>
        <v>175.0</v>
      </c>
      <c r="J294" s="10" t="s">
        <v>46</v>
      </c>
      <c r="K294" s="2" t="n">
        <f>16641</f>
        <v>16641.0</v>
      </c>
    </row>
    <row r="295">
      <c r="A295" s="8" t="s">
        <v>48</v>
      </c>
      <c r="B295" s="9" t="s">
        <v>66</v>
      </c>
      <c r="C295" s="9" t="s">
        <v>67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16</v>
      </c>
      <c r="B296" s="9" t="s">
        <v>68</v>
      </c>
      <c r="C296" s="9" t="s">
        <v>69</v>
      </c>
      <c r="D296" s="10"/>
      <c r="E296" s="2"/>
      <c r="F296" s="10"/>
      <c r="G296" s="2"/>
      <c r="H296" s="10"/>
      <c r="I296" s="2"/>
      <c r="J296" s="10"/>
      <c r="K296" s="2"/>
    </row>
    <row r="297">
      <c r="A297" s="8" t="s">
        <v>19</v>
      </c>
      <c r="B297" s="9" t="s">
        <v>68</v>
      </c>
      <c r="C297" s="9" t="s">
        <v>69</v>
      </c>
      <c r="D297" s="10"/>
      <c r="E297" s="2"/>
      <c r="F297" s="10"/>
      <c r="G297" s="2"/>
      <c r="H297" s="10"/>
      <c r="I297" s="2"/>
      <c r="J297" s="10"/>
      <c r="K297" s="2"/>
    </row>
    <row r="298">
      <c r="A298" s="8" t="s">
        <v>20</v>
      </c>
      <c r="B298" s="9" t="s">
        <v>68</v>
      </c>
      <c r="C298" s="9" t="s">
        <v>69</v>
      </c>
      <c r="D298" s="10"/>
      <c r="E298" s="2" t="n">
        <f>2070</f>
        <v>2070.0</v>
      </c>
      <c r="F298" s="10"/>
      <c r="G298" s="2" t="n">
        <f>5881582200</f>
        <v>5.8815822E9</v>
      </c>
      <c r="H298" s="10"/>
      <c r="I298" s="2" t="n">
        <f>255</f>
        <v>255.0</v>
      </c>
      <c r="J298" s="10"/>
      <c r="K298" s="2" t="n">
        <f>1332</f>
        <v>1332.0</v>
      </c>
    </row>
    <row r="299">
      <c r="A299" s="8" t="s">
        <v>22</v>
      </c>
      <c r="B299" s="9" t="s">
        <v>68</v>
      </c>
      <c r="C299" s="9" t="s">
        <v>69</v>
      </c>
      <c r="D299" s="10"/>
      <c r="E299" s="2" t="n">
        <f>1707</f>
        <v>1707.0</v>
      </c>
      <c r="F299" s="10"/>
      <c r="G299" s="2" t="n">
        <f>4854376600</f>
        <v>4.8543766E9</v>
      </c>
      <c r="H299" s="10"/>
      <c r="I299" s="2" t="n">
        <f>241</f>
        <v>241.0</v>
      </c>
      <c r="J299" s="10"/>
      <c r="K299" s="2" t="n">
        <f>1419</f>
        <v>1419.0</v>
      </c>
    </row>
    <row r="300">
      <c r="A300" s="8" t="s">
        <v>23</v>
      </c>
      <c r="B300" s="9" t="s">
        <v>68</v>
      </c>
      <c r="C300" s="9" t="s">
        <v>69</v>
      </c>
      <c r="D300" s="10"/>
      <c r="E300" s="2" t="n">
        <f>1526</f>
        <v>1526.0</v>
      </c>
      <c r="F300" s="10"/>
      <c r="G300" s="2" t="n">
        <f>4383808900</f>
        <v>4.3838089E9</v>
      </c>
      <c r="H300" s="10"/>
      <c r="I300" s="2" t="n">
        <f>304</f>
        <v>304.0</v>
      </c>
      <c r="J300" s="10"/>
      <c r="K300" s="2" t="n">
        <f>1462</f>
        <v>1462.0</v>
      </c>
    </row>
    <row r="301">
      <c r="A301" s="8" t="s">
        <v>24</v>
      </c>
      <c r="B301" s="9" t="s">
        <v>68</v>
      </c>
      <c r="C301" s="9" t="s">
        <v>69</v>
      </c>
      <c r="D301" s="10"/>
      <c r="E301" s="2" t="n">
        <f>3371</f>
        <v>3371.0</v>
      </c>
      <c r="F301" s="10"/>
      <c r="G301" s="2" t="n">
        <f>9846749000</f>
        <v>9.846749E9</v>
      </c>
      <c r="H301" s="10"/>
      <c r="I301" s="2" t="n">
        <f>310</f>
        <v>310.0</v>
      </c>
      <c r="J301" s="10"/>
      <c r="K301" s="2" t="n">
        <f>2102</f>
        <v>2102.0</v>
      </c>
    </row>
    <row r="302">
      <c r="A302" s="8" t="s">
        <v>25</v>
      </c>
      <c r="B302" s="9" t="s">
        <v>68</v>
      </c>
      <c r="C302" s="9" t="s">
        <v>69</v>
      </c>
      <c r="D302" s="10"/>
      <c r="E302" s="2" t="n">
        <f>1899</f>
        <v>1899.0</v>
      </c>
      <c r="F302" s="10"/>
      <c r="G302" s="2" t="n">
        <f>5561889700</f>
        <v>5.5618897E9</v>
      </c>
      <c r="H302" s="10"/>
      <c r="I302" s="2" t="n">
        <f>240</f>
        <v>240.0</v>
      </c>
      <c r="J302" s="10"/>
      <c r="K302" s="2" t="n">
        <f>1806</f>
        <v>1806.0</v>
      </c>
    </row>
    <row r="303">
      <c r="A303" s="8" t="s">
        <v>26</v>
      </c>
      <c r="B303" s="9" t="s">
        <v>68</v>
      </c>
      <c r="C303" s="9" t="s">
        <v>69</v>
      </c>
      <c r="D303" s="10"/>
      <c r="E303" s="2"/>
      <c r="F303" s="10"/>
      <c r="G303" s="2"/>
      <c r="H303" s="10"/>
      <c r="I303" s="2"/>
      <c r="J303" s="10"/>
      <c r="K303" s="2"/>
    </row>
    <row r="304">
      <c r="A304" s="8" t="s">
        <v>27</v>
      </c>
      <c r="B304" s="9" t="s">
        <v>68</v>
      </c>
      <c r="C304" s="9" t="s">
        <v>69</v>
      </c>
      <c r="D304" s="10"/>
      <c r="E304" s="2"/>
      <c r="F304" s="10"/>
      <c r="G304" s="2"/>
      <c r="H304" s="10"/>
      <c r="I304" s="2"/>
      <c r="J304" s="10"/>
      <c r="K304" s="2"/>
    </row>
    <row r="305">
      <c r="A305" s="8" t="s">
        <v>28</v>
      </c>
      <c r="B305" s="9" t="s">
        <v>68</v>
      </c>
      <c r="C305" s="9" t="s">
        <v>69</v>
      </c>
      <c r="D305" s="10"/>
      <c r="E305" s="2" t="n">
        <f>2130</f>
        <v>2130.0</v>
      </c>
      <c r="F305" s="10"/>
      <c r="G305" s="2" t="n">
        <f>6192282800</f>
        <v>6.1922828E9</v>
      </c>
      <c r="H305" s="10"/>
      <c r="I305" s="2" t="n">
        <f>94</f>
        <v>94.0</v>
      </c>
      <c r="J305" s="10" t="s">
        <v>21</v>
      </c>
      <c r="K305" s="2" t="n">
        <f>1289</f>
        <v>1289.0</v>
      </c>
    </row>
    <row r="306">
      <c r="A306" s="8" t="s">
        <v>29</v>
      </c>
      <c r="B306" s="9" t="s">
        <v>68</v>
      </c>
      <c r="C306" s="9" t="s">
        <v>69</v>
      </c>
      <c r="D306" s="10"/>
      <c r="E306" s="2"/>
      <c r="F306" s="10"/>
      <c r="G306" s="2"/>
      <c r="H306" s="10"/>
      <c r="I306" s="2"/>
      <c r="J306" s="10"/>
      <c r="K306" s="2"/>
    </row>
    <row r="307">
      <c r="A307" s="8" t="s">
        <v>30</v>
      </c>
      <c r="B307" s="9" t="s">
        <v>68</v>
      </c>
      <c r="C307" s="9" t="s">
        <v>69</v>
      </c>
      <c r="D307" s="10"/>
      <c r="E307" s="2" t="n">
        <f>854</f>
        <v>854.0</v>
      </c>
      <c r="F307" s="10"/>
      <c r="G307" s="2" t="n">
        <f>2487733900</f>
        <v>2.4877339E9</v>
      </c>
      <c r="H307" s="10"/>
      <c r="I307" s="2" t="n">
        <f>183</f>
        <v>183.0</v>
      </c>
      <c r="J307" s="10"/>
      <c r="K307" s="2" t="n">
        <f>1313</f>
        <v>1313.0</v>
      </c>
    </row>
    <row r="308">
      <c r="A308" s="8" t="s">
        <v>31</v>
      </c>
      <c r="B308" s="9" t="s">
        <v>68</v>
      </c>
      <c r="C308" s="9" t="s">
        <v>69</v>
      </c>
      <c r="D308" s="10"/>
      <c r="E308" s="2" t="n">
        <f>1481</f>
        <v>1481.0</v>
      </c>
      <c r="F308" s="10"/>
      <c r="G308" s="2" t="n">
        <f>4355524700</f>
        <v>4.3555247E9</v>
      </c>
      <c r="H308" s="10"/>
      <c r="I308" s="2" t="n">
        <f>239</f>
        <v>239.0</v>
      </c>
      <c r="J308" s="10"/>
      <c r="K308" s="2" t="n">
        <f>1472</f>
        <v>1472.0</v>
      </c>
    </row>
    <row r="309">
      <c r="A309" s="8" t="s">
        <v>32</v>
      </c>
      <c r="B309" s="9" t="s">
        <v>68</v>
      </c>
      <c r="C309" s="9" t="s">
        <v>69</v>
      </c>
      <c r="D309" s="10"/>
      <c r="E309" s="2" t="n">
        <f>2081</f>
        <v>2081.0</v>
      </c>
      <c r="F309" s="10"/>
      <c r="G309" s="2" t="n">
        <f>6115244300</f>
        <v>6.1152443E9</v>
      </c>
      <c r="H309" s="10"/>
      <c r="I309" s="2" t="n">
        <f>247</f>
        <v>247.0</v>
      </c>
      <c r="J309" s="10"/>
      <c r="K309" s="2" t="n">
        <f>1506</f>
        <v>1506.0</v>
      </c>
    </row>
    <row r="310">
      <c r="A310" s="8" t="s">
        <v>33</v>
      </c>
      <c r="B310" s="9" t="s">
        <v>68</v>
      </c>
      <c r="C310" s="9" t="s">
        <v>69</v>
      </c>
      <c r="D310" s="10"/>
      <c r="E310" s="2"/>
      <c r="F310" s="10"/>
      <c r="G310" s="2"/>
      <c r="H310" s="10"/>
      <c r="I310" s="2"/>
      <c r="J310" s="10"/>
      <c r="K310" s="2"/>
    </row>
    <row r="311">
      <c r="A311" s="8" t="s">
        <v>34</v>
      </c>
      <c r="B311" s="9" t="s">
        <v>68</v>
      </c>
      <c r="C311" s="9" t="s">
        <v>69</v>
      </c>
      <c r="D311" s="10"/>
      <c r="E311" s="2"/>
      <c r="F311" s="10"/>
      <c r="G311" s="2"/>
      <c r="H311" s="10"/>
      <c r="I311" s="2"/>
      <c r="J311" s="10"/>
      <c r="K311" s="2"/>
    </row>
    <row r="312">
      <c r="A312" s="8" t="s">
        <v>35</v>
      </c>
      <c r="B312" s="9" t="s">
        <v>68</v>
      </c>
      <c r="C312" s="9" t="s">
        <v>69</v>
      </c>
      <c r="D312" s="10"/>
      <c r="E312" s="2" t="n">
        <f>1175</f>
        <v>1175.0</v>
      </c>
      <c r="F312" s="10"/>
      <c r="G312" s="2" t="n">
        <f>3454417400</f>
        <v>3.4544174E9</v>
      </c>
      <c r="H312" s="10"/>
      <c r="I312" s="2" t="n">
        <f>101</f>
        <v>101.0</v>
      </c>
      <c r="J312" s="10"/>
      <c r="K312" s="2" t="n">
        <f>1696</f>
        <v>1696.0</v>
      </c>
    </row>
    <row r="313">
      <c r="A313" s="8" t="s">
        <v>36</v>
      </c>
      <c r="B313" s="9" t="s">
        <v>68</v>
      </c>
      <c r="C313" s="9" t="s">
        <v>69</v>
      </c>
      <c r="D313" s="10" t="s">
        <v>21</v>
      </c>
      <c r="E313" s="2" t="n">
        <f>825</f>
        <v>825.0</v>
      </c>
      <c r="F313" s="10" t="s">
        <v>21</v>
      </c>
      <c r="G313" s="2" t="n">
        <f>2418994300</f>
        <v>2.4189943E9</v>
      </c>
      <c r="H313" s="10"/>
      <c r="I313" s="2" t="n">
        <f>73</f>
        <v>73.0</v>
      </c>
      <c r="J313" s="10"/>
      <c r="K313" s="2" t="n">
        <f>1705</f>
        <v>1705.0</v>
      </c>
    </row>
    <row r="314">
      <c r="A314" s="8" t="s">
        <v>37</v>
      </c>
      <c r="B314" s="9" t="s">
        <v>68</v>
      </c>
      <c r="C314" s="9" t="s">
        <v>69</v>
      </c>
      <c r="D314" s="10"/>
      <c r="E314" s="2" t="n">
        <f>1580</f>
        <v>1580.0</v>
      </c>
      <c r="F314" s="10"/>
      <c r="G314" s="2" t="n">
        <f>4618416300</f>
        <v>4.6184163E9</v>
      </c>
      <c r="H314" s="10"/>
      <c r="I314" s="2" t="n">
        <f>173</f>
        <v>173.0</v>
      </c>
      <c r="J314" s="10"/>
      <c r="K314" s="2" t="n">
        <f>1795</f>
        <v>1795.0</v>
      </c>
    </row>
    <row r="315">
      <c r="A315" s="8" t="s">
        <v>38</v>
      </c>
      <c r="B315" s="9" t="s">
        <v>68</v>
      </c>
      <c r="C315" s="9" t="s">
        <v>69</v>
      </c>
      <c r="D315" s="10"/>
      <c r="E315" s="2" t="n">
        <f>1962</f>
        <v>1962.0</v>
      </c>
      <c r="F315" s="10"/>
      <c r="G315" s="2" t="n">
        <f>5753989400</f>
        <v>5.7539894E9</v>
      </c>
      <c r="H315" s="10"/>
      <c r="I315" s="2" t="n">
        <f>129</f>
        <v>129.0</v>
      </c>
      <c r="J315" s="10"/>
      <c r="K315" s="2" t="n">
        <f>1708</f>
        <v>1708.0</v>
      </c>
    </row>
    <row r="316">
      <c r="A316" s="8" t="s">
        <v>39</v>
      </c>
      <c r="B316" s="9" t="s">
        <v>68</v>
      </c>
      <c r="C316" s="9" t="s">
        <v>69</v>
      </c>
      <c r="D316" s="10"/>
      <c r="E316" s="2" t="n">
        <f>831</f>
        <v>831.0</v>
      </c>
      <c r="F316" s="10"/>
      <c r="G316" s="2" t="n">
        <f>2421864300</f>
        <v>2.4218643E9</v>
      </c>
      <c r="H316" s="10" t="s">
        <v>21</v>
      </c>
      <c r="I316" s="2" t="n">
        <f>26</f>
        <v>26.0</v>
      </c>
      <c r="J316" s="10"/>
      <c r="K316" s="2" t="n">
        <f>1742</f>
        <v>1742.0</v>
      </c>
    </row>
    <row r="317">
      <c r="A317" s="8" t="s">
        <v>40</v>
      </c>
      <c r="B317" s="9" t="s">
        <v>68</v>
      </c>
      <c r="C317" s="9" t="s">
        <v>69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41</v>
      </c>
      <c r="B318" s="9" t="s">
        <v>68</v>
      </c>
      <c r="C318" s="9" t="s">
        <v>69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42</v>
      </c>
      <c r="B319" s="9" t="s">
        <v>68</v>
      </c>
      <c r="C319" s="9" t="s">
        <v>69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43</v>
      </c>
      <c r="B320" s="9" t="s">
        <v>68</v>
      </c>
      <c r="C320" s="9" t="s">
        <v>69</v>
      </c>
      <c r="D320" s="10"/>
      <c r="E320" s="2" t="n">
        <f>2494</f>
        <v>2494.0</v>
      </c>
      <c r="F320" s="10"/>
      <c r="G320" s="2" t="n">
        <f>7068505100</f>
        <v>7.0685051E9</v>
      </c>
      <c r="H320" s="10"/>
      <c r="I320" s="2" t="n">
        <f>202</f>
        <v>202.0</v>
      </c>
      <c r="J320" s="10"/>
      <c r="K320" s="2" t="n">
        <f>1337</f>
        <v>1337.0</v>
      </c>
    </row>
    <row r="321">
      <c r="A321" s="8" t="s">
        <v>44</v>
      </c>
      <c r="B321" s="9" t="s">
        <v>68</v>
      </c>
      <c r="C321" s="9" t="s">
        <v>69</v>
      </c>
      <c r="D321" s="10"/>
      <c r="E321" s="2" t="n">
        <f>5533</f>
        <v>5533.0</v>
      </c>
      <c r="F321" s="10"/>
      <c r="G321" s="2" t="n">
        <f>15245618700</f>
        <v>1.52456187E10</v>
      </c>
      <c r="H321" s="10"/>
      <c r="I321" s="2" t="n">
        <f>276</f>
        <v>276.0</v>
      </c>
      <c r="J321" s="10"/>
      <c r="K321" s="2" t="n">
        <f>1811</f>
        <v>1811.0</v>
      </c>
    </row>
    <row r="322">
      <c r="A322" s="8" t="s">
        <v>45</v>
      </c>
      <c r="B322" s="9" t="s">
        <v>68</v>
      </c>
      <c r="C322" s="9" t="s">
        <v>69</v>
      </c>
      <c r="D322" s="10"/>
      <c r="E322" s="2" t="n">
        <f>7454</f>
        <v>7454.0</v>
      </c>
      <c r="F322" s="10"/>
      <c r="G322" s="2" t="n">
        <f>20047302200</f>
        <v>2.00473022E10</v>
      </c>
      <c r="H322" s="10" t="s">
        <v>46</v>
      </c>
      <c r="I322" s="2" t="n">
        <f>568</f>
        <v>568.0</v>
      </c>
      <c r="J322" s="10"/>
      <c r="K322" s="2" t="n">
        <f>2455</f>
        <v>2455.0</v>
      </c>
    </row>
    <row r="323">
      <c r="A323" s="8" t="s">
        <v>47</v>
      </c>
      <c r="B323" s="9" t="s">
        <v>68</v>
      </c>
      <c r="C323" s="9" t="s">
        <v>69</v>
      </c>
      <c r="D323" s="10" t="s">
        <v>46</v>
      </c>
      <c r="E323" s="2" t="n">
        <f>8386</f>
        <v>8386.0</v>
      </c>
      <c r="F323" s="10" t="s">
        <v>46</v>
      </c>
      <c r="G323" s="2" t="n">
        <f>21914282400</f>
        <v>2.19142824E10</v>
      </c>
      <c r="H323" s="10"/>
      <c r="I323" s="2" t="n">
        <f>452</f>
        <v>452.0</v>
      </c>
      <c r="J323" s="10" t="s">
        <v>46</v>
      </c>
      <c r="K323" s="2" t="n">
        <f>2622</f>
        <v>2622.0</v>
      </c>
    </row>
    <row r="324">
      <c r="A324" s="8" t="s">
        <v>48</v>
      </c>
      <c r="B324" s="9" t="s">
        <v>68</v>
      </c>
      <c r="C324" s="9" t="s">
        <v>69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16</v>
      </c>
      <c r="B325" s="9" t="s">
        <v>70</v>
      </c>
      <c r="C325" s="9" t="s">
        <v>71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19</v>
      </c>
      <c r="B326" s="9" t="s">
        <v>70</v>
      </c>
      <c r="C326" s="9" t="s">
        <v>71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20</v>
      </c>
      <c r="B327" s="9" t="s">
        <v>70</v>
      </c>
      <c r="C327" s="9" t="s">
        <v>71</v>
      </c>
      <c r="D327" s="10" t="s">
        <v>21</v>
      </c>
      <c r="E327" s="2" t="str">
        <f>"－"</f>
        <v>－</v>
      </c>
      <c r="F327" s="10" t="s">
        <v>21</v>
      </c>
      <c r="G327" s="2" t="str">
        <f>"－"</f>
        <v>－</v>
      </c>
      <c r="H327" s="10" t="s">
        <v>59</v>
      </c>
      <c r="I327" s="2" t="str">
        <f>"－"</f>
        <v>－</v>
      </c>
      <c r="J327" s="10" t="s">
        <v>21</v>
      </c>
      <c r="K327" s="2" t="str">
        <f>"－"</f>
        <v>－</v>
      </c>
    </row>
    <row r="328">
      <c r="A328" s="8" t="s">
        <v>22</v>
      </c>
      <c r="B328" s="9" t="s">
        <v>70</v>
      </c>
      <c r="C328" s="9" t="s">
        <v>71</v>
      </c>
      <c r="D328" s="10"/>
      <c r="E328" s="2" t="str">
        <f>"－"</f>
        <v>－</v>
      </c>
      <c r="F328" s="10"/>
      <c r="G328" s="2" t="str">
        <f>"－"</f>
        <v>－</v>
      </c>
      <c r="H328" s="10"/>
      <c r="I328" s="2" t="str">
        <f>"－"</f>
        <v>－</v>
      </c>
      <c r="J328" s="10"/>
      <c r="K328" s="2" t="str">
        <f>"－"</f>
        <v>－</v>
      </c>
    </row>
    <row r="329">
      <c r="A329" s="8" t="s">
        <v>23</v>
      </c>
      <c r="B329" s="9" t="s">
        <v>70</v>
      </c>
      <c r="C329" s="9" t="s">
        <v>71</v>
      </c>
      <c r="D329" s="10"/>
      <c r="E329" s="2" t="str">
        <f>"－"</f>
        <v>－</v>
      </c>
      <c r="F329" s="10"/>
      <c r="G329" s="2" t="str">
        <f>"－"</f>
        <v>－</v>
      </c>
      <c r="H329" s="10"/>
      <c r="I329" s="2" t="str">
        <f>"－"</f>
        <v>－</v>
      </c>
      <c r="J329" s="10"/>
      <c r="K329" s="2" t="str">
        <f>"－"</f>
        <v>－</v>
      </c>
    </row>
    <row r="330">
      <c r="A330" s="8" t="s">
        <v>24</v>
      </c>
      <c r="B330" s="9" t="s">
        <v>70</v>
      </c>
      <c r="C330" s="9" t="s">
        <v>71</v>
      </c>
      <c r="D330" s="10"/>
      <c r="E330" s="2" t="str">
        <f>"－"</f>
        <v>－</v>
      </c>
      <c r="F330" s="10"/>
      <c r="G330" s="2" t="str">
        <f>"－"</f>
        <v>－</v>
      </c>
      <c r="H330" s="10"/>
      <c r="I330" s="2" t="str">
        <f>"－"</f>
        <v>－</v>
      </c>
      <c r="J330" s="10"/>
      <c r="K330" s="2" t="str">
        <f>"－"</f>
        <v>－</v>
      </c>
    </row>
    <row r="331">
      <c r="A331" s="8" t="s">
        <v>25</v>
      </c>
      <c r="B331" s="9" t="s">
        <v>70</v>
      </c>
      <c r="C331" s="9" t="s">
        <v>71</v>
      </c>
      <c r="D331" s="10"/>
      <c r="E331" s="2" t="str">
        <f>"－"</f>
        <v>－</v>
      </c>
      <c r="F331" s="10"/>
      <c r="G331" s="2" t="str">
        <f>"－"</f>
        <v>－</v>
      </c>
      <c r="H331" s="10"/>
      <c r="I331" s="2" t="str">
        <f>"－"</f>
        <v>－</v>
      </c>
      <c r="J331" s="10"/>
      <c r="K331" s="2" t="str">
        <f>"－"</f>
        <v>－</v>
      </c>
    </row>
    <row r="332">
      <c r="A332" s="8" t="s">
        <v>26</v>
      </c>
      <c r="B332" s="9" t="s">
        <v>70</v>
      </c>
      <c r="C332" s="9" t="s">
        <v>71</v>
      </c>
      <c r="D332" s="10"/>
      <c r="E332" s="2"/>
      <c r="F332" s="10"/>
      <c r="G332" s="2"/>
      <c r="H332" s="10"/>
      <c r="I332" s="2"/>
      <c r="J332" s="10"/>
      <c r="K332" s="2"/>
    </row>
    <row r="333">
      <c r="A333" s="8" t="s">
        <v>27</v>
      </c>
      <c r="B333" s="9" t="s">
        <v>70</v>
      </c>
      <c r="C333" s="9" t="s">
        <v>71</v>
      </c>
      <c r="D333" s="10"/>
      <c r="E333" s="2"/>
      <c r="F333" s="10"/>
      <c r="G333" s="2"/>
      <c r="H333" s="10"/>
      <c r="I333" s="2"/>
      <c r="J333" s="10"/>
      <c r="K333" s="2"/>
    </row>
    <row r="334">
      <c r="A334" s="8" t="s">
        <v>28</v>
      </c>
      <c r="B334" s="9" t="s">
        <v>70</v>
      </c>
      <c r="C334" s="9" t="s">
        <v>71</v>
      </c>
      <c r="D334" s="10"/>
      <c r="E334" s="2" t="str">
        <f>"－"</f>
        <v>－</v>
      </c>
      <c r="F334" s="10"/>
      <c r="G334" s="2" t="str">
        <f>"－"</f>
        <v>－</v>
      </c>
      <c r="H334" s="10"/>
      <c r="I334" s="2" t="str">
        <f>"－"</f>
        <v>－</v>
      </c>
      <c r="J334" s="10"/>
      <c r="K334" s="2" t="str">
        <f>"－"</f>
        <v>－</v>
      </c>
    </row>
    <row r="335">
      <c r="A335" s="8" t="s">
        <v>29</v>
      </c>
      <c r="B335" s="9" t="s">
        <v>70</v>
      </c>
      <c r="C335" s="9" t="s">
        <v>71</v>
      </c>
      <c r="D335" s="10"/>
      <c r="E335" s="2"/>
      <c r="F335" s="10"/>
      <c r="G335" s="2"/>
      <c r="H335" s="10"/>
      <c r="I335" s="2"/>
      <c r="J335" s="10"/>
      <c r="K335" s="2"/>
    </row>
    <row r="336">
      <c r="A336" s="8" t="s">
        <v>30</v>
      </c>
      <c r="B336" s="9" t="s">
        <v>70</v>
      </c>
      <c r="C336" s="9" t="s">
        <v>71</v>
      </c>
      <c r="D336" s="10"/>
      <c r="E336" s="2" t="str">
        <f>"－"</f>
        <v>－</v>
      </c>
      <c r="F336" s="10"/>
      <c r="G336" s="2" t="str">
        <f>"－"</f>
        <v>－</v>
      </c>
      <c r="H336" s="10"/>
      <c r="I336" s="2" t="str">
        <f>"－"</f>
        <v>－</v>
      </c>
      <c r="J336" s="10"/>
      <c r="K336" s="2" t="str">
        <f>"－"</f>
        <v>－</v>
      </c>
    </row>
    <row r="337">
      <c r="A337" s="8" t="s">
        <v>31</v>
      </c>
      <c r="B337" s="9" t="s">
        <v>70</v>
      </c>
      <c r="C337" s="9" t="s">
        <v>71</v>
      </c>
      <c r="D337" s="10"/>
      <c r="E337" s="2" t="str">
        <f>"－"</f>
        <v>－</v>
      </c>
      <c r="F337" s="10"/>
      <c r="G337" s="2" t="str">
        <f>"－"</f>
        <v>－</v>
      </c>
      <c r="H337" s="10"/>
      <c r="I337" s="2" t="str">
        <f>"－"</f>
        <v>－</v>
      </c>
      <c r="J337" s="10"/>
      <c r="K337" s="2" t="str">
        <f>"－"</f>
        <v>－</v>
      </c>
    </row>
    <row r="338">
      <c r="A338" s="8" t="s">
        <v>32</v>
      </c>
      <c r="B338" s="9" t="s">
        <v>70</v>
      </c>
      <c r="C338" s="9" t="s">
        <v>71</v>
      </c>
      <c r="D338" s="10" t="s">
        <v>46</v>
      </c>
      <c r="E338" s="2" t="n">
        <f>10</f>
        <v>10.0</v>
      </c>
      <c r="F338" s="10" t="s">
        <v>46</v>
      </c>
      <c r="G338" s="2" t="n">
        <f>11784000</f>
        <v>1.1784E7</v>
      </c>
      <c r="H338" s="10"/>
      <c r="I338" s="2" t="str">
        <f>"－"</f>
        <v>－</v>
      </c>
      <c r="J338" s="10" t="s">
        <v>46</v>
      </c>
      <c r="K338" s="2" t="n">
        <f>5</f>
        <v>5.0</v>
      </c>
    </row>
    <row r="339">
      <c r="A339" s="8" t="s">
        <v>33</v>
      </c>
      <c r="B339" s="9" t="s">
        <v>70</v>
      </c>
      <c r="C339" s="9" t="s">
        <v>71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34</v>
      </c>
      <c r="B340" s="9" t="s">
        <v>70</v>
      </c>
      <c r="C340" s="9" t="s">
        <v>71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35</v>
      </c>
      <c r="B341" s="9" t="s">
        <v>70</v>
      </c>
      <c r="C341" s="9" t="s">
        <v>71</v>
      </c>
      <c r="D341" s="10"/>
      <c r="E341" s="2" t="str">
        <f>"－"</f>
        <v>－</v>
      </c>
      <c r="F341" s="10"/>
      <c r="G341" s="2" t="str">
        <f>"－"</f>
        <v>－</v>
      </c>
      <c r="H341" s="10"/>
      <c r="I341" s="2" t="str">
        <f>"－"</f>
        <v>－</v>
      </c>
      <c r="J341" s="10"/>
      <c r="K341" s="2" t="n">
        <f>5</f>
        <v>5.0</v>
      </c>
    </row>
    <row r="342">
      <c r="A342" s="8" t="s">
        <v>36</v>
      </c>
      <c r="B342" s="9" t="s">
        <v>70</v>
      </c>
      <c r="C342" s="9" t="s">
        <v>71</v>
      </c>
      <c r="D342" s="10"/>
      <c r="E342" s="2" t="n">
        <f>5</f>
        <v>5.0</v>
      </c>
      <c r="F342" s="10"/>
      <c r="G342" s="2" t="n">
        <f>5844500</f>
        <v>5844500.0</v>
      </c>
      <c r="H342" s="10"/>
      <c r="I342" s="2" t="str">
        <f>"－"</f>
        <v>－</v>
      </c>
      <c r="J342" s="10"/>
      <c r="K342" s="2" t="str">
        <f>"－"</f>
        <v>－</v>
      </c>
    </row>
    <row r="343">
      <c r="A343" s="8" t="s">
        <v>37</v>
      </c>
      <c r="B343" s="9" t="s">
        <v>70</v>
      </c>
      <c r="C343" s="9" t="s">
        <v>71</v>
      </c>
      <c r="D343" s="10"/>
      <c r="E343" s="2" t="str">
        <f>"－"</f>
        <v>－</v>
      </c>
      <c r="F343" s="10"/>
      <c r="G343" s="2" t="str">
        <f>"－"</f>
        <v>－</v>
      </c>
      <c r="H343" s="10"/>
      <c r="I343" s="2" t="str">
        <f>"－"</f>
        <v>－</v>
      </c>
      <c r="J343" s="10"/>
      <c r="K343" s="2" t="str">
        <f>"－"</f>
        <v>－</v>
      </c>
    </row>
    <row r="344">
      <c r="A344" s="8" t="s">
        <v>38</v>
      </c>
      <c r="B344" s="9" t="s">
        <v>70</v>
      </c>
      <c r="C344" s="9" t="s">
        <v>71</v>
      </c>
      <c r="D344" s="10"/>
      <c r="E344" s="2" t="str">
        <f>"－"</f>
        <v>－</v>
      </c>
      <c r="F344" s="10"/>
      <c r="G344" s="2" t="str">
        <f>"－"</f>
        <v>－</v>
      </c>
      <c r="H344" s="10"/>
      <c r="I344" s="2" t="str">
        <f>"－"</f>
        <v>－</v>
      </c>
      <c r="J344" s="10"/>
      <c r="K344" s="2" t="str">
        <f>"－"</f>
        <v>－</v>
      </c>
    </row>
    <row r="345">
      <c r="A345" s="8" t="s">
        <v>39</v>
      </c>
      <c r="B345" s="9" t="s">
        <v>70</v>
      </c>
      <c r="C345" s="9" t="s">
        <v>71</v>
      </c>
      <c r="D345" s="10"/>
      <c r="E345" s="2" t="str">
        <f>"－"</f>
        <v>－</v>
      </c>
      <c r="F345" s="10"/>
      <c r="G345" s="2" t="str">
        <f>"－"</f>
        <v>－</v>
      </c>
      <c r="H345" s="10"/>
      <c r="I345" s="2" t="str">
        <f>"－"</f>
        <v>－</v>
      </c>
      <c r="J345" s="10"/>
      <c r="K345" s="2" t="str">
        <f>"－"</f>
        <v>－</v>
      </c>
    </row>
    <row r="346">
      <c r="A346" s="8" t="s">
        <v>40</v>
      </c>
      <c r="B346" s="9" t="s">
        <v>70</v>
      </c>
      <c r="C346" s="9" t="s">
        <v>71</v>
      </c>
      <c r="D346" s="10"/>
      <c r="E346" s="2"/>
      <c r="F346" s="10"/>
      <c r="G346" s="2"/>
      <c r="H346" s="10"/>
      <c r="I346" s="2"/>
      <c r="J346" s="10"/>
      <c r="K346" s="2"/>
    </row>
    <row r="347">
      <c r="A347" s="8" t="s">
        <v>41</v>
      </c>
      <c r="B347" s="9" t="s">
        <v>70</v>
      </c>
      <c r="C347" s="9" t="s">
        <v>71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42</v>
      </c>
      <c r="B348" s="9" t="s">
        <v>70</v>
      </c>
      <c r="C348" s="9" t="s">
        <v>71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43</v>
      </c>
      <c r="B349" s="9" t="s">
        <v>70</v>
      </c>
      <c r="C349" s="9" t="s">
        <v>71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44</v>
      </c>
      <c r="B350" s="9" t="s">
        <v>70</v>
      </c>
      <c r="C350" s="9" t="s">
        <v>71</v>
      </c>
      <c r="D350" s="10"/>
      <c r="E350" s="2" t="n">
        <f>10</f>
        <v>10.0</v>
      </c>
      <c r="F350" s="10"/>
      <c r="G350" s="2" t="n">
        <f>11443500</f>
        <v>1.14435E7</v>
      </c>
      <c r="H350" s="10"/>
      <c r="I350" s="2" t="str">
        <f>"－"</f>
        <v>－</v>
      </c>
      <c r="J350" s="10"/>
      <c r="K350" s="2" t="n">
        <f>5</f>
        <v>5.0</v>
      </c>
    </row>
    <row r="351">
      <c r="A351" s="8" t="s">
        <v>45</v>
      </c>
      <c r="B351" s="9" t="s">
        <v>70</v>
      </c>
      <c r="C351" s="9" t="s">
        <v>71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n">
        <f>5</f>
        <v>5.0</v>
      </c>
    </row>
    <row r="352">
      <c r="A352" s="8" t="s">
        <v>47</v>
      </c>
      <c r="B352" s="9" t="s">
        <v>70</v>
      </c>
      <c r="C352" s="9" t="s">
        <v>71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n">
        <f>5</f>
        <v>5.0</v>
      </c>
    </row>
    <row r="353">
      <c r="A353" s="8" t="s">
        <v>48</v>
      </c>
      <c r="B353" s="9" t="s">
        <v>70</v>
      </c>
      <c r="C353" s="9" t="s">
        <v>71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16</v>
      </c>
      <c r="B354" s="9" t="s">
        <v>72</v>
      </c>
      <c r="C354" s="9" t="s">
        <v>73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19</v>
      </c>
      <c r="B355" s="9" t="s">
        <v>72</v>
      </c>
      <c r="C355" s="9" t="s">
        <v>73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20</v>
      </c>
      <c r="B356" s="9" t="s">
        <v>72</v>
      </c>
      <c r="C356" s="9" t="s">
        <v>73</v>
      </c>
      <c r="D356" s="10" t="s">
        <v>59</v>
      </c>
      <c r="E356" s="2" t="str">
        <f>"－"</f>
        <v>－</v>
      </c>
      <c r="F356" s="10" t="s">
        <v>59</v>
      </c>
      <c r="G356" s="2" t="str">
        <f>"－"</f>
        <v>－</v>
      </c>
      <c r="H356" s="10" t="s">
        <v>59</v>
      </c>
      <c r="I356" s="2" t="str">
        <f>"－"</f>
        <v>－</v>
      </c>
      <c r="J356" s="10" t="s">
        <v>59</v>
      </c>
      <c r="K356" s="2" t="str">
        <f>"－"</f>
        <v>－</v>
      </c>
    </row>
    <row r="357">
      <c r="A357" s="8" t="s">
        <v>22</v>
      </c>
      <c r="B357" s="9" t="s">
        <v>72</v>
      </c>
      <c r="C357" s="9" t="s">
        <v>73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str">
        <f>"－"</f>
        <v>－</v>
      </c>
    </row>
    <row r="358">
      <c r="A358" s="8" t="s">
        <v>23</v>
      </c>
      <c r="B358" s="9" t="s">
        <v>72</v>
      </c>
      <c r="C358" s="9" t="s">
        <v>73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24</v>
      </c>
      <c r="B359" s="9" t="s">
        <v>72</v>
      </c>
      <c r="C359" s="9" t="s">
        <v>73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25</v>
      </c>
      <c r="B360" s="9" t="s">
        <v>72</v>
      </c>
      <c r="C360" s="9" t="s">
        <v>73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26</v>
      </c>
      <c r="B361" s="9" t="s">
        <v>72</v>
      </c>
      <c r="C361" s="9" t="s">
        <v>73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27</v>
      </c>
      <c r="B362" s="9" t="s">
        <v>72</v>
      </c>
      <c r="C362" s="9" t="s">
        <v>73</v>
      </c>
      <c r="D362" s="10"/>
      <c r="E362" s="2"/>
      <c r="F362" s="10"/>
      <c r="G362" s="2"/>
      <c r="H362" s="10"/>
      <c r="I362" s="2"/>
      <c r="J362" s="10"/>
      <c r="K362" s="2"/>
    </row>
    <row r="363">
      <c r="A363" s="8" t="s">
        <v>28</v>
      </c>
      <c r="B363" s="9" t="s">
        <v>72</v>
      </c>
      <c r="C363" s="9" t="s">
        <v>73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29</v>
      </c>
      <c r="B364" s="9" t="s">
        <v>72</v>
      </c>
      <c r="C364" s="9" t="s">
        <v>73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30</v>
      </c>
      <c r="B365" s="9" t="s">
        <v>72</v>
      </c>
      <c r="C365" s="9" t="s">
        <v>73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31</v>
      </c>
      <c r="B366" s="9" t="s">
        <v>72</v>
      </c>
      <c r="C366" s="9" t="s">
        <v>73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str">
        <f>"－"</f>
        <v>－</v>
      </c>
    </row>
    <row r="367">
      <c r="A367" s="8" t="s">
        <v>32</v>
      </c>
      <c r="B367" s="9" t="s">
        <v>72</v>
      </c>
      <c r="C367" s="9" t="s">
        <v>73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33</v>
      </c>
      <c r="B368" s="9" t="s">
        <v>72</v>
      </c>
      <c r="C368" s="9" t="s">
        <v>73</v>
      </c>
      <c r="D368" s="10"/>
      <c r="E368" s="2"/>
      <c r="F368" s="10"/>
      <c r="G368" s="2"/>
      <c r="H368" s="10"/>
      <c r="I368" s="2"/>
      <c r="J368" s="10"/>
      <c r="K368" s="2"/>
    </row>
    <row r="369">
      <c r="A369" s="8" t="s">
        <v>34</v>
      </c>
      <c r="B369" s="9" t="s">
        <v>72</v>
      </c>
      <c r="C369" s="9" t="s">
        <v>73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35</v>
      </c>
      <c r="B370" s="9" t="s">
        <v>72</v>
      </c>
      <c r="C370" s="9" t="s">
        <v>73</v>
      </c>
      <c r="D370" s="10"/>
      <c r="E370" s="2" t="str">
        <f>"－"</f>
        <v>－</v>
      </c>
      <c r="F370" s="10"/>
      <c r="G370" s="2" t="str">
        <f>"－"</f>
        <v>－</v>
      </c>
      <c r="H370" s="10"/>
      <c r="I370" s="2" t="str">
        <f>"－"</f>
        <v>－</v>
      </c>
      <c r="J370" s="10"/>
      <c r="K370" s="2" t="str">
        <f>"－"</f>
        <v>－</v>
      </c>
    </row>
    <row r="371">
      <c r="A371" s="8" t="s">
        <v>36</v>
      </c>
      <c r="B371" s="9" t="s">
        <v>72</v>
      </c>
      <c r="C371" s="9" t="s">
        <v>73</v>
      </c>
      <c r="D371" s="10"/>
      <c r="E371" s="2" t="str">
        <f>"－"</f>
        <v>－</v>
      </c>
      <c r="F371" s="10"/>
      <c r="G371" s="2" t="str">
        <f>"－"</f>
        <v>－</v>
      </c>
      <c r="H371" s="10"/>
      <c r="I371" s="2" t="str">
        <f>"－"</f>
        <v>－</v>
      </c>
      <c r="J371" s="10"/>
      <c r="K371" s="2" t="str">
        <f>"－"</f>
        <v>－</v>
      </c>
    </row>
    <row r="372">
      <c r="A372" s="8" t="s">
        <v>37</v>
      </c>
      <c r="B372" s="9" t="s">
        <v>72</v>
      </c>
      <c r="C372" s="9" t="s">
        <v>73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38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39</v>
      </c>
      <c r="B374" s="9" t="s">
        <v>72</v>
      </c>
      <c r="C374" s="9" t="s">
        <v>73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40</v>
      </c>
      <c r="B375" s="9" t="s">
        <v>72</v>
      </c>
      <c r="C375" s="9" t="s">
        <v>73</v>
      </c>
      <c r="D375" s="10"/>
      <c r="E375" s="2"/>
      <c r="F375" s="10"/>
      <c r="G375" s="2"/>
      <c r="H375" s="10"/>
      <c r="I375" s="2"/>
      <c r="J375" s="10"/>
      <c r="K375" s="2"/>
    </row>
    <row r="376">
      <c r="A376" s="8" t="s">
        <v>41</v>
      </c>
      <c r="B376" s="9" t="s">
        <v>72</v>
      </c>
      <c r="C376" s="9" t="s">
        <v>73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42</v>
      </c>
      <c r="B377" s="9" t="s">
        <v>72</v>
      </c>
      <c r="C377" s="9" t="s">
        <v>73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43</v>
      </c>
      <c r="B378" s="9" t="s">
        <v>72</v>
      </c>
      <c r="C378" s="9" t="s">
        <v>73</v>
      </c>
      <c r="D378" s="10"/>
      <c r="E378" s="2" t="str">
        <f>"－"</f>
        <v>－</v>
      </c>
      <c r="F378" s="10"/>
      <c r="G378" s="2" t="str">
        <f>"－"</f>
        <v>－</v>
      </c>
      <c r="H378" s="10"/>
      <c r="I378" s="2" t="str">
        <f>"－"</f>
        <v>－</v>
      </c>
      <c r="J378" s="10"/>
      <c r="K378" s="2" t="str">
        <f>"－"</f>
        <v>－</v>
      </c>
    </row>
    <row r="379">
      <c r="A379" s="8" t="s">
        <v>44</v>
      </c>
      <c r="B379" s="9" t="s">
        <v>72</v>
      </c>
      <c r="C379" s="9" t="s">
        <v>73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45</v>
      </c>
      <c r="B380" s="9" t="s">
        <v>72</v>
      </c>
      <c r="C380" s="9" t="s">
        <v>73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47</v>
      </c>
      <c r="B381" s="9" t="s">
        <v>72</v>
      </c>
      <c r="C381" s="9" t="s">
        <v>73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48</v>
      </c>
      <c r="B382" s="9" t="s">
        <v>72</v>
      </c>
      <c r="C382" s="9" t="s">
        <v>73</v>
      </c>
      <c r="D382" s="10"/>
      <c r="E382" s="2"/>
      <c r="F382" s="10"/>
      <c r="G382" s="2"/>
      <c r="H382" s="10"/>
      <c r="I382" s="2"/>
      <c r="J382" s="10"/>
      <c r="K382" s="2"/>
    </row>
    <row r="383">
      <c r="A383" s="8" t="s">
        <v>16</v>
      </c>
      <c r="B383" s="9" t="s">
        <v>74</v>
      </c>
      <c r="C383" s="9" t="s">
        <v>75</v>
      </c>
      <c r="D383" s="10"/>
      <c r="E383" s="2"/>
      <c r="F383" s="10"/>
      <c r="G383" s="2"/>
      <c r="H383" s="10"/>
      <c r="I383" s="2"/>
      <c r="J383" s="10"/>
      <c r="K383" s="2"/>
    </row>
    <row r="384">
      <c r="A384" s="8" t="s">
        <v>19</v>
      </c>
      <c r="B384" s="9" t="s">
        <v>74</v>
      </c>
      <c r="C384" s="9" t="s">
        <v>75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20</v>
      </c>
      <c r="B385" s="9" t="s">
        <v>74</v>
      </c>
      <c r="C385" s="9" t="s">
        <v>75</v>
      </c>
      <c r="D385" s="10" t="s">
        <v>21</v>
      </c>
      <c r="E385" s="2" t="str">
        <f>"－"</f>
        <v>－</v>
      </c>
      <c r="F385" s="10" t="s">
        <v>21</v>
      </c>
      <c r="G385" s="2" t="str">
        <f>"－"</f>
        <v>－</v>
      </c>
      <c r="H385" s="10" t="s">
        <v>59</v>
      </c>
      <c r="I385" s="2" t="str">
        <f>"－"</f>
        <v>－</v>
      </c>
      <c r="J385" s="10" t="s">
        <v>46</v>
      </c>
      <c r="K385" s="2" t="n">
        <f>27759</f>
        <v>27759.0</v>
      </c>
    </row>
    <row r="386">
      <c r="A386" s="8" t="s">
        <v>22</v>
      </c>
      <c r="B386" s="9" t="s">
        <v>74</v>
      </c>
      <c r="C386" s="9" t="s">
        <v>75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n">
        <f>27759</f>
        <v>27759.0</v>
      </c>
    </row>
    <row r="387">
      <c r="A387" s="8" t="s">
        <v>23</v>
      </c>
      <c r="B387" s="9" t="s">
        <v>74</v>
      </c>
      <c r="C387" s="9" t="s">
        <v>75</v>
      </c>
      <c r="D387" s="10" t="s">
        <v>46</v>
      </c>
      <c r="E387" s="2" t="n">
        <f>2</f>
        <v>2.0</v>
      </c>
      <c r="F387" s="10" t="s">
        <v>46</v>
      </c>
      <c r="G387" s="2" t="n">
        <f>909000</f>
        <v>909000.0</v>
      </c>
      <c r="H387" s="10"/>
      <c r="I387" s="2" t="str">
        <f>"－"</f>
        <v>－</v>
      </c>
      <c r="J387" s="10" t="s">
        <v>21</v>
      </c>
      <c r="K387" s="2" t="n">
        <f>27757</f>
        <v>27757.0</v>
      </c>
    </row>
    <row r="388">
      <c r="A388" s="8" t="s">
        <v>24</v>
      </c>
      <c r="B388" s="9" t="s">
        <v>74</v>
      </c>
      <c r="C388" s="9" t="s">
        <v>75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n">
        <f>27757</f>
        <v>27757.0</v>
      </c>
    </row>
    <row r="389">
      <c r="A389" s="8" t="s">
        <v>25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n">
        <f>27757</f>
        <v>27757.0</v>
      </c>
    </row>
    <row r="390">
      <c r="A390" s="8" t="s">
        <v>26</v>
      </c>
      <c r="B390" s="9" t="s">
        <v>74</v>
      </c>
      <c r="C390" s="9" t="s">
        <v>75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27</v>
      </c>
      <c r="B391" s="9" t="s">
        <v>74</v>
      </c>
      <c r="C391" s="9" t="s">
        <v>75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28</v>
      </c>
      <c r="B392" s="9" t="s">
        <v>74</v>
      </c>
      <c r="C392" s="9" t="s">
        <v>75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n">
        <f>27757</f>
        <v>27757.0</v>
      </c>
    </row>
    <row r="393">
      <c r="A393" s="8" t="s">
        <v>29</v>
      </c>
      <c r="B393" s="9" t="s">
        <v>74</v>
      </c>
      <c r="C393" s="9" t="s">
        <v>75</v>
      </c>
      <c r="D393" s="10"/>
      <c r="E393" s="2"/>
      <c r="F393" s="10"/>
      <c r="G393" s="2"/>
      <c r="H393" s="10"/>
      <c r="I393" s="2"/>
      <c r="J393" s="10"/>
      <c r="K393" s="2"/>
    </row>
    <row r="394">
      <c r="A394" s="8" t="s">
        <v>30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n">
        <f>27757</f>
        <v>27757.0</v>
      </c>
    </row>
    <row r="395">
      <c r="A395" s="8" t="s">
        <v>31</v>
      </c>
      <c r="B395" s="9" t="s">
        <v>74</v>
      </c>
      <c r="C395" s="9" t="s">
        <v>75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n">
        <f>27757</f>
        <v>27757.0</v>
      </c>
    </row>
    <row r="396">
      <c r="A396" s="8" t="s">
        <v>32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n">
        <f>27757</f>
        <v>27757.0</v>
      </c>
    </row>
    <row r="397">
      <c r="A397" s="8" t="s">
        <v>33</v>
      </c>
      <c r="B397" s="9" t="s">
        <v>74</v>
      </c>
      <c r="C397" s="9" t="s">
        <v>75</v>
      </c>
      <c r="D397" s="10"/>
      <c r="E397" s="2"/>
      <c r="F397" s="10"/>
      <c r="G397" s="2"/>
      <c r="H397" s="10"/>
      <c r="I397" s="2"/>
      <c r="J397" s="10"/>
      <c r="K397" s="2"/>
    </row>
    <row r="398">
      <c r="A398" s="8" t="s">
        <v>34</v>
      </c>
      <c r="B398" s="9" t="s">
        <v>74</v>
      </c>
      <c r="C398" s="9" t="s">
        <v>75</v>
      </c>
      <c r="D398" s="10"/>
      <c r="E398" s="2"/>
      <c r="F398" s="10"/>
      <c r="G398" s="2"/>
      <c r="H398" s="10"/>
      <c r="I398" s="2"/>
      <c r="J398" s="10"/>
      <c r="K398" s="2"/>
    </row>
    <row r="399">
      <c r="A399" s="8" t="s">
        <v>35</v>
      </c>
      <c r="B399" s="9" t="s">
        <v>74</v>
      </c>
      <c r="C399" s="9" t="s">
        <v>75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n">
        <f>27757</f>
        <v>27757.0</v>
      </c>
    </row>
    <row r="400">
      <c r="A400" s="8" t="s">
        <v>36</v>
      </c>
      <c r="B400" s="9" t="s">
        <v>74</v>
      </c>
      <c r="C400" s="9" t="s">
        <v>75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n">
        <f>27757</f>
        <v>27757.0</v>
      </c>
    </row>
    <row r="401">
      <c r="A401" s="8" t="s">
        <v>37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n">
        <f>27757</f>
        <v>27757.0</v>
      </c>
    </row>
    <row r="402">
      <c r="A402" s="8" t="s">
        <v>38</v>
      </c>
      <c r="B402" s="9" t="s">
        <v>74</v>
      </c>
      <c r="C402" s="9" t="s">
        <v>75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n">
        <f>27757</f>
        <v>27757.0</v>
      </c>
    </row>
    <row r="403">
      <c r="A403" s="8" t="s">
        <v>39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n">
        <f>27757</f>
        <v>27757.0</v>
      </c>
    </row>
    <row r="404">
      <c r="A404" s="8" t="s">
        <v>40</v>
      </c>
      <c r="B404" s="9" t="s">
        <v>74</v>
      </c>
      <c r="C404" s="9" t="s">
        <v>75</v>
      </c>
      <c r="D404" s="10"/>
      <c r="E404" s="2"/>
      <c r="F404" s="10"/>
      <c r="G404" s="2"/>
      <c r="H404" s="10"/>
      <c r="I404" s="2"/>
      <c r="J404" s="10"/>
      <c r="K404" s="2"/>
    </row>
    <row r="405">
      <c r="A405" s="8" t="s">
        <v>41</v>
      </c>
      <c r="B405" s="9" t="s">
        <v>74</v>
      </c>
      <c r="C405" s="9" t="s">
        <v>75</v>
      </c>
      <c r="D405" s="10"/>
      <c r="E405" s="2"/>
      <c r="F405" s="10"/>
      <c r="G405" s="2"/>
      <c r="H405" s="10"/>
      <c r="I405" s="2"/>
      <c r="J405" s="10"/>
      <c r="K405" s="2"/>
    </row>
    <row r="406">
      <c r="A406" s="8" t="s">
        <v>42</v>
      </c>
      <c r="B406" s="9" t="s">
        <v>74</v>
      </c>
      <c r="C406" s="9" t="s">
        <v>75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43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n">
        <f>27757</f>
        <v>27757.0</v>
      </c>
    </row>
    <row r="408">
      <c r="A408" s="8" t="s">
        <v>44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n">
        <f>27757</f>
        <v>27757.0</v>
      </c>
    </row>
    <row r="409">
      <c r="A409" s="8" t="s">
        <v>45</v>
      </c>
      <c r="B409" s="9" t="s">
        <v>74</v>
      </c>
      <c r="C409" s="9" t="s">
        <v>75</v>
      </c>
      <c r="D409" s="10"/>
      <c r="E409" s="2" t="str">
        <f>"－"</f>
        <v>－</v>
      </c>
      <c r="F409" s="10"/>
      <c r="G409" s="2" t="str">
        <f>"－"</f>
        <v>－</v>
      </c>
      <c r="H409" s="10"/>
      <c r="I409" s="2" t="str">
        <f>"－"</f>
        <v>－</v>
      </c>
      <c r="J409" s="10"/>
      <c r="K409" s="2" t="n">
        <f>27757</f>
        <v>27757.0</v>
      </c>
    </row>
    <row r="410">
      <c r="A410" s="8" t="s">
        <v>47</v>
      </c>
      <c r="B410" s="9" t="s">
        <v>74</v>
      </c>
      <c r="C410" s="9" t="s">
        <v>75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27757</f>
        <v>27757.0</v>
      </c>
    </row>
    <row r="411">
      <c r="A411" s="8" t="s">
        <v>48</v>
      </c>
      <c r="B411" s="9" t="s">
        <v>74</v>
      </c>
      <c r="C411" s="9" t="s">
        <v>75</v>
      </c>
      <c r="D411" s="10"/>
      <c r="E411" s="2"/>
      <c r="F411" s="10"/>
      <c r="G411" s="2"/>
      <c r="H411" s="10"/>
      <c r="I411" s="2"/>
      <c r="J411" s="10"/>
      <c r="K411" s="2"/>
    </row>
    <row r="412">
      <c r="A412" s="8" t="s">
        <v>16</v>
      </c>
      <c r="B412" s="9" t="s">
        <v>76</v>
      </c>
      <c r="C412" s="9" t="s">
        <v>77</v>
      </c>
      <c r="D412" s="10"/>
      <c r="E412" s="2"/>
      <c r="F412" s="10"/>
      <c r="G412" s="2"/>
      <c r="H412" s="10"/>
      <c r="I412" s="2"/>
      <c r="J412" s="10"/>
      <c r="K412" s="2"/>
    </row>
    <row r="413">
      <c r="A413" s="8" t="s">
        <v>19</v>
      </c>
      <c r="B413" s="9" t="s">
        <v>76</v>
      </c>
      <c r="C413" s="9" t="s">
        <v>77</v>
      </c>
      <c r="D413" s="10"/>
      <c r="E413" s="2"/>
      <c r="F413" s="10"/>
      <c r="G413" s="2"/>
      <c r="H413" s="10"/>
      <c r="I413" s="2"/>
      <c r="J413" s="10"/>
      <c r="K413" s="2"/>
    </row>
    <row r="414">
      <c r="A414" s="8" t="s">
        <v>20</v>
      </c>
      <c r="B414" s="9" t="s">
        <v>76</v>
      </c>
      <c r="C414" s="9" t="s">
        <v>77</v>
      </c>
      <c r="D414" s="10" t="s">
        <v>59</v>
      </c>
      <c r="E414" s="2" t="str">
        <f>"－"</f>
        <v>－</v>
      </c>
      <c r="F414" s="10" t="s">
        <v>59</v>
      </c>
      <c r="G414" s="2" t="str">
        <f>"－"</f>
        <v>－</v>
      </c>
      <c r="H414" s="10" t="s">
        <v>59</v>
      </c>
      <c r="I414" s="2" t="str">
        <f>"－"</f>
        <v>－</v>
      </c>
      <c r="J414" s="10" t="s">
        <v>59</v>
      </c>
      <c r="K414" s="2" t="str">
        <f>"－"</f>
        <v>－</v>
      </c>
    </row>
    <row r="415">
      <c r="A415" s="8" t="s">
        <v>22</v>
      </c>
      <c r="B415" s="9" t="s">
        <v>76</v>
      </c>
      <c r="C415" s="9" t="s">
        <v>77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str">
        <f>"－"</f>
        <v>－</v>
      </c>
    </row>
    <row r="416">
      <c r="A416" s="8" t="s">
        <v>23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str">
        <f>"－"</f>
        <v>－</v>
      </c>
    </row>
    <row r="417">
      <c r="A417" s="8" t="s">
        <v>24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str">
        <f>"－"</f>
        <v>－</v>
      </c>
    </row>
    <row r="418">
      <c r="A418" s="8" t="s">
        <v>25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str">
        <f>"－"</f>
        <v>－</v>
      </c>
    </row>
    <row r="419">
      <c r="A419" s="8" t="s">
        <v>26</v>
      </c>
      <c r="B419" s="9" t="s">
        <v>76</v>
      </c>
      <c r="C419" s="9" t="s">
        <v>77</v>
      </c>
      <c r="D419" s="10"/>
      <c r="E419" s="2"/>
      <c r="F419" s="10"/>
      <c r="G419" s="2"/>
      <c r="H419" s="10"/>
      <c r="I419" s="2"/>
      <c r="J419" s="10"/>
      <c r="K419" s="2"/>
    </row>
    <row r="420">
      <c r="A420" s="8" t="s">
        <v>27</v>
      </c>
      <c r="B420" s="9" t="s">
        <v>76</v>
      </c>
      <c r="C420" s="9" t="s">
        <v>77</v>
      </c>
      <c r="D420" s="10"/>
      <c r="E420" s="2"/>
      <c r="F420" s="10"/>
      <c r="G420" s="2"/>
      <c r="H420" s="10"/>
      <c r="I420" s="2"/>
      <c r="J420" s="10"/>
      <c r="K420" s="2"/>
    </row>
    <row r="421">
      <c r="A421" s="8" t="s">
        <v>28</v>
      </c>
      <c r="B421" s="9" t="s">
        <v>76</v>
      </c>
      <c r="C421" s="9" t="s">
        <v>77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str">
        <f>"－"</f>
        <v>－</v>
      </c>
    </row>
    <row r="422">
      <c r="A422" s="8" t="s">
        <v>29</v>
      </c>
      <c r="B422" s="9" t="s">
        <v>76</v>
      </c>
      <c r="C422" s="9" t="s">
        <v>77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30</v>
      </c>
      <c r="B423" s="9" t="s">
        <v>76</v>
      </c>
      <c r="C423" s="9" t="s">
        <v>77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str">
        <f>"－"</f>
        <v>－</v>
      </c>
    </row>
    <row r="424">
      <c r="A424" s="8" t="s">
        <v>31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str">
        <f>"－"</f>
        <v>－</v>
      </c>
    </row>
    <row r="425">
      <c r="A425" s="8" t="s">
        <v>32</v>
      </c>
      <c r="B425" s="9" t="s">
        <v>76</v>
      </c>
      <c r="C425" s="9" t="s">
        <v>77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str">
        <f>"－"</f>
        <v>－</v>
      </c>
    </row>
    <row r="426">
      <c r="A426" s="8" t="s">
        <v>33</v>
      </c>
      <c r="B426" s="9" t="s">
        <v>76</v>
      </c>
      <c r="C426" s="9" t="s">
        <v>77</v>
      </c>
      <c r="D426" s="10"/>
      <c r="E426" s="2"/>
      <c r="F426" s="10"/>
      <c r="G426" s="2"/>
      <c r="H426" s="10"/>
      <c r="I426" s="2"/>
      <c r="J426" s="10"/>
      <c r="K426" s="2"/>
    </row>
    <row r="427">
      <c r="A427" s="8" t="s">
        <v>34</v>
      </c>
      <c r="B427" s="9" t="s">
        <v>76</v>
      </c>
      <c r="C427" s="9" t="s">
        <v>77</v>
      </c>
      <c r="D427" s="10"/>
      <c r="E427" s="2"/>
      <c r="F427" s="10"/>
      <c r="G427" s="2"/>
      <c r="H427" s="10"/>
      <c r="I427" s="2"/>
      <c r="J427" s="10"/>
      <c r="K427" s="2"/>
    </row>
    <row r="428">
      <c r="A428" s="8" t="s">
        <v>35</v>
      </c>
      <c r="B428" s="9" t="s">
        <v>76</v>
      </c>
      <c r="C428" s="9" t="s">
        <v>77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str">
        <f>"－"</f>
        <v>－</v>
      </c>
    </row>
    <row r="429">
      <c r="A429" s="8" t="s">
        <v>36</v>
      </c>
      <c r="B429" s="9" t="s">
        <v>76</v>
      </c>
      <c r="C429" s="9" t="s">
        <v>77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str">
        <f>"－"</f>
        <v>－</v>
      </c>
    </row>
    <row r="430">
      <c r="A430" s="8" t="s">
        <v>37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str">
        <f>"－"</f>
        <v>－</v>
      </c>
    </row>
    <row r="431">
      <c r="A431" s="8" t="s">
        <v>38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str">
        <f>"－"</f>
        <v>－</v>
      </c>
    </row>
    <row r="432">
      <c r="A432" s="8" t="s">
        <v>39</v>
      </c>
      <c r="B432" s="9" t="s">
        <v>76</v>
      </c>
      <c r="C432" s="9" t="s">
        <v>77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str">
        <f>"－"</f>
        <v>－</v>
      </c>
    </row>
    <row r="433">
      <c r="A433" s="8" t="s">
        <v>40</v>
      </c>
      <c r="B433" s="9" t="s">
        <v>76</v>
      </c>
      <c r="C433" s="9" t="s">
        <v>77</v>
      </c>
      <c r="D433" s="10"/>
      <c r="E433" s="2"/>
      <c r="F433" s="10"/>
      <c r="G433" s="2"/>
      <c r="H433" s="10"/>
      <c r="I433" s="2"/>
      <c r="J433" s="10"/>
      <c r="K433" s="2"/>
    </row>
    <row r="434">
      <c r="A434" s="8" t="s">
        <v>41</v>
      </c>
      <c r="B434" s="9" t="s">
        <v>76</v>
      </c>
      <c r="C434" s="9" t="s">
        <v>77</v>
      </c>
      <c r="D434" s="10"/>
      <c r="E434" s="2"/>
      <c r="F434" s="10"/>
      <c r="G434" s="2"/>
      <c r="H434" s="10"/>
      <c r="I434" s="2"/>
      <c r="J434" s="10"/>
      <c r="K434" s="2"/>
    </row>
    <row r="435">
      <c r="A435" s="8" t="s">
        <v>42</v>
      </c>
      <c r="B435" s="9" t="s">
        <v>76</v>
      </c>
      <c r="C435" s="9" t="s">
        <v>77</v>
      </c>
      <c r="D435" s="10"/>
      <c r="E435" s="2"/>
      <c r="F435" s="10"/>
      <c r="G435" s="2"/>
      <c r="H435" s="10"/>
      <c r="I435" s="2"/>
      <c r="J435" s="10"/>
      <c r="K435" s="2"/>
    </row>
    <row r="436">
      <c r="A436" s="8" t="s">
        <v>43</v>
      </c>
      <c r="B436" s="9" t="s">
        <v>76</v>
      </c>
      <c r="C436" s="9" t="s">
        <v>77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str">
        <f>"－"</f>
        <v>－</v>
      </c>
    </row>
    <row r="437">
      <c r="A437" s="8" t="s">
        <v>44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str">
        <f>"－"</f>
        <v>－</v>
      </c>
    </row>
    <row r="438">
      <c r="A438" s="8" t="s">
        <v>45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str">
        <f>"－"</f>
        <v>－</v>
      </c>
    </row>
    <row r="439">
      <c r="A439" s="8" t="s">
        <v>47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str">
        <f>"－"</f>
        <v>－</v>
      </c>
    </row>
    <row r="440">
      <c r="A440" s="8" t="s">
        <v>48</v>
      </c>
      <c r="B440" s="9" t="s">
        <v>76</v>
      </c>
      <c r="C440" s="9" t="s">
        <v>77</v>
      </c>
      <c r="D440" s="10"/>
      <c r="E440" s="2"/>
      <c r="F440" s="10"/>
      <c r="G440" s="2"/>
      <c r="H440" s="10"/>
      <c r="I440" s="2"/>
      <c r="J440" s="10"/>
      <c r="K440" s="2"/>
    </row>
    <row r="441">
      <c r="A441" s="8" t="s">
        <v>16</v>
      </c>
      <c r="B441" s="9" t="s">
        <v>78</v>
      </c>
      <c r="C441" s="9" t="s">
        <v>79</v>
      </c>
      <c r="D441" s="10"/>
      <c r="E441" s="2"/>
      <c r="F441" s="10"/>
      <c r="G441" s="2"/>
      <c r="H441" s="10"/>
      <c r="I441" s="2"/>
      <c r="J441" s="10"/>
      <c r="K441" s="2"/>
    </row>
    <row r="442">
      <c r="A442" s="8" t="s">
        <v>19</v>
      </c>
      <c r="B442" s="9" t="s">
        <v>78</v>
      </c>
      <c r="C442" s="9" t="s">
        <v>79</v>
      </c>
      <c r="D442" s="10"/>
      <c r="E442" s="2"/>
      <c r="F442" s="10"/>
      <c r="G442" s="2"/>
      <c r="H442" s="10"/>
      <c r="I442" s="2"/>
      <c r="J442" s="10"/>
      <c r="K442" s="2"/>
    </row>
    <row r="443">
      <c r="A443" s="8" t="s">
        <v>20</v>
      </c>
      <c r="B443" s="9" t="s">
        <v>78</v>
      </c>
      <c r="C443" s="9" t="s">
        <v>79</v>
      </c>
      <c r="D443" s="10" t="s">
        <v>59</v>
      </c>
      <c r="E443" s="2" t="str">
        <f>"－"</f>
        <v>－</v>
      </c>
      <c r="F443" s="10" t="s">
        <v>59</v>
      </c>
      <c r="G443" s="2" t="str">
        <f>"－"</f>
        <v>－</v>
      </c>
      <c r="H443" s="10" t="s">
        <v>59</v>
      </c>
      <c r="I443" s="2" t="str">
        <f>"－"</f>
        <v>－</v>
      </c>
      <c r="J443" s="10" t="s">
        <v>59</v>
      </c>
      <c r="K443" s="2" t="str">
        <f>"－"</f>
        <v>－</v>
      </c>
    </row>
    <row r="444">
      <c r="A444" s="8" t="s">
        <v>22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23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24</v>
      </c>
      <c r="B446" s="9" t="s">
        <v>78</v>
      </c>
      <c r="C446" s="9" t="s">
        <v>79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25</v>
      </c>
      <c r="B447" s="9" t="s">
        <v>78</v>
      </c>
      <c r="C447" s="9" t="s">
        <v>79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26</v>
      </c>
      <c r="B448" s="9" t="s">
        <v>78</v>
      </c>
      <c r="C448" s="9" t="s">
        <v>79</v>
      </c>
      <c r="D448" s="10"/>
      <c r="E448" s="2"/>
      <c r="F448" s="10"/>
      <c r="G448" s="2"/>
      <c r="H448" s="10"/>
      <c r="I448" s="2"/>
      <c r="J448" s="10"/>
      <c r="K448" s="2"/>
    </row>
    <row r="449">
      <c r="A449" s="8" t="s">
        <v>27</v>
      </c>
      <c r="B449" s="9" t="s">
        <v>78</v>
      </c>
      <c r="C449" s="9" t="s">
        <v>79</v>
      </c>
      <c r="D449" s="10"/>
      <c r="E449" s="2"/>
      <c r="F449" s="10"/>
      <c r="G449" s="2"/>
      <c r="H449" s="10"/>
      <c r="I449" s="2"/>
      <c r="J449" s="10"/>
      <c r="K449" s="2"/>
    </row>
    <row r="450">
      <c r="A450" s="8" t="s">
        <v>28</v>
      </c>
      <c r="B450" s="9" t="s">
        <v>78</v>
      </c>
      <c r="C450" s="9" t="s">
        <v>79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29</v>
      </c>
      <c r="B451" s="9" t="s">
        <v>78</v>
      </c>
      <c r="C451" s="9" t="s">
        <v>79</v>
      </c>
      <c r="D451" s="10"/>
      <c r="E451" s="2"/>
      <c r="F451" s="10"/>
      <c r="G451" s="2"/>
      <c r="H451" s="10"/>
      <c r="I451" s="2"/>
      <c r="J451" s="10"/>
      <c r="K451" s="2"/>
    </row>
    <row r="452">
      <c r="A452" s="8" t="s">
        <v>30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31</v>
      </c>
      <c r="B453" s="9" t="s">
        <v>78</v>
      </c>
      <c r="C453" s="9" t="s">
        <v>79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32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33</v>
      </c>
      <c r="B455" s="9" t="s">
        <v>78</v>
      </c>
      <c r="C455" s="9" t="s">
        <v>79</v>
      </c>
      <c r="D455" s="10"/>
      <c r="E455" s="2"/>
      <c r="F455" s="10"/>
      <c r="G455" s="2"/>
      <c r="H455" s="10"/>
      <c r="I455" s="2"/>
      <c r="J455" s="10"/>
      <c r="K455" s="2"/>
    </row>
    <row r="456">
      <c r="A456" s="8" t="s">
        <v>34</v>
      </c>
      <c r="B456" s="9" t="s">
        <v>78</v>
      </c>
      <c r="C456" s="9" t="s">
        <v>79</v>
      </c>
      <c r="D456" s="10"/>
      <c r="E456" s="2"/>
      <c r="F456" s="10"/>
      <c r="G456" s="2"/>
      <c r="H456" s="10"/>
      <c r="I456" s="2"/>
      <c r="J456" s="10"/>
      <c r="K456" s="2"/>
    </row>
    <row r="457">
      <c r="A457" s="8" t="s">
        <v>35</v>
      </c>
      <c r="B457" s="9" t="s">
        <v>78</v>
      </c>
      <c r="C457" s="9" t="s">
        <v>79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36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37</v>
      </c>
      <c r="B459" s="9" t="s">
        <v>78</v>
      </c>
      <c r="C459" s="9" t="s">
        <v>79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38</v>
      </c>
      <c r="B460" s="9" t="s">
        <v>78</v>
      </c>
      <c r="C460" s="9" t="s">
        <v>79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39</v>
      </c>
      <c r="B461" s="9" t="s">
        <v>78</v>
      </c>
      <c r="C461" s="9" t="s">
        <v>79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40</v>
      </c>
      <c r="B462" s="9" t="s">
        <v>78</v>
      </c>
      <c r="C462" s="9" t="s">
        <v>79</v>
      </c>
      <c r="D462" s="10"/>
      <c r="E462" s="2"/>
      <c r="F462" s="10"/>
      <c r="G462" s="2"/>
      <c r="H462" s="10"/>
      <c r="I462" s="2"/>
      <c r="J462" s="10"/>
      <c r="K462" s="2"/>
    </row>
    <row r="463">
      <c r="A463" s="8" t="s">
        <v>41</v>
      </c>
      <c r="B463" s="9" t="s">
        <v>78</v>
      </c>
      <c r="C463" s="9" t="s">
        <v>79</v>
      </c>
      <c r="D463" s="10"/>
      <c r="E463" s="2"/>
      <c r="F463" s="10"/>
      <c r="G463" s="2"/>
      <c r="H463" s="10"/>
      <c r="I463" s="2"/>
      <c r="J463" s="10"/>
      <c r="K463" s="2"/>
    </row>
    <row r="464">
      <c r="A464" s="8" t="s">
        <v>42</v>
      </c>
      <c r="B464" s="9" t="s">
        <v>78</v>
      </c>
      <c r="C464" s="9" t="s">
        <v>79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43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44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45</v>
      </c>
      <c r="B467" s="9" t="s">
        <v>78</v>
      </c>
      <c r="C467" s="9" t="s">
        <v>79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47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48</v>
      </c>
      <c r="B469" s="9" t="s">
        <v>78</v>
      </c>
      <c r="C469" s="9" t="s">
        <v>79</v>
      </c>
      <c r="D469" s="10"/>
      <c r="E469" s="2"/>
      <c r="F469" s="10"/>
      <c r="G469" s="2"/>
      <c r="H469" s="10"/>
      <c r="I469" s="2"/>
      <c r="J469" s="10"/>
      <c r="K469" s="2"/>
    </row>
    <row r="470">
      <c r="A470" s="8" t="s">
        <v>16</v>
      </c>
      <c r="B470" s="9" t="s">
        <v>80</v>
      </c>
      <c r="C470" s="9" t="s">
        <v>81</v>
      </c>
      <c r="D470" s="10"/>
      <c r="E470" s="2"/>
      <c r="F470" s="10"/>
      <c r="G470" s="2"/>
      <c r="H470" s="10"/>
      <c r="I470" s="2"/>
      <c r="J470" s="10"/>
      <c r="K470" s="2"/>
    </row>
    <row r="471">
      <c r="A471" s="8" t="s">
        <v>19</v>
      </c>
      <c r="B471" s="9" t="s">
        <v>80</v>
      </c>
      <c r="C471" s="9" t="s">
        <v>81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20</v>
      </c>
      <c r="B472" s="9" t="s">
        <v>80</v>
      </c>
      <c r="C472" s="9" t="s">
        <v>81</v>
      </c>
      <c r="D472" s="10"/>
      <c r="E472" s="2" t="n">
        <f>258</f>
        <v>258.0</v>
      </c>
      <c r="F472" s="10"/>
      <c r="G472" s="2" t="n">
        <f>47115500</f>
        <v>4.71155E7</v>
      </c>
      <c r="H472" s="10" t="s">
        <v>59</v>
      </c>
      <c r="I472" s="2" t="str">
        <f>"－"</f>
        <v>－</v>
      </c>
      <c r="J472" s="10"/>
      <c r="K472" s="2" t="n">
        <f>1809</f>
        <v>1809.0</v>
      </c>
    </row>
    <row r="473">
      <c r="A473" s="8" t="s">
        <v>22</v>
      </c>
      <c r="B473" s="9" t="s">
        <v>80</v>
      </c>
      <c r="C473" s="9" t="s">
        <v>81</v>
      </c>
      <c r="D473" s="10"/>
      <c r="E473" s="2" t="n">
        <f>154</f>
        <v>154.0</v>
      </c>
      <c r="F473" s="10"/>
      <c r="G473" s="2" t="n">
        <f>27531500</f>
        <v>2.75315E7</v>
      </c>
      <c r="H473" s="10"/>
      <c r="I473" s="2" t="str">
        <f>"－"</f>
        <v>－</v>
      </c>
      <c r="J473" s="10"/>
      <c r="K473" s="2" t="n">
        <f>1881</f>
        <v>1881.0</v>
      </c>
    </row>
    <row r="474">
      <c r="A474" s="8" t="s">
        <v>23</v>
      </c>
      <c r="B474" s="9" t="s">
        <v>80</v>
      </c>
      <c r="C474" s="9" t="s">
        <v>81</v>
      </c>
      <c r="D474" s="10"/>
      <c r="E474" s="2" t="n">
        <f>80</f>
        <v>80.0</v>
      </c>
      <c r="F474" s="10"/>
      <c r="G474" s="2" t="n">
        <f>13619000</f>
        <v>1.3619E7</v>
      </c>
      <c r="H474" s="10"/>
      <c r="I474" s="2" t="str">
        <f>"－"</f>
        <v>－</v>
      </c>
      <c r="J474" s="10"/>
      <c r="K474" s="2" t="n">
        <f>1897</f>
        <v>1897.0</v>
      </c>
    </row>
    <row r="475">
      <c r="A475" s="8" t="s">
        <v>24</v>
      </c>
      <c r="B475" s="9" t="s">
        <v>80</v>
      </c>
      <c r="C475" s="9" t="s">
        <v>81</v>
      </c>
      <c r="D475" s="10"/>
      <c r="E475" s="2" t="n">
        <f>93</f>
        <v>93.0</v>
      </c>
      <c r="F475" s="10"/>
      <c r="G475" s="2" t="n">
        <f>15405500</f>
        <v>1.54055E7</v>
      </c>
      <c r="H475" s="10"/>
      <c r="I475" s="2" t="str">
        <f>"－"</f>
        <v>－</v>
      </c>
      <c r="J475" s="10"/>
      <c r="K475" s="2" t="n">
        <f>1896</f>
        <v>1896.0</v>
      </c>
    </row>
    <row r="476">
      <c r="A476" s="8" t="s">
        <v>25</v>
      </c>
      <c r="B476" s="9" t="s">
        <v>80</v>
      </c>
      <c r="C476" s="9" t="s">
        <v>81</v>
      </c>
      <c r="D476" s="10"/>
      <c r="E476" s="2" t="n">
        <f>103</f>
        <v>103.0</v>
      </c>
      <c r="F476" s="10"/>
      <c r="G476" s="2" t="n">
        <f>17594000</f>
        <v>1.7594E7</v>
      </c>
      <c r="H476" s="10"/>
      <c r="I476" s="2" t="str">
        <f>"－"</f>
        <v>－</v>
      </c>
      <c r="J476" s="10" t="s">
        <v>46</v>
      </c>
      <c r="K476" s="2" t="n">
        <f>1911</f>
        <v>1911.0</v>
      </c>
    </row>
    <row r="477">
      <c r="A477" s="8" t="s">
        <v>26</v>
      </c>
      <c r="B477" s="9" t="s">
        <v>80</v>
      </c>
      <c r="C477" s="9" t="s">
        <v>81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27</v>
      </c>
      <c r="B478" s="9" t="s">
        <v>80</v>
      </c>
      <c r="C478" s="9" t="s">
        <v>81</v>
      </c>
      <c r="D478" s="10"/>
      <c r="E478" s="2"/>
      <c r="F478" s="10"/>
      <c r="G478" s="2"/>
      <c r="H478" s="10"/>
      <c r="I478" s="2"/>
      <c r="J478" s="10"/>
      <c r="K478" s="2"/>
    </row>
    <row r="479">
      <c r="A479" s="8" t="s">
        <v>28</v>
      </c>
      <c r="B479" s="9" t="s">
        <v>80</v>
      </c>
      <c r="C479" s="9" t="s">
        <v>81</v>
      </c>
      <c r="D479" s="10"/>
      <c r="E479" s="2" t="n">
        <f>197</f>
        <v>197.0</v>
      </c>
      <c r="F479" s="10"/>
      <c r="G479" s="2" t="n">
        <f>34507000</f>
        <v>3.4507E7</v>
      </c>
      <c r="H479" s="10"/>
      <c r="I479" s="2" t="str">
        <f>"－"</f>
        <v>－</v>
      </c>
      <c r="J479" s="10"/>
      <c r="K479" s="2" t="n">
        <f>1774</f>
        <v>1774.0</v>
      </c>
    </row>
    <row r="480">
      <c r="A480" s="8" t="s">
        <v>29</v>
      </c>
      <c r="B480" s="9" t="s">
        <v>80</v>
      </c>
      <c r="C480" s="9" t="s">
        <v>81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30</v>
      </c>
      <c r="B481" s="9" t="s">
        <v>80</v>
      </c>
      <c r="C481" s="9" t="s">
        <v>81</v>
      </c>
      <c r="D481" s="10"/>
      <c r="E481" s="2" t="n">
        <f>395</f>
        <v>395.0</v>
      </c>
      <c r="F481" s="10"/>
      <c r="G481" s="2" t="n">
        <f>65232000</f>
        <v>6.5232E7</v>
      </c>
      <c r="H481" s="10"/>
      <c r="I481" s="2" t="str">
        <f>"－"</f>
        <v>－</v>
      </c>
      <c r="J481" s="10"/>
      <c r="K481" s="2" t="n">
        <f>1653</f>
        <v>1653.0</v>
      </c>
    </row>
    <row r="482">
      <c r="A482" s="8" t="s">
        <v>31</v>
      </c>
      <c r="B482" s="9" t="s">
        <v>80</v>
      </c>
      <c r="C482" s="9" t="s">
        <v>81</v>
      </c>
      <c r="D482" s="10"/>
      <c r="E482" s="2" t="n">
        <f>197</f>
        <v>197.0</v>
      </c>
      <c r="F482" s="10"/>
      <c r="G482" s="2" t="n">
        <f>31220000</f>
        <v>3.122E7</v>
      </c>
      <c r="H482" s="10"/>
      <c r="I482" s="2" t="str">
        <f>"－"</f>
        <v>－</v>
      </c>
      <c r="J482" s="10" t="s">
        <v>21</v>
      </c>
      <c r="K482" s="2" t="n">
        <f>417</f>
        <v>417.0</v>
      </c>
    </row>
    <row r="483">
      <c r="A483" s="8" t="s">
        <v>32</v>
      </c>
      <c r="B483" s="9" t="s">
        <v>80</v>
      </c>
      <c r="C483" s="9" t="s">
        <v>81</v>
      </c>
      <c r="D483" s="10"/>
      <c r="E483" s="2" t="n">
        <f>106</f>
        <v>106.0</v>
      </c>
      <c r="F483" s="10"/>
      <c r="G483" s="2" t="n">
        <f>17184500</f>
        <v>1.71845E7</v>
      </c>
      <c r="H483" s="10"/>
      <c r="I483" s="2" t="str">
        <f>"－"</f>
        <v>－</v>
      </c>
      <c r="J483" s="10"/>
      <c r="K483" s="2" t="n">
        <f>475</f>
        <v>475.0</v>
      </c>
    </row>
    <row r="484">
      <c r="A484" s="8" t="s">
        <v>33</v>
      </c>
      <c r="B484" s="9" t="s">
        <v>80</v>
      </c>
      <c r="C484" s="9" t="s">
        <v>81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34</v>
      </c>
      <c r="B485" s="9" t="s">
        <v>80</v>
      </c>
      <c r="C485" s="9" t="s">
        <v>81</v>
      </c>
      <c r="D485" s="10"/>
      <c r="E485" s="2"/>
      <c r="F485" s="10"/>
      <c r="G485" s="2"/>
      <c r="H485" s="10"/>
      <c r="I485" s="2"/>
      <c r="J485" s="10"/>
      <c r="K485" s="2"/>
    </row>
    <row r="486">
      <c r="A486" s="8" t="s">
        <v>35</v>
      </c>
      <c r="B486" s="9" t="s">
        <v>80</v>
      </c>
      <c r="C486" s="9" t="s">
        <v>81</v>
      </c>
      <c r="D486" s="10"/>
      <c r="E486" s="2" t="n">
        <f>163</f>
        <v>163.0</v>
      </c>
      <c r="F486" s="10"/>
      <c r="G486" s="2" t="n">
        <f>26437500</f>
        <v>2.64375E7</v>
      </c>
      <c r="H486" s="10"/>
      <c r="I486" s="2" t="str">
        <f>"－"</f>
        <v>－</v>
      </c>
      <c r="J486" s="10"/>
      <c r="K486" s="2" t="n">
        <f>583</f>
        <v>583.0</v>
      </c>
    </row>
    <row r="487">
      <c r="A487" s="8" t="s">
        <v>36</v>
      </c>
      <c r="B487" s="9" t="s">
        <v>80</v>
      </c>
      <c r="C487" s="9" t="s">
        <v>81</v>
      </c>
      <c r="D487" s="10"/>
      <c r="E487" s="2" t="n">
        <f>101</f>
        <v>101.0</v>
      </c>
      <c r="F487" s="10"/>
      <c r="G487" s="2" t="n">
        <f>16631500</f>
        <v>1.66315E7</v>
      </c>
      <c r="H487" s="10"/>
      <c r="I487" s="2" t="str">
        <f>"－"</f>
        <v>－</v>
      </c>
      <c r="J487" s="10"/>
      <c r="K487" s="2" t="n">
        <f>653</f>
        <v>653.0</v>
      </c>
    </row>
    <row r="488">
      <c r="A488" s="8" t="s">
        <v>37</v>
      </c>
      <c r="B488" s="9" t="s">
        <v>80</v>
      </c>
      <c r="C488" s="9" t="s">
        <v>81</v>
      </c>
      <c r="D488" s="10" t="s">
        <v>21</v>
      </c>
      <c r="E488" s="2" t="n">
        <f>45</f>
        <v>45.0</v>
      </c>
      <c r="F488" s="10" t="s">
        <v>21</v>
      </c>
      <c r="G488" s="2" t="n">
        <f>7284000</f>
        <v>7284000.0</v>
      </c>
      <c r="H488" s="10"/>
      <c r="I488" s="2" t="str">
        <f>"－"</f>
        <v>－</v>
      </c>
      <c r="J488" s="10"/>
      <c r="K488" s="2" t="n">
        <f>648</f>
        <v>648.0</v>
      </c>
    </row>
    <row r="489">
      <c r="A489" s="8" t="s">
        <v>38</v>
      </c>
      <c r="B489" s="9" t="s">
        <v>80</v>
      </c>
      <c r="C489" s="9" t="s">
        <v>81</v>
      </c>
      <c r="D489" s="10"/>
      <c r="E489" s="2" t="n">
        <f>138</f>
        <v>138.0</v>
      </c>
      <c r="F489" s="10"/>
      <c r="G489" s="2" t="n">
        <f>22008500</f>
        <v>2.20085E7</v>
      </c>
      <c r="H489" s="10"/>
      <c r="I489" s="2" t="str">
        <f>"－"</f>
        <v>－</v>
      </c>
      <c r="J489" s="10"/>
      <c r="K489" s="2" t="n">
        <f>702</f>
        <v>702.0</v>
      </c>
    </row>
    <row r="490">
      <c r="A490" s="8" t="s">
        <v>39</v>
      </c>
      <c r="B490" s="9" t="s">
        <v>80</v>
      </c>
      <c r="C490" s="9" t="s">
        <v>81</v>
      </c>
      <c r="D490" s="10"/>
      <c r="E490" s="2" t="n">
        <f>187</f>
        <v>187.0</v>
      </c>
      <c r="F490" s="10"/>
      <c r="G490" s="2" t="n">
        <f>31894500</f>
        <v>3.18945E7</v>
      </c>
      <c r="H490" s="10"/>
      <c r="I490" s="2" t="str">
        <f>"－"</f>
        <v>－</v>
      </c>
      <c r="J490" s="10"/>
      <c r="K490" s="2" t="n">
        <f>820</f>
        <v>820.0</v>
      </c>
    </row>
    <row r="491">
      <c r="A491" s="8" t="s">
        <v>40</v>
      </c>
      <c r="B491" s="9" t="s">
        <v>80</v>
      </c>
      <c r="C491" s="9" t="s">
        <v>81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41</v>
      </c>
      <c r="B492" s="9" t="s">
        <v>80</v>
      </c>
      <c r="C492" s="9" t="s">
        <v>81</v>
      </c>
      <c r="D492" s="10"/>
      <c r="E492" s="2"/>
      <c r="F492" s="10"/>
      <c r="G492" s="2"/>
      <c r="H492" s="10"/>
      <c r="I492" s="2"/>
      <c r="J492" s="10"/>
      <c r="K492" s="2"/>
    </row>
    <row r="493">
      <c r="A493" s="8" t="s">
        <v>42</v>
      </c>
      <c r="B493" s="9" t="s">
        <v>80</v>
      </c>
      <c r="C493" s="9" t="s">
        <v>81</v>
      </c>
      <c r="D493" s="10"/>
      <c r="E493" s="2"/>
      <c r="F493" s="10"/>
      <c r="G493" s="2"/>
      <c r="H493" s="10"/>
      <c r="I493" s="2"/>
      <c r="J493" s="10"/>
      <c r="K493" s="2"/>
    </row>
    <row r="494">
      <c r="A494" s="8" t="s">
        <v>43</v>
      </c>
      <c r="B494" s="9" t="s">
        <v>80</v>
      </c>
      <c r="C494" s="9" t="s">
        <v>81</v>
      </c>
      <c r="D494" s="10" t="s">
        <v>46</v>
      </c>
      <c r="E494" s="2" t="n">
        <f>443</f>
        <v>443.0</v>
      </c>
      <c r="F494" s="10" t="s">
        <v>46</v>
      </c>
      <c r="G494" s="2" t="n">
        <f>85125000</f>
        <v>8.5125E7</v>
      </c>
      <c r="H494" s="10"/>
      <c r="I494" s="2" t="str">
        <f>"－"</f>
        <v>－</v>
      </c>
      <c r="J494" s="10"/>
      <c r="K494" s="2" t="n">
        <f>1006</f>
        <v>1006.0</v>
      </c>
    </row>
    <row r="495">
      <c r="A495" s="8" t="s">
        <v>44</v>
      </c>
      <c r="B495" s="9" t="s">
        <v>80</v>
      </c>
      <c r="C495" s="9" t="s">
        <v>81</v>
      </c>
      <c r="D495" s="10"/>
      <c r="E495" s="2" t="n">
        <f>349</f>
        <v>349.0</v>
      </c>
      <c r="F495" s="10"/>
      <c r="G495" s="2" t="n">
        <f>69952000</f>
        <v>6.9952E7</v>
      </c>
      <c r="H495" s="10"/>
      <c r="I495" s="2" t="str">
        <f>"－"</f>
        <v>－</v>
      </c>
      <c r="J495" s="10"/>
      <c r="K495" s="2" t="n">
        <f>1163</f>
        <v>1163.0</v>
      </c>
    </row>
    <row r="496">
      <c r="A496" s="8" t="s">
        <v>45</v>
      </c>
      <c r="B496" s="9" t="s">
        <v>80</v>
      </c>
      <c r="C496" s="9" t="s">
        <v>81</v>
      </c>
      <c r="D496" s="10"/>
      <c r="E496" s="2" t="n">
        <f>292</f>
        <v>292.0</v>
      </c>
      <c r="F496" s="10"/>
      <c r="G496" s="2" t="n">
        <f>62481500</f>
        <v>6.24815E7</v>
      </c>
      <c r="H496" s="10"/>
      <c r="I496" s="2" t="str">
        <f>"－"</f>
        <v>－</v>
      </c>
      <c r="J496" s="10"/>
      <c r="K496" s="2" t="n">
        <f>1326</f>
        <v>1326.0</v>
      </c>
    </row>
    <row r="497">
      <c r="A497" s="8" t="s">
        <v>47</v>
      </c>
      <c r="B497" s="9" t="s">
        <v>80</v>
      </c>
      <c r="C497" s="9" t="s">
        <v>81</v>
      </c>
      <c r="D497" s="10"/>
      <c r="E497" s="2" t="n">
        <f>308</f>
        <v>308.0</v>
      </c>
      <c r="F497" s="10"/>
      <c r="G497" s="2" t="n">
        <f>79081500</f>
        <v>7.90815E7</v>
      </c>
      <c r="H497" s="10"/>
      <c r="I497" s="2" t="str">
        <f>"－"</f>
        <v>－</v>
      </c>
      <c r="J497" s="10"/>
      <c r="K497" s="2" t="n">
        <f>1434</f>
        <v>1434.0</v>
      </c>
    </row>
    <row r="498">
      <c r="A498" s="8" t="s">
        <v>48</v>
      </c>
      <c r="B498" s="9" t="s">
        <v>80</v>
      </c>
      <c r="C498" s="9" t="s">
        <v>81</v>
      </c>
      <c r="D498" s="10"/>
      <c r="E498" s="2"/>
      <c r="F498" s="10"/>
      <c r="G498" s="2"/>
      <c r="H498" s="10"/>
      <c r="I498" s="2"/>
      <c r="J498" s="10"/>
      <c r="K498" s="2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2019-03-19T11:56:29Z</dcterms:modified>
</cp:coreProperties>
</file>