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DM0032" r:id="rId1" sheetId="4"/>
  </sheets>
  <definedNames>
    <definedName localSheetId="0" name="_xlnm.Print_Titles">BO_DM0032!$4:$9</definedName>
  </definedNames>
  <calcPr calcId="145621"/>
</workbook>
</file>

<file path=xl/sharedStrings.xml><?xml version="1.0" encoding="utf-8"?>
<sst xmlns="http://schemas.openxmlformats.org/spreadsheetml/2006/main" count="488" uniqueCount="66">
  <si>
    <t>指 数 オ プ シ ョ ン 取 引 取 引 状 況（日別）</t>
    <rPh eb="1" sb="0">
      <t>ユビ</t>
    </rPh>
    <rPh eb="3" sb="2">
      <t>カズ</t>
    </rPh>
    <rPh eb="15" sb="14">
      <t>トリ</t>
    </rPh>
    <rPh eb="17" sb="16">
      <t>イン</t>
    </rPh>
    <rPh eb="19" sb="18">
      <t>トリ</t>
    </rPh>
    <rPh eb="21" sb="20">
      <t>イン</t>
    </rPh>
    <rPh eb="23" sb="22">
      <t>ジョウ</t>
    </rPh>
    <rPh eb="25" sb="24">
      <t>キョウ</t>
    </rPh>
    <rPh eb="27" sb="26">
      <t>ヒ</t>
    </rPh>
    <rPh eb="28" sb="27">
      <t>ベツ</t>
    </rPh>
    <phoneticPr fontId="5"/>
  </si>
  <si>
    <t>Trading of Index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</si>
  <si>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</si>
  <si>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</si>
  <si>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</si>
  <si>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</si>
  <si>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</si>
  <si>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</si>
  <si>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</si>
  <si>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</si>
  <si>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</si>
  <si>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</si>
  <si>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</si>
  <si>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</si>
  <si>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</si>
  <si>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</si>
  <si>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</si>
  <si>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</si>
  <si>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</si>
  <si>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</si>
  <si>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</si>
  <si>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</si>
  <si>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</si>
  <si>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</si>
  <si>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</si>
  <si>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</si>
  <si>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2.1</t>
  </si>
  <si>
    <t>日経225オプション</t>
  </si>
  <si>
    <t>Nikkei 225 Options</t>
  </si>
  <si>
    <t>2</t>
  </si>
  <si>
    <t>3</t>
  </si>
  <si>
    <t>4</t>
  </si>
  <si>
    <t>5</t>
  </si>
  <si>
    <t>6</t>
  </si>
  <si>
    <t>◎</t>
  </si>
  <si>
    <t>7</t>
  </si>
  <si>
    <t>8</t>
  </si>
  <si>
    <t>9</t>
  </si>
  <si>
    <t>10</t>
  </si>
  <si>
    <t>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</si>
  <si>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</si>
  <si>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</si>
  <si>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</si>
  <si>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</si>
  <si>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</si>
  <si>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</si>
  <si>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</si>
  <si>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</si>
  <si>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</si>
  <si>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</si>
  <si>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</si>
  <si>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</si>
  <si>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</si>
  <si>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</si>
  <si>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</si>
  <si>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</si>
  <si>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</si>
  <si>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</si>
  <si>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</si>
  <si>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日経225Weeklyオプション</t>
  </si>
  <si>
    <t>Nikkei 225 Weekly Options</t>
  </si>
  <si>
    <t>TOPIXオプション</t>
  </si>
  <si>
    <t>TOPIX Options</t>
  </si>
  <si>
    <t>JPX日経インデックス400オプション</t>
  </si>
  <si>
    <t>JPX-Nikkei Index 400 Options</t>
  </si>
  <si>
    <t>◎●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</si>
</sst>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>
      <alignment vertical="center"/>
    </xf>
    <xf borderId="0" fillId="0" fontId="2" numFmtId="0">
      <alignment vertical="center"/>
    </xf>
    <xf borderId="0" fillId="0" fontId="7" numFmtId="0"/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8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9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40" fillId="0" fontId="31" numFmtId="0"/>
    <xf applyAlignment="0" applyFill="0" applyNumberFormat="0" applyProtection="0" borderId="41" fillId="0" fontId="32" numFmtId="0"/>
    <xf applyAlignment="0" applyFill="0" applyNumberFormat="0" applyProtection="0" borderId="42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7" fillId="8" fontId="34" numFmtId="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borderId="0" fillId="0" fontId="8" numFmtId="0"/>
    <xf applyAlignment="0" applyFill="0" applyNumberFormat="0" applyProtection="0" borderId="44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7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9" fillId="28" fontId="71" numFmtId="49"/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3">
    <xf borderId="0" fillId="0" fontId="0" numFmtId="0" xfId="0">
      <alignment vertical="center"/>
    </xf>
    <xf applyFont="1" borderId="0" fillId="0" fontId="6" numFmtId="0" xfId="1">
      <alignment vertical="center"/>
    </xf>
    <xf applyAlignment="1" applyFont="1" borderId="0" fillId="0" fontId="11" numFmtId="0" xfId="2">
      <alignment vertical="center"/>
    </xf>
    <xf applyFont="1" borderId="0" fillId="0" fontId="9" numFmtId="0" xfId="1">
      <alignment vertical="center"/>
    </xf>
    <xf applyAlignment="1" applyFont="1" borderId="0" fillId="0" fontId="9" numFmtId="0" xfId="2">
      <alignment vertical="center"/>
    </xf>
    <xf applyAlignment="1" applyFill="1" applyFont="1" applyNumberFormat="1" borderId="0" fillId="0" fontId="3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Border="1"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2">
      <alignment vertical="center"/>
    </xf>
    <xf applyAlignment="1" applyFill="1" applyFont="1" borderId="0" fillId="0" fontId="9" numFmtId="0" xfId="2">
      <alignment vertical="center"/>
    </xf>
    <xf applyAlignment="1" applyFill="1" applyFont="1" borderId="0" fillId="0" fontId="9" numFmtId="0" xfId="2">
      <alignment horizontal="right" vertical="center"/>
    </xf>
    <xf applyAlignment="1" applyFill="1" applyFont="1" borderId="0" fillId="0" fontId="7" numFmtId="0" xfId="2">
      <alignment vertical="center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4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15" fillId="0" fontId="8" numFmtId="0" xfId="2">
      <alignment horizontal="center" vertical="center" wrapText="1"/>
    </xf>
    <xf applyAlignment="1" applyBorder="1" applyFill="1" applyFont="1" applyNumberFormat="1" borderId="16" fillId="0" fontId="8" numFmtId="0" xfId="2">
      <alignment horizontal="center" vertical="center" wrapText="1"/>
    </xf>
    <xf applyAlignment="1" applyBorder="1" applyFill="1" applyFont="1" applyNumberFormat="1" borderId="17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8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ont="1" applyNumberFormat="1" borderId="29" fillId="0" fontId="10" numFmtId="49" xfId="2">
      <alignment horizontal="left" vertical="top" wrapText="1"/>
    </xf>
    <xf applyAlignment="1" applyBorder="1" applyFont="1" applyNumberFormat="1" borderId="32" fillId="0" fontId="10" numFmtId="49" xfId="2">
      <alignment horizontal="center" vertical="top" wrapText="1"/>
    </xf>
    <xf applyAlignment="1" applyBorder="1" applyFont="1" applyNumberFormat="1" borderId="30" fillId="0" fontId="10" numFmtId="49" xfId="2">
      <alignment horizontal="center" vertical="top" wrapText="1"/>
    </xf>
    <xf applyAlignment="1" applyBorder="1" applyFont="1" applyNumberFormat="1" borderId="31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ont="1" applyNumberFormat="1" borderId="34" fillId="0" fontId="10" numFmtId="3" quotePrefix="1" xfId="1">
      <alignment horizontal="right" vertical="top" wrapText="1"/>
    </xf>
    <xf applyAlignment="1" applyBorder="1" applyFont="1" applyNumberFormat="1" borderId="35" fillId="0" fontId="10" numFmtId="3" quotePrefix="1" xfId="1">
      <alignment horizontal="right" vertical="top" wrapText="1"/>
    </xf>
    <xf applyAlignment="1" applyBorder="1" applyFont="1" applyNumberFormat="1" borderId="36" fillId="0" fontId="10" numFmtId="3" quotePrefix="1" xfId="1">
      <alignment horizontal="right" vertical="top" wrapText="1"/>
    </xf>
    <xf applyAlignment="1" applyBorder="1" applyFont="1" applyNumberFormat="1" borderId="29" fillId="0" fontId="10" numFmtId="49" xfId="2">
      <alignment horizontal="right" vertical="top" wrapText="1"/>
    </xf>
    <xf applyAlignment="1" applyBorder="1" applyFill="1" applyFont="1" applyNumberFormat="1" borderId="22" fillId="0" fontId="8" numFmtId="0" xfId="2">
      <alignment horizontal="center" vertical="center" wrapText="1"/>
    </xf>
    <xf applyAlignment="1" applyBorder="1" applyFill="1" applyFont="1" applyNumberFormat="1" borderId="26" fillId="0" fontId="8" numFmtId="0" xfId="2">
      <alignment horizontal="center" vertical="center" wrapText="1"/>
    </xf>
    <xf applyAlignment="1" applyBorder="1" applyFill="1" applyFont="1" applyNumberFormat="1" borderId="4" fillId="0" fontId="8" numFmtId="0" xfId="2">
      <alignment horizontal="center" vertical="center" wrapText="1"/>
    </xf>
    <xf applyAlignment="1" applyBorder="1" applyFill="1" applyFont="1" applyNumberFormat="1" borderId="5" fillId="0" fontId="8" numFmtId="0" xfId="2">
      <alignment horizontal="center" vertical="center" wrapText="1"/>
    </xf>
    <xf applyAlignment="1" applyBorder="1" applyFill="1" applyFont="1" applyNumberFormat="1" borderId="6" fillId="0" fontId="8" numFmtId="0" xfId="2">
      <alignment horizontal="center" vertical="center" wrapText="1"/>
    </xf>
    <xf applyAlignment="1" applyBorder="1" applyFill="1" applyFont="1" applyNumberFormat="1" borderId="9" fillId="0" fontId="8" numFmtId="0" xfId="2">
      <alignment horizontal="center" vertical="center" wrapText="1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1" fillId="0" fontId="8" numFmtId="0" xfId="2">
      <alignment horizontal="center" vertical="center" wrapText="1"/>
    </xf>
    <xf applyAlignment="1" applyBorder="1" applyFill="1" applyFont="1" applyNumberFormat="1" borderId="12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7" fillId="0" fontId="8" numFmtId="0" xfId="2">
      <alignment horizontal="center" vertical="center" wrapText="1"/>
    </xf>
    <xf applyAlignment="1" applyBorder="1" applyFill="1" applyFont="1" applyNumberFormat="1" borderId="21" fillId="0" fontId="8" numFmtId="0" xfId="2">
      <alignment horizontal="center" vertical="center" wrapText="1"/>
    </xf>
    <xf applyAlignment="1" applyBorder="1" applyFill="1" applyFont="1" applyNumberFormat="1" borderId="18" fillId="0" fontId="8" numFmtId="0" xfId="2">
      <alignment horizontal="center" vertical="center" wrapText="1"/>
    </xf>
    <xf applyAlignment="1" applyBorder="1" applyFill="1" applyFont="1" applyNumberFormat="1" borderId="19" fillId="0" fontId="8" numFmtId="0" xfId="2">
      <alignment horizontal="center" vertical="center" wrapText="1"/>
    </xf>
    <xf applyAlignment="1" applyBorder="1" applyFill="1" applyFont="1" applyNumberFormat="1" borderId="20" fillId="0" fontId="8" numFmtId="0" xfId="2">
      <alignment horizontal="center" vertical="center" wrapText="1"/>
    </xf>
    <xf applyAlignment="1" applyBorder="1" applyFill="1" applyFont="1" applyNumberFormat="1" borderId="3" fillId="0" fontId="8" numFmtId="0" xfId="2">
      <alignment horizontal="center" vertical="center" wrapText="1"/>
    </xf>
    <xf applyAlignment="1" applyBorder="1" applyFill="1" applyFont="1" applyNumberFormat="1" borderId="8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3" fillId="0" fontId="8" numFmtId="0" xfId="2">
      <alignment horizontal="center" vertical="center" wrapText="1"/>
    </xf>
    <xf applyAlignment="1" applyBorder="1" applyFill="1" applyFont="1" applyNumberFormat="1" borderId="24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ill="1" applyFont="1" applyNumberFormat="1" borderId="27" fillId="0" fontId="8" numFmtId="0" xfId="2">
      <alignment horizontal="center" vertical="center" wrapText="1"/>
    </xf>
  </cellXfs>
  <cellStyles count="1940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10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1093"/>
    <cellStyle name="標準 10 4" xfId="1094"/>
    <cellStyle name="標準 10 5" xfId="1095"/>
    <cellStyle name="標準 100" xfId="1096"/>
    <cellStyle name="標準 100 2" xfId="1097"/>
    <cellStyle name="標準 100 2 2" xfId="1098"/>
    <cellStyle name="標準 100 2 2 2" xfId="1099"/>
    <cellStyle name="標準 100 2 2 3" xfId="1100"/>
    <cellStyle name="標準 100 2 2 4" xfId="1101"/>
    <cellStyle name="標準 100 2 3" xfId="1102"/>
    <cellStyle name="標準 100 2 4" xfId="1103"/>
    <cellStyle name="標準 100 2 5" xfId="1104"/>
    <cellStyle name="標準 100 3" xfId="1105"/>
    <cellStyle name="標準 100 3 2" xfId="1106"/>
    <cellStyle name="標準 100 3 3" xfId="1107"/>
    <cellStyle name="標準 100 3 4" xfId="1108"/>
    <cellStyle name="標準 100 4" xfId="1109"/>
    <cellStyle name="標準 100 5" xfId="1110"/>
    <cellStyle name="標準 100 6" xfId="1111"/>
    <cellStyle name="標準 101" xfId="1112"/>
    <cellStyle name="標準 102" xfId="1113"/>
    <cellStyle name="標準 102 2" xfId="1114"/>
    <cellStyle name="標準 102 2 2" xfId="1115"/>
    <cellStyle name="標準 102 2 3" xfId="1116"/>
    <cellStyle name="標準 102 2 4" xfId="1117"/>
    <cellStyle name="標準 102 3" xfId="1118"/>
    <cellStyle name="標準 102 4" xfId="1119"/>
    <cellStyle name="標準 102 5" xfId="1120"/>
    <cellStyle name="標準 103" xfId="1121"/>
    <cellStyle name="標準 104" xfId="1122"/>
    <cellStyle name="標準 104 2" xfId="1123"/>
    <cellStyle name="標準 104 3" xfId="1124"/>
    <cellStyle name="標準 104 4" xfId="1125"/>
    <cellStyle name="標準 105" xfId="1126"/>
    <cellStyle name="標準 106" xfId="1127"/>
    <cellStyle name="標準 107" xfId="1128"/>
    <cellStyle name="標準 108" xfId="1129"/>
    <cellStyle name="標準 109" xfId="1130"/>
    <cellStyle name="標準 11" xfId="1131"/>
    <cellStyle name="標準 11 2" xfId="1132"/>
    <cellStyle name="標準 11 3" xfId="1133"/>
    <cellStyle name="標準 110" xfId="1134"/>
    <cellStyle name="標準 111" xfId="1135"/>
    <cellStyle name="標準 112" xfId="1136"/>
    <cellStyle name="標準 113" xfId="1137"/>
    <cellStyle name="標準 114" xfId="1138"/>
    <cellStyle name="標準 115" xfId="1139"/>
    <cellStyle name="標準 116" xfId="1140"/>
    <cellStyle name="標準 117" xfId="1141"/>
    <cellStyle name="標準 118" xfId="1142"/>
    <cellStyle name="標準 119" xfId="1143"/>
    <cellStyle name="標準 12" xfId="1144"/>
    <cellStyle name="標準 12 2" xfId="1145"/>
    <cellStyle name="標準 12 2 2" xfId="1146"/>
    <cellStyle name="標準 12 2 3" xfId="1147"/>
    <cellStyle name="標準 12 3" xfId="1148"/>
    <cellStyle name="標準 12 3 2" xfId="1149"/>
    <cellStyle name="標準 12 3 3" xfId="1150"/>
    <cellStyle name="標準 120" xfId="1151"/>
    <cellStyle name="標準 121" xfId="1152"/>
    <cellStyle name="標準 122" xfId="1153"/>
    <cellStyle name="標準 123" xfId="1154"/>
    <cellStyle name="標準 124" xfId="1155"/>
    <cellStyle name="標準 125" xfId="1156"/>
    <cellStyle name="標準 126" xfId="1157"/>
    <cellStyle name="標準 127" xfId="1158"/>
    <cellStyle name="標準 128" xfId="1159"/>
    <cellStyle name="標準 129" xfId="1160"/>
    <cellStyle name="標準 13" xfId="1161"/>
    <cellStyle name="標準 13 2" xfId="1162"/>
    <cellStyle name="標準 13 3" xfId="1163"/>
    <cellStyle name="標準 13 4" xfId="1164"/>
    <cellStyle name="標準 13 5" xfId="1165"/>
    <cellStyle name="標準 130" xfId="1166"/>
    <cellStyle name="標準 131" xfId="1167"/>
    <cellStyle name="標準 132" xfId="1"/>
    <cellStyle name="標準 133" xfId="1168"/>
    <cellStyle name="標準 136" xfId="1169"/>
    <cellStyle name="標準 14" xfId="1170"/>
    <cellStyle name="標準 14 2" xfId="1171"/>
    <cellStyle name="標準 14 2 2" xfId="1172"/>
    <cellStyle name="標準 14 2 3" xfId="1173"/>
    <cellStyle name="標準 14 3" xfId="1174"/>
    <cellStyle name="標準 14 4" xfId="1175"/>
    <cellStyle name="標準 15" xfId="1176"/>
    <cellStyle name="標準 15 2" xfId="1177"/>
    <cellStyle name="標準 15 2 2" xfId="1178"/>
    <cellStyle name="標準 15 2 3" xfId="1179"/>
    <cellStyle name="標準 15 3" xfId="1180"/>
    <cellStyle name="標準 15 4" xfId="1181"/>
    <cellStyle name="標準 15 5" xfId="1182"/>
    <cellStyle name="標準 15 6" xfId="1183"/>
    <cellStyle name="標準 16" xfId="1184"/>
    <cellStyle name="標準 16 2" xfId="1185"/>
    <cellStyle name="標準 16 2 2" xfId="1186"/>
    <cellStyle name="標準 16 2 3" xfId="1187"/>
    <cellStyle name="標準 16 3" xfId="1188"/>
    <cellStyle name="標準 16 4" xfId="1189"/>
    <cellStyle name="標準 16 5" xfId="1190"/>
    <cellStyle name="標準 17" xfId="1191"/>
    <cellStyle name="標準 17 2" xfId="1192"/>
    <cellStyle name="標準 17 2 2" xfId="1193"/>
    <cellStyle name="標準 17 2 3" xfId="1194"/>
    <cellStyle name="標準 17 3" xfId="1195"/>
    <cellStyle name="標準 17 4" xfId="1196"/>
    <cellStyle name="標準 17 5" xfId="1197"/>
    <cellStyle name="標準 18" xfId="1198"/>
    <cellStyle name="標準 18 2" xfId="1199"/>
    <cellStyle name="標準 18 2 2" xfId="1200"/>
    <cellStyle name="標準 18 2 3" xfId="1201"/>
    <cellStyle name="標準 18 2 4" xfId="1202"/>
    <cellStyle name="標準 18 3" xfId="1203"/>
    <cellStyle name="標準 18 4" xfId="1204"/>
    <cellStyle name="標準 18 5" xfId="1205"/>
    <cellStyle name="標準 18 6" xfId="1206"/>
    <cellStyle name="標準 19" xfId="1207"/>
    <cellStyle name="標準 19 2" xfId="1208"/>
    <cellStyle name="標準 19 3" xfId="1209"/>
    <cellStyle name="標準 2" xfId="2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125"/>
  <sheetViews>
    <sheetView showGridLines="0" tabSelected="1" view="pageBreakPreview" workbookViewId="0" zoomScaleNormal="70" zoomScaleSheetLayoutView="100"/>
  </sheetViews>
  <sheetFormatPr defaultRowHeight="13.5"/>
  <cols>
    <col min="1" max="1" customWidth="true" style="3" width="6.5" collapsed="false"/>
    <col min="2" max="2" customWidth="true" style="3" width="30.625" collapsed="false"/>
    <col min="3" max="3" customWidth="true" style="4" width="30.625" collapsed="false"/>
    <col min="4" max="4" customWidth="true" style="3" width="4.625" collapsed="false"/>
    <col min="5" max="5" customWidth="true" style="3" width="22.625" collapsed="false"/>
    <col min="6" max="6" customWidth="true" style="3" width="4.625" collapsed="false"/>
    <col min="7" max="7" customWidth="true" style="3" width="22.625" collapsed="false"/>
    <col min="8" max="8" customWidth="true" style="3" width="4.625" collapsed="false"/>
    <col min="9" max="9" customWidth="true" style="3" width="22.625" collapsed="false"/>
    <col min="10" max="10" customWidth="true" style="3" width="4.625" collapsed="false"/>
    <col min="11" max="11" customWidth="true" style="3" width="22.625" collapsed="false"/>
    <col min="12" max="12" customWidth="true" style="3" width="4.625" collapsed="false"/>
    <col min="13" max="13" customWidth="true" style="3" width="22.625" collapsed="false"/>
    <col min="14" max="14" customWidth="true" style="3" width="4.625" collapsed="false"/>
    <col min="15" max="18" customWidth="true" style="3" width="22.625" collapsed="false"/>
    <col min="19" max="19" customWidth="true" style="3" width="4.625" collapsed="false"/>
    <col min="20" max="20" customWidth="true" style="3" width="22.625" collapsed="false"/>
    <col min="21" max="21" customWidth="true" style="3" width="4.625" collapsed="false"/>
    <col min="22" max="22" customWidth="true" style="3" width="22.625" collapsed="false"/>
    <col min="23" max="23" customWidth="true" style="3" width="4.625" collapsed="false"/>
    <col min="24" max="24" customWidth="true" style="3" width="22.625" collapsed="false"/>
    <col min="25" max="25" customWidth="true" style="3" width="4.625" collapsed="false"/>
    <col min="26" max="26" customWidth="true" style="3" width="22.625" collapsed="false"/>
    <col min="27" max="27" customWidth="true" style="3" width="4.625" collapsed="false"/>
    <col min="28" max="28" customWidth="true" style="3" width="22.625" collapsed="false"/>
    <col min="29" max="29" customWidth="true" style="3" width="4.625" collapsed="false"/>
    <col min="30" max="30" customWidth="true" style="3" width="22.625" collapsed="false"/>
    <col min="31" max="31" customWidth="true" style="1" width="9.0" collapsed="false"/>
    <col min="32" max="16384" style="1" width="9.0" collapsed="false"/>
  </cols>
  <sheetData>
    <row customFormat="1" customHeight="1" ht="30" r="1" s="6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customFormat="1" customHeight="1" ht="30" r="2" s="8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customFormat="1" customHeight="1" ht="15" r="3" s="8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customFormat="1" customHeight="1" ht="17.100000000000001" r="4" s="12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12" spans="1:30">
      <c r="A5" s="46" t="s">
        <v>4</v>
      </c>
      <c r="B5" s="46" t="s">
        <v>5</v>
      </c>
      <c r="C5" s="33" t="s">
        <v>6</v>
      </c>
      <c r="D5" s="33" t="s">
        <v>7</v>
      </c>
      <c r="E5" s="34"/>
      <c r="F5" s="34" t="s">
        <v>8</v>
      </c>
      <c r="G5" s="34"/>
      <c r="H5" s="34" t="s">
        <v>8</v>
      </c>
      <c r="I5" s="35"/>
      <c r="J5" s="33" t="s">
        <v>9</v>
      </c>
      <c r="K5" s="34"/>
      <c r="L5" s="34" t="s">
        <v>8</v>
      </c>
      <c r="M5" s="34"/>
      <c r="N5" s="34" t="s">
        <v>8</v>
      </c>
      <c r="O5" s="35"/>
      <c r="P5" s="34" t="s">
        <v>10</v>
      </c>
      <c r="Q5" s="34"/>
      <c r="R5" s="35"/>
      <c r="S5" s="33" t="s">
        <v>11</v>
      </c>
      <c r="T5" s="34"/>
      <c r="U5" s="34" t="s">
        <v>8</v>
      </c>
      <c r="V5" s="34"/>
      <c r="W5" s="34" t="s">
        <v>8</v>
      </c>
      <c r="X5" s="35"/>
      <c r="Y5" s="33" t="s">
        <v>12</v>
      </c>
      <c r="Z5" s="34"/>
      <c r="AA5" s="34" t="s">
        <v>8</v>
      </c>
      <c r="AB5" s="34"/>
      <c r="AC5" s="34" t="s">
        <v>8</v>
      </c>
      <c r="AD5" s="35"/>
    </row>
    <row customFormat="1" customHeight="1" ht="17.100000000000001" r="6" s="12" spans="1:30">
      <c r="A6" s="41"/>
      <c r="B6" s="41"/>
      <c r="C6" s="47"/>
      <c r="D6" s="36" t="s">
        <v>13</v>
      </c>
      <c r="E6" s="37"/>
      <c r="F6" s="38" t="s">
        <v>14</v>
      </c>
      <c r="G6" s="39"/>
      <c r="H6" s="37" t="s">
        <v>15</v>
      </c>
      <c r="I6" s="40"/>
      <c r="J6" s="36" t="s">
        <v>13</v>
      </c>
      <c r="K6" s="37"/>
      <c r="L6" s="38" t="s">
        <v>14</v>
      </c>
      <c r="M6" s="39"/>
      <c r="N6" s="37" t="s">
        <v>15</v>
      </c>
      <c r="O6" s="40"/>
      <c r="P6" s="13" t="s">
        <v>13</v>
      </c>
      <c r="Q6" s="14" t="s">
        <v>14</v>
      </c>
      <c r="R6" s="15" t="s">
        <v>16</v>
      </c>
      <c r="S6" s="36" t="s">
        <v>13</v>
      </c>
      <c r="T6" s="37"/>
      <c r="U6" s="38" t="s">
        <v>14</v>
      </c>
      <c r="V6" s="39"/>
      <c r="W6" s="37" t="s">
        <v>15</v>
      </c>
      <c r="X6" s="40"/>
      <c r="Y6" s="36" t="s">
        <v>13</v>
      </c>
      <c r="Z6" s="37"/>
      <c r="AA6" s="38" t="s">
        <v>14</v>
      </c>
      <c r="AB6" s="39"/>
      <c r="AC6" s="37" t="s">
        <v>15</v>
      </c>
      <c r="AD6" s="40"/>
    </row>
    <row customFormat="1" customHeight="1" ht="1.5" r="7" s="12" spans="1:30">
      <c r="A7" s="16"/>
      <c r="B7" s="41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customFormat="1" customHeight="1" ht="17.100000000000001" r="8" s="12" spans="1:30">
      <c r="A8" s="41" t="s">
        <v>17</v>
      </c>
      <c r="B8" s="41"/>
      <c r="C8" s="47"/>
      <c r="D8" s="43" t="s">
        <v>18</v>
      </c>
      <c r="E8" s="44"/>
      <c r="F8" s="44"/>
      <c r="G8" s="44"/>
      <c r="H8" s="44"/>
      <c r="I8" s="45"/>
      <c r="J8" s="43" t="s">
        <v>19</v>
      </c>
      <c r="K8" s="44"/>
      <c r="L8" s="44"/>
      <c r="M8" s="44"/>
      <c r="N8" s="44"/>
      <c r="O8" s="45"/>
      <c r="P8" s="44" t="s">
        <v>20</v>
      </c>
      <c r="Q8" s="44"/>
      <c r="R8" s="45"/>
      <c r="S8" s="43" t="s">
        <v>21</v>
      </c>
      <c r="T8" s="44"/>
      <c r="U8" s="44"/>
      <c r="V8" s="44"/>
      <c r="W8" s="44"/>
      <c r="X8" s="45"/>
      <c r="Y8" s="43" t="s">
        <v>22</v>
      </c>
      <c r="Z8" s="44"/>
      <c r="AA8" s="44"/>
      <c r="AB8" s="44"/>
      <c r="AC8" s="44"/>
      <c r="AD8" s="45"/>
    </row>
    <row customFormat="1" customHeight="1" ht="17.100000000000001" r="9" s="12" spans="1:30">
      <c r="A9" s="42"/>
      <c r="B9" s="42"/>
      <c r="C9" s="31"/>
      <c r="D9" s="31" t="s">
        <v>23</v>
      </c>
      <c r="E9" s="48"/>
      <c r="F9" s="49" t="s">
        <v>24</v>
      </c>
      <c r="G9" s="50"/>
      <c r="H9" s="48" t="s">
        <v>25</v>
      </c>
      <c r="I9" s="51"/>
      <c r="J9" s="31" t="s">
        <v>23</v>
      </c>
      <c r="K9" s="32"/>
      <c r="L9" s="52" t="s">
        <v>24</v>
      </c>
      <c r="M9" s="50"/>
      <c r="N9" s="48" t="s">
        <v>25</v>
      </c>
      <c r="O9" s="51"/>
      <c r="P9" s="19" t="s">
        <v>23</v>
      </c>
      <c r="Q9" s="20" t="s">
        <v>24</v>
      </c>
      <c r="R9" s="21" t="s">
        <v>25</v>
      </c>
      <c r="S9" s="31" t="s">
        <v>23</v>
      </c>
      <c r="T9" s="32"/>
      <c r="U9" s="52" t="s">
        <v>24</v>
      </c>
      <c r="V9" s="50"/>
      <c r="W9" s="48" t="s">
        <v>25</v>
      </c>
      <c r="X9" s="51"/>
      <c r="Y9" s="31" t="s">
        <v>23</v>
      </c>
      <c r="Z9" s="32"/>
      <c r="AA9" s="52" t="s">
        <v>24</v>
      </c>
      <c r="AB9" s="50"/>
      <c r="AC9" s="48" t="s">
        <v>25</v>
      </c>
      <c r="AD9" s="51"/>
    </row>
    <row customFormat="1" customHeight="1" ht="13.5" r="10" s="2" spans="1:30">
      <c r="A10" s="30" t="s">
        <v>26</v>
      </c>
      <c r="B10" s="22" t="s">
        <v>27</v>
      </c>
      <c r="C10" s="22" t="s">
        <v>28</v>
      </c>
      <c r="D10" s="24"/>
      <c r="E10" s="25"/>
      <c r="F10" s="23"/>
      <c r="G10" s="25"/>
      <c r="H10" s="23"/>
      <c r="I10" s="26"/>
      <c r="J10" s="24"/>
      <c r="K10" s="25"/>
      <c r="L10" s="23"/>
      <c r="M10" s="25"/>
      <c r="N10" s="23"/>
      <c r="O10" s="26"/>
      <c r="P10" s="27"/>
      <c r="Q10" s="28"/>
      <c r="R10" s="29"/>
      <c r="S10" s="24"/>
      <c r="T10" s="25"/>
      <c r="U10" s="23"/>
      <c r="V10" s="25"/>
      <c r="W10" s="23"/>
      <c r="X10" s="26"/>
      <c r="Y10" s="24"/>
      <c r="Z10" s="25"/>
      <c r="AA10" s="23"/>
      <c r="AB10" s="25"/>
      <c r="AC10" s="23"/>
      <c r="AD10" s="26"/>
    </row>
    <row r="11">
      <c r="A11" s="30" t="s">
        <v>29</v>
      </c>
      <c r="B11" s="22" t="s">
        <v>27</v>
      </c>
      <c r="C11" s="22" t="s">
        <v>28</v>
      </c>
      <c r="D11" s="24"/>
      <c r="E11" s="25"/>
      <c r="F11" s="23"/>
      <c r="G11" s="25"/>
      <c r="H11" s="23"/>
      <c r="I11" s="26"/>
      <c r="J11" s="24"/>
      <c r="K11" s="25"/>
      <c r="L11" s="23"/>
      <c r="M11" s="25"/>
      <c r="N11" s="23"/>
      <c r="O11" s="26"/>
      <c r="P11" s="27"/>
      <c r="Q11" s="28"/>
      <c r="R11" s="29"/>
      <c r="S11" s="24"/>
      <c r="T11" s="25"/>
      <c r="U11" s="23"/>
      <c r="V11" s="25"/>
      <c r="W11" s="23"/>
      <c r="X11" s="26"/>
      <c r="Y11" s="24"/>
      <c r="Z11" s="25"/>
      <c r="AA11" s="23"/>
      <c r="AB11" s="25"/>
      <c r="AC11" s="23"/>
      <c r="AD11" s="26"/>
    </row>
    <row r="12">
      <c r="A12" s="30" t="s">
        <v>30</v>
      </c>
      <c r="B12" s="22" t="s">
        <v>27</v>
      </c>
      <c r="C12" s="22" t="s">
        <v>28</v>
      </c>
      <c r="D12" s="24"/>
      <c r="E12" s="25" t="n">
        <f>141228</f>
        <v>141228.0</v>
      </c>
      <c r="F12" s="23"/>
      <c r="G12" s="25" t="n">
        <f>62673</f>
        <v>62673.0</v>
      </c>
      <c r="H12" s="23"/>
      <c r="I12" s="26" t="n">
        <f>203901</f>
        <v>203901.0</v>
      </c>
      <c r="J12" s="24"/>
      <c r="K12" s="25" t="n">
        <f>21434965000</f>
        <v>2.1434965E10</v>
      </c>
      <c r="L12" s="23"/>
      <c r="M12" s="25" t="n">
        <f>6711630000</f>
        <v>6.71163E9</v>
      </c>
      <c r="N12" s="23"/>
      <c r="O12" s="26" t="n">
        <f>28146595000</f>
        <v>2.8146595E10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4"/>
      <c r="T12" s="25" t="n">
        <f>24648</f>
        <v>24648.0</v>
      </c>
      <c r="U12" s="23"/>
      <c r="V12" s="25" t="n">
        <f>7465</f>
        <v>7465.0</v>
      </c>
      <c r="W12" s="23"/>
      <c r="X12" s="26" t="n">
        <f>32113</f>
        <v>32113.0</v>
      </c>
      <c r="Y12" s="24"/>
      <c r="Z12" s="25" t="n">
        <f>1160922</f>
        <v>1160922.0</v>
      </c>
      <c r="AA12" s="23"/>
      <c r="AB12" s="25" t="n">
        <f>564484</f>
        <v>564484.0</v>
      </c>
      <c r="AC12" s="23"/>
      <c r="AD12" s="26" t="n">
        <f>1725406</f>
        <v>1725406.0</v>
      </c>
    </row>
    <row r="13">
      <c r="A13" s="30" t="s">
        <v>31</v>
      </c>
      <c r="B13" s="22" t="s">
        <v>27</v>
      </c>
      <c r="C13" s="22" t="s">
        <v>28</v>
      </c>
      <c r="D13" s="24"/>
      <c r="E13" s="25" t="n">
        <f>94180</f>
        <v>94180.0</v>
      </c>
      <c r="F13" s="23"/>
      <c r="G13" s="25" t="n">
        <f>62435</f>
        <v>62435.0</v>
      </c>
      <c r="H13" s="23"/>
      <c r="I13" s="26" t="n">
        <f>156615</f>
        <v>156615.0</v>
      </c>
      <c r="J13" s="24"/>
      <c r="K13" s="25" t="n">
        <f>11949382000</f>
        <v>1.1949382E10</v>
      </c>
      <c r="L13" s="23"/>
      <c r="M13" s="25" t="n">
        <f>7430391000</f>
        <v>7.430391E9</v>
      </c>
      <c r="N13" s="23"/>
      <c r="O13" s="26" t="n">
        <f>19379773000</f>
        <v>1.9379773E10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4"/>
      <c r="T13" s="25" t="n">
        <f>17891</f>
        <v>17891.0</v>
      </c>
      <c r="U13" s="23"/>
      <c r="V13" s="25" t="n">
        <f>10309</f>
        <v>10309.0</v>
      </c>
      <c r="W13" s="23"/>
      <c r="X13" s="26" t="n">
        <f>28200</f>
        <v>28200.0</v>
      </c>
      <c r="Y13" s="24"/>
      <c r="Z13" s="25" t="n">
        <f>1184817</f>
        <v>1184817.0</v>
      </c>
      <c r="AA13" s="23"/>
      <c r="AB13" s="25" t="n">
        <f>575869</f>
        <v>575869.0</v>
      </c>
      <c r="AC13" s="23"/>
      <c r="AD13" s="26" t="n">
        <f>1760686</f>
        <v>1760686.0</v>
      </c>
    </row>
    <row r="14">
      <c r="A14" s="30" t="s">
        <v>32</v>
      </c>
      <c r="B14" s="22" t="s">
        <v>27</v>
      </c>
      <c r="C14" s="22" t="s">
        <v>28</v>
      </c>
      <c r="D14" s="24"/>
      <c r="E14" s="25" t="n">
        <f>93384</f>
        <v>93384.0</v>
      </c>
      <c r="F14" s="23"/>
      <c r="G14" s="25" t="n">
        <f>64296</f>
        <v>64296.0</v>
      </c>
      <c r="H14" s="23"/>
      <c r="I14" s="26" t="n">
        <f>157680</f>
        <v>157680.0</v>
      </c>
      <c r="J14" s="24"/>
      <c r="K14" s="25" t="n">
        <f>14296654000</f>
        <v>1.4296654E10</v>
      </c>
      <c r="L14" s="23"/>
      <c r="M14" s="25" t="n">
        <f>7855160000</f>
        <v>7.85516E9</v>
      </c>
      <c r="N14" s="23"/>
      <c r="O14" s="26" t="n">
        <f>22151814000</f>
        <v>2.2151814E10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4"/>
      <c r="T14" s="25" t="n">
        <f>14354</f>
        <v>14354.0</v>
      </c>
      <c r="U14" s="23"/>
      <c r="V14" s="25" t="n">
        <f>11096</f>
        <v>11096.0</v>
      </c>
      <c r="W14" s="23"/>
      <c r="X14" s="26" t="n">
        <f>25450</f>
        <v>25450.0</v>
      </c>
      <c r="Y14" s="24"/>
      <c r="Z14" s="25" t="n">
        <f>1188035</f>
        <v>1188035.0</v>
      </c>
      <c r="AA14" s="23"/>
      <c r="AB14" s="25" t="n">
        <f>576185</f>
        <v>576185.0</v>
      </c>
      <c r="AC14" s="23"/>
      <c r="AD14" s="26" t="n">
        <f>1764220</f>
        <v>1764220.0</v>
      </c>
    </row>
    <row r="15">
      <c r="A15" s="30" t="s">
        <v>33</v>
      </c>
      <c r="B15" s="22" t="s">
        <v>27</v>
      </c>
      <c r="C15" s="22" t="s">
        <v>28</v>
      </c>
      <c r="D15" s="24"/>
      <c r="E15" s="25" t="n">
        <f>127167</f>
        <v>127167.0</v>
      </c>
      <c r="F15" s="23" t="s">
        <v>34</v>
      </c>
      <c r="G15" s="25" t="n">
        <f>125108</f>
        <v>125108.0</v>
      </c>
      <c r="H15" s="23"/>
      <c r="I15" s="26" t="n">
        <f>252275</f>
        <v>252275.0</v>
      </c>
      <c r="J15" s="24"/>
      <c r="K15" s="25" t="n">
        <f>12894457500</f>
        <v>1.28944575E10</v>
      </c>
      <c r="L15" s="23"/>
      <c r="M15" s="25" t="n">
        <f>14838467000</f>
        <v>1.4838467E10</v>
      </c>
      <c r="N15" s="23"/>
      <c r="O15" s="26" t="n">
        <f>27732924500</f>
        <v>2.77329245E10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4"/>
      <c r="T15" s="25" t="n">
        <f>19343</f>
        <v>19343.0</v>
      </c>
      <c r="U15" s="23"/>
      <c r="V15" s="25" t="n">
        <f>16567</f>
        <v>16567.0</v>
      </c>
      <c r="W15" s="23"/>
      <c r="X15" s="26" t="n">
        <f>35910</f>
        <v>35910.0</v>
      </c>
      <c r="Y15" s="24"/>
      <c r="Z15" s="25" t="n">
        <f>1215218</f>
        <v>1215218.0</v>
      </c>
      <c r="AA15" s="23"/>
      <c r="AB15" s="25" t="n">
        <f>594966</f>
        <v>594966.0</v>
      </c>
      <c r="AC15" s="23"/>
      <c r="AD15" s="26" t="n">
        <f>1810184</f>
        <v>1810184.0</v>
      </c>
    </row>
    <row r="16">
      <c r="A16" s="30" t="s">
        <v>35</v>
      </c>
      <c r="B16" s="22" t="s">
        <v>27</v>
      </c>
      <c r="C16" s="22" t="s">
        <v>28</v>
      </c>
      <c r="D16" s="24"/>
      <c r="E16" s="25" t="n">
        <f>89733</f>
        <v>89733.0</v>
      </c>
      <c r="F16" s="23"/>
      <c r="G16" s="25" t="n">
        <f>72452</f>
        <v>72452.0</v>
      </c>
      <c r="H16" s="23"/>
      <c r="I16" s="26" t="n">
        <f>162185</f>
        <v>162185.0</v>
      </c>
      <c r="J16" s="24"/>
      <c r="K16" s="25" t="n">
        <f>13874871570</f>
        <v>1.387487157E10</v>
      </c>
      <c r="L16" s="23"/>
      <c r="M16" s="25" t="n">
        <f>7658781320</f>
        <v>7.65878132E9</v>
      </c>
      <c r="N16" s="23"/>
      <c r="O16" s="26" t="n">
        <f>21533652890</f>
        <v>2.153365289E10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4"/>
      <c r="T16" s="25" t="n">
        <f>14085</f>
        <v>14085.0</v>
      </c>
      <c r="U16" s="23"/>
      <c r="V16" s="25" t="n">
        <f>13226</f>
        <v>13226.0</v>
      </c>
      <c r="W16" s="23"/>
      <c r="X16" s="26" t="n">
        <f>27311</f>
        <v>27311.0</v>
      </c>
      <c r="Y16" s="24"/>
      <c r="Z16" s="25" t="n">
        <f>1221784</f>
        <v>1221784.0</v>
      </c>
      <c r="AA16" s="23"/>
      <c r="AB16" s="25" t="n">
        <f>590431</f>
        <v>590431.0</v>
      </c>
      <c r="AC16" s="23"/>
      <c r="AD16" s="26" t="n">
        <f>1812215</f>
        <v>1812215.0</v>
      </c>
    </row>
    <row r="17">
      <c r="A17" s="30" t="s">
        <v>36</v>
      </c>
      <c r="B17" s="22" t="s">
        <v>27</v>
      </c>
      <c r="C17" s="22" t="s">
        <v>28</v>
      </c>
      <c r="D17" s="24"/>
      <c r="E17" s="25"/>
      <c r="F17" s="23"/>
      <c r="G17" s="25"/>
      <c r="H17" s="23"/>
      <c r="I17" s="26"/>
      <c r="J17" s="24"/>
      <c r="K17" s="25"/>
      <c r="L17" s="23"/>
      <c r="M17" s="25"/>
      <c r="N17" s="23"/>
      <c r="O17" s="26"/>
      <c r="P17" s="27"/>
      <c r="Q17" s="28"/>
      <c r="R17" s="29"/>
      <c r="S17" s="24"/>
      <c r="T17" s="25"/>
      <c r="U17" s="23"/>
      <c r="V17" s="25"/>
      <c r="W17" s="23"/>
      <c r="X17" s="26"/>
      <c r="Y17" s="24"/>
      <c r="Z17" s="25"/>
      <c r="AA17" s="23"/>
      <c r="AB17" s="25"/>
      <c r="AC17" s="23"/>
      <c r="AD17" s="26"/>
    </row>
    <row r="18">
      <c r="A18" s="30" t="s">
        <v>37</v>
      </c>
      <c r="B18" s="22" t="s">
        <v>27</v>
      </c>
      <c r="C18" s="22" t="s">
        <v>28</v>
      </c>
      <c r="D18" s="24"/>
      <c r="E18" s="25"/>
      <c r="F18" s="23"/>
      <c r="G18" s="25"/>
      <c r="H18" s="23"/>
      <c r="I18" s="26"/>
      <c r="J18" s="24"/>
      <c r="K18" s="25"/>
      <c r="L18" s="23"/>
      <c r="M18" s="25"/>
      <c r="N18" s="23"/>
      <c r="O18" s="26"/>
      <c r="P18" s="27"/>
      <c r="Q18" s="28"/>
      <c r="R18" s="29"/>
      <c r="S18" s="24"/>
      <c r="T18" s="25"/>
      <c r="U18" s="23"/>
      <c r="V18" s="25"/>
      <c r="W18" s="23"/>
      <c r="X18" s="26"/>
      <c r="Y18" s="24"/>
      <c r="Z18" s="25"/>
      <c r="AA18" s="23"/>
      <c r="AB18" s="25"/>
      <c r="AC18" s="23"/>
      <c r="AD18" s="26"/>
    </row>
    <row r="19">
      <c r="A19" s="30" t="s">
        <v>38</v>
      </c>
      <c r="B19" s="22" t="s">
        <v>27</v>
      </c>
      <c r="C19" s="22" t="s">
        <v>28</v>
      </c>
      <c r="D19" s="24"/>
      <c r="E19" s="25" t="n">
        <f>88961</f>
        <v>88961.0</v>
      </c>
      <c r="F19" s="23"/>
      <c r="G19" s="25" t="n">
        <f>53425</f>
        <v>53425.0</v>
      </c>
      <c r="H19" s="23"/>
      <c r="I19" s="26" t="n">
        <f>142386</f>
        <v>142386.0</v>
      </c>
      <c r="J19" s="24" t="s">
        <v>39</v>
      </c>
      <c r="K19" s="25" t="n">
        <f>8500501000</f>
        <v>8.500501E9</v>
      </c>
      <c r="L19" s="23"/>
      <c r="M19" s="25" t="n">
        <f>5185589000</f>
        <v>5.185589E9</v>
      </c>
      <c r="N19" s="23" t="s">
        <v>39</v>
      </c>
      <c r="O19" s="26" t="n">
        <f>13686090000</f>
        <v>1.368609E10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4"/>
      <c r="T19" s="25" t="n">
        <f>9043</f>
        <v>9043.0</v>
      </c>
      <c r="U19" s="23"/>
      <c r="V19" s="25" t="n">
        <f>7596</f>
        <v>7596.0</v>
      </c>
      <c r="W19" s="23"/>
      <c r="X19" s="26" t="n">
        <f>16639</f>
        <v>16639.0</v>
      </c>
      <c r="Y19" s="24"/>
      <c r="Z19" s="25" t="n">
        <f>1231970</f>
        <v>1231970.0</v>
      </c>
      <c r="AA19" s="23"/>
      <c r="AB19" s="25" t="n">
        <f>594728</f>
        <v>594728.0</v>
      </c>
      <c r="AC19" s="23"/>
      <c r="AD19" s="26" t="n">
        <f>1826698</f>
        <v>1826698.0</v>
      </c>
    </row>
    <row r="20">
      <c r="A20" s="30" t="s">
        <v>40</v>
      </c>
      <c r="B20" s="22" t="s">
        <v>27</v>
      </c>
      <c r="C20" s="22" t="s">
        <v>28</v>
      </c>
      <c r="D20" s="24"/>
      <c r="E20" s="25"/>
      <c r="F20" s="23"/>
      <c r="G20" s="25"/>
      <c r="H20" s="23"/>
      <c r="I20" s="26"/>
      <c r="J20" s="24"/>
      <c r="K20" s="25"/>
      <c r="L20" s="23"/>
      <c r="M20" s="25"/>
      <c r="N20" s="23"/>
      <c r="O20" s="26"/>
      <c r="P20" s="27"/>
      <c r="Q20" s="28"/>
      <c r="R20" s="29"/>
      <c r="S20" s="24"/>
      <c r="T20" s="25"/>
      <c r="U20" s="23"/>
      <c r="V20" s="25"/>
      <c r="W20" s="23"/>
      <c r="X20" s="26"/>
      <c r="Y20" s="24"/>
      <c r="Z20" s="25"/>
      <c r="AA20" s="23"/>
      <c r="AB20" s="25"/>
      <c r="AC20" s="23"/>
      <c r="AD20" s="26"/>
    </row>
    <row r="21">
      <c r="A21" s="30" t="s">
        <v>41</v>
      </c>
      <c r="B21" s="22" t="s">
        <v>27</v>
      </c>
      <c r="C21" s="22" t="s">
        <v>28</v>
      </c>
      <c r="D21" s="24"/>
      <c r="E21" s="25" t="n">
        <f>86857</f>
        <v>86857.0</v>
      </c>
      <c r="F21" s="23"/>
      <c r="G21" s="25" t="n">
        <f>47900</f>
        <v>47900.0</v>
      </c>
      <c r="H21" s="23"/>
      <c r="I21" s="26" t="n">
        <f>134757</f>
        <v>134757.0</v>
      </c>
      <c r="J21" s="24"/>
      <c r="K21" s="25" t="n">
        <f>9090525000</f>
        <v>9.090525E9</v>
      </c>
      <c r="L21" s="23" t="s">
        <v>39</v>
      </c>
      <c r="M21" s="25" t="n">
        <f>4759791500</f>
        <v>4.7597915E9</v>
      </c>
      <c r="N21" s="23"/>
      <c r="O21" s="26" t="n">
        <f>13850316500</f>
        <v>1.38503165E10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4"/>
      <c r="T21" s="25" t="n">
        <f>14544</f>
        <v>14544.0</v>
      </c>
      <c r="U21" s="23" t="s">
        <v>39</v>
      </c>
      <c r="V21" s="25" t="n">
        <f>3849</f>
        <v>3849.0</v>
      </c>
      <c r="W21" s="23"/>
      <c r="X21" s="26" t="n">
        <f>18393</f>
        <v>18393.0</v>
      </c>
      <c r="Y21" s="24"/>
      <c r="Z21" s="25" t="n">
        <f>1240453</f>
        <v>1240453.0</v>
      </c>
      <c r="AA21" s="23"/>
      <c r="AB21" s="25" t="n">
        <f>596567</f>
        <v>596567.0</v>
      </c>
      <c r="AC21" s="23"/>
      <c r="AD21" s="26" t="n">
        <f>1837020</f>
        <v>1837020.0</v>
      </c>
    </row>
    <row r="22">
      <c r="A22" s="30" t="s">
        <v>42</v>
      </c>
      <c r="B22" s="22" t="s">
        <v>27</v>
      </c>
      <c r="C22" s="22" t="s">
        <v>28</v>
      </c>
      <c r="D22" s="24"/>
      <c r="E22" s="25" t="n">
        <f>111978</f>
        <v>111978.0</v>
      </c>
      <c r="F22" s="23"/>
      <c r="G22" s="25" t="n">
        <f>64342</f>
        <v>64342.0</v>
      </c>
      <c r="H22" s="23"/>
      <c r="I22" s="26" t="n">
        <f>176320</f>
        <v>176320.0</v>
      </c>
      <c r="J22" s="24"/>
      <c r="K22" s="25" t="n">
        <f>11274603700</f>
        <v>1.12746037E10</v>
      </c>
      <c r="L22" s="23"/>
      <c r="M22" s="25" t="n">
        <f>7223955630</f>
        <v>7.22395563E9</v>
      </c>
      <c r="N22" s="23"/>
      <c r="O22" s="26" t="n">
        <f>18498559330</f>
        <v>1.849855933E10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4"/>
      <c r="T22" s="25" t="n">
        <f>20287</f>
        <v>20287.0</v>
      </c>
      <c r="U22" s="23"/>
      <c r="V22" s="25" t="n">
        <f>11199</f>
        <v>11199.0</v>
      </c>
      <c r="W22" s="23"/>
      <c r="X22" s="26" t="n">
        <f>31486</f>
        <v>31486.0</v>
      </c>
      <c r="Y22" s="24"/>
      <c r="Z22" s="25" t="n">
        <f>1256699</f>
        <v>1256699.0</v>
      </c>
      <c r="AA22" s="23"/>
      <c r="AB22" s="25" t="n">
        <f>602262</f>
        <v>602262.0</v>
      </c>
      <c r="AC22" s="23"/>
      <c r="AD22" s="26" t="n">
        <f>1858961</f>
        <v>1858961.0</v>
      </c>
    </row>
    <row r="23">
      <c r="A23" s="30" t="s">
        <v>43</v>
      </c>
      <c r="B23" s="22" t="s">
        <v>27</v>
      </c>
      <c r="C23" s="22" t="s">
        <v>28</v>
      </c>
      <c r="D23" s="24" t="s">
        <v>39</v>
      </c>
      <c r="E23" s="25" t="n">
        <f>81209</f>
        <v>81209.0</v>
      </c>
      <c r="F23" s="23" t="s">
        <v>39</v>
      </c>
      <c r="G23" s="25" t="n">
        <f>37682</f>
        <v>37682.0</v>
      </c>
      <c r="H23" s="23" t="s">
        <v>39</v>
      </c>
      <c r="I23" s="26" t="n">
        <f>118891</f>
        <v>118891.0</v>
      </c>
      <c r="J23" s="24"/>
      <c r="K23" s="25" t="n">
        <f>10366140000</f>
        <v>1.036614E10</v>
      </c>
      <c r="L23" s="23"/>
      <c r="M23" s="25" t="n">
        <f>5735911000</f>
        <v>5.735911E9</v>
      </c>
      <c r="N23" s="23"/>
      <c r="O23" s="26" t="n">
        <f>16102051000</f>
        <v>1.6102051E10</v>
      </c>
      <c r="P23" s="27" t="n">
        <f>9102</f>
        <v>9102.0</v>
      </c>
      <c r="Q23" s="28" t="n">
        <f>10510</f>
        <v>10510.0</v>
      </c>
      <c r="R23" s="29" t="n">
        <f>19612</f>
        <v>19612.0</v>
      </c>
      <c r="S23" s="24" t="s">
        <v>39</v>
      </c>
      <c r="T23" s="25" t="n">
        <f>6437</f>
        <v>6437.0</v>
      </c>
      <c r="U23" s="23"/>
      <c r="V23" s="25" t="n">
        <f>7846</f>
        <v>7846.0</v>
      </c>
      <c r="W23" s="23" t="s">
        <v>39</v>
      </c>
      <c r="X23" s="26" t="n">
        <f>14283</f>
        <v>14283.0</v>
      </c>
      <c r="Y23" s="24" t="s">
        <v>39</v>
      </c>
      <c r="Z23" s="25" t="n">
        <f>1094224</f>
        <v>1094224.0</v>
      </c>
      <c r="AA23" s="23" t="s">
        <v>39</v>
      </c>
      <c r="AB23" s="25" t="n">
        <f>530095</f>
        <v>530095.0</v>
      </c>
      <c r="AC23" s="23" t="s">
        <v>39</v>
      </c>
      <c r="AD23" s="26" t="n">
        <f>1624319</f>
        <v>1624319.0</v>
      </c>
    </row>
    <row r="24">
      <c r="A24" s="30" t="s">
        <v>44</v>
      </c>
      <c r="B24" s="22" t="s">
        <v>27</v>
      </c>
      <c r="C24" s="22" t="s">
        <v>28</v>
      </c>
      <c r="D24" s="24"/>
      <c r="E24" s="25"/>
      <c r="F24" s="23"/>
      <c r="G24" s="25"/>
      <c r="H24" s="23"/>
      <c r="I24" s="26"/>
      <c r="J24" s="24"/>
      <c r="K24" s="25"/>
      <c r="L24" s="23"/>
      <c r="M24" s="25"/>
      <c r="N24" s="23"/>
      <c r="O24" s="26"/>
      <c r="P24" s="27"/>
      <c r="Q24" s="28"/>
      <c r="R24" s="29"/>
      <c r="S24" s="24"/>
      <c r="T24" s="25"/>
      <c r="U24" s="23"/>
      <c r="V24" s="25"/>
      <c r="W24" s="23"/>
      <c r="X24" s="26"/>
      <c r="Y24" s="24"/>
      <c r="Z24" s="25"/>
      <c r="AA24" s="23"/>
      <c r="AB24" s="25"/>
      <c r="AC24" s="23"/>
      <c r="AD24" s="26"/>
    </row>
    <row r="25">
      <c r="A25" s="30" t="s">
        <v>45</v>
      </c>
      <c r="B25" s="22" t="s">
        <v>27</v>
      </c>
      <c r="C25" s="22" t="s">
        <v>28</v>
      </c>
      <c r="D25" s="24"/>
      <c r="E25" s="25"/>
      <c r="F25" s="23"/>
      <c r="G25" s="25"/>
      <c r="H25" s="23"/>
      <c r="I25" s="26"/>
      <c r="J25" s="24"/>
      <c r="K25" s="25"/>
      <c r="L25" s="23"/>
      <c r="M25" s="25"/>
      <c r="N25" s="23"/>
      <c r="O25" s="26"/>
      <c r="P25" s="27"/>
      <c r="Q25" s="28"/>
      <c r="R25" s="29"/>
      <c r="S25" s="24"/>
      <c r="T25" s="25"/>
      <c r="U25" s="23"/>
      <c r="V25" s="25"/>
      <c r="W25" s="23"/>
      <c r="X25" s="26"/>
      <c r="Y25" s="24"/>
      <c r="Z25" s="25"/>
      <c r="AA25" s="23"/>
      <c r="AB25" s="25"/>
      <c r="AC25" s="23"/>
      <c r="AD25" s="26"/>
    </row>
    <row r="26">
      <c r="A26" s="30" t="s">
        <v>46</v>
      </c>
      <c r="B26" s="22" t="s">
        <v>27</v>
      </c>
      <c r="C26" s="22" t="s">
        <v>28</v>
      </c>
      <c r="D26" s="24"/>
      <c r="E26" s="25" t="n">
        <f>92155</f>
        <v>92155.0</v>
      </c>
      <c r="F26" s="23"/>
      <c r="G26" s="25" t="n">
        <f>56739</f>
        <v>56739.0</v>
      </c>
      <c r="H26" s="23"/>
      <c r="I26" s="26" t="n">
        <f>148894</f>
        <v>148894.0</v>
      </c>
      <c r="J26" s="24"/>
      <c r="K26" s="25" t="n">
        <f>11844787975</f>
        <v>1.1844787975E10</v>
      </c>
      <c r="L26" s="23"/>
      <c r="M26" s="25" t="n">
        <f>6844670216</f>
        <v>6.844670216E9</v>
      </c>
      <c r="N26" s="23"/>
      <c r="O26" s="26" t="n">
        <f>18689458191</f>
        <v>1.8689458191E10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4"/>
      <c r="T26" s="25" t="n">
        <f>19674</f>
        <v>19674.0</v>
      </c>
      <c r="U26" s="23"/>
      <c r="V26" s="25" t="n">
        <f>13493</f>
        <v>13493.0</v>
      </c>
      <c r="W26" s="23"/>
      <c r="X26" s="26" t="n">
        <f>33167</f>
        <v>33167.0</v>
      </c>
      <c r="Y26" s="24"/>
      <c r="Z26" s="25" t="n">
        <f>1113688</f>
        <v>1113688.0</v>
      </c>
      <c r="AA26" s="23"/>
      <c r="AB26" s="25" t="n">
        <f>545543</f>
        <v>545543.0</v>
      </c>
      <c r="AC26" s="23"/>
      <c r="AD26" s="26" t="n">
        <f>1659231</f>
        <v>1659231.0</v>
      </c>
    </row>
    <row r="27">
      <c r="A27" s="30" t="s">
        <v>47</v>
      </c>
      <c r="B27" s="22" t="s">
        <v>27</v>
      </c>
      <c r="C27" s="22" t="s">
        <v>28</v>
      </c>
      <c r="D27" s="24"/>
      <c r="E27" s="25" t="n">
        <f>88127</f>
        <v>88127.0</v>
      </c>
      <c r="F27" s="23"/>
      <c r="G27" s="25" t="n">
        <f>49937</f>
        <v>49937.0</v>
      </c>
      <c r="H27" s="23"/>
      <c r="I27" s="26" t="n">
        <f>138064</f>
        <v>138064.0</v>
      </c>
      <c r="J27" s="24"/>
      <c r="K27" s="25" t="n">
        <f>23291841000</f>
        <v>2.3291841E10</v>
      </c>
      <c r="L27" s="23"/>
      <c r="M27" s="25" t="n">
        <f>7899005000</f>
        <v>7.899005E9</v>
      </c>
      <c r="N27" s="23"/>
      <c r="O27" s="26" t="n">
        <f>31190846000</f>
        <v>3.1190846E10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4"/>
      <c r="T27" s="25" t="n">
        <f>20748</f>
        <v>20748.0</v>
      </c>
      <c r="U27" s="23"/>
      <c r="V27" s="25" t="n">
        <f>7785</f>
        <v>7785.0</v>
      </c>
      <c r="W27" s="23"/>
      <c r="X27" s="26" t="n">
        <f>28533</f>
        <v>28533.0</v>
      </c>
      <c r="Y27" s="24"/>
      <c r="Z27" s="25" t="n">
        <f>1125896</f>
        <v>1125896.0</v>
      </c>
      <c r="AA27" s="23"/>
      <c r="AB27" s="25" t="n">
        <f>556363</f>
        <v>556363.0</v>
      </c>
      <c r="AC27" s="23"/>
      <c r="AD27" s="26" t="n">
        <f>1682259</f>
        <v>1682259.0</v>
      </c>
    </row>
    <row r="28">
      <c r="A28" s="30" t="s">
        <v>48</v>
      </c>
      <c r="B28" s="22" t="s">
        <v>27</v>
      </c>
      <c r="C28" s="22" t="s">
        <v>28</v>
      </c>
      <c r="D28" s="24"/>
      <c r="E28" s="25" t="n">
        <f>92014</f>
        <v>92014.0</v>
      </c>
      <c r="F28" s="23"/>
      <c r="G28" s="25" t="n">
        <f>46549</f>
        <v>46549.0</v>
      </c>
      <c r="H28" s="23"/>
      <c r="I28" s="26" t="n">
        <f>138563</f>
        <v>138563.0</v>
      </c>
      <c r="J28" s="24"/>
      <c r="K28" s="25" t="n">
        <f>17259221340</f>
        <v>1.725922134E10</v>
      </c>
      <c r="L28" s="23"/>
      <c r="M28" s="25" t="n">
        <f>7187015000</f>
        <v>7.187015E9</v>
      </c>
      <c r="N28" s="23"/>
      <c r="O28" s="26" t="n">
        <f>24446236340</f>
        <v>2.444623634E10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4"/>
      <c r="T28" s="25" t="n">
        <f>20938</f>
        <v>20938.0</v>
      </c>
      <c r="U28" s="23"/>
      <c r="V28" s="25" t="n">
        <f>6127</f>
        <v>6127.0</v>
      </c>
      <c r="W28" s="23"/>
      <c r="X28" s="26" t="n">
        <f>27065</f>
        <v>27065.0</v>
      </c>
      <c r="Y28" s="24"/>
      <c r="Z28" s="25" t="n">
        <f>1146491</f>
        <v>1146491.0</v>
      </c>
      <c r="AA28" s="23"/>
      <c r="AB28" s="25" t="n">
        <f>564485</f>
        <v>564485.0</v>
      </c>
      <c r="AC28" s="23"/>
      <c r="AD28" s="26" t="n">
        <f>1710976</f>
        <v>1710976.0</v>
      </c>
    </row>
    <row r="29">
      <c r="A29" s="30" t="s">
        <v>49</v>
      </c>
      <c r="B29" s="22" t="s">
        <v>27</v>
      </c>
      <c r="C29" s="22" t="s">
        <v>28</v>
      </c>
      <c r="D29" s="24"/>
      <c r="E29" s="25" t="n">
        <f>114605</f>
        <v>114605.0</v>
      </c>
      <c r="F29" s="23"/>
      <c r="G29" s="25" t="n">
        <f>72116</f>
        <v>72116.0</v>
      </c>
      <c r="H29" s="23"/>
      <c r="I29" s="26" t="n">
        <f>186721</f>
        <v>186721.0</v>
      </c>
      <c r="J29" s="24"/>
      <c r="K29" s="25" t="n">
        <f>14913161500</f>
        <v>1.49131615E10</v>
      </c>
      <c r="L29" s="23"/>
      <c r="M29" s="25" t="n">
        <f>7157032000</f>
        <v>7.157032E9</v>
      </c>
      <c r="N29" s="23"/>
      <c r="O29" s="26" t="n">
        <f>22070193500</f>
        <v>2.20701935E10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4"/>
      <c r="T29" s="25" t="n">
        <f>13736</f>
        <v>13736.0</v>
      </c>
      <c r="U29" s="23"/>
      <c r="V29" s="25" t="n">
        <f>10329</f>
        <v>10329.0</v>
      </c>
      <c r="W29" s="23"/>
      <c r="X29" s="26" t="n">
        <f>24065</f>
        <v>24065.0</v>
      </c>
      <c r="Y29" s="24"/>
      <c r="Z29" s="25" t="n">
        <f>1176289</f>
        <v>1176289.0</v>
      </c>
      <c r="AA29" s="23"/>
      <c r="AB29" s="25" t="n">
        <f>579906</f>
        <v>579906.0</v>
      </c>
      <c r="AC29" s="23"/>
      <c r="AD29" s="26" t="n">
        <f>1756195</f>
        <v>1756195.0</v>
      </c>
    </row>
    <row r="30">
      <c r="A30" s="30" t="s">
        <v>50</v>
      </c>
      <c r="B30" s="22" t="s">
        <v>27</v>
      </c>
      <c r="C30" s="22" t="s">
        <v>28</v>
      </c>
      <c r="D30" s="24"/>
      <c r="E30" s="25" t="n">
        <f>92687</f>
        <v>92687.0</v>
      </c>
      <c r="F30" s="23"/>
      <c r="G30" s="25" t="n">
        <f>49129</f>
        <v>49129.0</v>
      </c>
      <c r="H30" s="23"/>
      <c r="I30" s="26" t="n">
        <f>141816</f>
        <v>141816.0</v>
      </c>
      <c r="J30" s="24"/>
      <c r="K30" s="25" t="n">
        <f>17580184320</f>
        <v>1.758018432E10</v>
      </c>
      <c r="L30" s="23"/>
      <c r="M30" s="25" t="n">
        <f>6061557920</f>
        <v>6.06155792E9</v>
      </c>
      <c r="N30" s="23"/>
      <c r="O30" s="26" t="n">
        <f>23641742240</f>
        <v>2.364174224E10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4"/>
      <c r="T30" s="25" t="n">
        <f>16664</f>
        <v>16664.0</v>
      </c>
      <c r="U30" s="23"/>
      <c r="V30" s="25" t="n">
        <f>5627</f>
        <v>5627.0</v>
      </c>
      <c r="W30" s="23"/>
      <c r="X30" s="26" t="n">
        <f>22291</f>
        <v>22291.0</v>
      </c>
      <c r="Y30" s="24"/>
      <c r="Z30" s="25" t="n">
        <f>1195603</f>
        <v>1195603.0</v>
      </c>
      <c r="AA30" s="23"/>
      <c r="AB30" s="25" t="n">
        <f>584339</f>
        <v>584339.0</v>
      </c>
      <c r="AC30" s="23"/>
      <c r="AD30" s="26" t="n">
        <f>1779942</f>
        <v>1779942.0</v>
      </c>
    </row>
    <row r="31">
      <c r="A31" s="30" t="s">
        <v>51</v>
      </c>
      <c r="B31" s="22" t="s">
        <v>27</v>
      </c>
      <c r="C31" s="22" t="s">
        <v>28</v>
      </c>
      <c r="D31" s="24"/>
      <c r="E31" s="25"/>
      <c r="F31" s="23"/>
      <c r="G31" s="25"/>
      <c r="H31" s="23"/>
      <c r="I31" s="26"/>
      <c r="J31" s="24"/>
      <c r="K31" s="25"/>
      <c r="L31" s="23"/>
      <c r="M31" s="25"/>
      <c r="N31" s="23"/>
      <c r="O31" s="26"/>
      <c r="P31" s="27"/>
      <c r="Q31" s="28"/>
      <c r="R31" s="29"/>
      <c r="S31" s="24"/>
      <c r="T31" s="25"/>
      <c r="U31" s="23"/>
      <c r="V31" s="25"/>
      <c r="W31" s="23"/>
      <c r="X31" s="26"/>
      <c r="Y31" s="24"/>
      <c r="Z31" s="25"/>
      <c r="AA31" s="23"/>
      <c r="AB31" s="25"/>
      <c r="AC31" s="23"/>
      <c r="AD31" s="26"/>
    </row>
    <row r="32">
      <c r="A32" s="30" t="s">
        <v>52</v>
      </c>
      <c r="B32" s="22" t="s">
        <v>27</v>
      </c>
      <c r="C32" s="22" t="s">
        <v>28</v>
      </c>
      <c r="D32" s="24"/>
      <c r="E32" s="25"/>
      <c r="F32" s="23"/>
      <c r="G32" s="25"/>
      <c r="H32" s="23"/>
      <c r="I32" s="26"/>
      <c r="J32" s="24"/>
      <c r="K32" s="25"/>
      <c r="L32" s="23"/>
      <c r="M32" s="25"/>
      <c r="N32" s="23"/>
      <c r="O32" s="26"/>
      <c r="P32" s="27"/>
      <c r="Q32" s="28"/>
      <c r="R32" s="29"/>
      <c r="S32" s="24"/>
      <c r="T32" s="25"/>
      <c r="U32" s="23"/>
      <c r="V32" s="25"/>
      <c r="W32" s="23"/>
      <c r="X32" s="26"/>
      <c r="Y32" s="24"/>
      <c r="Z32" s="25"/>
      <c r="AA32" s="23"/>
      <c r="AB32" s="25"/>
      <c r="AC32" s="23"/>
      <c r="AD32" s="26"/>
    </row>
    <row r="33">
      <c r="A33" s="30" t="s">
        <v>53</v>
      </c>
      <c r="B33" s="22" t="s">
        <v>27</v>
      </c>
      <c r="C33" s="22" t="s">
        <v>28</v>
      </c>
      <c r="D33" s="24"/>
      <c r="E33" s="25"/>
      <c r="F33" s="23"/>
      <c r="G33" s="25"/>
      <c r="H33" s="23"/>
      <c r="I33" s="26"/>
      <c r="J33" s="24"/>
      <c r="K33" s="25"/>
      <c r="L33" s="23"/>
      <c r="M33" s="25"/>
      <c r="N33" s="23"/>
      <c r="O33" s="26"/>
      <c r="P33" s="27"/>
      <c r="Q33" s="28"/>
      <c r="R33" s="29"/>
      <c r="S33" s="24"/>
      <c r="T33" s="25"/>
      <c r="U33" s="23"/>
      <c r="V33" s="25"/>
      <c r="W33" s="23"/>
      <c r="X33" s="26"/>
      <c r="Y33" s="24"/>
      <c r="Z33" s="25"/>
      <c r="AA33" s="23"/>
      <c r="AB33" s="25"/>
      <c r="AC33" s="23"/>
      <c r="AD33" s="26"/>
    </row>
    <row r="34">
      <c r="A34" s="30" t="s">
        <v>54</v>
      </c>
      <c r="B34" s="22" t="s">
        <v>27</v>
      </c>
      <c r="C34" s="22" t="s">
        <v>28</v>
      </c>
      <c r="D34" s="24"/>
      <c r="E34" s="25" t="n">
        <f>166092</f>
        <v>166092.0</v>
      </c>
      <c r="F34" s="23"/>
      <c r="G34" s="25" t="n">
        <f>89070</f>
        <v>89070.0</v>
      </c>
      <c r="H34" s="23"/>
      <c r="I34" s="26" t="n">
        <f>255162</f>
        <v>255162.0</v>
      </c>
      <c r="J34" s="24"/>
      <c r="K34" s="25" t="n">
        <f>48503407340</f>
        <v>4.850340734E10</v>
      </c>
      <c r="L34" s="23"/>
      <c r="M34" s="25" t="n">
        <f>16392245700</f>
        <v>1.63922457E10</v>
      </c>
      <c r="N34" s="23"/>
      <c r="O34" s="26" t="n">
        <f>64895653040</f>
        <v>6.489565304E10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4" t="s">
        <v>34</v>
      </c>
      <c r="T34" s="25" t="n">
        <f>37060</f>
        <v>37060.0</v>
      </c>
      <c r="U34" s="23"/>
      <c r="V34" s="25" t="n">
        <f>18410</f>
        <v>18410.0</v>
      </c>
      <c r="W34" s="23"/>
      <c r="X34" s="26" t="n">
        <f>55470</f>
        <v>55470.0</v>
      </c>
      <c r="Y34" s="24"/>
      <c r="Z34" s="25" t="n">
        <f>1212511</f>
        <v>1212511.0</v>
      </c>
      <c r="AA34" s="23"/>
      <c r="AB34" s="25" t="n">
        <f>601911</f>
        <v>601911.0</v>
      </c>
      <c r="AC34" s="23"/>
      <c r="AD34" s="26" t="n">
        <f>1814422</f>
        <v>1814422.0</v>
      </c>
    </row>
    <row r="35">
      <c r="A35" s="30" t="s">
        <v>55</v>
      </c>
      <c r="B35" s="22" t="s">
        <v>27</v>
      </c>
      <c r="C35" s="22" t="s">
        <v>28</v>
      </c>
      <c r="D35" s="24"/>
      <c r="E35" s="25" t="n">
        <f>177081</f>
        <v>177081.0</v>
      </c>
      <c r="F35" s="23"/>
      <c r="G35" s="25" t="n">
        <f>114725</f>
        <v>114725.0</v>
      </c>
      <c r="H35" s="23"/>
      <c r="I35" s="26" t="n">
        <f>291806</f>
        <v>291806.0</v>
      </c>
      <c r="J35" s="24"/>
      <c r="K35" s="25" t="n">
        <f>58948205163</f>
        <v>5.8948205163E10</v>
      </c>
      <c r="L35" s="23" t="s">
        <v>34</v>
      </c>
      <c r="M35" s="25" t="n">
        <f>27496563400</f>
        <v>2.74965634E10</v>
      </c>
      <c r="N35" s="23"/>
      <c r="O35" s="26" t="n">
        <f>86444768563</f>
        <v>8.6444768563E10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4"/>
      <c r="T35" s="25" t="n">
        <f>31919</f>
        <v>31919.0</v>
      </c>
      <c r="U35" s="23" t="s">
        <v>34</v>
      </c>
      <c r="V35" s="25" t="n">
        <f>24854</f>
        <v>24854.0</v>
      </c>
      <c r="W35" s="23" t="s">
        <v>34</v>
      </c>
      <c r="X35" s="26" t="n">
        <f>56773</f>
        <v>56773.0</v>
      </c>
      <c r="Y35" s="24"/>
      <c r="Z35" s="25" t="n">
        <f>1211701</f>
        <v>1211701.0</v>
      </c>
      <c r="AA35" s="23"/>
      <c r="AB35" s="25" t="n">
        <f>611437</f>
        <v>611437.0</v>
      </c>
      <c r="AC35" s="23"/>
      <c r="AD35" s="26" t="n">
        <f>1823138</f>
        <v>1823138.0</v>
      </c>
    </row>
    <row r="36">
      <c r="A36" s="30" t="s">
        <v>56</v>
      </c>
      <c r="B36" s="22" t="s">
        <v>27</v>
      </c>
      <c r="C36" s="22" t="s">
        <v>28</v>
      </c>
      <c r="D36" s="24"/>
      <c r="E36" s="25" t="n">
        <f>179298</f>
        <v>179298.0</v>
      </c>
      <c r="F36" s="23"/>
      <c r="G36" s="25" t="n">
        <f>96806</f>
        <v>96806.0</v>
      </c>
      <c r="H36" s="23"/>
      <c r="I36" s="26" t="n">
        <f>276104</f>
        <v>276104.0</v>
      </c>
      <c r="J36" s="24"/>
      <c r="K36" s="25" t="n">
        <f>55159887567</f>
        <v>5.5159887567E10</v>
      </c>
      <c r="L36" s="23"/>
      <c r="M36" s="25" t="n">
        <f>19908638000</f>
        <v>1.9908638E10</v>
      </c>
      <c r="N36" s="23"/>
      <c r="O36" s="26" t="n">
        <f>75068525567</f>
        <v>7.5068525567E10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4"/>
      <c r="T36" s="25" t="n">
        <f>24787</f>
        <v>24787.0</v>
      </c>
      <c r="U36" s="23"/>
      <c r="V36" s="25" t="n">
        <f>15460</f>
        <v>15460.0</v>
      </c>
      <c r="W36" s="23"/>
      <c r="X36" s="26" t="n">
        <f>40247</f>
        <v>40247.0</v>
      </c>
      <c r="Y36" s="24"/>
      <c r="Z36" s="25" t="n">
        <f>1244372</f>
        <v>1244372.0</v>
      </c>
      <c r="AA36" s="23"/>
      <c r="AB36" s="25" t="n">
        <f>624931</f>
        <v>624931.0</v>
      </c>
      <c r="AC36" s="23"/>
      <c r="AD36" s="26" t="n">
        <f>1869303</f>
        <v>1869303.0</v>
      </c>
    </row>
    <row r="37">
      <c r="A37" s="30" t="s">
        <v>57</v>
      </c>
      <c r="B37" s="22" t="s">
        <v>27</v>
      </c>
      <c r="C37" s="22" t="s">
        <v>28</v>
      </c>
      <c r="D37" s="24" t="s">
        <v>34</v>
      </c>
      <c r="E37" s="25" t="n">
        <f>204277</f>
        <v>204277.0</v>
      </c>
      <c r="F37" s="23"/>
      <c r="G37" s="25" t="n">
        <f>108980</f>
        <v>108980.0</v>
      </c>
      <c r="H37" s="23" t="s">
        <v>34</v>
      </c>
      <c r="I37" s="26" t="n">
        <f>313257</f>
        <v>313257.0</v>
      </c>
      <c r="J37" s="24" t="s">
        <v>34</v>
      </c>
      <c r="K37" s="25" t="n">
        <f>74257256760</f>
        <v>7.425725676E10</v>
      </c>
      <c r="L37" s="23"/>
      <c r="M37" s="25" t="n">
        <f>18332251060</f>
        <v>1.833225106E10</v>
      </c>
      <c r="N37" s="23" t="s">
        <v>34</v>
      </c>
      <c r="O37" s="26" t="n">
        <f>92589507820</f>
        <v>9.258950782E10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4"/>
      <c r="T37" s="25" t="n">
        <f>26384</f>
        <v>26384.0</v>
      </c>
      <c r="U37" s="23"/>
      <c r="V37" s="25" t="n">
        <f>11773</f>
        <v>11773.0</v>
      </c>
      <c r="W37" s="23"/>
      <c r="X37" s="26" t="n">
        <f>38157</f>
        <v>38157.0</v>
      </c>
      <c r="Y37" s="24" t="s">
        <v>34</v>
      </c>
      <c r="Z37" s="25" t="n">
        <f>1284992</f>
        <v>1284992.0</v>
      </c>
      <c r="AA37" s="23" t="s">
        <v>34</v>
      </c>
      <c r="AB37" s="25" t="n">
        <f>658270</f>
        <v>658270.0</v>
      </c>
      <c r="AC37" s="23" t="s">
        <v>34</v>
      </c>
      <c r="AD37" s="26" t="n">
        <f>1943262</f>
        <v>1943262.0</v>
      </c>
    </row>
    <row r="38">
      <c r="A38" s="30" t="s">
        <v>58</v>
      </c>
      <c r="B38" s="22" t="s">
        <v>27</v>
      </c>
      <c r="C38" s="22" t="s">
        <v>28</v>
      </c>
      <c r="D38" s="24"/>
      <c r="E38" s="25"/>
      <c r="F38" s="23"/>
      <c r="G38" s="25"/>
      <c r="H38" s="23"/>
      <c r="I38" s="26"/>
      <c r="J38" s="24"/>
      <c r="K38" s="25"/>
      <c r="L38" s="23"/>
      <c r="M38" s="25"/>
      <c r="N38" s="23"/>
      <c r="O38" s="26"/>
      <c r="P38" s="27"/>
      <c r="Q38" s="28"/>
      <c r="R38" s="29"/>
      <c r="S38" s="24"/>
      <c r="T38" s="25"/>
      <c r="U38" s="23"/>
      <c r="V38" s="25"/>
      <c r="W38" s="23"/>
      <c r="X38" s="26"/>
      <c r="Y38" s="24"/>
      <c r="Z38" s="25"/>
      <c r="AA38" s="23"/>
      <c r="AB38" s="25"/>
      <c r="AC38" s="23"/>
      <c r="AD38" s="26"/>
    </row>
    <row r="39">
      <c r="A39" s="30" t="s">
        <v>26</v>
      </c>
      <c r="B39" s="22" t="s">
        <v>59</v>
      </c>
      <c r="C39" s="22" t="s">
        <v>60</v>
      </c>
      <c r="D39" s="24"/>
      <c r="E39" s="25"/>
      <c r="F39" s="23"/>
      <c r="G39" s="25"/>
      <c r="H39" s="23"/>
      <c r="I39" s="26"/>
      <c r="J39" s="24"/>
      <c r="K39" s="25"/>
      <c r="L39" s="23"/>
      <c r="M39" s="25"/>
      <c r="N39" s="23"/>
      <c r="O39" s="26"/>
      <c r="P39" s="27"/>
      <c r="Q39" s="28"/>
      <c r="R39" s="29"/>
      <c r="S39" s="24"/>
      <c r="T39" s="25"/>
      <c r="U39" s="23"/>
      <c r="V39" s="25"/>
      <c r="W39" s="23"/>
      <c r="X39" s="26"/>
      <c r="Y39" s="24"/>
      <c r="Z39" s="25"/>
      <c r="AA39" s="23"/>
      <c r="AB39" s="25"/>
      <c r="AC39" s="23"/>
      <c r="AD39" s="26"/>
    </row>
    <row r="40">
      <c r="A40" s="30" t="s">
        <v>29</v>
      </c>
      <c r="B40" s="22" t="s">
        <v>59</v>
      </c>
      <c r="C40" s="22" t="s">
        <v>60</v>
      </c>
      <c r="D40" s="24"/>
      <c r="E40" s="25"/>
      <c r="F40" s="23"/>
      <c r="G40" s="25"/>
      <c r="H40" s="23"/>
      <c r="I40" s="26"/>
      <c r="J40" s="24"/>
      <c r="K40" s="25"/>
      <c r="L40" s="23"/>
      <c r="M40" s="25"/>
      <c r="N40" s="23"/>
      <c r="O40" s="26"/>
      <c r="P40" s="27"/>
      <c r="Q40" s="28"/>
      <c r="R40" s="29"/>
      <c r="S40" s="24"/>
      <c r="T40" s="25"/>
      <c r="U40" s="23"/>
      <c r="V40" s="25"/>
      <c r="W40" s="23"/>
      <c r="X40" s="26"/>
      <c r="Y40" s="24"/>
      <c r="Z40" s="25"/>
      <c r="AA40" s="23"/>
      <c r="AB40" s="25"/>
      <c r="AC40" s="23"/>
      <c r="AD40" s="26"/>
    </row>
    <row r="41">
      <c r="A41" s="30" t="s">
        <v>30</v>
      </c>
      <c r="B41" s="22" t="s">
        <v>59</v>
      </c>
      <c r="C41" s="22" t="s">
        <v>60</v>
      </c>
      <c r="D41" s="24"/>
      <c r="E41" s="25" t="n">
        <f>2586</f>
        <v>2586.0</v>
      </c>
      <c r="F41" s="23"/>
      <c r="G41" s="25" t="n">
        <f>2795</f>
        <v>2795.0</v>
      </c>
      <c r="H41" s="23"/>
      <c r="I41" s="26" t="n">
        <f>5381</f>
        <v>5381.0</v>
      </c>
      <c r="J41" s="24"/>
      <c r="K41" s="25" t="n">
        <f>294605000</f>
        <v>2.94605E8</v>
      </c>
      <c r="L41" s="23"/>
      <c r="M41" s="25" t="n">
        <f>104994000</f>
        <v>1.04994E8</v>
      </c>
      <c r="N41" s="23"/>
      <c r="O41" s="26" t="n">
        <f>399599000</f>
        <v>3.99599E8</v>
      </c>
      <c r="P41" s="27" t="str">
        <f>"－"</f>
        <v>－</v>
      </c>
      <c r="Q41" s="28" t="str">
        <f>"－"</f>
        <v>－</v>
      </c>
      <c r="R41" s="29" t="str">
        <f>"－"</f>
        <v>－</v>
      </c>
      <c r="S41" s="24"/>
      <c r="T41" s="25" t="n">
        <f>541</f>
        <v>541.0</v>
      </c>
      <c r="U41" s="23"/>
      <c r="V41" s="25" t="n">
        <f>239</f>
        <v>239.0</v>
      </c>
      <c r="W41" s="23"/>
      <c r="X41" s="26" t="n">
        <f>780</f>
        <v>780.0</v>
      </c>
      <c r="Y41" s="24"/>
      <c r="Z41" s="25" t="n">
        <f>2250</f>
        <v>2250.0</v>
      </c>
      <c r="AA41" s="23"/>
      <c r="AB41" s="25" t="n">
        <f>2791</f>
        <v>2791.0</v>
      </c>
      <c r="AC41" s="23"/>
      <c r="AD41" s="26" t="n">
        <f>5041</f>
        <v>5041.0</v>
      </c>
    </row>
    <row r="42">
      <c r="A42" s="30" t="s">
        <v>31</v>
      </c>
      <c r="B42" s="22" t="s">
        <v>59</v>
      </c>
      <c r="C42" s="22" t="s">
        <v>60</v>
      </c>
      <c r="D42" s="24"/>
      <c r="E42" s="25" t="n">
        <f>2094</f>
        <v>2094.0</v>
      </c>
      <c r="F42" s="23"/>
      <c r="G42" s="25" t="n">
        <f>2073</f>
        <v>2073.0</v>
      </c>
      <c r="H42" s="23"/>
      <c r="I42" s="26" t="n">
        <f>4167</f>
        <v>4167.0</v>
      </c>
      <c r="J42" s="24"/>
      <c r="K42" s="25" t="n">
        <f>119961000</f>
        <v>1.19961E8</v>
      </c>
      <c r="L42" s="23"/>
      <c r="M42" s="25" t="n">
        <f>77626000</f>
        <v>7.7626E7</v>
      </c>
      <c r="N42" s="23"/>
      <c r="O42" s="26" t="n">
        <f>197587000</f>
        <v>1.97587E8</v>
      </c>
      <c r="P42" s="27" t="str">
        <f>"－"</f>
        <v>－</v>
      </c>
      <c r="Q42" s="28" t="str">
        <f>"－"</f>
        <v>－</v>
      </c>
      <c r="R42" s="29" t="str">
        <f>"－"</f>
        <v>－</v>
      </c>
      <c r="S42" s="24"/>
      <c r="T42" s="25" t="n">
        <f>186</f>
        <v>186.0</v>
      </c>
      <c r="U42" s="23"/>
      <c r="V42" s="25" t="n">
        <f>247</f>
        <v>247.0</v>
      </c>
      <c r="W42" s="23"/>
      <c r="X42" s="26" t="n">
        <f>433</f>
        <v>433.0</v>
      </c>
      <c r="Y42" s="24"/>
      <c r="Z42" s="25" t="n">
        <f>3106</f>
        <v>3106.0</v>
      </c>
      <c r="AA42" s="23"/>
      <c r="AB42" s="25" t="n">
        <f>3426</f>
        <v>3426.0</v>
      </c>
      <c r="AC42" s="23"/>
      <c r="AD42" s="26" t="n">
        <f>6532</f>
        <v>6532.0</v>
      </c>
    </row>
    <row r="43">
      <c r="A43" s="30" t="s">
        <v>32</v>
      </c>
      <c r="B43" s="22" t="s">
        <v>59</v>
      </c>
      <c r="C43" s="22" t="s">
        <v>60</v>
      </c>
      <c r="D43" s="24"/>
      <c r="E43" s="25" t="n">
        <f>2943</f>
        <v>2943.0</v>
      </c>
      <c r="F43" s="23"/>
      <c r="G43" s="25" t="n">
        <f>2027</f>
        <v>2027.0</v>
      </c>
      <c r="H43" s="23"/>
      <c r="I43" s="26" t="n">
        <f>4970</f>
        <v>4970.0</v>
      </c>
      <c r="J43" s="24"/>
      <c r="K43" s="25" t="n">
        <f>78424000</f>
        <v>7.8424E7</v>
      </c>
      <c r="L43" s="23"/>
      <c r="M43" s="25" t="n">
        <f>108025000</f>
        <v>1.08025E8</v>
      </c>
      <c r="N43" s="23"/>
      <c r="O43" s="26" t="n">
        <f>186449000</f>
        <v>1.86449E8</v>
      </c>
      <c r="P43" s="27" t="str">
        <f>"－"</f>
        <v>－</v>
      </c>
      <c r="Q43" s="28" t="str">
        <f>"－"</f>
        <v>－</v>
      </c>
      <c r="R43" s="29" t="str">
        <f>"－"</f>
        <v>－</v>
      </c>
      <c r="S43" s="24"/>
      <c r="T43" s="25" t="n">
        <f>764</f>
        <v>764.0</v>
      </c>
      <c r="U43" s="23"/>
      <c r="V43" s="25" t="n">
        <f>182</f>
        <v>182.0</v>
      </c>
      <c r="W43" s="23"/>
      <c r="X43" s="26" t="n">
        <f>946</f>
        <v>946.0</v>
      </c>
      <c r="Y43" s="24"/>
      <c r="Z43" s="25" t="n">
        <f>3117</f>
        <v>3117.0</v>
      </c>
      <c r="AA43" s="23"/>
      <c r="AB43" s="25" t="n">
        <f>3287</f>
        <v>3287.0</v>
      </c>
      <c r="AC43" s="23"/>
      <c r="AD43" s="26" t="n">
        <f>6404</f>
        <v>6404.0</v>
      </c>
    </row>
    <row r="44">
      <c r="A44" s="30" t="s">
        <v>33</v>
      </c>
      <c r="B44" s="22" t="s">
        <v>59</v>
      </c>
      <c r="C44" s="22" t="s">
        <v>60</v>
      </c>
      <c r="D44" s="24" t="s">
        <v>34</v>
      </c>
      <c r="E44" s="25" t="n">
        <f>7835</f>
        <v>7835.0</v>
      </c>
      <c r="F44" s="23"/>
      <c r="G44" s="25" t="n">
        <f>4260</f>
        <v>4260.0</v>
      </c>
      <c r="H44" s="23" t="s">
        <v>34</v>
      </c>
      <c r="I44" s="26" t="n">
        <f>12095</f>
        <v>12095.0</v>
      </c>
      <c r="J44" s="24"/>
      <c r="K44" s="25" t="n">
        <f>182591000</f>
        <v>1.82591E8</v>
      </c>
      <c r="L44" s="23" t="s">
        <v>34</v>
      </c>
      <c r="M44" s="25" t="n">
        <f>312342000</f>
        <v>3.12342E8</v>
      </c>
      <c r="N44" s="23"/>
      <c r="O44" s="26" t="n">
        <f>494933000</f>
        <v>4.94933E8</v>
      </c>
      <c r="P44" s="27" t="str">
        <f>"－"</f>
        <v>－</v>
      </c>
      <c r="Q44" s="28" t="str">
        <f>"－"</f>
        <v>－</v>
      </c>
      <c r="R44" s="29" t="str">
        <f>"－"</f>
        <v>－</v>
      </c>
      <c r="S44" s="24" t="s">
        <v>34</v>
      </c>
      <c r="T44" s="25" t="n">
        <f>1099</f>
        <v>1099.0</v>
      </c>
      <c r="U44" s="23"/>
      <c r="V44" s="25" t="n">
        <f>364</f>
        <v>364.0</v>
      </c>
      <c r="W44" s="23" t="s">
        <v>34</v>
      </c>
      <c r="X44" s="26" t="n">
        <f>1463</f>
        <v>1463.0</v>
      </c>
      <c r="Y44" s="24" t="s">
        <v>34</v>
      </c>
      <c r="Z44" s="25" t="n">
        <f>6255</f>
        <v>6255.0</v>
      </c>
      <c r="AA44" s="23"/>
      <c r="AB44" s="25" t="n">
        <f>3659</f>
        <v>3659.0</v>
      </c>
      <c r="AC44" s="23"/>
      <c r="AD44" s="26" t="n">
        <f>9914</f>
        <v>9914.0</v>
      </c>
    </row>
    <row r="45">
      <c r="A45" s="30" t="s">
        <v>35</v>
      </c>
      <c r="B45" s="22" t="s">
        <v>59</v>
      </c>
      <c r="C45" s="22" t="s">
        <v>60</v>
      </c>
      <c r="D45" s="24" t="s">
        <v>39</v>
      </c>
      <c r="E45" s="25" t="n">
        <f>76</f>
        <v>76.0</v>
      </c>
      <c r="F45" s="23" t="s">
        <v>39</v>
      </c>
      <c r="G45" s="25" t="n">
        <f>124</f>
        <v>124.0</v>
      </c>
      <c r="H45" s="23" t="s">
        <v>39</v>
      </c>
      <c r="I45" s="26" t="n">
        <f>200</f>
        <v>200.0</v>
      </c>
      <c r="J45" s="24" t="s">
        <v>39</v>
      </c>
      <c r="K45" s="25" t="n">
        <f>6199000</f>
        <v>6199000.0</v>
      </c>
      <c r="L45" s="23" t="s">
        <v>39</v>
      </c>
      <c r="M45" s="25" t="n">
        <f>19756000</f>
        <v>1.9756E7</v>
      </c>
      <c r="N45" s="23" t="s">
        <v>39</v>
      </c>
      <c r="O45" s="26" t="n">
        <f>25955000</f>
        <v>2.5955E7</v>
      </c>
      <c r="P45" s="27" t="n">
        <f>41</f>
        <v>41.0</v>
      </c>
      <c r="Q45" s="28" t="n">
        <f>1537</f>
        <v>1537.0</v>
      </c>
      <c r="R45" s="29" t="n">
        <f>1578</f>
        <v>1578.0</v>
      </c>
      <c r="S45" s="24" t="s">
        <v>39</v>
      </c>
      <c r="T45" s="25" t="n">
        <f>4</f>
        <v>4.0</v>
      </c>
      <c r="U45" s="23" t="s">
        <v>39</v>
      </c>
      <c r="V45" s="25" t="n">
        <f>12</f>
        <v>12.0</v>
      </c>
      <c r="W45" s="23" t="s">
        <v>39</v>
      </c>
      <c r="X45" s="26" t="n">
        <f>16</f>
        <v>16.0</v>
      </c>
      <c r="Y45" s="24" t="s">
        <v>39</v>
      </c>
      <c r="Z45" s="25" t="n">
        <f>817</f>
        <v>817.0</v>
      </c>
      <c r="AA45" s="23" t="s">
        <v>39</v>
      </c>
      <c r="AB45" s="25" t="n">
        <f>637</f>
        <v>637.0</v>
      </c>
      <c r="AC45" s="23" t="s">
        <v>39</v>
      </c>
      <c r="AD45" s="26" t="n">
        <f>1454</f>
        <v>1454.0</v>
      </c>
    </row>
    <row r="46">
      <c r="A46" s="30" t="s">
        <v>36</v>
      </c>
      <c r="B46" s="22" t="s">
        <v>59</v>
      </c>
      <c r="C46" s="22" t="s">
        <v>60</v>
      </c>
      <c r="D46" s="24"/>
      <c r="E46" s="25"/>
      <c r="F46" s="23"/>
      <c r="G46" s="25"/>
      <c r="H46" s="23"/>
      <c r="I46" s="26"/>
      <c r="J46" s="24"/>
      <c r="K46" s="25"/>
      <c r="L46" s="23"/>
      <c r="M46" s="25"/>
      <c r="N46" s="23"/>
      <c r="O46" s="26"/>
      <c r="P46" s="27"/>
      <c r="Q46" s="28"/>
      <c r="R46" s="29"/>
      <c r="S46" s="24"/>
      <c r="T46" s="25"/>
      <c r="U46" s="23"/>
      <c r="V46" s="25"/>
      <c r="W46" s="23"/>
      <c r="X46" s="26"/>
      <c r="Y46" s="24"/>
      <c r="Z46" s="25"/>
      <c r="AA46" s="23"/>
      <c r="AB46" s="25"/>
      <c r="AC46" s="23"/>
      <c r="AD46" s="26"/>
    </row>
    <row r="47">
      <c r="A47" s="30" t="s">
        <v>37</v>
      </c>
      <c r="B47" s="22" t="s">
        <v>59</v>
      </c>
      <c r="C47" s="22" t="s">
        <v>60</v>
      </c>
      <c r="D47" s="24"/>
      <c r="E47" s="25"/>
      <c r="F47" s="23"/>
      <c r="G47" s="25"/>
      <c r="H47" s="23"/>
      <c r="I47" s="26"/>
      <c r="J47" s="24"/>
      <c r="K47" s="25"/>
      <c r="L47" s="23"/>
      <c r="M47" s="25"/>
      <c r="N47" s="23"/>
      <c r="O47" s="26"/>
      <c r="P47" s="27"/>
      <c r="Q47" s="28"/>
      <c r="R47" s="29"/>
      <c r="S47" s="24"/>
      <c r="T47" s="25"/>
      <c r="U47" s="23"/>
      <c r="V47" s="25"/>
      <c r="W47" s="23"/>
      <c r="X47" s="26"/>
      <c r="Y47" s="24"/>
      <c r="Z47" s="25"/>
      <c r="AA47" s="23"/>
      <c r="AB47" s="25"/>
      <c r="AC47" s="23"/>
      <c r="AD47" s="26"/>
    </row>
    <row r="48">
      <c r="A48" s="30" t="s">
        <v>38</v>
      </c>
      <c r="B48" s="22" t="s">
        <v>59</v>
      </c>
      <c r="C48" s="22" t="s">
        <v>60</v>
      </c>
      <c r="D48" s="24"/>
      <c r="E48" s="25" t="n">
        <f>387</f>
        <v>387.0</v>
      </c>
      <c r="F48" s="23"/>
      <c r="G48" s="25" t="n">
        <f>455</f>
        <v>455.0</v>
      </c>
      <c r="H48" s="23"/>
      <c r="I48" s="26" t="n">
        <f>842</f>
        <v>842.0</v>
      </c>
      <c r="J48" s="24"/>
      <c r="K48" s="25" t="n">
        <f>53931000</f>
        <v>5.3931E7</v>
      </c>
      <c r="L48" s="23"/>
      <c r="M48" s="25" t="n">
        <f>69268000</f>
        <v>6.9268E7</v>
      </c>
      <c r="N48" s="23"/>
      <c r="O48" s="26" t="n">
        <f>123199000</f>
        <v>1.23199E8</v>
      </c>
      <c r="P48" s="27" t="str">
        <f>"－"</f>
        <v>－</v>
      </c>
      <c r="Q48" s="28" t="str">
        <f>"－"</f>
        <v>－</v>
      </c>
      <c r="R48" s="29" t="str">
        <f>"－"</f>
        <v>－</v>
      </c>
      <c r="S48" s="24"/>
      <c r="T48" s="25" t="n">
        <f>9</f>
        <v>9.0</v>
      </c>
      <c r="U48" s="23"/>
      <c r="V48" s="25" t="n">
        <f>276</f>
        <v>276.0</v>
      </c>
      <c r="W48" s="23"/>
      <c r="X48" s="26" t="n">
        <f>285</f>
        <v>285.0</v>
      </c>
      <c r="Y48" s="24"/>
      <c r="Z48" s="25" t="n">
        <f>1135</f>
        <v>1135.0</v>
      </c>
      <c r="AA48" s="23"/>
      <c r="AB48" s="25" t="n">
        <f>965</f>
        <v>965.0</v>
      </c>
      <c r="AC48" s="23"/>
      <c r="AD48" s="26" t="n">
        <f>2100</f>
        <v>2100.0</v>
      </c>
    </row>
    <row r="49">
      <c r="A49" s="30" t="s">
        <v>40</v>
      </c>
      <c r="B49" s="22" t="s">
        <v>59</v>
      </c>
      <c r="C49" s="22" t="s">
        <v>60</v>
      </c>
      <c r="D49" s="24"/>
      <c r="E49" s="25"/>
      <c r="F49" s="23"/>
      <c r="G49" s="25"/>
      <c r="H49" s="23"/>
      <c r="I49" s="26"/>
      <c r="J49" s="24"/>
      <c r="K49" s="25"/>
      <c r="L49" s="23"/>
      <c r="M49" s="25"/>
      <c r="N49" s="23"/>
      <c r="O49" s="26"/>
      <c r="P49" s="27"/>
      <c r="Q49" s="28"/>
      <c r="R49" s="29"/>
      <c r="S49" s="24"/>
      <c r="T49" s="25"/>
      <c r="U49" s="23"/>
      <c r="V49" s="25"/>
      <c r="W49" s="23"/>
      <c r="X49" s="26"/>
      <c r="Y49" s="24"/>
      <c r="Z49" s="25"/>
      <c r="AA49" s="23"/>
      <c r="AB49" s="25"/>
      <c r="AC49" s="23"/>
      <c r="AD49" s="26"/>
    </row>
    <row r="50">
      <c r="A50" s="30" t="s">
        <v>41</v>
      </c>
      <c r="B50" s="22" t="s">
        <v>59</v>
      </c>
      <c r="C50" s="22" t="s">
        <v>60</v>
      </c>
      <c r="D50" s="24"/>
      <c r="E50" s="25" t="n">
        <f>372</f>
        <v>372.0</v>
      </c>
      <c r="F50" s="23"/>
      <c r="G50" s="25" t="n">
        <f>804</f>
        <v>804.0</v>
      </c>
      <c r="H50" s="23"/>
      <c r="I50" s="26" t="n">
        <f>1176</f>
        <v>1176.0</v>
      </c>
      <c r="J50" s="24"/>
      <c r="K50" s="25" t="n">
        <f>23147000</f>
        <v>2.3147E7</v>
      </c>
      <c r="L50" s="23"/>
      <c r="M50" s="25" t="n">
        <f>72357000</f>
        <v>7.2357E7</v>
      </c>
      <c r="N50" s="23"/>
      <c r="O50" s="26" t="n">
        <f>95504000</f>
        <v>9.5504E7</v>
      </c>
      <c r="P50" s="27" t="str">
        <f>"－"</f>
        <v>－</v>
      </c>
      <c r="Q50" s="28" t="str">
        <f>"－"</f>
        <v>－</v>
      </c>
      <c r="R50" s="29" t="str">
        <f>"－"</f>
        <v>－</v>
      </c>
      <c r="S50" s="24"/>
      <c r="T50" s="25" t="n">
        <f>12</f>
        <v>12.0</v>
      </c>
      <c r="U50" s="23"/>
      <c r="V50" s="25" t="n">
        <f>18</f>
        <v>18.0</v>
      </c>
      <c r="W50" s="23"/>
      <c r="X50" s="26" t="n">
        <f>30</f>
        <v>30.0</v>
      </c>
      <c r="Y50" s="24"/>
      <c r="Z50" s="25" t="n">
        <f>1282</f>
        <v>1282.0</v>
      </c>
      <c r="AA50" s="23"/>
      <c r="AB50" s="25" t="n">
        <f>1639</f>
        <v>1639.0</v>
      </c>
      <c r="AC50" s="23"/>
      <c r="AD50" s="26" t="n">
        <f>2921</f>
        <v>2921.0</v>
      </c>
    </row>
    <row r="51">
      <c r="A51" s="30" t="s">
        <v>42</v>
      </c>
      <c r="B51" s="22" t="s">
        <v>59</v>
      </c>
      <c r="C51" s="22" t="s">
        <v>60</v>
      </c>
      <c r="D51" s="24"/>
      <c r="E51" s="25" t="n">
        <f>737</f>
        <v>737.0</v>
      </c>
      <c r="F51" s="23"/>
      <c r="G51" s="25" t="n">
        <f>691</f>
        <v>691.0</v>
      </c>
      <c r="H51" s="23"/>
      <c r="I51" s="26" t="n">
        <f>1428</f>
        <v>1428.0</v>
      </c>
      <c r="J51" s="24"/>
      <c r="K51" s="25" t="n">
        <f>58576000</f>
        <v>5.8576E7</v>
      </c>
      <c r="L51" s="23"/>
      <c r="M51" s="25" t="n">
        <f>66264000</f>
        <v>6.6264E7</v>
      </c>
      <c r="N51" s="23"/>
      <c r="O51" s="26" t="n">
        <f>124840000</f>
        <v>1.2484E8</v>
      </c>
      <c r="P51" s="27" t="str">
        <f>"－"</f>
        <v>－</v>
      </c>
      <c r="Q51" s="28" t="str">
        <f>"－"</f>
        <v>－</v>
      </c>
      <c r="R51" s="29" t="str">
        <f>"－"</f>
        <v>－</v>
      </c>
      <c r="S51" s="24"/>
      <c r="T51" s="25" t="n">
        <f>71</f>
        <v>71.0</v>
      </c>
      <c r="U51" s="23"/>
      <c r="V51" s="25" t="n">
        <f>49</f>
        <v>49.0</v>
      </c>
      <c r="W51" s="23"/>
      <c r="X51" s="26" t="n">
        <f>120</f>
        <v>120.0</v>
      </c>
      <c r="Y51" s="24"/>
      <c r="Z51" s="25" t="n">
        <f>1807</f>
        <v>1807.0</v>
      </c>
      <c r="AA51" s="23"/>
      <c r="AB51" s="25" t="n">
        <f>1927</f>
        <v>1927.0</v>
      </c>
      <c r="AC51" s="23"/>
      <c r="AD51" s="26" t="n">
        <f>3734</f>
        <v>3734.0</v>
      </c>
    </row>
    <row r="52">
      <c r="A52" s="30" t="s">
        <v>43</v>
      </c>
      <c r="B52" s="22" t="s">
        <v>59</v>
      </c>
      <c r="C52" s="22" t="s">
        <v>60</v>
      </c>
      <c r="D52" s="24"/>
      <c r="E52" s="25" t="n">
        <f>1297</f>
        <v>1297.0</v>
      </c>
      <c r="F52" s="23"/>
      <c r="G52" s="25" t="n">
        <f>1332</f>
        <v>1332.0</v>
      </c>
      <c r="H52" s="23"/>
      <c r="I52" s="26" t="n">
        <f>2629</f>
        <v>2629.0</v>
      </c>
      <c r="J52" s="24"/>
      <c r="K52" s="25" t="n">
        <f>75807000</f>
        <v>7.5807E7</v>
      </c>
      <c r="L52" s="23"/>
      <c r="M52" s="25" t="n">
        <f>75814000</f>
        <v>7.5814E7</v>
      </c>
      <c r="N52" s="23"/>
      <c r="O52" s="26" t="n">
        <f>151621000</f>
        <v>1.51621E8</v>
      </c>
      <c r="P52" s="27" t="str">
        <f>"－"</f>
        <v>－</v>
      </c>
      <c r="Q52" s="28" t="str">
        <f>"－"</f>
        <v>－</v>
      </c>
      <c r="R52" s="29" t="str">
        <f>"－"</f>
        <v>－</v>
      </c>
      <c r="S52" s="24"/>
      <c r="T52" s="25" t="n">
        <f>149</f>
        <v>149.0</v>
      </c>
      <c r="U52" s="23"/>
      <c r="V52" s="25" t="n">
        <f>189</f>
        <v>189.0</v>
      </c>
      <c r="W52" s="23"/>
      <c r="X52" s="26" t="n">
        <f>338</f>
        <v>338.0</v>
      </c>
      <c r="Y52" s="24"/>
      <c r="Z52" s="25" t="n">
        <f>2200</f>
        <v>2200.0</v>
      </c>
      <c r="AA52" s="23"/>
      <c r="AB52" s="25" t="n">
        <f>2350</f>
        <v>2350.0</v>
      </c>
      <c r="AC52" s="23"/>
      <c r="AD52" s="26" t="n">
        <f>4550</f>
        <v>4550.0</v>
      </c>
    </row>
    <row r="53">
      <c r="A53" s="30" t="s">
        <v>44</v>
      </c>
      <c r="B53" s="22" t="s">
        <v>59</v>
      </c>
      <c r="C53" s="22" t="s">
        <v>60</v>
      </c>
      <c r="D53" s="24"/>
      <c r="E53" s="25"/>
      <c r="F53" s="23"/>
      <c r="G53" s="25"/>
      <c r="H53" s="23"/>
      <c r="I53" s="26"/>
      <c r="J53" s="24"/>
      <c r="K53" s="25"/>
      <c r="L53" s="23"/>
      <c r="M53" s="25"/>
      <c r="N53" s="23"/>
      <c r="O53" s="26"/>
      <c r="P53" s="27"/>
      <c r="Q53" s="28"/>
      <c r="R53" s="29"/>
      <c r="S53" s="24"/>
      <c r="T53" s="25"/>
      <c r="U53" s="23"/>
      <c r="V53" s="25"/>
      <c r="W53" s="23"/>
      <c r="X53" s="26"/>
      <c r="Y53" s="24"/>
      <c r="Z53" s="25"/>
      <c r="AA53" s="23"/>
      <c r="AB53" s="25"/>
      <c r="AC53" s="23"/>
      <c r="AD53" s="26"/>
    </row>
    <row r="54">
      <c r="A54" s="30" t="s">
        <v>45</v>
      </c>
      <c r="B54" s="22" t="s">
        <v>59</v>
      </c>
      <c r="C54" s="22" t="s">
        <v>60</v>
      </c>
      <c r="D54" s="24"/>
      <c r="E54" s="25"/>
      <c r="F54" s="23"/>
      <c r="G54" s="25"/>
      <c r="H54" s="23"/>
      <c r="I54" s="26"/>
      <c r="J54" s="24"/>
      <c r="K54" s="25"/>
      <c r="L54" s="23"/>
      <c r="M54" s="25"/>
      <c r="N54" s="23"/>
      <c r="O54" s="26"/>
      <c r="P54" s="27"/>
      <c r="Q54" s="28"/>
      <c r="R54" s="29"/>
      <c r="S54" s="24"/>
      <c r="T54" s="25"/>
      <c r="U54" s="23"/>
      <c r="V54" s="25"/>
      <c r="W54" s="23"/>
      <c r="X54" s="26"/>
      <c r="Y54" s="24"/>
      <c r="Z54" s="25"/>
      <c r="AA54" s="23"/>
      <c r="AB54" s="25"/>
      <c r="AC54" s="23"/>
      <c r="AD54" s="26"/>
    </row>
    <row r="55">
      <c r="A55" s="30" t="s">
        <v>46</v>
      </c>
      <c r="B55" s="22" t="s">
        <v>59</v>
      </c>
      <c r="C55" s="22" t="s">
        <v>60</v>
      </c>
      <c r="D55" s="24"/>
      <c r="E55" s="25" t="n">
        <f>3979</f>
        <v>3979.0</v>
      </c>
      <c r="F55" s="23"/>
      <c r="G55" s="25" t="n">
        <f>2060</f>
        <v>2060.0</v>
      </c>
      <c r="H55" s="23"/>
      <c r="I55" s="26" t="n">
        <f>6039</f>
        <v>6039.0</v>
      </c>
      <c r="J55" s="24"/>
      <c r="K55" s="25" t="n">
        <f>172623000</f>
        <v>1.72623E8</v>
      </c>
      <c r="L55" s="23"/>
      <c r="M55" s="25" t="n">
        <f>84347990</f>
        <v>8.434799E7</v>
      </c>
      <c r="N55" s="23"/>
      <c r="O55" s="26" t="n">
        <f>256970990</f>
        <v>2.5697099E8</v>
      </c>
      <c r="P55" s="27" t="str">
        <f>"－"</f>
        <v>－</v>
      </c>
      <c r="Q55" s="28" t="str">
        <f>"－"</f>
        <v>－</v>
      </c>
      <c r="R55" s="29" t="str">
        <f>"－"</f>
        <v>－</v>
      </c>
      <c r="S55" s="24"/>
      <c r="T55" s="25" t="n">
        <f>427</f>
        <v>427.0</v>
      </c>
      <c r="U55" s="23"/>
      <c r="V55" s="25" t="n">
        <f>223</f>
        <v>223.0</v>
      </c>
      <c r="W55" s="23"/>
      <c r="X55" s="26" t="n">
        <f>650</f>
        <v>650.0</v>
      </c>
      <c r="Y55" s="24"/>
      <c r="Z55" s="25" t="n">
        <f>2855</f>
        <v>2855.0</v>
      </c>
      <c r="AA55" s="23"/>
      <c r="AB55" s="25" t="n">
        <f>2771</f>
        <v>2771.0</v>
      </c>
      <c r="AC55" s="23"/>
      <c r="AD55" s="26" t="n">
        <f>5626</f>
        <v>5626.0</v>
      </c>
    </row>
    <row r="56">
      <c r="A56" s="30" t="s">
        <v>47</v>
      </c>
      <c r="B56" s="22" t="s">
        <v>59</v>
      </c>
      <c r="C56" s="22" t="s">
        <v>60</v>
      </c>
      <c r="D56" s="24"/>
      <c r="E56" s="25" t="n">
        <f>3003</f>
        <v>3003.0</v>
      </c>
      <c r="F56" s="23"/>
      <c r="G56" s="25" t="n">
        <f>3074</f>
        <v>3074.0</v>
      </c>
      <c r="H56" s="23"/>
      <c r="I56" s="26" t="n">
        <f>6077</f>
        <v>6077.0</v>
      </c>
      <c r="J56" s="24"/>
      <c r="K56" s="25" t="n">
        <f>178313000</f>
        <v>1.78313E8</v>
      </c>
      <c r="L56" s="23"/>
      <c r="M56" s="25" t="n">
        <f>137150000</f>
        <v>1.3715E8</v>
      </c>
      <c r="N56" s="23"/>
      <c r="O56" s="26" t="n">
        <f>315463000</f>
        <v>3.15463E8</v>
      </c>
      <c r="P56" s="27" t="str">
        <f>"－"</f>
        <v>－</v>
      </c>
      <c r="Q56" s="28" t="str">
        <f>"－"</f>
        <v>－</v>
      </c>
      <c r="R56" s="29" t="str">
        <f>"－"</f>
        <v>－</v>
      </c>
      <c r="S56" s="24"/>
      <c r="T56" s="25" t="n">
        <f>212</f>
        <v>212.0</v>
      </c>
      <c r="U56" s="23"/>
      <c r="V56" s="25" t="n">
        <f>352</f>
        <v>352.0</v>
      </c>
      <c r="W56" s="23"/>
      <c r="X56" s="26" t="n">
        <f>564</f>
        <v>564.0</v>
      </c>
      <c r="Y56" s="24"/>
      <c r="Z56" s="25" t="n">
        <f>3769</f>
        <v>3769.0</v>
      </c>
      <c r="AA56" s="23"/>
      <c r="AB56" s="25" t="n">
        <f>3580</f>
        <v>3580.0</v>
      </c>
      <c r="AC56" s="23"/>
      <c r="AD56" s="26" t="n">
        <f>7349</f>
        <v>7349.0</v>
      </c>
    </row>
    <row r="57">
      <c r="A57" s="30" t="s">
        <v>48</v>
      </c>
      <c r="B57" s="22" t="s">
        <v>59</v>
      </c>
      <c r="C57" s="22" t="s">
        <v>60</v>
      </c>
      <c r="D57" s="24"/>
      <c r="E57" s="25" t="n">
        <f>3714</f>
        <v>3714.0</v>
      </c>
      <c r="F57" s="23"/>
      <c r="G57" s="25" t="n">
        <f>3208</f>
        <v>3208.0</v>
      </c>
      <c r="H57" s="23"/>
      <c r="I57" s="26" t="n">
        <f>6922</f>
        <v>6922.0</v>
      </c>
      <c r="J57" s="24"/>
      <c r="K57" s="25" t="n">
        <f>214981000</f>
        <v>2.14981E8</v>
      </c>
      <c r="L57" s="23"/>
      <c r="M57" s="25" t="n">
        <f>159644000</f>
        <v>1.59644E8</v>
      </c>
      <c r="N57" s="23"/>
      <c r="O57" s="26" t="n">
        <f>374625000</f>
        <v>3.74625E8</v>
      </c>
      <c r="P57" s="27" t="str">
        <f>"－"</f>
        <v>－</v>
      </c>
      <c r="Q57" s="28" t="str">
        <f>"－"</f>
        <v>－</v>
      </c>
      <c r="R57" s="29" t="str">
        <f>"－"</f>
        <v>－</v>
      </c>
      <c r="S57" s="24"/>
      <c r="T57" s="25" t="n">
        <f>412</f>
        <v>412.0</v>
      </c>
      <c r="U57" s="23"/>
      <c r="V57" s="25" t="n">
        <f>262</f>
        <v>262.0</v>
      </c>
      <c r="W57" s="23"/>
      <c r="X57" s="26" t="n">
        <f>674</f>
        <v>674.0</v>
      </c>
      <c r="Y57" s="24"/>
      <c r="Z57" s="25" t="n">
        <f>4585</f>
        <v>4585.0</v>
      </c>
      <c r="AA57" s="23"/>
      <c r="AB57" s="25" t="n">
        <f>4444</f>
        <v>4444.0</v>
      </c>
      <c r="AC57" s="23"/>
      <c r="AD57" s="26" t="n">
        <f>9029</f>
        <v>9029.0</v>
      </c>
    </row>
    <row r="58">
      <c r="A58" s="30" t="s">
        <v>49</v>
      </c>
      <c r="B58" s="22" t="s">
        <v>59</v>
      </c>
      <c r="C58" s="22" t="s">
        <v>60</v>
      </c>
      <c r="D58" s="24"/>
      <c r="E58" s="25" t="n">
        <f>6309</f>
        <v>6309.0</v>
      </c>
      <c r="F58" s="23" t="s">
        <v>34</v>
      </c>
      <c r="G58" s="25" t="n">
        <f>5117</f>
        <v>5117.0</v>
      </c>
      <c r="H58" s="23"/>
      <c r="I58" s="26" t="n">
        <f>11426</f>
        <v>11426.0</v>
      </c>
      <c r="J58" s="24"/>
      <c r="K58" s="25" t="n">
        <f>182469000</f>
        <v>1.82469E8</v>
      </c>
      <c r="L58" s="23"/>
      <c r="M58" s="25" t="n">
        <f>276323000</f>
        <v>2.76323E8</v>
      </c>
      <c r="N58" s="23"/>
      <c r="O58" s="26" t="n">
        <f>458792000</f>
        <v>4.58792E8</v>
      </c>
      <c r="P58" s="27" t="str">
        <f>"－"</f>
        <v>－</v>
      </c>
      <c r="Q58" s="28" t="str">
        <f>"－"</f>
        <v>－</v>
      </c>
      <c r="R58" s="29" t="str">
        <f>"－"</f>
        <v>－</v>
      </c>
      <c r="S58" s="24"/>
      <c r="T58" s="25" t="n">
        <f>577</f>
        <v>577.0</v>
      </c>
      <c r="U58" s="23"/>
      <c r="V58" s="25" t="n">
        <f>274</f>
        <v>274.0</v>
      </c>
      <c r="W58" s="23"/>
      <c r="X58" s="26" t="n">
        <f>851</f>
        <v>851.0</v>
      </c>
      <c r="Y58" s="24"/>
      <c r="Z58" s="25" t="n">
        <f>5850</f>
        <v>5850.0</v>
      </c>
      <c r="AA58" s="23" t="s">
        <v>34</v>
      </c>
      <c r="AB58" s="25" t="n">
        <f>5052</f>
        <v>5052.0</v>
      </c>
      <c r="AC58" s="23" t="s">
        <v>34</v>
      </c>
      <c r="AD58" s="26" t="n">
        <f>10902</f>
        <v>10902.0</v>
      </c>
    </row>
    <row r="59">
      <c r="A59" s="30" t="s">
        <v>50</v>
      </c>
      <c r="B59" s="22" t="s">
        <v>59</v>
      </c>
      <c r="C59" s="22" t="s">
        <v>60</v>
      </c>
      <c r="D59" s="24"/>
      <c r="E59" s="25" t="n">
        <f>2361</f>
        <v>2361.0</v>
      </c>
      <c r="F59" s="23"/>
      <c r="G59" s="25" t="n">
        <f>2465</f>
        <v>2465.0</v>
      </c>
      <c r="H59" s="23"/>
      <c r="I59" s="26" t="n">
        <f>4826</f>
        <v>4826.0</v>
      </c>
      <c r="J59" s="24"/>
      <c r="K59" s="25" t="n">
        <f>188059000</f>
        <v>1.88059E8</v>
      </c>
      <c r="L59" s="23"/>
      <c r="M59" s="25" t="n">
        <f>158980730</f>
        <v>1.5898073E8</v>
      </c>
      <c r="N59" s="23"/>
      <c r="O59" s="26" t="n">
        <f>347039730</f>
        <v>3.4703973E8</v>
      </c>
      <c r="P59" s="27" t="n">
        <f>436</f>
        <v>436.0</v>
      </c>
      <c r="Q59" s="28" t="n">
        <f>380</f>
        <v>380.0</v>
      </c>
      <c r="R59" s="29" t="n">
        <f>816</f>
        <v>816.0</v>
      </c>
      <c r="S59" s="24"/>
      <c r="T59" s="25" t="n">
        <f>267</f>
        <v>267.0</v>
      </c>
      <c r="U59" s="23"/>
      <c r="V59" s="25" t="n">
        <f>373</f>
        <v>373.0</v>
      </c>
      <c r="W59" s="23"/>
      <c r="X59" s="26" t="n">
        <f>640</f>
        <v>640.0</v>
      </c>
      <c r="Y59" s="24"/>
      <c r="Z59" s="25" t="n">
        <f>2457</f>
        <v>2457.0</v>
      </c>
      <c r="AA59" s="23"/>
      <c r="AB59" s="25" t="n">
        <f>2979</f>
        <v>2979.0</v>
      </c>
      <c r="AC59" s="23"/>
      <c r="AD59" s="26" t="n">
        <f>5436</f>
        <v>5436.0</v>
      </c>
    </row>
    <row r="60">
      <c r="A60" s="30" t="s">
        <v>51</v>
      </c>
      <c r="B60" s="22" t="s">
        <v>59</v>
      </c>
      <c r="C60" s="22" t="s">
        <v>60</v>
      </c>
      <c r="D60" s="24"/>
      <c r="E60" s="25"/>
      <c r="F60" s="23"/>
      <c r="G60" s="25"/>
      <c r="H60" s="23"/>
      <c r="I60" s="26"/>
      <c r="J60" s="24"/>
      <c r="K60" s="25"/>
      <c r="L60" s="23"/>
      <c r="M60" s="25"/>
      <c r="N60" s="23"/>
      <c r="O60" s="26"/>
      <c r="P60" s="27"/>
      <c r="Q60" s="28"/>
      <c r="R60" s="29"/>
      <c r="S60" s="24"/>
      <c r="T60" s="25"/>
      <c r="U60" s="23"/>
      <c r="V60" s="25"/>
      <c r="W60" s="23"/>
      <c r="X60" s="26"/>
      <c r="Y60" s="24"/>
      <c r="Z60" s="25"/>
      <c r="AA60" s="23"/>
      <c r="AB60" s="25"/>
      <c r="AC60" s="23"/>
      <c r="AD60" s="26"/>
    </row>
    <row r="61">
      <c r="A61" s="30" t="s">
        <v>52</v>
      </c>
      <c r="B61" s="22" t="s">
        <v>59</v>
      </c>
      <c r="C61" s="22" t="s">
        <v>60</v>
      </c>
      <c r="D61" s="24"/>
      <c r="E61" s="25"/>
      <c r="F61" s="23"/>
      <c r="G61" s="25"/>
      <c r="H61" s="23"/>
      <c r="I61" s="26"/>
      <c r="J61" s="24"/>
      <c r="K61" s="25"/>
      <c r="L61" s="23"/>
      <c r="M61" s="25"/>
      <c r="N61" s="23"/>
      <c r="O61" s="26"/>
      <c r="P61" s="27"/>
      <c r="Q61" s="28"/>
      <c r="R61" s="29"/>
      <c r="S61" s="24"/>
      <c r="T61" s="25"/>
      <c r="U61" s="23"/>
      <c r="V61" s="25"/>
      <c r="W61" s="23"/>
      <c r="X61" s="26"/>
      <c r="Y61" s="24"/>
      <c r="Z61" s="25"/>
      <c r="AA61" s="23"/>
      <c r="AB61" s="25"/>
      <c r="AC61" s="23"/>
      <c r="AD61" s="26"/>
    </row>
    <row r="62">
      <c r="A62" s="30" t="s">
        <v>53</v>
      </c>
      <c r="B62" s="22" t="s">
        <v>59</v>
      </c>
      <c r="C62" s="22" t="s">
        <v>60</v>
      </c>
      <c r="D62" s="24"/>
      <c r="E62" s="25"/>
      <c r="F62" s="23"/>
      <c r="G62" s="25"/>
      <c r="H62" s="23"/>
      <c r="I62" s="26"/>
      <c r="J62" s="24"/>
      <c r="K62" s="25"/>
      <c r="L62" s="23"/>
      <c r="M62" s="25"/>
      <c r="N62" s="23"/>
      <c r="O62" s="26"/>
      <c r="P62" s="27"/>
      <c r="Q62" s="28"/>
      <c r="R62" s="29"/>
      <c r="S62" s="24"/>
      <c r="T62" s="25"/>
      <c r="U62" s="23"/>
      <c r="V62" s="25"/>
      <c r="W62" s="23"/>
      <c r="X62" s="26"/>
      <c r="Y62" s="24"/>
      <c r="Z62" s="25"/>
      <c r="AA62" s="23"/>
      <c r="AB62" s="25"/>
      <c r="AC62" s="23"/>
      <c r="AD62" s="26"/>
    </row>
    <row r="63">
      <c r="A63" s="30" t="s">
        <v>54</v>
      </c>
      <c r="B63" s="22" t="s">
        <v>59</v>
      </c>
      <c r="C63" s="22" t="s">
        <v>60</v>
      </c>
      <c r="D63" s="24"/>
      <c r="E63" s="25" t="n">
        <f>3481</f>
        <v>3481.0</v>
      </c>
      <c r="F63" s="23"/>
      <c r="G63" s="25" t="n">
        <f>3900</f>
        <v>3900.0</v>
      </c>
      <c r="H63" s="23"/>
      <c r="I63" s="26" t="n">
        <f>7381</f>
        <v>7381.0</v>
      </c>
      <c r="J63" s="24"/>
      <c r="K63" s="25" t="n">
        <f>618003000</f>
        <v>6.18003E8</v>
      </c>
      <c r="L63" s="23"/>
      <c r="M63" s="25" t="n">
        <f>178170000</f>
        <v>1.7817E8</v>
      </c>
      <c r="N63" s="23"/>
      <c r="O63" s="26" t="n">
        <f>796173000</f>
        <v>7.96173E8</v>
      </c>
      <c r="P63" s="27" t="str">
        <f>"－"</f>
        <v>－</v>
      </c>
      <c r="Q63" s="28" t="str">
        <f>"－"</f>
        <v>－</v>
      </c>
      <c r="R63" s="29" t="str">
        <f>"－"</f>
        <v>－</v>
      </c>
      <c r="S63" s="24"/>
      <c r="T63" s="25" t="n">
        <f>197</f>
        <v>197.0</v>
      </c>
      <c r="U63" s="23"/>
      <c r="V63" s="25" t="n">
        <f>284</f>
        <v>284.0</v>
      </c>
      <c r="W63" s="23"/>
      <c r="X63" s="26" t="n">
        <f>481</f>
        <v>481.0</v>
      </c>
      <c r="Y63" s="24"/>
      <c r="Z63" s="25" t="n">
        <f>2683</f>
        <v>2683.0</v>
      </c>
      <c r="AA63" s="23"/>
      <c r="AB63" s="25" t="n">
        <f>3755</f>
        <v>3755.0</v>
      </c>
      <c r="AC63" s="23"/>
      <c r="AD63" s="26" t="n">
        <f>6438</f>
        <v>6438.0</v>
      </c>
    </row>
    <row r="64">
      <c r="A64" s="30" t="s">
        <v>55</v>
      </c>
      <c r="B64" s="22" t="s">
        <v>59</v>
      </c>
      <c r="C64" s="22" t="s">
        <v>60</v>
      </c>
      <c r="D64" s="24"/>
      <c r="E64" s="25" t="n">
        <f>2272</f>
        <v>2272.0</v>
      </c>
      <c r="F64" s="23"/>
      <c r="G64" s="25" t="n">
        <f>4071</f>
        <v>4071.0</v>
      </c>
      <c r="H64" s="23"/>
      <c r="I64" s="26" t="n">
        <f>6343</f>
        <v>6343.0</v>
      </c>
      <c r="J64" s="24"/>
      <c r="K64" s="25" t="n">
        <f>521153000</f>
        <v>5.21153E8</v>
      </c>
      <c r="L64" s="23"/>
      <c r="M64" s="25" t="n">
        <f>173413000</f>
        <v>1.73413E8</v>
      </c>
      <c r="N64" s="23"/>
      <c r="O64" s="26" t="n">
        <f>694566000</f>
        <v>6.94566E8</v>
      </c>
      <c r="P64" s="27" t="str">
        <f>"－"</f>
        <v>－</v>
      </c>
      <c r="Q64" s="28" t="str">
        <f>"－"</f>
        <v>－</v>
      </c>
      <c r="R64" s="29" t="str">
        <f>"－"</f>
        <v>－</v>
      </c>
      <c r="S64" s="24"/>
      <c r="T64" s="25" t="n">
        <f>127</f>
        <v>127.0</v>
      </c>
      <c r="U64" s="23"/>
      <c r="V64" s="25" t="n">
        <f>417</f>
        <v>417.0</v>
      </c>
      <c r="W64" s="23"/>
      <c r="X64" s="26" t="n">
        <f>544</f>
        <v>544.0</v>
      </c>
      <c r="Y64" s="24"/>
      <c r="Z64" s="25" t="n">
        <f>2341</f>
        <v>2341.0</v>
      </c>
      <c r="AA64" s="23"/>
      <c r="AB64" s="25" t="n">
        <f>3632</f>
        <v>3632.0</v>
      </c>
      <c r="AC64" s="23"/>
      <c r="AD64" s="26" t="n">
        <f>5973</f>
        <v>5973.0</v>
      </c>
    </row>
    <row r="65">
      <c r="A65" s="30" t="s">
        <v>56</v>
      </c>
      <c r="B65" s="22" t="s">
        <v>59</v>
      </c>
      <c r="C65" s="22" t="s">
        <v>60</v>
      </c>
      <c r="D65" s="24"/>
      <c r="E65" s="25" t="n">
        <f>2811</f>
        <v>2811.0</v>
      </c>
      <c r="F65" s="23"/>
      <c r="G65" s="25" t="n">
        <f>4824</f>
        <v>4824.0</v>
      </c>
      <c r="H65" s="23"/>
      <c r="I65" s="26" t="n">
        <f>7635</f>
        <v>7635.0</v>
      </c>
      <c r="J65" s="24"/>
      <c r="K65" s="25" t="n">
        <f>487717000</f>
        <v>4.87717E8</v>
      </c>
      <c r="L65" s="23"/>
      <c r="M65" s="25" t="n">
        <f>240434000</f>
        <v>2.40434E8</v>
      </c>
      <c r="N65" s="23"/>
      <c r="O65" s="26" t="n">
        <f>728151000</f>
        <v>7.28151E8</v>
      </c>
      <c r="P65" s="27" t="str">
        <f>"－"</f>
        <v>－</v>
      </c>
      <c r="Q65" s="28" t="str">
        <f>"－"</f>
        <v>－</v>
      </c>
      <c r="R65" s="29" t="str">
        <f>"－"</f>
        <v>－</v>
      </c>
      <c r="S65" s="24"/>
      <c r="T65" s="25" t="n">
        <f>106</f>
        <v>106.0</v>
      </c>
      <c r="U65" s="23"/>
      <c r="V65" s="25" t="n">
        <f>265</f>
        <v>265.0</v>
      </c>
      <c r="W65" s="23"/>
      <c r="X65" s="26" t="n">
        <f>371</f>
        <v>371.0</v>
      </c>
      <c r="Y65" s="24"/>
      <c r="Z65" s="25" t="n">
        <f>3192</f>
        <v>3192.0</v>
      </c>
      <c r="AA65" s="23"/>
      <c r="AB65" s="25" t="n">
        <f>4680</f>
        <v>4680.0</v>
      </c>
      <c r="AC65" s="23"/>
      <c r="AD65" s="26" t="n">
        <f>7872</f>
        <v>7872.0</v>
      </c>
    </row>
    <row r="66">
      <c r="A66" s="30" t="s">
        <v>57</v>
      </c>
      <c r="B66" s="22" t="s">
        <v>59</v>
      </c>
      <c r="C66" s="22" t="s">
        <v>60</v>
      </c>
      <c r="D66" s="24"/>
      <c r="E66" s="25" t="n">
        <f>2047</f>
        <v>2047.0</v>
      </c>
      <c r="F66" s="23"/>
      <c r="G66" s="25" t="n">
        <f>2354</f>
        <v>2354.0</v>
      </c>
      <c r="H66" s="23"/>
      <c r="I66" s="26" t="n">
        <f>4401</f>
        <v>4401.0</v>
      </c>
      <c r="J66" s="24" t="s">
        <v>34</v>
      </c>
      <c r="K66" s="25" t="n">
        <f>854860000</f>
        <v>8.5486E8</v>
      </c>
      <c r="L66" s="23"/>
      <c r="M66" s="25" t="n">
        <f>259393250</f>
        <v>2.5939325E8</v>
      </c>
      <c r="N66" s="23" t="s">
        <v>34</v>
      </c>
      <c r="O66" s="26" t="n">
        <f>1114253250</f>
        <v>1.11425325E9</v>
      </c>
      <c r="P66" s="27" t="n">
        <f>2499</f>
        <v>2499.0</v>
      </c>
      <c r="Q66" s="28" t="str">
        <f>"－"</f>
        <v>－</v>
      </c>
      <c r="R66" s="29" t="n">
        <f>2499</f>
        <v>2499.0</v>
      </c>
      <c r="S66" s="24"/>
      <c r="T66" s="25" t="n">
        <f>202</f>
        <v>202.0</v>
      </c>
      <c r="U66" s="23" t="s">
        <v>34</v>
      </c>
      <c r="V66" s="25" t="n">
        <f>766</f>
        <v>766.0</v>
      </c>
      <c r="W66" s="23"/>
      <c r="X66" s="26" t="n">
        <f>968</f>
        <v>968.0</v>
      </c>
      <c r="Y66" s="24"/>
      <c r="Z66" s="25" t="n">
        <f>1535</f>
        <v>1535.0</v>
      </c>
      <c r="AA66" s="23"/>
      <c r="AB66" s="25" t="n">
        <f>2369</f>
        <v>2369.0</v>
      </c>
      <c r="AC66" s="23"/>
      <c r="AD66" s="26" t="n">
        <f>3904</f>
        <v>3904.0</v>
      </c>
    </row>
    <row r="67">
      <c r="A67" s="30" t="s">
        <v>58</v>
      </c>
      <c r="B67" s="22" t="s">
        <v>59</v>
      </c>
      <c r="C67" s="22" t="s">
        <v>60</v>
      </c>
      <c r="D67" s="24"/>
      <c r="E67" s="25"/>
      <c r="F67" s="23"/>
      <c r="G67" s="25"/>
      <c r="H67" s="23"/>
      <c r="I67" s="26"/>
      <c r="J67" s="24"/>
      <c r="K67" s="25"/>
      <c r="L67" s="23"/>
      <c r="M67" s="25"/>
      <c r="N67" s="23"/>
      <c r="O67" s="26"/>
      <c r="P67" s="27"/>
      <c r="Q67" s="28"/>
      <c r="R67" s="29"/>
      <c r="S67" s="24"/>
      <c r="T67" s="25"/>
      <c r="U67" s="23"/>
      <c r="V67" s="25"/>
      <c r="W67" s="23"/>
      <c r="X67" s="26"/>
      <c r="Y67" s="24"/>
      <c r="Z67" s="25"/>
      <c r="AA67" s="23"/>
      <c r="AB67" s="25"/>
      <c r="AC67" s="23"/>
      <c r="AD67" s="26"/>
    </row>
    <row r="68">
      <c r="A68" s="30" t="s">
        <v>26</v>
      </c>
      <c r="B68" s="22" t="s">
        <v>61</v>
      </c>
      <c r="C68" s="22" t="s">
        <v>62</v>
      </c>
      <c r="D68" s="24"/>
      <c r="E68" s="25"/>
      <c r="F68" s="23"/>
      <c r="G68" s="25"/>
      <c r="H68" s="23"/>
      <c r="I68" s="26"/>
      <c r="J68" s="24"/>
      <c r="K68" s="25"/>
      <c r="L68" s="23"/>
      <c r="M68" s="25"/>
      <c r="N68" s="23"/>
      <c r="O68" s="26"/>
      <c r="P68" s="27"/>
      <c r="Q68" s="28"/>
      <c r="R68" s="29"/>
      <c r="S68" s="24"/>
      <c r="T68" s="25"/>
      <c r="U68" s="23"/>
      <c r="V68" s="25"/>
      <c r="W68" s="23"/>
      <c r="X68" s="26"/>
      <c r="Y68" s="24"/>
      <c r="Z68" s="25"/>
      <c r="AA68" s="23"/>
      <c r="AB68" s="25"/>
      <c r="AC68" s="23"/>
      <c r="AD68" s="26"/>
    </row>
    <row r="69">
      <c r="A69" s="30" t="s">
        <v>29</v>
      </c>
      <c r="B69" s="22" t="s">
        <v>61</v>
      </c>
      <c r="C69" s="22" t="s">
        <v>62</v>
      </c>
      <c r="D69" s="24"/>
      <c r="E69" s="25"/>
      <c r="F69" s="23"/>
      <c r="G69" s="25"/>
      <c r="H69" s="23"/>
      <c r="I69" s="26"/>
      <c r="J69" s="24"/>
      <c r="K69" s="25"/>
      <c r="L69" s="23"/>
      <c r="M69" s="25"/>
      <c r="N69" s="23"/>
      <c r="O69" s="26"/>
      <c r="P69" s="27"/>
      <c r="Q69" s="28"/>
      <c r="R69" s="29"/>
      <c r="S69" s="24"/>
      <c r="T69" s="25"/>
      <c r="U69" s="23"/>
      <c r="V69" s="25"/>
      <c r="W69" s="23"/>
      <c r="X69" s="26"/>
      <c r="Y69" s="24"/>
      <c r="Z69" s="25"/>
      <c r="AA69" s="23"/>
      <c r="AB69" s="25"/>
      <c r="AC69" s="23"/>
      <c r="AD69" s="26"/>
    </row>
    <row r="70">
      <c r="A70" s="30" t="s">
        <v>30</v>
      </c>
      <c r="B70" s="22" t="s">
        <v>61</v>
      </c>
      <c r="C70" s="22" t="s">
        <v>62</v>
      </c>
      <c r="D70" s="24"/>
      <c r="E70" s="25" t="n">
        <f>1350</f>
        <v>1350.0</v>
      </c>
      <c r="F70" s="23"/>
      <c r="G70" s="25" t="n">
        <f>100</f>
        <v>100.0</v>
      </c>
      <c r="H70" s="23"/>
      <c r="I70" s="26" t="n">
        <f>1450</f>
        <v>1450.0</v>
      </c>
      <c r="J70" s="24"/>
      <c r="K70" s="25" t="n">
        <f>600125000</f>
        <v>6.00125E8</v>
      </c>
      <c r="L70" s="23"/>
      <c r="M70" s="25" t="n">
        <f>110000000</f>
        <v>1.1E8</v>
      </c>
      <c r="N70" s="23"/>
      <c r="O70" s="26" t="n">
        <f>710125000</f>
        <v>7.10125E8</v>
      </c>
      <c r="P70" s="27" t="str">
        <f>"－"</f>
        <v>－</v>
      </c>
      <c r="Q70" s="28" t="str">
        <f>"－"</f>
        <v>－</v>
      </c>
      <c r="R70" s="29" t="str">
        <f>"－"</f>
        <v>－</v>
      </c>
      <c r="S70" s="24"/>
      <c r="T70" s="25" t="n">
        <f>1250</f>
        <v>1250.0</v>
      </c>
      <c r="U70" s="23" t="s">
        <v>39</v>
      </c>
      <c r="V70" s="25" t="str">
        <f>"－"</f>
        <v>－</v>
      </c>
      <c r="W70" s="23"/>
      <c r="X70" s="26" t="n">
        <f>1250</f>
        <v>1250.0</v>
      </c>
      <c r="Y70" s="24" t="s">
        <v>39</v>
      </c>
      <c r="Z70" s="25" t="n">
        <f>86300</f>
        <v>86300.0</v>
      </c>
      <c r="AA70" s="23"/>
      <c r="AB70" s="25" t="n">
        <f>18748</f>
        <v>18748.0</v>
      </c>
      <c r="AC70" s="23" t="s">
        <v>39</v>
      </c>
      <c r="AD70" s="26" t="n">
        <f>105048</f>
        <v>105048.0</v>
      </c>
    </row>
    <row r="71">
      <c r="A71" s="30" t="s">
        <v>31</v>
      </c>
      <c r="B71" s="22" t="s">
        <v>61</v>
      </c>
      <c r="C71" s="22" t="s">
        <v>62</v>
      </c>
      <c r="D71" s="24"/>
      <c r="E71" s="25" t="n">
        <f>1750</f>
        <v>1750.0</v>
      </c>
      <c r="F71" s="23" t="s">
        <v>39</v>
      </c>
      <c r="G71" s="25" t="str">
        <f>"－"</f>
        <v>－</v>
      </c>
      <c r="H71" s="23"/>
      <c r="I71" s="26" t="n">
        <f>1750</f>
        <v>1750.0</v>
      </c>
      <c r="J71" s="24"/>
      <c r="K71" s="25" t="n">
        <f>671825000</f>
        <v>6.71825E8</v>
      </c>
      <c r="L71" s="23" t="s">
        <v>39</v>
      </c>
      <c r="M71" s="25" t="str">
        <f>"－"</f>
        <v>－</v>
      </c>
      <c r="N71" s="23"/>
      <c r="O71" s="26" t="n">
        <f>671825000</f>
        <v>6.71825E8</v>
      </c>
      <c r="P71" s="27" t="str">
        <f>"－"</f>
        <v>－</v>
      </c>
      <c r="Q71" s="28" t="str">
        <f>"－"</f>
        <v>－</v>
      </c>
      <c r="R71" s="29" t="str">
        <f>"－"</f>
        <v>－</v>
      </c>
      <c r="S71" s="24"/>
      <c r="T71" s="25" t="n">
        <f>1750</f>
        <v>1750.0</v>
      </c>
      <c r="U71" s="23"/>
      <c r="V71" s="25" t="str">
        <f>"－"</f>
        <v>－</v>
      </c>
      <c r="W71" s="23"/>
      <c r="X71" s="26" t="n">
        <f>1750</f>
        <v>1750.0</v>
      </c>
      <c r="Y71" s="24"/>
      <c r="Z71" s="25" t="n">
        <f>88050</f>
        <v>88050.0</v>
      </c>
      <c r="AA71" s="23"/>
      <c r="AB71" s="25" t="n">
        <f>18748</f>
        <v>18748.0</v>
      </c>
      <c r="AC71" s="23"/>
      <c r="AD71" s="26" t="n">
        <f>106798</f>
        <v>106798.0</v>
      </c>
    </row>
    <row r="72">
      <c r="A72" s="30" t="s">
        <v>32</v>
      </c>
      <c r="B72" s="22" t="s">
        <v>61</v>
      </c>
      <c r="C72" s="22" t="s">
        <v>62</v>
      </c>
      <c r="D72" s="24" t="s">
        <v>39</v>
      </c>
      <c r="E72" s="25" t="str">
        <f>"－"</f>
        <v>－</v>
      </c>
      <c r="F72" s="23"/>
      <c r="G72" s="25" t="str">
        <f>"－"</f>
        <v>－</v>
      </c>
      <c r="H72" s="23" t="s">
        <v>39</v>
      </c>
      <c r="I72" s="26" t="str">
        <f>"－"</f>
        <v>－</v>
      </c>
      <c r="J72" s="24" t="s">
        <v>39</v>
      </c>
      <c r="K72" s="25" t="str">
        <f>"－"</f>
        <v>－</v>
      </c>
      <c r="L72" s="23"/>
      <c r="M72" s="25" t="str">
        <f>"－"</f>
        <v>－</v>
      </c>
      <c r="N72" s="23" t="s">
        <v>39</v>
      </c>
      <c r="O72" s="26" t="str">
        <f>"－"</f>
        <v>－</v>
      </c>
      <c r="P72" s="27" t="str">
        <f>"－"</f>
        <v>－</v>
      </c>
      <c r="Q72" s="28" t="str">
        <f>"－"</f>
        <v>－</v>
      </c>
      <c r="R72" s="29" t="str">
        <f>"－"</f>
        <v>－</v>
      </c>
      <c r="S72" s="24" t="s">
        <v>39</v>
      </c>
      <c r="T72" s="25" t="str">
        <f>"－"</f>
        <v>－</v>
      </c>
      <c r="U72" s="23"/>
      <c r="V72" s="25" t="str">
        <f>"－"</f>
        <v>－</v>
      </c>
      <c r="W72" s="23" t="s">
        <v>39</v>
      </c>
      <c r="X72" s="26" t="str">
        <f>"－"</f>
        <v>－</v>
      </c>
      <c r="Y72" s="24"/>
      <c r="Z72" s="25" t="n">
        <f>88050</f>
        <v>88050.0</v>
      </c>
      <c r="AA72" s="23"/>
      <c r="AB72" s="25" t="n">
        <f>18748</f>
        <v>18748.0</v>
      </c>
      <c r="AC72" s="23"/>
      <c r="AD72" s="26" t="n">
        <f>106798</f>
        <v>106798.0</v>
      </c>
    </row>
    <row r="73">
      <c r="A73" s="30" t="s">
        <v>33</v>
      </c>
      <c r="B73" s="22" t="s">
        <v>61</v>
      </c>
      <c r="C73" s="22" t="s">
        <v>62</v>
      </c>
      <c r="D73" s="24"/>
      <c r="E73" s="25" t="str">
        <f>"－"</f>
        <v>－</v>
      </c>
      <c r="F73" s="23"/>
      <c r="G73" s="25" t="str">
        <f>"－"</f>
        <v>－</v>
      </c>
      <c r="H73" s="23"/>
      <c r="I73" s="26" t="str">
        <f>"－"</f>
        <v>－</v>
      </c>
      <c r="J73" s="24"/>
      <c r="K73" s="25" t="str">
        <f>"－"</f>
        <v>－</v>
      </c>
      <c r="L73" s="23"/>
      <c r="M73" s="25" t="str">
        <f>"－"</f>
        <v>－</v>
      </c>
      <c r="N73" s="23"/>
      <c r="O73" s="26" t="str">
        <f>"－"</f>
        <v>－</v>
      </c>
      <c r="P73" s="27" t="str">
        <f>"－"</f>
        <v>－</v>
      </c>
      <c r="Q73" s="28" t="str">
        <f>"－"</f>
        <v>－</v>
      </c>
      <c r="R73" s="29" t="str">
        <f>"－"</f>
        <v>－</v>
      </c>
      <c r="S73" s="24"/>
      <c r="T73" s="25" t="str">
        <f>"－"</f>
        <v>－</v>
      </c>
      <c r="U73" s="23"/>
      <c r="V73" s="25" t="str">
        <f>"－"</f>
        <v>－</v>
      </c>
      <c r="W73" s="23"/>
      <c r="X73" s="26" t="str">
        <f>"－"</f>
        <v>－</v>
      </c>
      <c r="Y73" s="24"/>
      <c r="Z73" s="25" t="n">
        <f>88050</f>
        <v>88050.0</v>
      </c>
      <c r="AA73" s="23"/>
      <c r="AB73" s="25" t="n">
        <f>18748</f>
        <v>18748.0</v>
      </c>
      <c r="AC73" s="23"/>
      <c r="AD73" s="26" t="n">
        <f>106798</f>
        <v>106798.0</v>
      </c>
    </row>
    <row r="74">
      <c r="A74" s="30" t="s">
        <v>35</v>
      </c>
      <c r="B74" s="22" t="s">
        <v>61</v>
      </c>
      <c r="C74" s="22" t="s">
        <v>62</v>
      </c>
      <c r="D74" s="24"/>
      <c r="E74" s="25" t="n">
        <f>400</f>
        <v>400.0</v>
      </c>
      <c r="F74" s="23"/>
      <c r="G74" s="25" t="n">
        <f>400</f>
        <v>400.0</v>
      </c>
      <c r="H74" s="23"/>
      <c r="I74" s="26" t="n">
        <f>800</f>
        <v>800.0</v>
      </c>
      <c r="J74" s="24"/>
      <c r="K74" s="25" t="n">
        <f>22400000</f>
        <v>2.24E7</v>
      </c>
      <c r="L74" s="23"/>
      <c r="M74" s="25" t="n">
        <f>27400000</f>
        <v>2.74E7</v>
      </c>
      <c r="N74" s="23"/>
      <c r="O74" s="26" t="n">
        <f>49800000</f>
        <v>4.98E7</v>
      </c>
      <c r="P74" s="27" t="str">
        <f>"－"</f>
        <v>－</v>
      </c>
      <c r="Q74" s="28" t="str">
        <f>"－"</f>
        <v>－</v>
      </c>
      <c r="R74" s="29" t="str">
        <f>"－"</f>
        <v>－</v>
      </c>
      <c r="S74" s="24"/>
      <c r="T74" s="25" t="str">
        <f>"－"</f>
        <v>－</v>
      </c>
      <c r="U74" s="23"/>
      <c r="V74" s="25" t="str">
        <f>"－"</f>
        <v>－</v>
      </c>
      <c r="W74" s="23"/>
      <c r="X74" s="26" t="str">
        <f>"－"</f>
        <v>－</v>
      </c>
      <c r="Y74" s="24"/>
      <c r="Z74" s="25" t="n">
        <f>88450</f>
        <v>88450.0</v>
      </c>
      <c r="AA74" s="23"/>
      <c r="AB74" s="25" t="n">
        <f>19148</f>
        <v>19148.0</v>
      </c>
      <c r="AC74" s="23"/>
      <c r="AD74" s="26" t="n">
        <f>107598</f>
        <v>107598.0</v>
      </c>
    </row>
    <row r="75">
      <c r="A75" s="30" t="s">
        <v>36</v>
      </c>
      <c r="B75" s="22" t="s">
        <v>61</v>
      </c>
      <c r="C75" s="22" t="s">
        <v>62</v>
      </c>
      <c r="D75" s="24"/>
      <c r="E75" s="25"/>
      <c r="F75" s="23"/>
      <c r="G75" s="25"/>
      <c r="H75" s="23"/>
      <c r="I75" s="26"/>
      <c r="J75" s="24"/>
      <c r="K75" s="25"/>
      <c r="L75" s="23"/>
      <c r="M75" s="25"/>
      <c r="N75" s="23"/>
      <c r="O75" s="26"/>
      <c r="P75" s="27"/>
      <c r="Q75" s="28"/>
      <c r="R75" s="29"/>
      <c r="S75" s="24"/>
      <c r="T75" s="25"/>
      <c r="U75" s="23"/>
      <c r="V75" s="25"/>
      <c r="W75" s="23"/>
      <c r="X75" s="26"/>
      <c r="Y75" s="24"/>
      <c r="Z75" s="25"/>
      <c r="AA75" s="23"/>
      <c r="AB75" s="25"/>
      <c r="AC75" s="23"/>
      <c r="AD75" s="26"/>
    </row>
    <row r="76">
      <c r="A76" s="30" t="s">
        <v>37</v>
      </c>
      <c r="B76" s="22" t="s">
        <v>61</v>
      </c>
      <c r="C76" s="22" t="s">
        <v>62</v>
      </c>
      <c r="D76" s="24"/>
      <c r="E76" s="25"/>
      <c r="F76" s="23"/>
      <c r="G76" s="25"/>
      <c r="H76" s="23"/>
      <c r="I76" s="26"/>
      <c r="J76" s="24"/>
      <c r="K76" s="25"/>
      <c r="L76" s="23"/>
      <c r="M76" s="25"/>
      <c r="N76" s="23"/>
      <c r="O76" s="26"/>
      <c r="P76" s="27"/>
      <c r="Q76" s="28"/>
      <c r="R76" s="29"/>
      <c r="S76" s="24"/>
      <c r="T76" s="25"/>
      <c r="U76" s="23"/>
      <c r="V76" s="25"/>
      <c r="W76" s="23"/>
      <c r="X76" s="26"/>
      <c r="Y76" s="24"/>
      <c r="Z76" s="25"/>
      <c r="AA76" s="23"/>
      <c r="AB76" s="25"/>
      <c r="AC76" s="23"/>
      <c r="AD76" s="26"/>
    </row>
    <row r="77">
      <c r="A77" s="30" t="s">
        <v>38</v>
      </c>
      <c r="B77" s="22" t="s">
        <v>61</v>
      </c>
      <c r="C77" s="22" t="s">
        <v>62</v>
      </c>
      <c r="D77" s="24"/>
      <c r="E77" s="25" t="n">
        <f>500</f>
        <v>500.0</v>
      </c>
      <c r="F77" s="23" t="s">
        <v>34</v>
      </c>
      <c r="G77" s="25" t="n">
        <f>500</f>
        <v>500.0</v>
      </c>
      <c r="H77" s="23"/>
      <c r="I77" s="26" t="n">
        <f>1000</f>
        <v>1000.0</v>
      </c>
      <c r="J77" s="24"/>
      <c r="K77" s="25" t="n">
        <f>70000000</f>
        <v>7.0E7</v>
      </c>
      <c r="L77" s="23" t="s">
        <v>34</v>
      </c>
      <c r="M77" s="25" t="n">
        <f>250000000</f>
        <v>2.5E8</v>
      </c>
      <c r="N77" s="23"/>
      <c r="O77" s="26" t="n">
        <f>320000000</f>
        <v>3.2E8</v>
      </c>
      <c r="P77" s="27" t="str">
        <f>"－"</f>
        <v>－</v>
      </c>
      <c r="Q77" s="28" t="str">
        <f>"－"</f>
        <v>－</v>
      </c>
      <c r="R77" s="29" t="str">
        <f>"－"</f>
        <v>－</v>
      </c>
      <c r="S77" s="24"/>
      <c r="T77" s="25" t="str">
        <f>"－"</f>
        <v>－</v>
      </c>
      <c r="U77" s="23"/>
      <c r="V77" s="25" t="str">
        <f>"－"</f>
        <v>－</v>
      </c>
      <c r="W77" s="23"/>
      <c r="X77" s="26" t="str">
        <f>"－"</f>
        <v>－</v>
      </c>
      <c r="Y77" s="24"/>
      <c r="Z77" s="25" t="n">
        <f>88950</f>
        <v>88950.0</v>
      </c>
      <c r="AA77" s="23"/>
      <c r="AB77" s="25" t="n">
        <f>19448</f>
        <v>19448.0</v>
      </c>
      <c r="AC77" s="23"/>
      <c r="AD77" s="26" t="n">
        <f>108398</f>
        <v>108398.0</v>
      </c>
    </row>
    <row r="78">
      <c r="A78" s="30" t="s">
        <v>40</v>
      </c>
      <c r="B78" s="22" t="s">
        <v>61</v>
      </c>
      <c r="C78" s="22" t="s">
        <v>62</v>
      </c>
      <c r="D78" s="24"/>
      <c r="E78" s="25"/>
      <c r="F78" s="23"/>
      <c r="G78" s="25"/>
      <c r="H78" s="23"/>
      <c r="I78" s="26"/>
      <c r="J78" s="24"/>
      <c r="K78" s="25"/>
      <c r="L78" s="23"/>
      <c r="M78" s="25"/>
      <c r="N78" s="23"/>
      <c r="O78" s="26"/>
      <c r="P78" s="27"/>
      <c r="Q78" s="28"/>
      <c r="R78" s="29"/>
      <c r="S78" s="24"/>
      <c r="T78" s="25"/>
      <c r="U78" s="23"/>
      <c r="V78" s="25"/>
      <c r="W78" s="23"/>
      <c r="X78" s="26"/>
      <c r="Y78" s="24"/>
      <c r="Z78" s="25"/>
      <c r="AA78" s="23"/>
      <c r="AB78" s="25"/>
      <c r="AC78" s="23"/>
      <c r="AD78" s="26"/>
    </row>
    <row r="79">
      <c r="A79" s="30" t="s">
        <v>41</v>
      </c>
      <c r="B79" s="22" t="s">
        <v>61</v>
      </c>
      <c r="C79" s="22" t="s">
        <v>62</v>
      </c>
      <c r="D79" s="24"/>
      <c r="E79" s="25" t="n">
        <f>1800</f>
        <v>1800.0</v>
      </c>
      <c r="F79" s="23"/>
      <c r="G79" s="25" t="str">
        <f>"－"</f>
        <v>－</v>
      </c>
      <c r="H79" s="23"/>
      <c r="I79" s="26" t="n">
        <f>1800</f>
        <v>1800.0</v>
      </c>
      <c r="J79" s="24"/>
      <c r="K79" s="25" t="n">
        <f>235000000</f>
        <v>2.35E8</v>
      </c>
      <c r="L79" s="23"/>
      <c r="M79" s="25" t="str">
        <f>"－"</f>
        <v>－</v>
      </c>
      <c r="N79" s="23"/>
      <c r="O79" s="26" t="n">
        <f>235000000</f>
        <v>2.35E8</v>
      </c>
      <c r="P79" s="27" t="str">
        <f>"－"</f>
        <v>－</v>
      </c>
      <c r="Q79" s="28" t="str">
        <f>"－"</f>
        <v>－</v>
      </c>
      <c r="R79" s="29" t="str">
        <f>"－"</f>
        <v>－</v>
      </c>
      <c r="S79" s="24"/>
      <c r="T79" s="25" t="str">
        <f>"－"</f>
        <v>－</v>
      </c>
      <c r="U79" s="23"/>
      <c r="V79" s="25" t="str">
        <f>"－"</f>
        <v>－</v>
      </c>
      <c r="W79" s="23"/>
      <c r="X79" s="26" t="str">
        <f>"－"</f>
        <v>－</v>
      </c>
      <c r="Y79" s="24"/>
      <c r="Z79" s="25" t="n">
        <f>90750</f>
        <v>90750.0</v>
      </c>
      <c r="AA79" s="23"/>
      <c r="AB79" s="25" t="n">
        <f>19448</f>
        <v>19448.0</v>
      </c>
      <c r="AC79" s="23"/>
      <c r="AD79" s="26" t="n">
        <f>110198</f>
        <v>110198.0</v>
      </c>
    </row>
    <row r="80">
      <c r="A80" s="30" t="s">
        <v>42</v>
      </c>
      <c r="B80" s="22" t="s">
        <v>61</v>
      </c>
      <c r="C80" s="22" t="s">
        <v>62</v>
      </c>
      <c r="D80" s="24"/>
      <c r="E80" s="25" t="n">
        <f>1850</f>
        <v>1850.0</v>
      </c>
      <c r="F80" s="23"/>
      <c r="G80" s="25" t="n">
        <f>50</f>
        <v>50.0</v>
      </c>
      <c r="H80" s="23"/>
      <c r="I80" s="26" t="n">
        <f>1900</f>
        <v>1900.0</v>
      </c>
      <c r="J80" s="24"/>
      <c r="K80" s="25" t="n">
        <f>281450000</f>
        <v>2.8145E8</v>
      </c>
      <c r="L80" s="23"/>
      <c r="M80" s="25" t="n">
        <f>17500000</f>
        <v>1.75E7</v>
      </c>
      <c r="N80" s="23"/>
      <c r="O80" s="26" t="n">
        <f>298950000</f>
        <v>2.9895E8</v>
      </c>
      <c r="P80" s="27" t="str">
        <f>"－"</f>
        <v>－</v>
      </c>
      <c r="Q80" s="28" t="str">
        <f>"－"</f>
        <v>－</v>
      </c>
      <c r="R80" s="29" t="str">
        <f>"－"</f>
        <v>－</v>
      </c>
      <c r="S80" s="24"/>
      <c r="T80" s="25" t="n">
        <f>1800</f>
        <v>1800.0</v>
      </c>
      <c r="U80" s="23"/>
      <c r="V80" s="25" t="str">
        <f>"－"</f>
        <v>－</v>
      </c>
      <c r="W80" s="23"/>
      <c r="X80" s="26" t="n">
        <f>1800</f>
        <v>1800.0</v>
      </c>
      <c r="Y80" s="24"/>
      <c r="Z80" s="25" t="n">
        <f>92100</f>
        <v>92100.0</v>
      </c>
      <c r="AA80" s="23" t="s">
        <v>34</v>
      </c>
      <c r="AB80" s="25" t="n">
        <f>19498</f>
        <v>19498.0</v>
      </c>
      <c r="AC80" s="23"/>
      <c r="AD80" s="26" t="n">
        <f>111598</f>
        <v>111598.0</v>
      </c>
    </row>
    <row r="81">
      <c r="A81" s="30" t="s">
        <v>43</v>
      </c>
      <c r="B81" s="22" t="s">
        <v>61</v>
      </c>
      <c r="C81" s="22" t="s">
        <v>62</v>
      </c>
      <c r="D81" s="24"/>
      <c r="E81" s="25" t="str">
        <f>"－"</f>
        <v>－</v>
      </c>
      <c r="F81" s="23"/>
      <c r="G81" s="25" t="str">
        <f>"－"</f>
        <v>－</v>
      </c>
      <c r="H81" s="23"/>
      <c r="I81" s="26" t="str">
        <f>"－"</f>
        <v>－</v>
      </c>
      <c r="J81" s="24"/>
      <c r="K81" s="25" t="str">
        <f>"－"</f>
        <v>－</v>
      </c>
      <c r="L81" s="23"/>
      <c r="M81" s="25" t="str">
        <f>"－"</f>
        <v>－</v>
      </c>
      <c r="N81" s="23"/>
      <c r="O81" s="26" t="str">
        <f>"－"</f>
        <v>－</v>
      </c>
      <c r="P81" s="27" t="str">
        <f>"－"</f>
        <v>－</v>
      </c>
      <c r="Q81" s="28" t="str">
        <f>"－"</f>
        <v>－</v>
      </c>
      <c r="R81" s="29" t="str">
        <f>"－"</f>
        <v>－</v>
      </c>
      <c r="S81" s="24"/>
      <c r="T81" s="25" t="str">
        <f>"－"</f>
        <v>－</v>
      </c>
      <c r="U81" s="23"/>
      <c r="V81" s="25" t="str">
        <f>"－"</f>
        <v>－</v>
      </c>
      <c r="W81" s="23"/>
      <c r="X81" s="26" t="str">
        <f>"－"</f>
        <v>－</v>
      </c>
      <c r="Y81" s="24"/>
      <c r="Z81" s="25" t="n">
        <f>91700</f>
        <v>91700.0</v>
      </c>
      <c r="AA81" s="23" t="s">
        <v>39</v>
      </c>
      <c r="AB81" s="25" t="n">
        <f>17227</f>
        <v>17227.0</v>
      </c>
      <c r="AC81" s="23"/>
      <c r="AD81" s="26" t="n">
        <f>108927</f>
        <v>108927.0</v>
      </c>
    </row>
    <row r="82">
      <c r="A82" s="30" t="s">
        <v>44</v>
      </c>
      <c r="B82" s="22" t="s">
        <v>61</v>
      </c>
      <c r="C82" s="22" t="s">
        <v>62</v>
      </c>
      <c r="D82" s="24"/>
      <c r="E82" s="25"/>
      <c r="F82" s="23"/>
      <c r="G82" s="25"/>
      <c r="H82" s="23"/>
      <c r="I82" s="26"/>
      <c r="J82" s="24"/>
      <c r="K82" s="25"/>
      <c r="L82" s="23"/>
      <c r="M82" s="25"/>
      <c r="N82" s="23"/>
      <c r="O82" s="26"/>
      <c r="P82" s="27"/>
      <c r="Q82" s="28"/>
      <c r="R82" s="29"/>
      <c r="S82" s="24"/>
      <c r="T82" s="25"/>
      <c r="U82" s="23"/>
      <c r="V82" s="25"/>
      <c r="W82" s="23"/>
      <c r="X82" s="26"/>
      <c r="Y82" s="24"/>
      <c r="Z82" s="25"/>
      <c r="AA82" s="23"/>
      <c r="AB82" s="25"/>
      <c r="AC82" s="23"/>
      <c r="AD82" s="26"/>
    </row>
    <row r="83">
      <c r="A83" s="30" t="s">
        <v>45</v>
      </c>
      <c r="B83" s="22" t="s">
        <v>61</v>
      </c>
      <c r="C83" s="22" t="s">
        <v>62</v>
      </c>
      <c r="D83" s="24"/>
      <c r="E83" s="25"/>
      <c r="F83" s="23"/>
      <c r="G83" s="25"/>
      <c r="H83" s="23"/>
      <c r="I83" s="26"/>
      <c r="J83" s="24"/>
      <c r="K83" s="25"/>
      <c r="L83" s="23"/>
      <c r="M83" s="25"/>
      <c r="N83" s="23"/>
      <c r="O83" s="26"/>
      <c r="P83" s="27"/>
      <c r="Q83" s="28"/>
      <c r="R83" s="29"/>
      <c r="S83" s="24"/>
      <c r="T83" s="25"/>
      <c r="U83" s="23"/>
      <c r="V83" s="25"/>
      <c r="W83" s="23"/>
      <c r="X83" s="26"/>
      <c r="Y83" s="24"/>
      <c r="Z83" s="25"/>
      <c r="AA83" s="23"/>
      <c r="AB83" s="25"/>
      <c r="AC83" s="23"/>
      <c r="AD83" s="26"/>
    </row>
    <row r="84">
      <c r="A84" s="30" t="s">
        <v>46</v>
      </c>
      <c r="B84" s="22" t="s">
        <v>61</v>
      </c>
      <c r="C84" s="22" t="s">
        <v>62</v>
      </c>
      <c r="D84" s="24"/>
      <c r="E84" s="25" t="str">
        <f>"－"</f>
        <v>－</v>
      </c>
      <c r="F84" s="23"/>
      <c r="G84" s="25" t="n">
        <f>285</f>
        <v>285.0</v>
      </c>
      <c r="H84" s="23"/>
      <c r="I84" s="26" t="n">
        <f>285</f>
        <v>285.0</v>
      </c>
      <c r="J84" s="24"/>
      <c r="K84" s="25" t="str">
        <f>"－"</f>
        <v>－</v>
      </c>
      <c r="L84" s="23"/>
      <c r="M84" s="25" t="n">
        <f>11706500</f>
        <v>1.17065E7</v>
      </c>
      <c r="N84" s="23"/>
      <c r="O84" s="26" t="n">
        <f>11706500</f>
        <v>1.17065E7</v>
      </c>
      <c r="P84" s="27" t="str">
        <f>"－"</f>
        <v>－</v>
      </c>
      <c r="Q84" s="28" t="str">
        <f>"－"</f>
        <v>－</v>
      </c>
      <c r="R84" s="29" t="str">
        <f>"－"</f>
        <v>－</v>
      </c>
      <c r="S84" s="24"/>
      <c r="T84" s="25" t="str">
        <f>"－"</f>
        <v>－</v>
      </c>
      <c r="U84" s="23" t="s">
        <v>34</v>
      </c>
      <c r="V84" s="25" t="n">
        <f>285</f>
        <v>285.0</v>
      </c>
      <c r="W84" s="23"/>
      <c r="X84" s="26" t="n">
        <f>285</f>
        <v>285.0</v>
      </c>
      <c r="Y84" s="24"/>
      <c r="Z84" s="25" t="n">
        <f>91700</f>
        <v>91700.0</v>
      </c>
      <c r="AA84" s="23"/>
      <c r="AB84" s="25" t="n">
        <f>17337</f>
        <v>17337.0</v>
      </c>
      <c r="AC84" s="23"/>
      <c r="AD84" s="26" t="n">
        <f>109037</f>
        <v>109037.0</v>
      </c>
    </row>
    <row r="85">
      <c r="A85" s="30" t="s">
        <v>47</v>
      </c>
      <c r="B85" s="22" t="s">
        <v>61</v>
      </c>
      <c r="C85" s="22" t="s">
        <v>62</v>
      </c>
      <c r="D85" s="24"/>
      <c r="E85" s="25" t="n">
        <f>1500</f>
        <v>1500.0</v>
      </c>
      <c r="F85" s="23"/>
      <c r="G85" s="25" t="str">
        <f>"－"</f>
        <v>－</v>
      </c>
      <c r="H85" s="23"/>
      <c r="I85" s="26" t="n">
        <f>1500</f>
        <v>1500.0</v>
      </c>
      <c r="J85" s="24"/>
      <c r="K85" s="25" t="n">
        <f>35800000</f>
        <v>3.58E7</v>
      </c>
      <c r="L85" s="23"/>
      <c r="M85" s="25" t="str">
        <f>"－"</f>
        <v>－</v>
      </c>
      <c r="N85" s="23"/>
      <c r="O85" s="26" t="n">
        <f>35800000</f>
        <v>3.58E7</v>
      </c>
      <c r="P85" s="27" t="str">
        <f>"－"</f>
        <v>－</v>
      </c>
      <c r="Q85" s="28" t="str">
        <f>"－"</f>
        <v>－</v>
      </c>
      <c r="R85" s="29" t="str">
        <f>"－"</f>
        <v>－</v>
      </c>
      <c r="S85" s="24"/>
      <c r="T85" s="25" t="n">
        <f>1500</f>
        <v>1500.0</v>
      </c>
      <c r="U85" s="23"/>
      <c r="V85" s="25" t="str">
        <f>"－"</f>
        <v>－</v>
      </c>
      <c r="W85" s="23"/>
      <c r="X85" s="26" t="n">
        <f>1500</f>
        <v>1500.0</v>
      </c>
      <c r="Y85" s="24"/>
      <c r="Z85" s="25" t="n">
        <f>93120</f>
        <v>93120.0</v>
      </c>
      <c r="AA85" s="23"/>
      <c r="AB85" s="25" t="n">
        <f>17337</f>
        <v>17337.0</v>
      </c>
      <c r="AC85" s="23"/>
      <c r="AD85" s="26" t="n">
        <f>110457</f>
        <v>110457.0</v>
      </c>
    </row>
    <row r="86">
      <c r="A86" s="30" t="s">
        <v>48</v>
      </c>
      <c r="B86" s="22" t="s">
        <v>61</v>
      </c>
      <c r="C86" s="22" t="s">
        <v>62</v>
      </c>
      <c r="D86" s="24"/>
      <c r="E86" s="25" t="n">
        <f>1139</f>
        <v>1139.0</v>
      </c>
      <c r="F86" s="23"/>
      <c r="G86" s="25" t="str">
        <f>"－"</f>
        <v>－</v>
      </c>
      <c r="H86" s="23"/>
      <c r="I86" s="26" t="n">
        <f>1139</f>
        <v>1139.0</v>
      </c>
      <c r="J86" s="24"/>
      <c r="K86" s="25" t="n">
        <f>119459740</f>
        <v>1.1945974E8</v>
      </c>
      <c r="L86" s="23"/>
      <c r="M86" s="25" t="str">
        <f>"－"</f>
        <v>－</v>
      </c>
      <c r="N86" s="23"/>
      <c r="O86" s="26" t="n">
        <f>119459740</f>
        <v>1.1945974E8</v>
      </c>
      <c r="P86" s="27" t="str">
        <f>"－"</f>
        <v>－</v>
      </c>
      <c r="Q86" s="28" t="str">
        <f>"－"</f>
        <v>－</v>
      </c>
      <c r="R86" s="29" t="str">
        <f>"－"</f>
        <v>－</v>
      </c>
      <c r="S86" s="24"/>
      <c r="T86" s="25" t="n">
        <f>1139</f>
        <v>1139.0</v>
      </c>
      <c r="U86" s="23"/>
      <c r="V86" s="25" t="str">
        <f>"－"</f>
        <v>－</v>
      </c>
      <c r="W86" s="23"/>
      <c r="X86" s="26" t="n">
        <f>1139</f>
        <v>1139.0</v>
      </c>
      <c r="Y86" s="24"/>
      <c r="Z86" s="25" t="n">
        <f>93688</f>
        <v>93688.0</v>
      </c>
      <c r="AA86" s="23"/>
      <c r="AB86" s="25" t="n">
        <f>17337</f>
        <v>17337.0</v>
      </c>
      <c r="AC86" s="23"/>
      <c r="AD86" s="26" t="n">
        <f>111025</f>
        <v>111025.0</v>
      </c>
    </row>
    <row r="87">
      <c r="A87" s="30" t="s">
        <v>49</v>
      </c>
      <c r="B87" s="22" t="s">
        <v>61</v>
      </c>
      <c r="C87" s="22" t="s">
        <v>62</v>
      </c>
      <c r="D87" s="24"/>
      <c r="E87" s="25" t="str">
        <f>"－"</f>
        <v>－</v>
      </c>
      <c r="F87" s="23"/>
      <c r="G87" s="25" t="str">
        <f>"－"</f>
        <v>－</v>
      </c>
      <c r="H87" s="23"/>
      <c r="I87" s="26" t="str">
        <f>"－"</f>
        <v>－</v>
      </c>
      <c r="J87" s="24"/>
      <c r="K87" s="25" t="str">
        <f>"－"</f>
        <v>－</v>
      </c>
      <c r="L87" s="23"/>
      <c r="M87" s="25" t="str">
        <f>"－"</f>
        <v>－</v>
      </c>
      <c r="N87" s="23"/>
      <c r="O87" s="26" t="str">
        <f>"－"</f>
        <v>－</v>
      </c>
      <c r="P87" s="27" t="str">
        <f>"－"</f>
        <v>－</v>
      </c>
      <c r="Q87" s="28" t="str">
        <f>"－"</f>
        <v>－</v>
      </c>
      <c r="R87" s="29" t="str">
        <f>"－"</f>
        <v>－</v>
      </c>
      <c r="S87" s="24"/>
      <c r="T87" s="25" t="str">
        <f>"－"</f>
        <v>－</v>
      </c>
      <c r="U87" s="23"/>
      <c r="V87" s="25" t="str">
        <f>"－"</f>
        <v>－</v>
      </c>
      <c r="W87" s="23"/>
      <c r="X87" s="26" t="str">
        <f>"－"</f>
        <v>－</v>
      </c>
      <c r="Y87" s="24"/>
      <c r="Z87" s="25" t="n">
        <f>93688</f>
        <v>93688.0</v>
      </c>
      <c r="AA87" s="23"/>
      <c r="AB87" s="25" t="n">
        <f>17337</f>
        <v>17337.0</v>
      </c>
      <c r="AC87" s="23"/>
      <c r="AD87" s="26" t="n">
        <f>111025</f>
        <v>111025.0</v>
      </c>
    </row>
    <row r="88">
      <c r="A88" s="30" t="s">
        <v>50</v>
      </c>
      <c r="B88" s="22" t="s">
        <v>61</v>
      </c>
      <c r="C88" s="22" t="s">
        <v>62</v>
      </c>
      <c r="D88" s="24"/>
      <c r="E88" s="25" t="n">
        <f>500</f>
        <v>500.0</v>
      </c>
      <c r="F88" s="23"/>
      <c r="G88" s="25" t="str">
        <f>"－"</f>
        <v>－</v>
      </c>
      <c r="H88" s="23"/>
      <c r="I88" s="26" t="n">
        <f>500</f>
        <v>500.0</v>
      </c>
      <c r="J88" s="24"/>
      <c r="K88" s="25" t="n">
        <f>535000000</f>
        <v>5.35E8</v>
      </c>
      <c r="L88" s="23"/>
      <c r="M88" s="25" t="str">
        <f>"－"</f>
        <v>－</v>
      </c>
      <c r="N88" s="23"/>
      <c r="O88" s="26" t="n">
        <f>535000000</f>
        <v>5.35E8</v>
      </c>
      <c r="P88" s="27" t="str">
        <f>"－"</f>
        <v>－</v>
      </c>
      <c r="Q88" s="28" t="str">
        <f>"－"</f>
        <v>－</v>
      </c>
      <c r="R88" s="29" t="str">
        <f>"－"</f>
        <v>－</v>
      </c>
      <c r="S88" s="24"/>
      <c r="T88" s="25" t="str">
        <f>"－"</f>
        <v>－</v>
      </c>
      <c r="U88" s="23"/>
      <c r="V88" s="25" t="str">
        <f>"－"</f>
        <v>－</v>
      </c>
      <c r="W88" s="23"/>
      <c r="X88" s="26" t="str">
        <f>"－"</f>
        <v>－</v>
      </c>
      <c r="Y88" s="24"/>
      <c r="Z88" s="25" t="n">
        <f>94188</f>
        <v>94188.0</v>
      </c>
      <c r="AA88" s="23"/>
      <c r="AB88" s="25" t="n">
        <f>17337</f>
        <v>17337.0</v>
      </c>
      <c r="AC88" s="23"/>
      <c r="AD88" s="26" t="n">
        <f>111525</f>
        <v>111525.0</v>
      </c>
    </row>
    <row r="89">
      <c r="A89" s="30" t="s">
        <v>51</v>
      </c>
      <c r="B89" s="22" t="s">
        <v>61</v>
      </c>
      <c r="C89" s="22" t="s">
        <v>62</v>
      </c>
      <c r="D89" s="24"/>
      <c r="E89" s="25"/>
      <c r="F89" s="23"/>
      <c r="G89" s="25"/>
      <c r="H89" s="23"/>
      <c r="I89" s="26"/>
      <c r="J89" s="24"/>
      <c r="K89" s="25"/>
      <c r="L89" s="23"/>
      <c r="M89" s="25"/>
      <c r="N89" s="23"/>
      <c r="O89" s="26"/>
      <c r="P89" s="27"/>
      <c r="Q89" s="28"/>
      <c r="R89" s="29"/>
      <c r="S89" s="24"/>
      <c r="T89" s="25"/>
      <c r="U89" s="23"/>
      <c r="V89" s="25"/>
      <c r="W89" s="23"/>
      <c r="X89" s="26"/>
      <c r="Y89" s="24"/>
      <c r="Z89" s="25"/>
      <c r="AA89" s="23"/>
      <c r="AB89" s="25"/>
      <c r="AC89" s="23"/>
      <c r="AD89" s="26"/>
    </row>
    <row r="90">
      <c r="A90" s="30" t="s">
        <v>52</v>
      </c>
      <c r="B90" s="22" t="s">
        <v>61</v>
      </c>
      <c r="C90" s="22" t="s">
        <v>62</v>
      </c>
      <c r="D90" s="24"/>
      <c r="E90" s="25"/>
      <c r="F90" s="23"/>
      <c r="G90" s="25"/>
      <c r="H90" s="23"/>
      <c r="I90" s="26"/>
      <c r="J90" s="24"/>
      <c r="K90" s="25"/>
      <c r="L90" s="23"/>
      <c r="M90" s="25"/>
      <c r="N90" s="23"/>
      <c r="O90" s="26"/>
      <c r="P90" s="27"/>
      <c r="Q90" s="28"/>
      <c r="R90" s="29"/>
      <c r="S90" s="24"/>
      <c r="T90" s="25"/>
      <c r="U90" s="23"/>
      <c r="V90" s="25"/>
      <c r="W90" s="23"/>
      <c r="X90" s="26"/>
      <c r="Y90" s="24"/>
      <c r="Z90" s="25"/>
      <c r="AA90" s="23"/>
      <c r="AB90" s="25"/>
      <c r="AC90" s="23"/>
      <c r="AD90" s="26"/>
    </row>
    <row r="91">
      <c r="A91" s="30" t="s">
        <v>53</v>
      </c>
      <c r="B91" s="22" t="s">
        <v>61</v>
      </c>
      <c r="C91" s="22" t="s">
        <v>62</v>
      </c>
      <c r="D91" s="24"/>
      <c r="E91" s="25"/>
      <c r="F91" s="23"/>
      <c r="G91" s="25"/>
      <c r="H91" s="23"/>
      <c r="I91" s="26"/>
      <c r="J91" s="24"/>
      <c r="K91" s="25"/>
      <c r="L91" s="23"/>
      <c r="M91" s="25"/>
      <c r="N91" s="23"/>
      <c r="O91" s="26"/>
      <c r="P91" s="27"/>
      <c r="Q91" s="28"/>
      <c r="R91" s="29"/>
      <c r="S91" s="24"/>
      <c r="T91" s="25"/>
      <c r="U91" s="23"/>
      <c r="V91" s="25"/>
      <c r="W91" s="23"/>
      <c r="X91" s="26"/>
      <c r="Y91" s="24"/>
      <c r="Z91" s="25"/>
      <c r="AA91" s="23"/>
      <c r="AB91" s="25"/>
      <c r="AC91" s="23"/>
      <c r="AD91" s="26"/>
    </row>
    <row r="92">
      <c r="A92" s="30" t="s">
        <v>54</v>
      </c>
      <c r="B92" s="22" t="s">
        <v>61</v>
      </c>
      <c r="C92" s="22" t="s">
        <v>62</v>
      </c>
      <c r="D92" s="24"/>
      <c r="E92" s="25" t="n">
        <f>950</f>
        <v>950.0</v>
      </c>
      <c r="F92" s="23"/>
      <c r="G92" s="25" t="str">
        <f>"－"</f>
        <v>－</v>
      </c>
      <c r="H92" s="23"/>
      <c r="I92" s="26" t="n">
        <f>950</f>
        <v>950.0</v>
      </c>
      <c r="J92" s="24"/>
      <c r="K92" s="25" t="n">
        <f>1115550000</f>
        <v>1.11555E9</v>
      </c>
      <c r="L92" s="23"/>
      <c r="M92" s="25" t="str">
        <f>"－"</f>
        <v>－</v>
      </c>
      <c r="N92" s="23"/>
      <c r="O92" s="26" t="n">
        <f>1115550000</f>
        <v>1.11555E9</v>
      </c>
      <c r="P92" s="27" t="str">
        <f>"－"</f>
        <v>－</v>
      </c>
      <c r="Q92" s="28" t="str">
        <f>"－"</f>
        <v>－</v>
      </c>
      <c r="R92" s="29" t="str">
        <f>"－"</f>
        <v>－</v>
      </c>
      <c r="S92" s="24"/>
      <c r="T92" s="25" t="str">
        <f>"－"</f>
        <v>－</v>
      </c>
      <c r="U92" s="23"/>
      <c r="V92" s="25" t="str">
        <f>"－"</f>
        <v>－</v>
      </c>
      <c r="W92" s="23"/>
      <c r="X92" s="26" t="str">
        <f>"－"</f>
        <v>－</v>
      </c>
      <c r="Y92" s="24"/>
      <c r="Z92" s="25" t="n">
        <f>95138</f>
        <v>95138.0</v>
      </c>
      <c r="AA92" s="23"/>
      <c r="AB92" s="25" t="n">
        <f>17337</f>
        <v>17337.0</v>
      </c>
      <c r="AC92" s="23"/>
      <c r="AD92" s="26" t="n">
        <f>112475</f>
        <v>112475.0</v>
      </c>
    </row>
    <row r="93">
      <c r="A93" s="30" t="s">
        <v>55</v>
      </c>
      <c r="B93" s="22" t="s">
        <v>61</v>
      </c>
      <c r="C93" s="22" t="s">
        <v>62</v>
      </c>
      <c r="D93" s="24"/>
      <c r="E93" s="25" t="str">
        <f>"－"</f>
        <v>－</v>
      </c>
      <c r="F93" s="23"/>
      <c r="G93" s="25" t="str">
        <f>"－"</f>
        <v>－</v>
      </c>
      <c r="H93" s="23"/>
      <c r="I93" s="26" t="str">
        <f>"－"</f>
        <v>－</v>
      </c>
      <c r="J93" s="24"/>
      <c r="K93" s="25" t="str">
        <f>"－"</f>
        <v>－</v>
      </c>
      <c r="L93" s="23"/>
      <c r="M93" s="25" t="str">
        <f>"－"</f>
        <v>－</v>
      </c>
      <c r="N93" s="23"/>
      <c r="O93" s="26" t="str">
        <f>"－"</f>
        <v>－</v>
      </c>
      <c r="P93" s="27" t="str">
        <f>"－"</f>
        <v>－</v>
      </c>
      <c r="Q93" s="28" t="str">
        <f>"－"</f>
        <v>－</v>
      </c>
      <c r="R93" s="29" t="str">
        <f>"－"</f>
        <v>－</v>
      </c>
      <c r="S93" s="24"/>
      <c r="T93" s="25" t="str">
        <f>"－"</f>
        <v>－</v>
      </c>
      <c r="U93" s="23"/>
      <c r="V93" s="25" t="str">
        <f>"－"</f>
        <v>－</v>
      </c>
      <c r="W93" s="23"/>
      <c r="X93" s="26" t="str">
        <f>"－"</f>
        <v>－</v>
      </c>
      <c r="Y93" s="24"/>
      <c r="Z93" s="25" t="n">
        <f>95138</f>
        <v>95138.0</v>
      </c>
      <c r="AA93" s="23"/>
      <c r="AB93" s="25" t="n">
        <f>17337</f>
        <v>17337.0</v>
      </c>
      <c r="AC93" s="23"/>
      <c r="AD93" s="26" t="n">
        <f>112475</f>
        <v>112475.0</v>
      </c>
    </row>
    <row r="94">
      <c r="A94" s="30" t="s">
        <v>56</v>
      </c>
      <c r="B94" s="22" t="s">
        <v>61</v>
      </c>
      <c r="C94" s="22" t="s">
        <v>62</v>
      </c>
      <c r="D94" s="24" t="s">
        <v>34</v>
      </c>
      <c r="E94" s="25" t="n">
        <f>6850</f>
        <v>6850.0</v>
      </c>
      <c r="F94" s="23"/>
      <c r="G94" s="25" t="n">
        <f>100</f>
        <v>100.0</v>
      </c>
      <c r="H94" s="23" t="s">
        <v>34</v>
      </c>
      <c r="I94" s="26" t="n">
        <f>6950</f>
        <v>6950.0</v>
      </c>
      <c r="J94" s="24" t="s">
        <v>34</v>
      </c>
      <c r="K94" s="25" t="n">
        <f>2073792500</f>
        <v>2.0737925E9</v>
      </c>
      <c r="L94" s="23"/>
      <c r="M94" s="25" t="n">
        <f>150000000</f>
        <v>1.5E8</v>
      </c>
      <c r="N94" s="23" t="s">
        <v>34</v>
      </c>
      <c r="O94" s="26" t="n">
        <f>2223792500</f>
        <v>2.2237925E9</v>
      </c>
      <c r="P94" s="27" t="str">
        <f>"－"</f>
        <v>－</v>
      </c>
      <c r="Q94" s="28" t="str">
        <f>"－"</f>
        <v>－</v>
      </c>
      <c r="R94" s="29" t="str">
        <f>"－"</f>
        <v>－</v>
      </c>
      <c r="S94" s="24" t="s">
        <v>34</v>
      </c>
      <c r="T94" s="25" t="n">
        <f>6850</f>
        <v>6850.0</v>
      </c>
      <c r="U94" s="23"/>
      <c r="V94" s="25" t="n">
        <f>100</f>
        <v>100.0</v>
      </c>
      <c r="W94" s="23" t="s">
        <v>34</v>
      </c>
      <c r="X94" s="26" t="n">
        <f>6950</f>
        <v>6950.0</v>
      </c>
      <c r="Y94" s="24"/>
      <c r="Z94" s="25" t="n">
        <f>95188</f>
        <v>95188.0</v>
      </c>
      <c r="AA94" s="23"/>
      <c r="AB94" s="25" t="n">
        <f>17387</f>
        <v>17387.0</v>
      </c>
      <c r="AC94" s="23"/>
      <c r="AD94" s="26" t="n">
        <f>112575</f>
        <v>112575.0</v>
      </c>
    </row>
    <row r="95">
      <c r="A95" s="30" t="s">
        <v>57</v>
      </c>
      <c r="B95" s="22" t="s">
        <v>61</v>
      </c>
      <c r="C95" s="22" t="s">
        <v>62</v>
      </c>
      <c r="D95" s="24"/>
      <c r="E95" s="25" t="n">
        <f>2628</f>
        <v>2628.0</v>
      </c>
      <c r="F95" s="23"/>
      <c r="G95" s="25" t="str">
        <f>"－"</f>
        <v>－</v>
      </c>
      <c r="H95" s="23"/>
      <c r="I95" s="26" t="n">
        <f>2628</f>
        <v>2628.0</v>
      </c>
      <c r="J95" s="24"/>
      <c r="K95" s="25" t="n">
        <f>946080000</f>
        <v>9.4608E8</v>
      </c>
      <c r="L95" s="23"/>
      <c r="M95" s="25" t="str">
        <f>"－"</f>
        <v>－</v>
      </c>
      <c r="N95" s="23"/>
      <c r="O95" s="26" t="n">
        <f>946080000</f>
        <v>9.4608E8</v>
      </c>
      <c r="P95" s="27" t="str">
        <f>"－"</f>
        <v>－</v>
      </c>
      <c r="Q95" s="28" t="str">
        <f>"－"</f>
        <v>－</v>
      </c>
      <c r="R95" s="29" t="str">
        <f>"－"</f>
        <v>－</v>
      </c>
      <c r="S95" s="24"/>
      <c r="T95" s="25" t="str">
        <f>"－"</f>
        <v>－</v>
      </c>
      <c r="U95" s="23"/>
      <c r="V95" s="25" t="str">
        <f>"－"</f>
        <v>－</v>
      </c>
      <c r="W95" s="23"/>
      <c r="X95" s="26" t="str">
        <f>"－"</f>
        <v>－</v>
      </c>
      <c r="Y95" s="24" t="s">
        <v>34</v>
      </c>
      <c r="Z95" s="25" t="n">
        <f>97816</f>
        <v>97816.0</v>
      </c>
      <c r="AA95" s="23"/>
      <c r="AB95" s="25" t="n">
        <f>17387</f>
        <v>17387.0</v>
      </c>
      <c r="AC95" s="23" t="s">
        <v>34</v>
      </c>
      <c r="AD95" s="26" t="n">
        <f>115203</f>
        <v>115203.0</v>
      </c>
    </row>
    <row r="96">
      <c r="A96" s="30" t="s">
        <v>58</v>
      </c>
      <c r="B96" s="22" t="s">
        <v>61</v>
      </c>
      <c r="C96" s="22" t="s">
        <v>62</v>
      </c>
      <c r="D96" s="24"/>
      <c r="E96" s="25"/>
      <c r="F96" s="23"/>
      <c r="G96" s="25"/>
      <c r="H96" s="23"/>
      <c r="I96" s="26"/>
      <c r="J96" s="24"/>
      <c r="K96" s="25"/>
      <c r="L96" s="23"/>
      <c r="M96" s="25"/>
      <c r="N96" s="23"/>
      <c r="O96" s="26"/>
      <c r="P96" s="27"/>
      <c r="Q96" s="28"/>
      <c r="R96" s="29"/>
      <c r="S96" s="24"/>
      <c r="T96" s="25"/>
      <c r="U96" s="23"/>
      <c r="V96" s="25"/>
      <c r="W96" s="23"/>
      <c r="X96" s="26"/>
      <c r="Y96" s="24"/>
      <c r="Z96" s="25"/>
      <c r="AA96" s="23"/>
      <c r="AB96" s="25"/>
      <c r="AC96" s="23"/>
      <c r="AD96" s="26"/>
    </row>
    <row r="97">
      <c r="A97" s="30" t="s">
        <v>26</v>
      </c>
      <c r="B97" s="22" t="s">
        <v>63</v>
      </c>
      <c r="C97" s="22" t="s">
        <v>64</v>
      </c>
      <c r="D97" s="24"/>
      <c r="E97" s="25"/>
      <c r="F97" s="23"/>
      <c r="G97" s="25"/>
      <c r="H97" s="23"/>
      <c r="I97" s="26"/>
      <c r="J97" s="24"/>
      <c r="K97" s="25"/>
      <c r="L97" s="23"/>
      <c r="M97" s="25"/>
      <c r="N97" s="23"/>
      <c r="O97" s="26"/>
      <c r="P97" s="27"/>
      <c r="Q97" s="28"/>
      <c r="R97" s="29"/>
      <c r="S97" s="24"/>
      <c r="T97" s="25"/>
      <c r="U97" s="23"/>
      <c r="V97" s="25"/>
      <c r="W97" s="23"/>
      <c r="X97" s="26"/>
      <c r="Y97" s="24"/>
      <c r="Z97" s="25"/>
      <c r="AA97" s="23"/>
      <c r="AB97" s="25"/>
      <c r="AC97" s="23"/>
      <c r="AD97" s="26"/>
    </row>
    <row r="98">
      <c r="A98" s="30" t="s">
        <v>29</v>
      </c>
      <c r="B98" s="22" t="s">
        <v>63</v>
      </c>
      <c r="C98" s="22" t="s">
        <v>64</v>
      </c>
      <c r="D98" s="24"/>
      <c r="E98" s="25"/>
      <c r="F98" s="23"/>
      <c r="G98" s="25"/>
      <c r="H98" s="23"/>
      <c r="I98" s="26"/>
      <c r="J98" s="24"/>
      <c r="K98" s="25"/>
      <c r="L98" s="23"/>
      <c r="M98" s="25"/>
      <c r="N98" s="23"/>
      <c r="O98" s="26"/>
      <c r="P98" s="27"/>
      <c r="Q98" s="28"/>
      <c r="R98" s="29"/>
      <c r="S98" s="24"/>
      <c r="T98" s="25"/>
      <c r="U98" s="23"/>
      <c r="V98" s="25"/>
      <c r="W98" s="23"/>
      <c r="X98" s="26"/>
      <c r="Y98" s="24"/>
      <c r="Z98" s="25"/>
      <c r="AA98" s="23"/>
      <c r="AB98" s="25"/>
      <c r="AC98" s="23"/>
      <c r="AD98" s="26"/>
    </row>
    <row r="99">
      <c r="A99" s="30" t="s">
        <v>30</v>
      </c>
      <c r="B99" s="22" t="s">
        <v>63</v>
      </c>
      <c r="C99" s="22" t="s">
        <v>64</v>
      </c>
      <c r="D99" s="24" t="s">
        <v>65</v>
      </c>
      <c r="E99" s="25" t="str">
        <f>"－"</f>
        <v>－</v>
      </c>
      <c r="F99" s="23" t="s">
        <v>65</v>
      </c>
      <c r="G99" s="25" t="str">
        <f>"－"</f>
        <v>－</v>
      </c>
      <c r="H99" s="23" t="s">
        <v>65</v>
      </c>
      <c r="I99" s="26" t="str">
        <f>"－"</f>
        <v>－</v>
      </c>
      <c r="J99" s="24" t="s">
        <v>65</v>
      </c>
      <c r="K99" s="25" t="str">
        <f>"－"</f>
        <v>－</v>
      </c>
      <c r="L99" s="23" t="s">
        <v>65</v>
      </c>
      <c r="M99" s="25" t="str">
        <f>"－"</f>
        <v>－</v>
      </c>
      <c r="N99" s="23" t="s">
        <v>65</v>
      </c>
      <c r="O99" s="26" t="str">
        <f>"－"</f>
        <v>－</v>
      </c>
      <c r="P99" s="27" t="str">
        <f>"－"</f>
        <v>－</v>
      </c>
      <c r="Q99" s="28" t="str">
        <f>"－"</f>
        <v>－</v>
      </c>
      <c r="R99" s="29" t="str">
        <f>"－"</f>
        <v>－</v>
      </c>
      <c r="S99" s="24" t="s">
        <v>65</v>
      </c>
      <c r="T99" s="25" t="str">
        <f>"－"</f>
        <v>－</v>
      </c>
      <c r="U99" s="23" t="s">
        <v>65</v>
      </c>
      <c r="V99" s="25" t="str">
        <f>"－"</f>
        <v>－</v>
      </c>
      <c r="W99" s="23" t="s">
        <v>65</v>
      </c>
      <c r="X99" s="26" t="str">
        <f>"－"</f>
        <v>－</v>
      </c>
      <c r="Y99" s="24" t="s">
        <v>65</v>
      </c>
      <c r="Z99" s="25" t="str">
        <f>"－"</f>
        <v>－</v>
      </c>
      <c r="AA99" s="23" t="s">
        <v>65</v>
      </c>
      <c r="AB99" s="25" t="str">
        <f>"－"</f>
        <v>－</v>
      </c>
      <c r="AC99" s="23" t="s">
        <v>65</v>
      </c>
      <c r="AD99" s="26" t="str">
        <f>"－"</f>
        <v>－</v>
      </c>
    </row>
    <row r="100">
      <c r="A100" s="30" t="s">
        <v>31</v>
      </c>
      <c r="B100" s="22" t="s">
        <v>63</v>
      </c>
      <c r="C100" s="22" t="s">
        <v>64</v>
      </c>
      <c r="D100" s="24"/>
      <c r="E100" s="25" t="str">
        <f>"－"</f>
        <v>－</v>
      </c>
      <c r="F100" s="23"/>
      <c r="G100" s="25" t="str">
        <f>"－"</f>
        <v>－</v>
      </c>
      <c r="H100" s="23"/>
      <c r="I100" s="26" t="str">
        <f>"－"</f>
        <v>－</v>
      </c>
      <c r="J100" s="24"/>
      <c r="K100" s="25" t="str">
        <f>"－"</f>
        <v>－</v>
      </c>
      <c r="L100" s="23"/>
      <c r="M100" s="25" t="str">
        <f>"－"</f>
        <v>－</v>
      </c>
      <c r="N100" s="23"/>
      <c r="O100" s="26" t="str">
        <f>"－"</f>
        <v>－</v>
      </c>
      <c r="P100" s="27" t="str">
        <f>"－"</f>
        <v>－</v>
      </c>
      <c r="Q100" s="28" t="str">
        <f>"－"</f>
        <v>－</v>
      </c>
      <c r="R100" s="29" t="str">
        <f>"－"</f>
        <v>－</v>
      </c>
      <c r="S100" s="24"/>
      <c r="T100" s="25" t="str">
        <f>"－"</f>
        <v>－</v>
      </c>
      <c r="U100" s="23"/>
      <c r="V100" s="25" t="str">
        <f>"－"</f>
        <v>－</v>
      </c>
      <c r="W100" s="23"/>
      <c r="X100" s="26" t="str">
        <f>"－"</f>
        <v>－</v>
      </c>
      <c r="Y100" s="24"/>
      <c r="Z100" s="25" t="str">
        <f>"－"</f>
        <v>－</v>
      </c>
      <c r="AA100" s="23"/>
      <c r="AB100" s="25" t="str">
        <f>"－"</f>
        <v>－</v>
      </c>
      <c r="AC100" s="23"/>
      <c r="AD100" s="26" t="str">
        <f>"－"</f>
        <v>－</v>
      </c>
    </row>
    <row r="101">
      <c r="A101" s="30" t="s">
        <v>32</v>
      </c>
      <c r="B101" s="22" t="s">
        <v>63</v>
      </c>
      <c r="C101" s="22" t="s">
        <v>64</v>
      </c>
      <c r="D101" s="24"/>
      <c r="E101" s="25" t="str">
        <f>"－"</f>
        <v>－</v>
      </c>
      <c r="F101" s="23"/>
      <c r="G101" s="25" t="str">
        <f>"－"</f>
        <v>－</v>
      </c>
      <c r="H101" s="23"/>
      <c r="I101" s="26" t="str">
        <f>"－"</f>
        <v>－</v>
      </c>
      <c r="J101" s="24"/>
      <c r="K101" s="25" t="str">
        <f>"－"</f>
        <v>－</v>
      </c>
      <c r="L101" s="23"/>
      <c r="M101" s="25" t="str">
        <f>"－"</f>
        <v>－</v>
      </c>
      <c r="N101" s="23"/>
      <c r="O101" s="26" t="str">
        <f>"－"</f>
        <v>－</v>
      </c>
      <c r="P101" s="27" t="str">
        <f>"－"</f>
        <v>－</v>
      </c>
      <c r="Q101" s="28" t="str">
        <f>"－"</f>
        <v>－</v>
      </c>
      <c r="R101" s="29" t="str">
        <f>"－"</f>
        <v>－</v>
      </c>
      <c r="S101" s="24"/>
      <c r="T101" s="25" t="str">
        <f>"－"</f>
        <v>－</v>
      </c>
      <c r="U101" s="23"/>
      <c r="V101" s="25" t="str">
        <f>"－"</f>
        <v>－</v>
      </c>
      <c r="W101" s="23"/>
      <c r="X101" s="26" t="str">
        <f>"－"</f>
        <v>－</v>
      </c>
      <c r="Y101" s="24"/>
      <c r="Z101" s="25" t="str">
        <f>"－"</f>
        <v>－</v>
      </c>
      <c r="AA101" s="23"/>
      <c r="AB101" s="25" t="str">
        <f>"－"</f>
        <v>－</v>
      </c>
      <c r="AC101" s="23"/>
      <c r="AD101" s="26" t="str">
        <f>"－"</f>
        <v>－</v>
      </c>
    </row>
    <row r="102">
      <c r="A102" s="30" t="s">
        <v>33</v>
      </c>
      <c r="B102" s="22" t="s">
        <v>63</v>
      </c>
      <c r="C102" s="22" t="s">
        <v>64</v>
      </c>
      <c r="D102" s="24"/>
      <c r="E102" s="25" t="str">
        <f>"－"</f>
        <v>－</v>
      </c>
      <c r="F102" s="23"/>
      <c r="G102" s="25" t="str">
        <f>"－"</f>
        <v>－</v>
      </c>
      <c r="H102" s="23"/>
      <c r="I102" s="26" t="str">
        <f>"－"</f>
        <v>－</v>
      </c>
      <c r="J102" s="24"/>
      <c r="K102" s="25" t="str">
        <f>"－"</f>
        <v>－</v>
      </c>
      <c r="L102" s="23"/>
      <c r="M102" s="25" t="str">
        <f>"－"</f>
        <v>－</v>
      </c>
      <c r="N102" s="23"/>
      <c r="O102" s="26" t="str">
        <f>"－"</f>
        <v>－</v>
      </c>
      <c r="P102" s="27" t="str">
        <f>"－"</f>
        <v>－</v>
      </c>
      <c r="Q102" s="28" t="str">
        <f>"－"</f>
        <v>－</v>
      </c>
      <c r="R102" s="29" t="str">
        <f>"－"</f>
        <v>－</v>
      </c>
      <c r="S102" s="24"/>
      <c r="T102" s="25" t="str">
        <f>"－"</f>
        <v>－</v>
      </c>
      <c r="U102" s="23"/>
      <c r="V102" s="25" t="str">
        <f>"－"</f>
        <v>－</v>
      </c>
      <c r="W102" s="23"/>
      <c r="X102" s="26" t="str">
        <f>"－"</f>
        <v>－</v>
      </c>
      <c r="Y102" s="24"/>
      <c r="Z102" s="25" t="str">
        <f>"－"</f>
        <v>－</v>
      </c>
      <c r="AA102" s="23"/>
      <c r="AB102" s="25" t="str">
        <f>"－"</f>
        <v>－</v>
      </c>
      <c r="AC102" s="23"/>
      <c r="AD102" s="26" t="str">
        <f>"－"</f>
        <v>－</v>
      </c>
    </row>
    <row r="103">
      <c r="A103" s="30" t="s">
        <v>35</v>
      </c>
      <c r="B103" s="22" t="s">
        <v>63</v>
      </c>
      <c r="C103" s="22" t="s">
        <v>64</v>
      </c>
      <c r="D103" s="24"/>
      <c r="E103" s="25" t="str">
        <f>"－"</f>
        <v>－</v>
      </c>
      <c r="F103" s="23"/>
      <c r="G103" s="25" t="str">
        <f>"－"</f>
        <v>－</v>
      </c>
      <c r="H103" s="23"/>
      <c r="I103" s="26" t="str">
        <f>"－"</f>
        <v>－</v>
      </c>
      <c r="J103" s="24"/>
      <c r="K103" s="25" t="str">
        <f>"－"</f>
        <v>－</v>
      </c>
      <c r="L103" s="23"/>
      <c r="M103" s="25" t="str">
        <f>"－"</f>
        <v>－</v>
      </c>
      <c r="N103" s="23"/>
      <c r="O103" s="26" t="str">
        <f>"－"</f>
        <v>－</v>
      </c>
      <c r="P103" s="27" t="str">
        <f>"－"</f>
        <v>－</v>
      </c>
      <c r="Q103" s="28" t="str">
        <f>"－"</f>
        <v>－</v>
      </c>
      <c r="R103" s="29" t="str">
        <f>"－"</f>
        <v>－</v>
      </c>
      <c r="S103" s="24"/>
      <c r="T103" s="25" t="str">
        <f>"－"</f>
        <v>－</v>
      </c>
      <c r="U103" s="23"/>
      <c r="V103" s="25" t="str">
        <f>"－"</f>
        <v>－</v>
      </c>
      <c r="W103" s="23"/>
      <c r="X103" s="26" t="str">
        <f>"－"</f>
        <v>－</v>
      </c>
      <c r="Y103" s="24"/>
      <c r="Z103" s="25" t="str">
        <f>"－"</f>
        <v>－</v>
      </c>
      <c r="AA103" s="23"/>
      <c r="AB103" s="25" t="str">
        <f>"－"</f>
        <v>－</v>
      </c>
      <c r="AC103" s="23"/>
      <c r="AD103" s="26" t="str">
        <f>"－"</f>
        <v>－</v>
      </c>
    </row>
    <row r="104">
      <c r="A104" s="30" t="s">
        <v>36</v>
      </c>
      <c r="B104" s="22" t="s">
        <v>63</v>
      </c>
      <c r="C104" s="22" t="s">
        <v>64</v>
      </c>
      <c r="D104" s="24"/>
      <c r="E104" s="25"/>
      <c r="F104" s="23"/>
      <c r="G104" s="25"/>
      <c r="H104" s="23"/>
      <c r="I104" s="26"/>
      <c r="J104" s="24"/>
      <c r="K104" s="25"/>
      <c r="L104" s="23"/>
      <c r="M104" s="25"/>
      <c r="N104" s="23"/>
      <c r="O104" s="26"/>
      <c r="P104" s="27"/>
      <c r="Q104" s="28"/>
      <c r="R104" s="29"/>
      <c r="S104" s="24"/>
      <c r="T104" s="25"/>
      <c r="U104" s="23"/>
      <c r="V104" s="25"/>
      <c r="W104" s="23"/>
      <c r="X104" s="26"/>
      <c r="Y104" s="24"/>
      <c r="Z104" s="25"/>
      <c r="AA104" s="23"/>
      <c r="AB104" s="25"/>
      <c r="AC104" s="23"/>
      <c r="AD104" s="26"/>
    </row>
    <row r="105">
      <c r="A105" s="30" t="s">
        <v>37</v>
      </c>
      <c r="B105" s="22" t="s">
        <v>63</v>
      </c>
      <c r="C105" s="22" t="s">
        <v>64</v>
      </c>
      <c r="D105" s="24"/>
      <c r="E105" s="25"/>
      <c r="F105" s="23"/>
      <c r="G105" s="25"/>
      <c r="H105" s="23"/>
      <c r="I105" s="26"/>
      <c r="J105" s="24"/>
      <c r="K105" s="25"/>
      <c r="L105" s="23"/>
      <c r="M105" s="25"/>
      <c r="N105" s="23"/>
      <c r="O105" s="26"/>
      <c r="P105" s="27"/>
      <c r="Q105" s="28"/>
      <c r="R105" s="29"/>
      <c r="S105" s="24"/>
      <c r="T105" s="25"/>
      <c r="U105" s="23"/>
      <c r="V105" s="25"/>
      <c r="W105" s="23"/>
      <c r="X105" s="26"/>
      <c r="Y105" s="24"/>
      <c r="Z105" s="25"/>
      <c r="AA105" s="23"/>
      <c r="AB105" s="25"/>
      <c r="AC105" s="23"/>
      <c r="AD105" s="26"/>
    </row>
    <row r="106">
      <c r="A106" s="30" t="s">
        <v>38</v>
      </c>
      <c r="B106" s="22" t="s">
        <v>63</v>
      </c>
      <c r="C106" s="22" t="s">
        <v>64</v>
      </c>
      <c r="D106" s="24"/>
      <c r="E106" s="25" t="str">
        <f>"－"</f>
        <v>－</v>
      </c>
      <c r="F106" s="23"/>
      <c r="G106" s="25" t="str">
        <f>"－"</f>
        <v>－</v>
      </c>
      <c r="H106" s="23"/>
      <c r="I106" s="26" t="str">
        <f>"－"</f>
        <v>－</v>
      </c>
      <c r="J106" s="24"/>
      <c r="K106" s="25" t="str">
        <f>"－"</f>
        <v>－</v>
      </c>
      <c r="L106" s="23"/>
      <c r="M106" s="25" t="str">
        <f>"－"</f>
        <v>－</v>
      </c>
      <c r="N106" s="23"/>
      <c r="O106" s="26" t="str">
        <f>"－"</f>
        <v>－</v>
      </c>
      <c r="P106" s="27" t="str">
        <f>"－"</f>
        <v>－</v>
      </c>
      <c r="Q106" s="28" t="str">
        <f>"－"</f>
        <v>－</v>
      </c>
      <c r="R106" s="29" t="str">
        <f>"－"</f>
        <v>－</v>
      </c>
      <c r="S106" s="24"/>
      <c r="T106" s="25" t="str">
        <f>"－"</f>
        <v>－</v>
      </c>
      <c r="U106" s="23"/>
      <c r="V106" s="25" t="str">
        <f>"－"</f>
        <v>－</v>
      </c>
      <c r="W106" s="23"/>
      <c r="X106" s="26" t="str">
        <f>"－"</f>
        <v>－</v>
      </c>
      <c r="Y106" s="24"/>
      <c r="Z106" s="25" t="str">
        <f>"－"</f>
        <v>－</v>
      </c>
      <c r="AA106" s="23"/>
      <c r="AB106" s="25" t="str">
        <f>"－"</f>
        <v>－</v>
      </c>
      <c r="AC106" s="23"/>
      <c r="AD106" s="26" t="str">
        <f>"－"</f>
        <v>－</v>
      </c>
    </row>
    <row r="107">
      <c r="A107" s="30" t="s">
        <v>40</v>
      </c>
      <c r="B107" s="22" t="s">
        <v>63</v>
      </c>
      <c r="C107" s="22" t="s">
        <v>64</v>
      </c>
      <c r="D107" s="24"/>
      <c r="E107" s="25"/>
      <c r="F107" s="23"/>
      <c r="G107" s="25"/>
      <c r="H107" s="23"/>
      <c r="I107" s="26"/>
      <c r="J107" s="24"/>
      <c r="K107" s="25"/>
      <c r="L107" s="23"/>
      <c r="M107" s="25"/>
      <c r="N107" s="23"/>
      <c r="O107" s="26"/>
      <c r="P107" s="27"/>
      <c r="Q107" s="28"/>
      <c r="R107" s="29"/>
      <c r="S107" s="24"/>
      <c r="T107" s="25"/>
      <c r="U107" s="23"/>
      <c r="V107" s="25"/>
      <c r="W107" s="23"/>
      <c r="X107" s="26"/>
      <c r="Y107" s="24"/>
      <c r="Z107" s="25"/>
      <c r="AA107" s="23"/>
      <c r="AB107" s="25"/>
      <c r="AC107" s="23"/>
      <c r="AD107" s="26"/>
    </row>
    <row r="108">
      <c r="A108" s="30" t="s">
        <v>41</v>
      </c>
      <c r="B108" s="22" t="s">
        <v>63</v>
      </c>
      <c r="C108" s="22" t="s">
        <v>64</v>
      </c>
      <c r="D108" s="24"/>
      <c r="E108" s="25" t="str">
        <f>"－"</f>
        <v>－</v>
      </c>
      <c r="F108" s="23"/>
      <c r="G108" s="25" t="str">
        <f>"－"</f>
        <v>－</v>
      </c>
      <c r="H108" s="23"/>
      <c r="I108" s="26" t="str">
        <f>"－"</f>
        <v>－</v>
      </c>
      <c r="J108" s="24"/>
      <c r="K108" s="25" t="str">
        <f>"－"</f>
        <v>－</v>
      </c>
      <c r="L108" s="23"/>
      <c r="M108" s="25" t="str">
        <f>"－"</f>
        <v>－</v>
      </c>
      <c r="N108" s="23"/>
      <c r="O108" s="26" t="str">
        <f>"－"</f>
        <v>－</v>
      </c>
      <c r="P108" s="27" t="str">
        <f>"－"</f>
        <v>－</v>
      </c>
      <c r="Q108" s="28" t="str">
        <f>"－"</f>
        <v>－</v>
      </c>
      <c r="R108" s="29" t="str">
        <f>"－"</f>
        <v>－</v>
      </c>
      <c r="S108" s="24"/>
      <c r="T108" s="25" t="str">
        <f>"－"</f>
        <v>－</v>
      </c>
      <c r="U108" s="23"/>
      <c r="V108" s="25" t="str">
        <f>"－"</f>
        <v>－</v>
      </c>
      <c r="W108" s="23"/>
      <c r="X108" s="26" t="str">
        <f>"－"</f>
        <v>－</v>
      </c>
      <c r="Y108" s="24"/>
      <c r="Z108" s="25" t="str">
        <f>"－"</f>
        <v>－</v>
      </c>
      <c r="AA108" s="23"/>
      <c r="AB108" s="25" t="str">
        <f>"－"</f>
        <v>－</v>
      </c>
      <c r="AC108" s="23"/>
      <c r="AD108" s="26" t="str">
        <f>"－"</f>
        <v>－</v>
      </c>
    </row>
    <row r="109">
      <c r="A109" s="30" t="s">
        <v>42</v>
      </c>
      <c r="B109" s="22" t="s">
        <v>63</v>
      </c>
      <c r="C109" s="22" t="s">
        <v>64</v>
      </c>
      <c r="D109" s="24"/>
      <c r="E109" s="25" t="str">
        <f>"－"</f>
        <v>－</v>
      </c>
      <c r="F109" s="23"/>
      <c r="G109" s="25" t="str">
        <f>"－"</f>
        <v>－</v>
      </c>
      <c r="H109" s="23"/>
      <c r="I109" s="26" t="str">
        <f>"－"</f>
        <v>－</v>
      </c>
      <c r="J109" s="24"/>
      <c r="K109" s="25" t="str">
        <f>"－"</f>
        <v>－</v>
      </c>
      <c r="L109" s="23"/>
      <c r="M109" s="25" t="str">
        <f>"－"</f>
        <v>－</v>
      </c>
      <c r="N109" s="23"/>
      <c r="O109" s="26" t="str">
        <f>"－"</f>
        <v>－</v>
      </c>
      <c r="P109" s="27" t="str">
        <f>"－"</f>
        <v>－</v>
      </c>
      <c r="Q109" s="28" t="str">
        <f>"－"</f>
        <v>－</v>
      </c>
      <c r="R109" s="29" t="str">
        <f>"－"</f>
        <v>－</v>
      </c>
      <c r="S109" s="24"/>
      <c r="T109" s="25" t="str">
        <f>"－"</f>
        <v>－</v>
      </c>
      <c r="U109" s="23"/>
      <c r="V109" s="25" t="str">
        <f>"－"</f>
        <v>－</v>
      </c>
      <c r="W109" s="23"/>
      <c r="X109" s="26" t="str">
        <f>"－"</f>
        <v>－</v>
      </c>
      <c r="Y109" s="24"/>
      <c r="Z109" s="25" t="str">
        <f>"－"</f>
        <v>－</v>
      </c>
      <c r="AA109" s="23"/>
      <c r="AB109" s="25" t="str">
        <f>"－"</f>
        <v>－</v>
      </c>
      <c r="AC109" s="23"/>
      <c r="AD109" s="26" t="str">
        <f>"－"</f>
        <v>－</v>
      </c>
    </row>
    <row r="110">
      <c r="A110" s="30" t="s">
        <v>43</v>
      </c>
      <c r="B110" s="22" t="s">
        <v>63</v>
      </c>
      <c r="C110" s="22" t="s">
        <v>64</v>
      </c>
      <c r="D110" s="24"/>
      <c r="E110" s="25" t="str">
        <f>"－"</f>
        <v>－</v>
      </c>
      <c r="F110" s="23"/>
      <c r="G110" s="25" t="str">
        <f>"－"</f>
        <v>－</v>
      </c>
      <c r="H110" s="23"/>
      <c r="I110" s="26" t="str">
        <f>"－"</f>
        <v>－</v>
      </c>
      <c r="J110" s="24"/>
      <c r="K110" s="25" t="str">
        <f>"－"</f>
        <v>－</v>
      </c>
      <c r="L110" s="23"/>
      <c r="M110" s="25" t="str">
        <f>"－"</f>
        <v>－</v>
      </c>
      <c r="N110" s="23"/>
      <c r="O110" s="26" t="str">
        <f>"－"</f>
        <v>－</v>
      </c>
      <c r="P110" s="27" t="str">
        <f>"－"</f>
        <v>－</v>
      </c>
      <c r="Q110" s="28" t="str">
        <f>"－"</f>
        <v>－</v>
      </c>
      <c r="R110" s="29" t="str">
        <f>"－"</f>
        <v>－</v>
      </c>
      <c r="S110" s="24"/>
      <c r="T110" s="25" t="str">
        <f>"－"</f>
        <v>－</v>
      </c>
      <c r="U110" s="23"/>
      <c r="V110" s="25" t="str">
        <f>"－"</f>
        <v>－</v>
      </c>
      <c r="W110" s="23"/>
      <c r="X110" s="26" t="str">
        <f>"－"</f>
        <v>－</v>
      </c>
      <c r="Y110" s="24"/>
      <c r="Z110" s="25" t="str">
        <f>"－"</f>
        <v>－</v>
      </c>
      <c r="AA110" s="23"/>
      <c r="AB110" s="25" t="str">
        <f>"－"</f>
        <v>－</v>
      </c>
      <c r="AC110" s="23"/>
      <c r="AD110" s="26" t="str">
        <f>"－"</f>
        <v>－</v>
      </c>
    </row>
    <row r="111">
      <c r="A111" s="30" t="s">
        <v>44</v>
      </c>
      <c r="B111" s="22" t="s">
        <v>63</v>
      </c>
      <c r="C111" s="22" t="s">
        <v>64</v>
      </c>
      <c r="D111" s="24"/>
      <c r="E111" s="25"/>
      <c r="F111" s="23"/>
      <c r="G111" s="25"/>
      <c r="H111" s="23"/>
      <c r="I111" s="26"/>
      <c r="J111" s="24"/>
      <c r="K111" s="25"/>
      <c r="L111" s="23"/>
      <c r="M111" s="25"/>
      <c r="N111" s="23"/>
      <c r="O111" s="26"/>
      <c r="P111" s="27"/>
      <c r="Q111" s="28"/>
      <c r="R111" s="29"/>
      <c r="S111" s="24"/>
      <c r="T111" s="25"/>
      <c r="U111" s="23"/>
      <c r="V111" s="25"/>
      <c r="W111" s="23"/>
      <c r="X111" s="26"/>
      <c r="Y111" s="24"/>
      <c r="Z111" s="25"/>
      <c r="AA111" s="23"/>
      <c r="AB111" s="25"/>
      <c r="AC111" s="23"/>
      <c r="AD111" s="26"/>
    </row>
    <row r="112">
      <c r="A112" s="30" t="s">
        <v>45</v>
      </c>
      <c r="B112" s="22" t="s">
        <v>63</v>
      </c>
      <c r="C112" s="22" t="s">
        <v>64</v>
      </c>
      <c r="D112" s="24"/>
      <c r="E112" s="25"/>
      <c r="F112" s="23"/>
      <c r="G112" s="25"/>
      <c r="H112" s="23"/>
      <c r="I112" s="26"/>
      <c r="J112" s="24"/>
      <c r="K112" s="25"/>
      <c r="L112" s="23"/>
      <c r="M112" s="25"/>
      <c r="N112" s="23"/>
      <c r="O112" s="26"/>
      <c r="P112" s="27"/>
      <c r="Q112" s="28"/>
      <c r="R112" s="29"/>
      <c r="S112" s="24"/>
      <c r="T112" s="25"/>
      <c r="U112" s="23"/>
      <c r="V112" s="25"/>
      <c r="W112" s="23"/>
      <c r="X112" s="26"/>
      <c r="Y112" s="24"/>
      <c r="Z112" s="25"/>
      <c r="AA112" s="23"/>
      <c r="AB112" s="25"/>
      <c r="AC112" s="23"/>
      <c r="AD112" s="26"/>
    </row>
    <row r="113">
      <c r="A113" s="30" t="s">
        <v>46</v>
      </c>
      <c r="B113" s="22" t="s">
        <v>63</v>
      </c>
      <c r="C113" s="22" t="s">
        <v>64</v>
      </c>
      <c r="D113" s="24"/>
      <c r="E113" s="25" t="str">
        <f>"－"</f>
        <v>－</v>
      </c>
      <c r="F113" s="23"/>
      <c r="G113" s="25" t="str">
        <f>"－"</f>
        <v>－</v>
      </c>
      <c r="H113" s="23"/>
      <c r="I113" s="26" t="str">
        <f>"－"</f>
        <v>－</v>
      </c>
      <c r="J113" s="24"/>
      <c r="K113" s="25" t="str">
        <f>"－"</f>
        <v>－</v>
      </c>
      <c r="L113" s="23"/>
      <c r="M113" s="25" t="str">
        <f>"－"</f>
        <v>－</v>
      </c>
      <c r="N113" s="23"/>
      <c r="O113" s="26" t="str">
        <f>"－"</f>
        <v>－</v>
      </c>
      <c r="P113" s="27" t="str">
        <f>"－"</f>
        <v>－</v>
      </c>
      <c r="Q113" s="28" t="str">
        <f>"－"</f>
        <v>－</v>
      </c>
      <c r="R113" s="29" t="str">
        <f>"－"</f>
        <v>－</v>
      </c>
      <c r="S113" s="24"/>
      <c r="T113" s="25" t="str">
        <f>"－"</f>
        <v>－</v>
      </c>
      <c r="U113" s="23"/>
      <c r="V113" s="25" t="str">
        <f>"－"</f>
        <v>－</v>
      </c>
      <c r="W113" s="23"/>
      <c r="X113" s="26" t="str">
        <f>"－"</f>
        <v>－</v>
      </c>
      <c r="Y113" s="24"/>
      <c r="Z113" s="25" t="str">
        <f>"－"</f>
        <v>－</v>
      </c>
      <c r="AA113" s="23"/>
      <c r="AB113" s="25" t="str">
        <f>"－"</f>
        <v>－</v>
      </c>
      <c r="AC113" s="23"/>
      <c r="AD113" s="26" t="str">
        <f>"－"</f>
        <v>－</v>
      </c>
    </row>
    <row r="114">
      <c r="A114" s="30" t="s">
        <v>47</v>
      </c>
      <c r="B114" s="22" t="s">
        <v>63</v>
      </c>
      <c r="C114" s="22" t="s">
        <v>64</v>
      </c>
      <c r="D114" s="24"/>
      <c r="E114" s="25" t="str">
        <f>"－"</f>
        <v>－</v>
      </c>
      <c r="F114" s="23"/>
      <c r="G114" s="25" t="str">
        <f>"－"</f>
        <v>－</v>
      </c>
      <c r="H114" s="23"/>
      <c r="I114" s="26" t="str">
        <f>"－"</f>
        <v>－</v>
      </c>
      <c r="J114" s="24"/>
      <c r="K114" s="25" t="str">
        <f>"－"</f>
        <v>－</v>
      </c>
      <c r="L114" s="23"/>
      <c r="M114" s="25" t="str">
        <f>"－"</f>
        <v>－</v>
      </c>
      <c r="N114" s="23"/>
      <c r="O114" s="26" t="str">
        <f>"－"</f>
        <v>－</v>
      </c>
      <c r="P114" s="27" t="str">
        <f>"－"</f>
        <v>－</v>
      </c>
      <c r="Q114" s="28" t="str">
        <f>"－"</f>
        <v>－</v>
      </c>
      <c r="R114" s="29" t="str">
        <f>"－"</f>
        <v>－</v>
      </c>
      <c r="S114" s="24"/>
      <c r="T114" s="25" t="str">
        <f>"－"</f>
        <v>－</v>
      </c>
      <c r="U114" s="23"/>
      <c r="V114" s="25" t="str">
        <f>"－"</f>
        <v>－</v>
      </c>
      <c r="W114" s="23"/>
      <c r="X114" s="26" t="str">
        <f>"－"</f>
        <v>－</v>
      </c>
      <c r="Y114" s="24"/>
      <c r="Z114" s="25" t="str">
        <f>"－"</f>
        <v>－</v>
      </c>
      <c r="AA114" s="23"/>
      <c r="AB114" s="25" t="str">
        <f>"－"</f>
        <v>－</v>
      </c>
      <c r="AC114" s="23"/>
      <c r="AD114" s="26" t="str">
        <f>"－"</f>
        <v>－</v>
      </c>
    </row>
    <row r="115">
      <c r="A115" s="30" t="s">
        <v>48</v>
      </c>
      <c r="B115" s="22" t="s">
        <v>63</v>
      </c>
      <c r="C115" s="22" t="s">
        <v>64</v>
      </c>
      <c r="D115" s="24"/>
      <c r="E115" s="25" t="str">
        <f>"－"</f>
        <v>－</v>
      </c>
      <c r="F115" s="23"/>
      <c r="G115" s="25" t="str">
        <f>"－"</f>
        <v>－</v>
      </c>
      <c r="H115" s="23"/>
      <c r="I115" s="26" t="str">
        <f>"－"</f>
        <v>－</v>
      </c>
      <c r="J115" s="24"/>
      <c r="K115" s="25" t="str">
        <f>"－"</f>
        <v>－</v>
      </c>
      <c r="L115" s="23"/>
      <c r="M115" s="25" t="str">
        <f>"－"</f>
        <v>－</v>
      </c>
      <c r="N115" s="23"/>
      <c r="O115" s="26" t="str">
        <f>"－"</f>
        <v>－</v>
      </c>
      <c r="P115" s="27" t="str">
        <f>"－"</f>
        <v>－</v>
      </c>
      <c r="Q115" s="28" t="str">
        <f>"－"</f>
        <v>－</v>
      </c>
      <c r="R115" s="29" t="str">
        <f>"－"</f>
        <v>－</v>
      </c>
      <c r="S115" s="24"/>
      <c r="T115" s="25" t="str">
        <f>"－"</f>
        <v>－</v>
      </c>
      <c r="U115" s="23"/>
      <c r="V115" s="25" t="str">
        <f>"－"</f>
        <v>－</v>
      </c>
      <c r="W115" s="23"/>
      <c r="X115" s="26" t="str">
        <f>"－"</f>
        <v>－</v>
      </c>
      <c r="Y115" s="24"/>
      <c r="Z115" s="25" t="str">
        <f>"－"</f>
        <v>－</v>
      </c>
      <c r="AA115" s="23"/>
      <c r="AB115" s="25" t="str">
        <f>"－"</f>
        <v>－</v>
      </c>
      <c r="AC115" s="23"/>
      <c r="AD115" s="26" t="str">
        <f>"－"</f>
        <v>－</v>
      </c>
    </row>
    <row r="116">
      <c r="A116" s="30" t="s">
        <v>49</v>
      </c>
      <c r="B116" s="22" t="s">
        <v>63</v>
      </c>
      <c r="C116" s="22" t="s">
        <v>64</v>
      </c>
      <c r="D116" s="24"/>
      <c r="E116" s="25" t="str">
        <f>"－"</f>
        <v>－</v>
      </c>
      <c r="F116" s="23"/>
      <c r="G116" s="25" t="str">
        <f>"－"</f>
        <v>－</v>
      </c>
      <c r="H116" s="23"/>
      <c r="I116" s="26" t="str">
        <f>"－"</f>
        <v>－</v>
      </c>
      <c r="J116" s="24"/>
      <c r="K116" s="25" t="str">
        <f>"－"</f>
        <v>－</v>
      </c>
      <c r="L116" s="23"/>
      <c r="M116" s="25" t="str">
        <f>"－"</f>
        <v>－</v>
      </c>
      <c r="N116" s="23"/>
      <c r="O116" s="26" t="str">
        <f>"－"</f>
        <v>－</v>
      </c>
      <c r="P116" s="27" t="str">
        <f>"－"</f>
        <v>－</v>
      </c>
      <c r="Q116" s="28" t="str">
        <f>"－"</f>
        <v>－</v>
      </c>
      <c r="R116" s="29" t="str">
        <f>"－"</f>
        <v>－</v>
      </c>
      <c r="S116" s="24"/>
      <c r="T116" s="25" t="str">
        <f>"－"</f>
        <v>－</v>
      </c>
      <c r="U116" s="23"/>
      <c r="V116" s="25" t="str">
        <f>"－"</f>
        <v>－</v>
      </c>
      <c r="W116" s="23"/>
      <c r="X116" s="26" t="str">
        <f>"－"</f>
        <v>－</v>
      </c>
      <c r="Y116" s="24"/>
      <c r="Z116" s="25" t="str">
        <f>"－"</f>
        <v>－</v>
      </c>
      <c r="AA116" s="23"/>
      <c r="AB116" s="25" t="str">
        <f>"－"</f>
        <v>－</v>
      </c>
      <c r="AC116" s="23"/>
      <c r="AD116" s="26" t="str">
        <f>"－"</f>
        <v>－</v>
      </c>
    </row>
    <row r="117">
      <c r="A117" s="30" t="s">
        <v>50</v>
      </c>
      <c r="B117" s="22" t="s">
        <v>63</v>
      </c>
      <c r="C117" s="22" t="s">
        <v>64</v>
      </c>
      <c r="D117" s="24"/>
      <c r="E117" s="25" t="str">
        <f>"－"</f>
        <v>－</v>
      </c>
      <c r="F117" s="23"/>
      <c r="G117" s="25" t="str">
        <f>"－"</f>
        <v>－</v>
      </c>
      <c r="H117" s="23"/>
      <c r="I117" s="26" t="str">
        <f>"－"</f>
        <v>－</v>
      </c>
      <c r="J117" s="24"/>
      <c r="K117" s="25" t="str">
        <f>"－"</f>
        <v>－</v>
      </c>
      <c r="L117" s="23"/>
      <c r="M117" s="25" t="str">
        <f>"－"</f>
        <v>－</v>
      </c>
      <c r="N117" s="23"/>
      <c r="O117" s="26" t="str">
        <f>"－"</f>
        <v>－</v>
      </c>
      <c r="P117" s="27" t="str">
        <f>"－"</f>
        <v>－</v>
      </c>
      <c r="Q117" s="28" t="str">
        <f>"－"</f>
        <v>－</v>
      </c>
      <c r="R117" s="29" t="str">
        <f>"－"</f>
        <v>－</v>
      </c>
      <c r="S117" s="24"/>
      <c r="T117" s="25" t="str">
        <f>"－"</f>
        <v>－</v>
      </c>
      <c r="U117" s="23"/>
      <c r="V117" s="25" t="str">
        <f>"－"</f>
        <v>－</v>
      </c>
      <c r="W117" s="23"/>
      <c r="X117" s="26" t="str">
        <f>"－"</f>
        <v>－</v>
      </c>
      <c r="Y117" s="24"/>
      <c r="Z117" s="25" t="str">
        <f>"－"</f>
        <v>－</v>
      </c>
      <c r="AA117" s="23"/>
      <c r="AB117" s="25" t="str">
        <f>"－"</f>
        <v>－</v>
      </c>
      <c r="AC117" s="23"/>
      <c r="AD117" s="26" t="str">
        <f>"－"</f>
        <v>－</v>
      </c>
    </row>
    <row r="118">
      <c r="A118" s="30" t="s">
        <v>51</v>
      </c>
      <c r="B118" s="22" t="s">
        <v>63</v>
      </c>
      <c r="C118" s="22" t="s">
        <v>64</v>
      </c>
      <c r="D118" s="24"/>
      <c r="E118" s="25"/>
      <c r="F118" s="23"/>
      <c r="G118" s="25"/>
      <c r="H118" s="23"/>
      <c r="I118" s="26"/>
      <c r="J118" s="24"/>
      <c r="K118" s="25"/>
      <c r="L118" s="23"/>
      <c r="M118" s="25"/>
      <c r="N118" s="23"/>
      <c r="O118" s="26"/>
      <c r="P118" s="27"/>
      <c r="Q118" s="28"/>
      <c r="R118" s="29"/>
      <c r="S118" s="24"/>
      <c r="T118" s="25"/>
      <c r="U118" s="23"/>
      <c r="V118" s="25"/>
      <c r="W118" s="23"/>
      <c r="X118" s="26"/>
      <c r="Y118" s="24"/>
      <c r="Z118" s="25"/>
      <c r="AA118" s="23"/>
      <c r="AB118" s="25"/>
      <c r="AC118" s="23"/>
      <c r="AD118" s="26"/>
    </row>
    <row r="119">
      <c r="A119" s="30" t="s">
        <v>52</v>
      </c>
      <c r="B119" s="22" t="s">
        <v>63</v>
      </c>
      <c r="C119" s="22" t="s">
        <v>64</v>
      </c>
      <c r="D119" s="24"/>
      <c r="E119" s="25"/>
      <c r="F119" s="23"/>
      <c r="G119" s="25"/>
      <c r="H119" s="23"/>
      <c r="I119" s="26"/>
      <c r="J119" s="24"/>
      <c r="K119" s="25"/>
      <c r="L119" s="23"/>
      <c r="M119" s="25"/>
      <c r="N119" s="23"/>
      <c r="O119" s="26"/>
      <c r="P119" s="27"/>
      <c r="Q119" s="28"/>
      <c r="R119" s="29"/>
      <c r="S119" s="24"/>
      <c r="T119" s="25"/>
      <c r="U119" s="23"/>
      <c r="V119" s="25"/>
      <c r="W119" s="23"/>
      <c r="X119" s="26"/>
      <c r="Y119" s="24"/>
      <c r="Z119" s="25"/>
      <c r="AA119" s="23"/>
      <c r="AB119" s="25"/>
      <c r="AC119" s="23"/>
      <c r="AD119" s="26"/>
    </row>
    <row r="120">
      <c r="A120" s="30" t="s">
        <v>53</v>
      </c>
      <c r="B120" s="22" t="s">
        <v>63</v>
      </c>
      <c r="C120" s="22" t="s">
        <v>64</v>
      </c>
      <c r="D120" s="24"/>
      <c r="E120" s="25"/>
      <c r="F120" s="23"/>
      <c r="G120" s="25"/>
      <c r="H120" s="23"/>
      <c r="I120" s="26"/>
      <c r="J120" s="24"/>
      <c r="K120" s="25"/>
      <c r="L120" s="23"/>
      <c r="M120" s="25"/>
      <c r="N120" s="23"/>
      <c r="O120" s="26"/>
      <c r="P120" s="27"/>
      <c r="Q120" s="28"/>
      <c r="R120" s="29"/>
      <c r="S120" s="24"/>
      <c r="T120" s="25"/>
      <c r="U120" s="23"/>
      <c r="V120" s="25"/>
      <c r="W120" s="23"/>
      <c r="X120" s="26"/>
      <c r="Y120" s="24"/>
      <c r="Z120" s="25"/>
      <c r="AA120" s="23"/>
      <c r="AB120" s="25"/>
      <c r="AC120" s="23"/>
      <c r="AD120" s="26"/>
    </row>
    <row r="121">
      <c r="A121" s="30" t="s">
        <v>54</v>
      </c>
      <c r="B121" s="22" t="s">
        <v>63</v>
      </c>
      <c r="C121" s="22" t="s">
        <v>64</v>
      </c>
      <c r="D121" s="24"/>
      <c r="E121" s="25" t="str">
        <f>"－"</f>
        <v>－</v>
      </c>
      <c r="F121" s="23"/>
      <c r="G121" s="25" t="str">
        <f>"－"</f>
        <v>－</v>
      </c>
      <c r="H121" s="23"/>
      <c r="I121" s="26" t="str">
        <f>"－"</f>
        <v>－</v>
      </c>
      <c r="J121" s="24"/>
      <c r="K121" s="25" t="str">
        <f>"－"</f>
        <v>－</v>
      </c>
      <c r="L121" s="23"/>
      <c r="M121" s="25" t="str">
        <f>"－"</f>
        <v>－</v>
      </c>
      <c r="N121" s="23"/>
      <c r="O121" s="26" t="str">
        <f>"－"</f>
        <v>－</v>
      </c>
      <c r="P121" s="27" t="str">
        <f>"－"</f>
        <v>－</v>
      </c>
      <c r="Q121" s="28" t="str">
        <f>"－"</f>
        <v>－</v>
      </c>
      <c r="R121" s="29" t="str">
        <f>"－"</f>
        <v>－</v>
      </c>
      <c r="S121" s="24"/>
      <c r="T121" s="25" t="str">
        <f>"－"</f>
        <v>－</v>
      </c>
      <c r="U121" s="23"/>
      <c r="V121" s="25" t="str">
        <f>"－"</f>
        <v>－</v>
      </c>
      <c r="W121" s="23"/>
      <c r="X121" s="26" t="str">
        <f>"－"</f>
        <v>－</v>
      </c>
      <c r="Y121" s="24"/>
      <c r="Z121" s="25" t="str">
        <f>"－"</f>
        <v>－</v>
      </c>
      <c r="AA121" s="23"/>
      <c r="AB121" s="25" t="str">
        <f>"－"</f>
        <v>－</v>
      </c>
      <c r="AC121" s="23"/>
      <c r="AD121" s="26" t="str">
        <f>"－"</f>
        <v>－</v>
      </c>
    </row>
    <row r="122">
      <c r="A122" s="30" t="s">
        <v>55</v>
      </c>
      <c r="B122" s="22" t="s">
        <v>63</v>
      </c>
      <c r="C122" s="22" t="s">
        <v>64</v>
      </c>
      <c r="D122" s="24"/>
      <c r="E122" s="25" t="str">
        <f>"－"</f>
        <v>－</v>
      </c>
      <c r="F122" s="23"/>
      <c r="G122" s="25" t="str">
        <f>"－"</f>
        <v>－</v>
      </c>
      <c r="H122" s="23"/>
      <c r="I122" s="26" t="str">
        <f>"－"</f>
        <v>－</v>
      </c>
      <c r="J122" s="24"/>
      <c r="K122" s="25" t="str">
        <f>"－"</f>
        <v>－</v>
      </c>
      <c r="L122" s="23"/>
      <c r="M122" s="25" t="str">
        <f>"－"</f>
        <v>－</v>
      </c>
      <c r="N122" s="23"/>
      <c r="O122" s="26" t="str">
        <f>"－"</f>
        <v>－</v>
      </c>
      <c r="P122" s="27" t="str">
        <f>"－"</f>
        <v>－</v>
      </c>
      <c r="Q122" s="28" t="str">
        <f>"－"</f>
        <v>－</v>
      </c>
      <c r="R122" s="29" t="str">
        <f>"－"</f>
        <v>－</v>
      </c>
      <c r="S122" s="24"/>
      <c r="T122" s="25" t="str">
        <f>"－"</f>
        <v>－</v>
      </c>
      <c r="U122" s="23"/>
      <c r="V122" s="25" t="str">
        <f>"－"</f>
        <v>－</v>
      </c>
      <c r="W122" s="23"/>
      <c r="X122" s="26" t="str">
        <f>"－"</f>
        <v>－</v>
      </c>
      <c r="Y122" s="24"/>
      <c r="Z122" s="25" t="str">
        <f>"－"</f>
        <v>－</v>
      </c>
      <c r="AA122" s="23"/>
      <c r="AB122" s="25" t="str">
        <f>"－"</f>
        <v>－</v>
      </c>
      <c r="AC122" s="23"/>
      <c r="AD122" s="26" t="str">
        <f>"－"</f>
        <v>－</v>
      </c>
    </row>
    <row r="123">
      <c r="A123" s="30" t="s">
        <v>56</v>
      </c>
      <c r="B123" s="22" t="s">
        <v>63</v>
      </c>
      <c r="C123" s="22" t="s">
        <v>64</v>
      </c>
      <c r="D123" s="24"/>
      <c r="E123" s="25" t="str">
        <f>"－"</f>
        <v>－</v>
      </c>
      <c r="F123" s="23"/>
      <c r="G123" s="25" t="str">
        <f>"－"</f>
        <v>－</v>
      </c>
      <c r="H123" s="23"/>
      <c r="I123" s="26" t="str">
        <f>"－"</f>
        <v>－</v>
      </c>
      <c r="J123" s="24"/>
      <c r="K123" s="25" t="str">
        <f>"－"</f>
        <v>－</v>
      </c>
      <c r="L123" s="23"/>
      <c r="M123" s="25" t="str">
        <f>"－"</f>
        <v>－</v>
      </c>
      <c r="N123" s="23"/>
      <c r="O123" s="26" t="str">
        <f>"－"</f>
        <v>－</v>
      </c>
      <c r="P123" s="27" t="str">
        <f>"－"</f>
        <v>－</v>
      </c>
      <c r="Q123" s="28" t="str">
        <f>"－"</f>
        <v>－</v>
      </c>
      <c r="R123" s="29" t="str">
        <f>"－"</f>
        <v>－</v>
      </c>
      <c r="S123" s="24"/>
      <c r="T123" s="25" t="str">
        <f>"－"</f>
        <v>－</v>
      </c>
      <c r="U123" s="23"/>
      <c r="V123" s="25" t="str">
        <f>"－"</f>
        <v>－</v>
      </c>
      <c r="W123" s="23"/>
      <c r="X123" s="26" t="str">
        <f>"－"</f>
        <v>－</v>
      </c>
      <c r="Y123" s="24"/>
      <c r="Z123" s="25" t="str">
        <f>"－"</f>
        <v>－</v>
      </c>
      <c r="AA123" s="23"/>
      <c r="AB123" s="25" t="str">
        <f>"－"</f>
        <v>－</v>
      </c>
      <c r="AC123" s="23"/>
      <c r="AD123" s="26" t="str">
        <f>"－"</f>
        <v>－</v>
      </c>
    </row>
    <row r="124">
      <c r="A124" s="30" t="s">
        <v>57</v>
      </c>
      <c r="B124" s="22" t="s">
        <v>63</v>
      </c>
      <c r="C124" s="22" t="s">
        <v>64</v>
      </c>
      <c r="D124" s="24"/>
      <c r="E124" s="25" t="str">
        <f>"－"</f>
        <v>－</v>
      </c>
      <c r="F124" s="23"/>
      <c r="G124" s="25" t="str">
        <f>"－"</f>
        <v>－</v>
      </c>
      <c r="H124" s="23"/>
      <c r="I124" s="26" t="str">
        <f>"－"</f>
        <v>－</v>
      </c>
      <c r="J124" s="24"/>
      <c r="K124" s="25" t="str">
        <f>"－"</f>
        <v>－</v>
      </c>
      <c r="L124" s="23"/>
      <c r="M124" s="25" t="str">
        <f>"－"</f>
        <v>－</v>
      </c>
      <c r="N124" s="23"/>
      <c r="O124" s="26" t="str">
        <f>"－"</f>
        <v>－</v>
      </c>
      <c r="P124" s="27" t="str">
        <f>"－"</f>
        <v>－</v>
      </c>
      <c r="Q124" s="28" t="str">
        <f>"－"</f>
        <v>－</v>
      </c>
      <c r="R124" s="29" t="str">
        <f>"－"</f>
        <v>－</v>
      </c>
      <c r="S124" s="24"/>
      <c r="T124" s="25" t="str">
        <f>"－"</f>
        <v>－</v>
      </c>
      <c r="U124" s="23"/>
      <c r="V124" s="25" t="str">
        <f>"－"</f>
        <v>－</v>
      </c>
      <c r="W124" s="23"/>
      <c r="X124" s="26" t="str">
        <f>"－"</f>
        <v>－</v>
      </c>
      <c r="Y124" s="24"/>
      <c r="Z124" s="25" t="str">
        <f>"－"</f>
        <v>－</v>
      </c>
      <c r="AA124" s="23"/>
      <c r="AB124" s="25" t="str">
        <f>"－"</f>
        <v>－</v>
      </c>
      <c r="AC124" s="23"/>
      <c r="AD124" s="26" t="str">
        <f>"－"</f>
        <v>－</v>
      </c>
    </row>
    <row r="125">
      <c r="A125" s="30" t="s">
        <v>58</v>
      </c>
      <c r="B125" s="22" t="s">
        <v>63</v>
      </c>
      <c r="C125" s="22" t="s">
        <v>64</v>
      </c>
      <c r="D125" s="24"/>
      <c r="E125" s="25"/>
      <c r="F125" s="23"/>
      <c r="G125" s="25"/>
      <c r="H125" s="23"/>
      <c r="I125" s="26"/>
      <c r="J125" s="24"/>
      <c r="K125" s="25"/>
      <c r="L125" s="23"/>
      <c r="M125" s="25"/>
      <c r="N125" s="23"/>
      <c r="O125" s="26"/>
      <c r="P125" s="27"/>
      <c r="Q125" s="28"/>
      <c r="R125" s="29"/>
      <c r="S125" s="24"/>
      <c r="T125" s="25"/>
      <c r="U125" s="23"/>
      <c r="V125" s="25"/>
      <c r="W125" s="23"/>
      <c r="X125" s="26"/>
      <c r="Y125" s="24"/>
      <c r="Z125" s="25"/>
      <c r="AA125" s="23"/>
      <c r="AB125" s="25"/>
      <c r="AC125" s="23"/>
      <c r="AD125" s="26"/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BO_DM0032</vt:lpstr>
      <vt:lpstr>BO_DM0032!Print_Titles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2018-09-03T00:18:24Z</dcterms:created>
  <cp:lastPrinted>2018-09-03T04:46:34Z</cp:lastPrinted>
  <dcterms:modified xsi:type="dcterms:W3CDTF">2019-03-19T11:56:46Z</dcterms:modified>
</cp:coreProperties>
</file>