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<sst xmlns="http://schemas.openxmlformats.org/spreadsheetml/2006/main" count="488" uniqueCount="66">
  <si>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</si>
  <si>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</si>
  <si>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</si>
  <si>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</si>
  <si>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</si>
  <si>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</si>
  <si>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</si>
  <si>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</si>
  <si>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</si>
  <si>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</si>
  <si>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</si>
  <si>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</si>
  <si>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</si>
  <si>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</si>
  <si>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</si>
  <si>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</si>
  <si>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</si>
  <si>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</si>
  <si>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</si>
  <si>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</si>
  <si>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</si>
  <si>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</si>
  <si>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</si>
  <si>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</si>
  <si>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</si>
  <si>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</si>
  <si>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</si>
  <si>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日経225オプション</t>
  </si>
  <si>
    <t>Nikkei 225 Options</t>
  </si>
  <si>
    <t>2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</si>
  <si>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</si>
  <si>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</si>
  <si>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</si>
  <si>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</si>
  <si>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</si>
  <si>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</si>
  <si>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</si>
  <si>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</si>
  <si>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</si>
  <si>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●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</si>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</sst>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25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 t="n">
        <f>141228</f>
        <v>141228.0</v>
      </c>
      <c r="F12" s="23"/>
      <c r="G12" s="25" t="n">
        <f>62673</f>
        <v>62673.0</v>
      </c>
      <c r="H12" s="23"/>
      <c r="I12" s="26" t="n">
        <f>203901</f>
        <v>203901.0</v>
      </c>
      <c r="J12" s="24"/>
      <c r="K12" s="25" t="n">
        <f>21434965000</f>
        <v>2.1434965E10</v>
      </c>
      <c r="L12" s="23"/>
      <c r="M12" s="25" t="n">
        <f>6711630000</f>
        <v>6.71163E9</v>
      </c>
      <c r="N12" s="23"/>
      <c r="O12" s="26" t="n">
        <f>28146595000</f>
        <v>2.8146595E10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24648</f>
        <v>24648.0</v>
      </c>
      <c r="U12" s="23"/>
      <c r="V12" s="25" t="n">
        <f>7465</f>
        <v>7465.0</v>
      </c>
      <c r="W12" s="23"/>
      <c r="X12" s="26" t="n">
        <f>32113</f>
        <v>32113.0</v>
      </c>
      <c r="Y12" s="24"/>
      <c r="Z12" s="25" t="n">
        <f>1160922</f>
        <v>1160922.0</v>
      </c>
      <c r="AA12" s="23"/>
      <c r="AB12" s="25" t="n">
        <f>564484</f>
        <v>564484.0</v>
      </c>
      <c r="AC12" s="23"/>
      <c r="AD12" s="26" t="n">
        <f>1725406</f>
        <v>1725406.0</v>
      </c>
    </row>
    <row r="13">
      <c r="A13" s="30" t="s">
        <v>31</v>
      </c>
      <c r="B13" s="22" t="s">
        <v>27</v>
      </c>
      <c r="C13" s="22" t="s">
        <v>28</v>
      </c>
      <c r="D13" s="24"/>
      <c r="E13" s="25" t="n">
        <f>94180</f>
        <v>94180.0</v>
      </c>
      <c r="F13" s="23"/>
      <c r="G13" s="25" t="n">
        <f>62435</f>
        <v>62435.0</v>
      </c>
      <c r="H13" s="23"/>
      <c r="I13" s="26" t="n">
        <f>156615</f>
        <v>156615.0</v>
      </c>
      <c r="J13" s="24"/>
      <c r="K13" s="25" t="n">
        <f>11949382000</f>
        <v>1.1949382E10</v>
      </c>
      <c r="L13" s="23"/>
      <c r="M13" s="25" t="n">
        <f>7430391000</f>
        <v>7.430391E9</v>
      </c>
      <c r="N13" s="23"/>
      <c r="O13" s="26" t="n">
        <f>19379773000</f>
        <v>1.9379773E10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17891</f>
        <v>17891.0</v>
      </c>
      <c r="U13" s="23"/>
      <c r="V13" s="25" t="n">
        <f>10309</f>
        <v>10309.0</v>
      </c>
      <c r="W13" s="23"/>
      <c r="X13" s="26" t="n">
        <f>28200</f>
        <v>28200.0</v>
      </c>
      <c r="Y13" s="24"/>
      <c r="Z13" s="25" t="n">
        <f>1184817</f>
        <v>1184817.0</v>
      </c>
      <c r="AA13" s="23"/>
      <c r="AB13" s="25" t="n">
        <f>575869</f>
        <v>575869.0</v>
      </c>
      <c r="AC13" s="23"/>
      <c r="AD13" s="26" t="n">
        <f>1760686</f>
        <v>1760686.0</v>
      </c>
    </row>
    <row r="14">
      <c r="A14" s="30" t="s">
        <v>32</v>
      </c>
      <c r="B14" s="22" t="s">
        <v>27</v>
      </c>
      <c r="C14" s="22" t="s">
        <v>28</v>
      </c>
      <c r="D14" s="24"/>
      <c r="E14" s="25" t="n">
        <f>93384</f>
        <v>93384.0</v>
      </c>
      <c r="F14" s="23"/>
      <c r="G14" s="25" t="n">
        <f>64296</f>
        <v>64296.0</v>
      </c>
      <c r="H14" s="23"/>
      <c r="I14" s="26" t="n">
        <f>157680</f>
        <v>157680.0</v>
      </c>
      <c r="J14" s="24"/>
      <c r="K14" s="25" t="n">
        <f>14296654000</f>
        <v>1.4296654E10</v>
      </c>
      <c r="L14" s="23"/>
      <c r="M14" s="25" t="n">
        <f>7855160000</f>
        <v>7.85516E9</v>
      </c>
      <c r="N14" s="23"/>
      <c r="O14" s="26" t="n">
        <f>22151814000</f>
        <v>2.2151814E10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14354</f>
        <v>14354.0</v>
      </c>
      <c r="U14" s="23"/>
      <c r="V14" s="25" t="n">
        <f>11096</f>
        <v>11096.0</v>
      </c>
      <c r="W14" s="23"/>
      <c r="X14" s="26" t="n">
        <f>25450</f>
        <v>25450.0</v>
      </c>
      <c r="Y14" s="24"/>
      <c r="Z14" s="25" t="n">
        <f>1188035</f>
        <v>1188035.0</v>
      </c>
      <c r="AA14" s="23"/>
      <c r="AB14" s="25" t="n">
        <f>576185</f>
        <v>576185.0</v>
      </c>
      <c r="AC14" s="23"/>
      <c r="AD14" s="26" t="n">
        <f>1764220</f>
        <v>1764220.0</v>
      </c>
    </row>
    <row r="15">
      <c r="A15" s="30" t="s">
        <v>33</v>
      </c>
      <c r="B15" s="22" t="s">
        <v>27</v>
      </c>
      <c r="C15" s="22" t="s">
        <v>28</v>
      </c>
      <c r="D15" s="24"/>
      <c r="E15" s="25" t="n">
        <f>127167</f>
        <v>127167.0</v>
      </c>
      <c r="F15" s="23" t="s">
        <v>34</v>
      </c>
      <c r="G15" s="25" t="n">
        <f>125108</f>
        <v>125108.0</v>
      </c>
      <c r="H15" s="23"/>
      <c r="I15" s="26" t="n">
        <f>252275</f>
        <v>252275.0</v>
      </c>
      <c r="J15" s="24"/>
      <c r="K15" s="25" t="n">
        <f>12894457500</f>
        <v>1.28944575E10</v>
      </c>
      <c r="L15" s="23"/>
      <c r="M15" s="25" t="n">
        <f>14838467000</f>
        <v>1.4838467E10</v>
      </c>
      <c r="N15" s="23"/>
      <c r="O15" s="26" t="n">
        <f>27732924500</f>
        <v>2.77329245E10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19343</f>
        <v>19343.0</v>
      </c>
      <c r="U15" s="23"/>
      <c r="V15" s="25" t="n">
        <f>16567</f>
        <v>16567.0</v>
      </c>
      <c r="W15" s="23"/>
      <c r="X15" s="26" t="n">
        <f>35910</f>
        <v>35910.0</v>
      </c>
      <c r="Y15" s="24"/>
      <c r="Z15" s="25" t="n">
        <f>1215218</f>
        <v>1215218.0</v>
      </c>
      <c r="AA15" s="23"/>
      <c r="AB15" s="25" t="n">
        <f>594966</f>
        <v>594966.0</v>
      </c>
      <c r="AC15" s="23"/>
      <c r="AD15" s="26" t="n">
        <f>1810184</f>
        <v>1810184.0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89733</f>
        <v>89733.0</v>
      </c>
      <c r="F16" s="23"/>
      <c r="G16" s="25" t="n">
        <f>72452</f>
        <v>72452.0</v>
      </c>
      <c r="H16" s="23"/>
      <c r="I16" s="26" t="n">
        <f>162185</f>
        <v>162185.0</v>
      </c>
      <c r="J16" s="24"/>
      <c r="K16" s="25" t="n">
        <f>13874871570</f>
        <v>1.387487157E10</v>
      </c>
      <c r="L16" s="23"/>
      <c r="M16" s="25" t="n">
        <f>7658781320</f>
        <v>7.65878132E9</v>
      </c>
      <c r="N16" s="23"/>
      <c r="O16" s="26" t="n">
        <f>21533652890</f>
        <v>2.153365289E10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14085</f>
        <v>14085.0</v>
      </c>
      <c r="U16" s="23"/>
      <c r="V16" s="25" t="n">
        <f>13226</f>
        <v>13226.0</v>
      </c>
      <c r="W16" s="23"/>
      <c r="X16" s="26" t="n">
        <f>27311</f>
        <v>27311.0</v>
      </c>
      <c r="Y16" s="24"/>
      <c r="Z16" s="25" t="n">
        <f>1221784</f>
        <v>1221784.0</v>
      </c>
      <c r="AA16" s="23"/>
      <c r="AB16" s="25" t="n">
        <f>590431</f>
        <v>590431.0</v>
      </c>
      <c r="AC16" s="23"/>
      <c r="AD16" s="26" t="n">
        <f>1812215</f>
        <v>1812215.0</v>
      </c>
    </row>
    <row r="17">
      <c r="A17" s="30" t="s">
        <v>36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37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38</v>
      </c>
      <c r="B19" s="22" t="s">
        <v>27</v>
      </c>
      <c r="C19" s="22" t="s">
        <v>28</v>
      </c>
      <c r="D19" s="24"/>
      <c r="E19" s="25" t="n">
        <f>88961</f>
        <v>88961.0</v>
      </c>
      <c r="F19" s="23"/>
      <c r="G19" s="25" t="n">
        <f>53425</f>
        <v>53425.0</v>
      </c>
      <c r="H19" s="23"/>
      <c r="I19" s="26" t="n">
        <f>142386</f>
        <v>142386.0</v>
      </c>
      <c r="J19" s="24" t="s">
        <v>39</v>
      </c>
      <c r="K19" s="25" t="n">
        <f>8500501000</f>
        <v>8.500501E9</v>
      </c>
      <c r="L19" s="23"/>
      <c r="M19" s="25" t="n">
        <f>5185589000</f>
        <v>5.185589E9</v>
      </c>
      <c r="N19" s="23" t="s">
        <v>39</v>
      </c>
      <c r="O19" s="26" t="n">
        <f>13686090000</f>
        <v>1.368609E10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9043</f>
        <v>9043.0</v>
      </c>
      <c r="U19" s="23"/>
      <c r="V19" s="25" t="n">
        <f>7596</f>
        <v>7596.0</v>
      </c>
      <c r="W19" s="23"/>
      <c r="X19" s="26" t="n">
        <f>16639</f>
        <v>16639.0</v>
      </c>
      <c r="Y19" s="24"/>
      <c r="Z19" s="25" t="n">
        <f>1231970</f>
        <v>1231970.0</v>
      </c>
      <c r="AA19" s="23"/>
      <c r="AB19" s="25" t="n">
        <f>594728</f>
        <v>594728.0</v>
      </c>
      <c r="AC19" s="23"/>
      <c r="AD19" s="26" t="n">
        <f>1826698</f>
        <v>1826698.0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 t="n">
        <f>86857</f>
        <v>86857.0</v>
      </c>
      <c r="F21" s="23"/>
      <c r="G21" s="25" t="n">
        <f>47900</f>
        <v>47900.0</v>
      </c>
      <c r="H21" s="23"/>
      <c r="I21" s="26" t="n">
        <f>134757</f>
        <v>134757.0</v>
      </c>
      <c r="J21" s="24"/>
      <c r="K21" s="25" t="n">
        <f>9090525000</f>
        <v>9.090525E9</v>
      </c>
      <c r="L21" s="23" t="s">
        <v>39</v>
      </c>
      <c r="M21" s="25" t="n">
        <f>4759791500</f>
        <v>4.7597915E9</v>
      </c>
      <c r="N21" s="23"/>
      <c r="O21" s="26" t="n">
        <f>13850316500</f>
        <v>1.38503165E10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14544</f>
        <v>14544.0</v>
      </c>
      <c r="U21" s="23" t="s">
        <v>39</v>
      </c>
      <c r="V21" s="25" t="n">
        <f>3849</f>
        <v>3849.0</v>
      </c>
      <c r="W21" s="23"/>
      <c r="X21" s="26" t="n">
        <f>18393</f>
        <v>18393.0</v>
      </c>
      <c r="Y21" s="24"/>
      <c r="Z21" s="25" t="n">
        <f>1240453</f>
        <v>1240453.0</v>
      </c>
      <c r="AA21" s="23"/>
      <c r="AB21" s="25" t="n">
        <f>596567</f>
        <v>596567.0</v>
      </c>
      <c r="AC21" s="23"/>
      <c r="AD21" s="26" t="n">
        <f>1837020</f>
        <v>1837020.0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111978</f>
        <v>111978.0</v>
      </c>
      <c r="F22" s="23"/>
      <c r="G22" s="25" t="n">
        <f>64342</f>
        <v>64342.0</v>
      </c>
      <c r="H22" s="23"/>
      <c r="I22" s="26" t="n">
        <f>176320</f>
        <v>176320.0</v>
      </c>
      <c r="J22" s="24"/>
      <c r="K22" s="25" t="n">
        <f>11274603700</f>
        <v>1.12746037E10</v>
      </c>
      <c r="L22" s="23"/>
      <c r="M22" s="25" t="n">
        <f>7223955630</f>
        <v>7.22395563E9</v>
      </c>
      <c r="N22" s="23"/>
      <c r="O22" s="26" t="n">
        <f>18498559330</f>
        <v>1.849855933E10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20287</f>
        <v>20287.0</v>
      </c>
      <c r="U22" s="23"/>
      <c r="V22" s="25" t="n">
        <f>11199</f>
        <v>11199.0</v>
      </c>
      <c r="W22" s="23"/>
      <c r="X22" s="26" t="n">
        <f>31486</f>
        <v>31486.0</v>
      </c>
      <c r="Y22" s="24"/>
      <c r="Z22" s="25" t="n">
        <f>1256699</f>
        <v>1256699.0</v>
      </c>
      <c r="AA22" s="23"/>
      <c r="AB22" s="25" t="n">
        <f>602262</f>
        <v>602262.0</v>
      </c>
      <c r="AC22" s="23"/>
      <c r="AD22" s="26" t="n">
        <f>1858961</f>
        <v>1858961.0</v>
      </c>
    </row>
    <row r="23">
      <c r="A23" s="30" t="s">
        <v>43</v>
      </c>
      <c r="B23" s="22" t="s">
        <v>27</v>
      </c>
      <c r="C23" s="22" t="s">
        <v>28</v>
      </c>
      <c r="D23" s="24" t="s">
        <v>39</v>
      </c>
      <c r="E23" s="25" t="n">
        <f>81209</f>
        <v>81209.0</v>
      </c>
      <c r="F23" s="23" t="s">
        <v>39</v>
      </c>
      <c r="G23" s="25" t="n">
        <f>37682</f>
        <v>37682.0</v>
      </c>
      <c r="H23" s="23" t="s">
        <v>39</v>
      </c>
      <c r="I23" s="26" t="n">
        <f>118891</f>
        <v>118891.0</v>
      </c>
      <c r="J23" s="24"/>
      <c r="K23" s="25" t="n">
        <f>10366140000</f>
        <v>1.036614E10</v>
      </c>
      <c r="L23" s="23"/>
      <c r="M23" s="25" t="n">
        <f>5735911000</f>
        <v>5.735911E9</v>
      </c>
      <c r="N23" s="23"/>
      <c r="O23" s="26" t="n">
        <f>16102051000</f>
        <v>1.6102051E10</v>
      </c>
      <c r="P23" s="27" t="n">
        <f>9102</f>
        <v>9102.0</v>
      </c>
      <c r="Q23" s="28" t="n">
        <f>10510</f>
        <v>10510.0</v>
      </c>
      <c r="R23" s="29" t="n">
        <f>19612</f>
        <v>19612.0</v>
      </c>
      <c r="S23" s="24" t="s">
        <v>39</v>
      </c>
      <c r="T23" s="25" t="n">
        <f>6437</f>
        <v>6437.0</v>
      </c>
      <c r="U23" s="23"/>
      <c r="V23" s="25" t="n">
        <f>7846</f>
        <v>7846.0</v>
      </c>
      <c r="W23" s="23" t="s">
        <v>39</v>
      </c>
      <c r="X23" s="26" t="n">
        <f>14283</f>
        <v>14283.0</v>
      </c>
      <c r="Y23" s="24" t="s">
        <v>39</v>
      </c>
      <c r="Z23" s="25" t="n">
        <f>1094224</f>
        <v>1094224.0</v>
      </c>
      <c r="AA23" s="23" t="s">
        <v>39</v>
      </c>
      <c r="AB23" s="25" t="n">
        <f>530095</f>
        <v>530095.0</v>
      </c>
      <c r="AC23" s="23" t="s">
        <v>39</v>
      </c>
      <c r="AD23" s="26" t="n">
        <f>1624319</f>
        <v>1624319.0</v>
      </c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/>
      <c r="F25" s="23"/>
      <c r="G25" s="25"/>
      <c r="H25" s="23"/>
      <c r="I25" s="26"/>
      <c r="J25" s="24"/>
      <c r="K25" s="25"/>
      <c r="L25" s="23"/>
      <c r="M25" s="25"/>
      <c r="N25" s="23"/>
      <c r="O25" s="26"/>
      <c r="P25" s="27"/>
      <c r="Q25" s="28"/>
      <c r="R25" s="29"/>
      <c r="S25" s="24"/>
      <c r="T25" s="25"/>
      <c r="U25" s="23"/>
      <c r="V25" s="25"/>
      <c r="W25" s="23"/>
      <c r="X25" s="26"/>
      <c r="Y25" s="24"/>
      <c r="Z25" s="25"/>
      <c r="AA25" s="23"/>
      <c r="AB25" s="25"/>
      <c r="AC25" s="23"/>
      <c r="AD25" s="26"/>
    </row>
    <row r="26">
      <c r="A26" s="30" t="s">
        <v>46</v>
      </c>
      <c r="B26" s="22" t="s">
        <v>27</v>
      </c>
      <c r="C26" s="22" t="s">
        <v>28</v>
      </c>
      <c r="D26" s="24"/>
      <c r="E26" s="25" t="n">
        <f>92155</f>
        <v>92155.0</v>
      </c>
      <c r="F26" s="23"/>
      <c r="G26" s="25" t="n">
        <f>56739</f>
        <v>56739.0</v>
      </c>
      <c r="H26" s="23"/>
      <c r="I26" s="26" t="n">
        <f>148894</f>
        <v>148894.0</v>
      </c>
      <c r="J26" s="24"/>
      <c r="K26" s="25" t="n">
        <f>11844787975</f>
        <v>1.1844787975E10</v>
      </c>
      <c r="L26" s="23"/>
      <c r="M26" s="25" t="n">
        <f>6844670216</f>
        <v>6.844670216E9</v>
      </c>
      <c r="N26" s="23"/>
      <c r="O26" s="26" t="n">
        <f>18689458191</f>
        <v>1.8689458191E10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19674</f>
        <v>19674.0</v>
      </c>
      <c r="U26" s="23"/>
      <c r="V26" s="25" t="n">
        <f>13493</f>
        <v>13493.0</v>
      </c>
      <c r="W26" s="23"/>
      <c r="X26" s="26" t="n">
        <f>33167</f>
        <v>33167.0</v>
      </c>
      <c r="Y26" s="24"/>
      <c r="Z26" s="25" t="n">
        <f>1113688</f>
        <v>1113688.0</v>
      </c>
      <c r="AA26" s="23"/>
      <c r="AB26" s="25" t="n">
        <f>545543</f>
        <v>545543.0</v>
      </c>
      <c r="AC26" s="23"/>
      <c r="AD26" s="26" t="n">
        <f>1659231</f>
        <v>1659231.0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88127</f>
        <v>88127.0</v>
      </c>
      <c r="F27" s="23"/>
      <c r="G27" s="25" t="n">
        <f>49937</f>
        <v>49937.0</v>
      </c>
      <c r="H27" s="23"/>
      <c r="I27" s="26" t="n">
        <f>138064</f>
        <v>138064.0</v>
      </c>
      <c r="J27" s="24"/>
      <c r="K27" s="25" t="n">
        <f>23291841000</f>
        <v>2.3291841E10</v>
      </c>
      <c r="L27" s="23"/>
      <c r="M27" s="25" t="n">
        <f>7899005000</f>
        <v>7.899005E9</v>
      </c>
      <c r="N27" s="23"/>
      <c r="O27" s="26" t="n">
        <f>31190846000</f>
        <v>3.1190846E10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20748</f>
        <v>20748.0</v>
      </c>
      <c r="U27" s="23"/>
      <c r="V27" s="25" t="n">
        <f>7785</f>
        <v>7785.0</v>
      </c>
      <c r="W27" s="23"/>
      <c r="X27" s="26" t="n">
        <f>28533</f>
        <v>28533.0</v>
      </c>
      <c r="Y27" s="24"/>
      <c r="Z27" s="25" t="n">
        <f>1125896</f>
        <v>1125896.0</v>
      </c>
      <c r="AA27" s="23"/>
      <c r="AB27" s="25" t="n">
        <f>556363</f>
        <v>556363.0</v>
      </c>
      <c r="AC27" s="23"/>
      <c r="AD27" s="26" t="n">
        <f>1682259</f>
        <v>1682259.0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92014</f>
        <v>92014.0</v>
      </c>
      <c r="F28" s="23"/>
      <c r="G28" s="25" t="n">
        <f>46549</f>
        <v>46549.0</v>
      </c>
      <c r="H28" s="23"/>
      <c r="I28" s="26" t="n">
        <f>138563</f>
        <v>138563.0</v>
      </c>
      <c r="J28" s="24"/>
      <c r="K28" s="25" t="n">
        <f>17259221340</f>
        <v>1.725922134E10</v>
      </c>
      <c r="L28" s="23"/>
      <c r="M28" s="25" t="n">
        <f>7187015000</f>
        <v>7.187015E9</v>
      </c>
      <c r="N28" s="23"/>
      <c r="O28" s="26" t="n">
        <f>24446236340</f>
        <v>2.444623634E10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20938</f>
        <v>20938.0</v>
      </c>
      <c r="U28" s="23"/>
      <c r="V28" s="25" t="n">
        <f>6127</f>
        <v>6127.0</v>
      </c>
      <c r="W28" s="23"/>
      <c r="X28" s="26" t="n">
        <f>27065</f>
        <v>27065.0</v>
      </c>
      <c r="Y28" s="24"/>
      <c r="Z28" s="25" t="n">
        <f>1146491</f>
        <v>1146491.0</v>
      </c>
      <c r="AA28" s="23"/>
      <c r="AB28" s="25" t="n">
        <f>564485</f>
        <v>564485.0</v>
      </c>
      <c r="AC28" s="23"/>
      <c r="AD28" s="26" t="n">
        <f>1710976</f>
        <v>1710976.0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114605</f>
        <v>114605.0</v>
      </c>
      <c r="F29" s="23"/>
      <c r="G29" s="25" t="n">
        <f>72116</f>
        <v>72116.0</v>
      </c>
      <c r="H29" s="23"/>
      <c r="I29" s="26" t="n">
        <f>186721</f>
        <v>186721.0</v>
      </c>
      <c r="J29" s="24"/>
      <c r="K29" s="25" t="n">
        <f>14913161500</f>
        <v>1.49131615E10</v>
      </c>
      <c r="L29" s="23"/>
      <c r="M29" s="25" t="n">
        <f>7157032000</f>
        <v>7.157032E9</v>
      </c>
      <c r="N29" s="23"/>
      <c r="O29" s="26" t="n">
        <f>22070193500</f>
        <v>2.20701935E10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13736</f>
        <v>13736.0</v>
      </c>
      <c r="U29" s="23"/>
      <c r="V29" s="25" t="n">
        <f>10329</f>
        <v>10329.0</v>
      </c>
      <c r="W29" s="23"/>
      <c r="X29" s="26" t="n">
        <f>24065</f>
        <v>24065.0</v>
      </c>
      <c r="Y29" s="24"/>
      <c r="Z29" s="25" t="n">
        <f>1176289</f>
        <v>1176289.0</v>
      </c>
      <c r="AA29" s="23"/>
      <c r="AB29" s="25" t="n">
        <f>579906</f>
        <v>579906.0</v>
      </c>
      <c r="AC29" s="23"/>
      <c r="AD29" s="26" t="n">
        <f>1756195</f>
        <v>1756195.0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92687</f>
        <v>92687.0</v>
      </c>
      <c r="F30" s="23"/>
      <c r="G30" s="25" t="n">
        <f>49129</f>
        <v>49129.0</v>
      </c>
      <c r="H30" s="23"/>
      <c r="I30" s="26" t="n">
        <f>141816</f>
        <v>141816.0</v>
      </c>
      <c r="J30" s="24"/>
      <c r="K30" s="25" t="n">
        <f>17580184320</f>
        <v>1.758018432E10</v>
      </c>
      <c r="L30" s="23"/>
      <c r="M30" s="25" t="n">
        <f>6061557920</f>
        <v>6.06155792E9</v>
      </c>
      <c r="N30" s="23"/>
      <c r="O30" s="26" t="n">
        <f>23641742240</f>
        <v>2.364174224E10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16664</f>
        <v>16664.0</v>
      </c>
      <c r="U30" s="23"/>
      <c r="V30" s="25" t="n">
        <f>5627</f>
        <v>5627.0</v>
      </c>
      <c r="W30" s="23"/>
      <c r="X30" s="26" t="n">
        <f>22291</f>
        <v>22291.0</v>
      </c>
      <c r="Y30" s="24"/>
      <c r="Z30" s="25" t="n">
        <f>1195603</f>
        <v>1195603.0</v>
      </c>
      <c r="AA30" s="23"/>
      <c r="AB30" s="25" t="n">
        <f>584339</f>
        <v>584339.0</v>
      </c>
      <c r="AC30" s="23"/>
      <c r="AD30" s="26" t="n">
        <f>1779942</f>
        <v>1779942.0</v>
      </c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/>
      <c r="F33" s="23"/>
      <c r="G33" s="25"/>
      <c r="H33" s="23"/>
      <c r="I33" s="26"/>
      <c r="J33" s="24"/>
      <c r="K33" s="25"/>
      <c r="L33" s="23"/>
      <c r="M33" s="25"/>
      <c r="N33" s="23"/>
      <c r="O33" s="26"/>
      <c r="P33" s="27"/>
      <c r="Q33" s="28"/>
      <c r="R33" s="29"/>
      <c r="S33" s="24"/>
      <c r="T33" s="25"/>
      <c r="U33" s="23"/>
      <c r="V33" s="25"/>
      <c r="W33" s="23"/>
      <c r="X33" s="26"/>
      <c r="Y33" s="24"/>
      <c r="Z33" s="25"/>
      <c r="AA33" s="23"/>
      <c r="AB33" s="25"/>
      <c r="AC33" s="23"/>
      <c r="AD33" s="26"/>
    </row>
    <row r="34">
      <c r="A34" s="30" t="s">
        <v>54</v>
      </c>
      <c r="B34" s="22" t="s">
        <v>27</v>
      </c>
      <c r="C34" s="22" t="s">
        <v>28</v>
      </c>
      <c r="D34" s="24"/>
      <c r="E34" s="25" t="n">
        <f>166092</f>
        <v>166092.0</v>
      </c>
      <c r="F34" s="23"/>
      <c r="G34" s="25" t="n">
        <f>89070</f>
        <v>89070.0</v>
      </c>
      <c r="H34" s="23"/>
      <c r="I34" s="26" t="n">
        <f>255162</f>
        <v>255162.0</v>
      </c>
      <c r="J34" s="24"/>
      <c r="K34" s="25" t="n">
        <f>48503407340</f>
        <v>4.850340734E10</v>
      </c>
      <c r="L34" s="23"/>
      <c r="M34" s="25" t="n">
        <f>16392245700</f>
        <v>1.63922457E10</v>
      </c>
      <c r="N34" s="23"/>
      <c r="O34" s="26" t="n">
        <f>64895653040</f>
        <v>6.489565304E10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 t="s">
        <v>34</v>
      </c>
      <c r="T34" s="25" t="n">
        <f>37060</f>
        <v>37060.0</v>
      </c>
      <c r="U34" s="23"/>
      <c r="V34" s="25" t="n">
        <f>18410</f>
        <v>18410.0</v>
      </c>
      <c r="W34" s="23"/>
      <c r="X34" s="26" t="n">
        <f>55470</f>
        <v>55470.0</v>
      </c>
      <c r="Y34" s="24"/>
      <c r="Z34" s="25" t="n">
        <f>1212511</f>
        <v>1212511.0</v>
      </c>
      <c r="AA34" s="23"/>
      <c r="AB34" s="25" t="n">
        <f>601911</f>
        <v>601911.0</v>
      </c>
      <c r="AC34" s="23"/>
      <c r="AD34" s="26" t="n">
        <f>1814422</f>
        <v>1814422.0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177081</f>
        <v>177081.0</v>
      </c>
      <c r="F35" s="23"/>
      <c r="G35" s="25" t="n">
        <f>114725</f>
        <v>114725.0</v>
      </c>
      <c r="H35" s="23"/>
      <c r="I35" s="26" t="n">
        <f>291806</f>
        <v>291806.0</v>
      </c>
      <c r="J35" s="24"/>
      <c r="K35" s="25" t="n">
        <f>58948205163</f>
        <v>5.8948205163E10</v>
      </c>
      <c r="L35" s="23" t="s">
        <v>34</v>
      </c>
      <c r="M35" s="25" t="n">
        <f>27496563400</f>
        <v>2.74965634E10</v>
      </c>
      <c r="N35" s="23"/>
      <c r="O35" s="26" t="n">
        <f>86444768563</f>
        <v>8.6444768563E10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31919</f>
        <v>31919.0</v>
      </c>
      <c r="U35" s="23" t="s">
        <v>34</v>
      </c>
      <c r="V35" s="25" t="n">
        <f>24854</f>
        <v>24854.0</v>
      </c>
      <c r="W35" s="23" t="s">
        <v>34</v>
      </c>
      <c r="X35" s="26" t="n">
        <f>56773</f>
        <v>56773.0</v>
      </c>
      <c r="Y35" s="24"/>
      <c r="Z35" s="25" t="n">
        <f>1211701</f>
        <v>1211701.0</v>
      </c>
      <c r="AA35" s="23"/>
      <c r="AB35" s="25" t="n">
        <f>611437</f>
        <v>611437.0</v>
      </c>
      <c r="AC35" s="23"/>
      <c r="AD35" s="26" t="n">
        <f>1823138</f>
        <v>1823138.0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179298</f>
        <v>179298.0</v>
      </c>
      <c r="F36" s="23"/>
      <c r="G36" s="25" t="n">
        <f>96806</f>
        <v>96806.0</v>
      </c>
      <c r="H36" s="23"/>
      <c r="I36" s="26" t="n">
        <f>276104</f>
        <v>276104.0</v>
      </c>
      <c r="J36" s="24"/>
      <c r="K36" s="25" t="n">
        <f>55159887567</f>
        <v>5.5159887567E10</v>
      </c>
      <c r="L36" s="23"/>
      <c r="M36" s="25" t="n">
        <f>19908638000</f>
        <v>1.9908638E10</v>
      </c>
      <c r="N36" s="23"/>
      <c r="O36" s="26" t="n">
        <f>75068525567</f>
        <v>7.5068525567E10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24787</f>
        <v>24787.0</v>
      </c>
      <c r="U36" s="23"/>
      <c r="V36" s="25" t="n">
        <f>15460</f>
        <v>15460.0</v>
      </c>
      <c r="W36" s="23"/>
      <c r="X36" s="26" t="n">
        <f>40247</f>
        <v>40247.0</v>
      </c>
      <c r="Y36" s="24"/>
      <c r="Z36" s="25" t="n">
        <f>1244372</f>
        <v>1244372.0</v>
      </c>
      <c r="AA36" s="23"/>
      <c r="AB36" s="25" t="n">
        <f>624931</f>
        <v>624931.0</v>
      </c>
      <c r="AC36" s="23"/>
      <c r="AD36" s="26" t="n">
        <f>1869303</f>
        <v>1869303.0</v>
      </c>
    </row>
    <row r="37">
      <c r="A37" s="30" t="s">
        <v>57</v>
      </c>
      <c r="B37" s="22" t="s">
        <v>27</v>
      </c>
      <c r="C37" s="22" t="s">
        <v>28</v>
      </c>
      <c r="D37" s="24" t="s">
        <v>34</v>
      </c>
      <c r="E37" s="25" t="n">
        <f>204277</f>
        <v>204277.0</v>
      </c>
      <c r="F37" s="23"/>
      <c r="G37" s="25" t="n">
        <f>108980</f>
        <v>108980.0</v>
      </c>
      <c r="H37" s="23" t="s">
        <v>34</v>
      </c>
      <c r="I37" s="26" t="n">
        <f>313257</f>
        <v>313257.0</v>
      </c>
      <c r="J37" s="24" t="s">
        <v>34</v>
      </c>
      <c r="K37" s="25" t="n">
        <f>74257256760</f>
        <v>7.425725676E10</v>
      </c>
      <c r="L37" s="23"/>
      <c r="M37" s="25" t="n">
        <f>18332251060</f>
        <v>1.833225106E10</v>
      </c>
      <c r="N37" s="23" t="s">
        <v>34</v>
      </c>
      <c r="O37" s="26" t="n">
        <f>92589507820</f>
        <v>9.258950782E10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26384</f>
        <v>26384.0</v>
      </c>
      <c r="U37" s="23"/>
      <c r="V37" s="25" t="n">
        <f>11773</f>
        <v>11773.0</v>
      </c>
      <c r="W37" s="23"/>
      <c r="X37" s="26" t="n">
        <f>38157</f>
        <v>38157.0</v>
      </c>
      <c r="Y37" s="24" t="s">
        <v>34</v>
      </c>
      <c r="Z37" s="25" t="n">
        <f>1284992</f>
        <v>1284992.0</v>
      </c>
      <c r="AA37" s="23" t="s">
        <v>34</v>
      </c>
      <c r="AB37" s="25" t="n">
        <f>658270</f>
        <v>658270.0</v>
      </c>
      <c r="AC37" s="23" t="s">
        <v>34</v>
      </c>
      <c r="AD37" s="26" t="n">
        <f>1943262</f>
        <v>1943262.0</v>
      </c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26</v>
      </c>
      <c r="B39" s="22" t="s">
        <v>59</v>
      </c>
      <c r="C39" s="22" t="s">
        <v>60</v>
      </c>
      <c r="D39" s="24"/>
      <c r="E39" s="25"/>
      <c r="F39" s="23"/>
      <c r="G39" s="25"/>
      <c r="H39" s="23"/>
      <c r="I39" s="26"/>
      <c r="J39" s="24"/>
      <c r="K39" s="25"/>
      <c r="L39" s="23"/>
      <c r="M39" s="25"/>
      <c r="N39" s="23"/>
      <c r="O39" s="26"/>
      <c r="P39" s="27"/>
      <c r="Q39" s="28"/>
      <c r="R39" s="29"/>
      <c r="S39" s="24"/>
      <c r="T39" s="25"/>
      <c r="U39" s="23"/>
      <c r="V39" s="25"/>
      <c r="W39" s="23"/>
      <c r="X39" s="26"/>
      <c r="Y39" s="24"/>
      <c r="Z39" s="25"/>
      <c r="AA39" s="23"/>
      <c r="AB39" s="25"/>
      <c r="AC39" s="23"/>
      <c r="AD39" s="26"/>
    </row>
    <row r="40">
      <c r="A40" s="30" t="s">
        <v>29</v>
      </c>
      <c r="B40" s="22" t="s">
        <v>59</v>
      </c>
      <c r="C40" s="22" t="s">
        <v>60</v>
      </c>
      <c r="D40" s="24"/>
      <c r="E40" s="25"/>
      <c r="F40" s="23"/>
      <c r="G40" s="25"/>
      <c r="H40" s="23"/>
      <c r="I40" s="26"/>
      <c r="J40" s="24"/>
      <c r="K40" s="25"/>
      <c r="L40" s="23"/>
      <c r="M40" s="25"/>
      <c r="N40" s="23"/>
      <c r="O40" s="26"/>
      <c r="P40" s="27"/>
      <c r="Q40" s="28"/>
      <c r="R40" s="29"/>
      <c r="S40" s="24"/>
      <c r="T40" s="25"/>
      <c r="U40" s="23"/>
      <c r="V40" s="25"/>
      <c r="W40" s="23"/>
      <c r="X40" s="26"/>
      <c r="Y40" s="24"/>
      <c r="Z40" s="25"/>
      <c r="AA40" s="23"/>
      <c r="AB40" s="25"/>
      <c r="AC40" s="23"/>
      <c r="AD40" s="26"/>
    </row>
    <row r="41">
      <c r="A41" s="30" t="s">
        <v>30</v>
      </c>
      <c r="B41" s="22" t="s">
        <v>59</v>
      </c>
      <c r="C41" s="22" t="s">
        <v>60</v>
      </c>
      <c r="D41" s="24"/>
      <c r="E41" s="25" t="n">
        <f>2586</f>
        <v>2586.0</v>
      </c>
      <c r="F41" s="23"/>
      <c r="G41" s="25" t="n">
        <f>2795</f>
        <v>2795.0</v>
      </c>
      <c r="H41" s="23"/>
      <c r="I41" s="26" t="n">
        <f>5381</f>
        <v>5381.0</v>
      </c>
      <c r="J41" s="24"/>
      <c r="K41" s="25" t="n">
        <f>294605000</f>
        <v>2.94605E8</v>
      </c>
      <c r="L41" s="23"/>
      <c r="M41" s="25" t="n">
        <f>104994000</f>
        <v>1.04994E8</v>
      </c>
      <c r="N41" s="23"/>
      <c r="O41" s="26" t="n">
        <f>399599000</f>
        <v>3.99599E8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541</f>
        <v>541.0</v>
      </c>
      <c r="U41" s="23"/>
      <c r="V41" s="25" t="n">
        <f>239</f>
        <v>239.0</v>
      </c>
      <c r="W41" s="23"/>
      <c r="X41" s="26" t="n">
        <f>780</f>
        <v>780.0</v>
      </c>
      <c r="Y41" s="24"/>
      <c r="Z41" s="25" t="n">
        <f>2250</f>
        <v>2250.0</v>
      </c>
      <c r="AA41" s="23"/>
      <c r="AB41" s="25" t="n">
        <f>2791</f>
        <v>2791.0</v>
      </c>
      <c r="AC41" s="23"/>
      <c r="AD41" s="26" t="n">
        <f>5041</f>
        <v>5041.0</v>
      </c>
    </row>
    <row r="42">
      <c r="A42" s="30" t="s">
        <v>31</v>
      </c>
      <c r="B42" s="22" t="s">
        <v>59</v>
      </c>
      <c r="C42" s="22" t="s">
        <v>60</v>
      </c>
      <c r="D42" s="24"/>
      <c r="E42" s="25" t="n">
        <f>2094</f>
        <v>2094.0</v>
      </c>
      <c r="F42" s="23"/>
      <c r="G42" s="25" t="n">
        <f>2073</f>
        <v>2073.0</v>
      </c>
      <c r="H42" s="23"/>
      <c r="I42" s="26" t="n">
        <f>4167</f>
        <v>4167.0</v>
      </c>
      <c r="J42" s="24"/>
      <c r="K42" s="25" t="n">
        <f>119961000</f>
        <v>1.19961E8</v>
      </c>
      <c r="L42" s="23"/>
      <c r="M42" s="25" t="n">
        <f>77626000</f>
        <v>7.7626E7</v>
      </c>
      <c r="N42" s="23"/>
      <c r="O42" s="26" t="n">
        <f>197587000</f>
        <v>1.97587E8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186</f>
        <v>186.0</v>
      </c>
      <c r="U42" s="23"/>
      <c r="V42" s="25" t="n">
        <f>247</f>
        <v>247.0</v>
      </c>
      <c r="W42" s="23"/>
      <c r="X42" s="26" t="n">
        <f>433</f>
        <v>433.0</v>
      </c>
      <c r="Y42" s="24"/>
      <c r="Z42" s="25" t="n">
        <f>3106</f>
        <v>3106.0</v>
      </c>
      <c r="AA42" s="23"/>
      <c r="AB42" s="25" t="n">
        <f>3426</f>
        <v>3426.0</v>
      </c>
      <c r="AC42" s="23"/>
      <c r="AD42" s="26" t="n">
        <f>6532</f>
        <v>6532.0</v>
      </c>
    </row>
    <row r="43">
      <c r="A43" s="30" t="s">
        <v>32</v>
      </c>
      <c r="B43" s="22" t="s">
        <v>59</v>
      </c>
      <c r="C43" s="22" t="s">
        <v>60</v>
      </c>
      <c r="D43" s="24"/>
      <c r="E43" s="25" t="n">
        <f>2943</f>
        <v>2943.0</v>
      </c>
      <c r="F43" s="23"/>
      <c r="G43" s="25" t="n">
        <f>2027</f>
        <v>2027.0</v>
      </c>
      <c r="H43" s="23"/>
      <c r="I43" s="26" t="n">
        <f>4970</f>
        <v>4970.0</v>
      </c>
      <c r="J43" s="24"/>
      <c r="K43" s="25" t="n">
        <f>78424000</f>
        <v>7.8424E7</v>
      </c>
      <c r="L43" s="23"/>
      <c r="M43" s="25" t="n">
        <f>108025000</f>
        <v>1.08025E8</v>
      </c>
      <c r="N43" s="23"/>
      <c r="O43" s="26" t="n">
        <f>186449000</f>
        <v>1.86449E8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764</f>
        <v>764.0</v>
      </c>
      <c r="U43" s="23"/>
      <c r="V43" s="25" t="n">
        <f>182</f>
        <v>182.0</v>
      </c>
      <c r="W43" s="23"/>
      <c r="X43" s="26" t="n">
        <f>946</f>
        <v>946.0</v>
      </c>
      <c r="Y43" s="24"/>
      <c r="Z43" s="25" t="n">
        <f>3117</f>
        <v>3117.0</v>
      </c>
      <c r="AA43" s="23"/>
      <c r="AB43" s="25" t="n">
        <f>3287</f>
        <v>3287.0</v>
      </c>
      <c r="AC43" s="23"/>
      <c r="AD43" s="26" t="n">
        <f>6404</f>
        <v>6404.0</v>
      </c>
    </row>
    <row r="44">
      <c r="A44" s="30" t="s">
        <v>33</v>
      </c>
      <c r="B44" s="22" t="s">
        <v>59</v>
      </c>
      <c r="C44" s="22" t="s">
        <v>60</v>
      </c>
      <c r="D44" s="24" t="s">
        <v>34</v>
      </c>
      <c r="E44" s="25" t="n">
        <f>7835</f>
        <v>7835.0</v>
      </c>
      <c r="F44" s="23"/>
      <c r="G44" s="25" t="n">
        <f>4260</f>
        <v>4260.0</v>
      </c>
      <c r="H44" s="23" t="s">
        <v>34</v>
      </c>
      <c r="I44" s="26" t="n">
        <f>12095</f>
        <v>12095.0</v>
      </c>
      <c r="J44" s="24"/>
      <c r="K44" s="25" t="n">
        <f>182591000</f>
        <v>1.82591E8</v>
      </c>
      <c r="L44" s="23" t="s">
        <v>34</v>
      </c>
      <c r="M44" s="25" t="n">
        <f>312342000</f>
        <v>3.12342E8</v>
      </c>
      <c r="N44" s="23"/>
      <c r="O44" s="26" t="n">
        <f>494933000</f>
        <v>4.94933E8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 t="s">
        <v>34</v>
      </c>
      <c r="T44" s="25" t="n">
        <f>1099</f>
        <v>1099.0</v>
      </c>
      <c r="U44" s="23"/>
      <c r="V44" s="25" t="n">
        <f>364</f>
        <v>364.0</v>
      </c>
      <c r="W44" s="23" t="s">
        <v>34</v>
      </c>
      <c r="X44" s="26" t="n">
        <f>1463</f>
        <v>1463.0</v>
      </c>
      <c r="Y44" s="24" t="s">
        <v>34</v>
      </c>
      <c r="Z44" s="25" t="n">
        <f>6255</f>
        <v>6255.0</v>
      </c>
      <c r="AA44" s="23"/>
      <c r="AB44" s="25" t="n">
        <f>3659</f>
        <v>3659.0</v>
      </c>
      <c r="AC44" s="23"/>
      <c r="AD44" s="26" t="n">
        <f>9914</f>
        <v>9914.0</v>
      </c>
    </row>
    <row r="45">
      <c r="A45" s="30" t="s">
        <v>35</v>
      </c>
      <c r="B45" s="22" t="s">
        <v>59</v>
      </c>
      <c r="C45" s="22" t="s">
        <v>60</v>
      </c>
      <c r="D45" s="24" t="s">
        <v>39</v>
      </c>
      <c r="E45" s="25" t="n">
        <f>76</f>
        <v>76.0</v>
      </c>
      <c r="F45" s="23" t="s">
        <v>39</v>
      </c>
      <c r="G45" s="25" t="n">
        <f>124</f>
        <v>124.0</v>
      </c>
      <c r="H45" s="23" t="s">
        <v>39</v>
      </c>
      <c r="I45" s="26" t="n">
        <f>200</f>
        <v>200.0</v>
      </c>
      <c r="J45" s="24" t="s">
        <v>39</v>
      </c>
      <c r="K45" s="25" t="n">
        <f>6199000</f>
        <v>6199000.0</v>
      </c>
      <c r="L45" s="23" t="s">
        <v>39</v>
      </c>
      <c r="M45" s="25" t="n">
        <f>19756000</f>
        <v>1.9756E7</v>
      </c>
      <c r="N45" s="23" t="s">
        <v>39</v>
      </c>
      <c r="O45" s="26" t="n">
        <f>25955000</f>
        <v>2.5955E7</v>
      </c>
      <c r="P45" s="27" t="n">
        <f>41</f>
        <v>41.0</v>
      </c>
      <c r="Q45" s="28" t="n">
        <f>1537</f>
        <v>1537.0</v>
      </c>
      <c r="R45" s="29" t="n">
        <f>1578</f>
        <v>1578.0</v>
      </c>
      <c r="S45" s="24" t="s">
        <v>39</v>
      </c>
      <c r="T45" s="25" t="n">
        <f>4</f>
        <v>4.0</v>
      </c>
      <c r="U45" s="23" t="s">
        <v>39</v>
      </c>
      <c r="V45" s="25" t="n">
        <f>12</f>
        <v>12.0</v>
      </c>
      <c r="W45" s="23" t="s">
        <v>39</v>
      </c>
      <c r="X45" s="26" t="n">
        <f>16</f>
        <v>16.0</v>
      </c>
      <c r="Y45" s="24" t="s">
        <v>39</v>
      </c>
      <c r="Z45" s="25" t="n">
        <f>817</f>
        <v>817.0</v>
      </c>
      <c r="AA45" s="23" t="s">
        <v>39</v>
      </c>
      <c r="AB45" s="25" t="n">
        <f>637</f>
        <v>637.0</v>
      </c>
      <c r="AC45" s="23" t="s">
        <v>39</v>
      </c>
      <c r="AD45" s="26" t="n">
        <f>1454</f>
        <v>1454.0</v>
      </c>
    </row>
    <row r="46">
      <c r="A46" s="30" t="s">
        <v>36</v>
      </c>
      <c r="B46" s="22" t="s">
        <v>59</v>
      </c>
      <c r="C46" s="22" t="s">
        <v>60</v>
      </c>
      <c r="D46" s="24"/>
      <c r="E46" s="25"/>
      <c r="F46" s="23"/>
      <c r="G46" s="25"/>
      <c r="H46" s="23"/>
      <c r="I46" s="26"/>
      <c r="J46" s="24"/>
      <c r="K46" s="25"/>
      <c r="L46" s="23"/>
      <c r="M46" s="25"/>
      <c r="N46" s="23"/>
      <c r="O46" s="26"/>
      <c r="P46" s="27"/>
      <c r="Q46" s="28"/>
      <c r="R46" s="29"/>
      <c r="S46" s="24"/>
      <c r="T46" s="25"/>
      <c r="U46" s="23"/>
      <c r="V46" s="25"/>
      <c r="W46" s="23"/>
      <c r="X46" s="26"/>
      <c r="Y46" s="24"/>
      <c r="Z46" s="25"/>
      <c r="AA46" s="23"/>
      <c r="AB46" s="25"/>
      <c r="AC46" s="23"/>
      <c r="AD46" s="26"/>
    </row>
    <row r="47">
      <c r="A47" s="30" t="s">
        <v>37</v>
      </c>
      <c r="B47" s="22" t="s">
        <v>59</v>
      </c>
      <c r="C47" s="22" t="s">
        <v>60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>
      <c r="A48" s="30" t="s">
        <v>38</v>
      </c>
      <c r="B48" s="22" t="s">
        <v>59</v>
      </c>
      <c r="C48" s="22" t="s">
        <v>60</v>
      </c>
      <c r="D48" s="24"/>
      <c r="E48" s="25" t="n">
        <f>387</f>
        <v>387.0</v>
      </c>
      <c r="F48" s="23"/>
      <c r="G48" s="25" t="n">
        <f>455</f>
        <v>455.0</v>
      </c>
      <c r="H48" s="23"/>
      <c r="I48" s="26" t="n">
        <f>842</f>
        <v>842.0</v>
      </c>
      <c r="J48" s="24"/>
      <c r="K48" s="25" t="n">
        <f>53931000</f>
        <v>5.3931E7</v>
      </c>
      <c r="L48" s="23"/>
      <c r="M48" s="25" t="n">
        <f>69268000</f>
        <v>6.9268E7</v>
      </c>
      <c r="N48" s="23"/>
      <c r="O48" s="26" t="n">
        <f>123199000</f>
        <v>1.23199E8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9</f>
        <v>9.0</v>
      </c>
      <c r="U48" s="23"/>
      <c r="V48" s="25" t="n">
        <f>276</f>
        <v>276.0</v>
      </c>
      <c r="W48" s="23"/>
      <c r="X48" s="26" t="n">
        <f>285</f>
        <v>285.0</v>
      </c>
      <c r="Y48" s="24"/>
      <c r="Z48" s="25" t="n">
        <f>1135</f>
        <v>1135.0</v>
      </c>
      <c r="AA48" s="23"/>
      <c r="AB48" s="25" t="n">
        <f>965</f>
        <v>965.0</v>
      </c>
      <c r="AC48" s="23"/>
      <c r="AD48" s="26" t="n">
        <f>2100</f>
        <v>2100.0</v>
      </c>
    </row>
    <row r="49">
      <c r="A49" s="30" t="s">
        <v>40</v>
      </c>
      <c r="B49" s="22" t="s">
        <v>59</v>
      </c>
      <c r="C49" s="22" t="s">
        <v>60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41</v>
      </c>
      <c r="B50" s="22" t="s">
        <v>59</v>
      </c>
      <c r="C50" s="22" t="s">
        <v>60</v>
      </c>
      <c r="D50" s="24"/>
      <c r="E50" s="25" t="n">
        <f>372</f>
        <v>372.0</v>
      </c>
      <c r="F50" s="23"/>
      <c r="G50" s="25" t="n">
        <f>804</f>
        <v>804.0</v>
      </c>
      <c r="H50" s="23"/>
      <c r="I50" s="26" t="n">
        <f>1176</f>
        <v>1176.0</v>
      </c>
      <c r="J50" s="24"/>
      <c r="K50" s="25" t="n">
        <f>23147000</f>
        <v>2.3147E7</v>
      </c>
      <c r="L50" s="23"/>
      <c r="M50" s="25" t="n">
        <f>72357000</f>
        <v>7.2357E7</v>
      </c>
      <c r="N50" s="23"/>
      <c r="O50" s="26" t="n">
        <f>95504000</f>
        <v>9.5504E7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12</f>
        <v>12.0</v>
      </c>
      <c r="U50" s="23"/>
      <c r="V50" s="25" t="n">
        <f>18</f>
        <v>18.0</v>
      </c>
      <c r="W50" s="23"/>
      <c r="X50" s="26" t="n">
        <f>30</f>
        <v>30.0</v>
      </c>
      <c r="Y50" s="24"/>
      <c r="Z50" s="25" t="n">
        <f>1282</f>
        <v>1282.0</v>
      </c>
      <c r="AA50" s="23"/>
      <c r="AB50" s="25" t="n">
        <f>1639</f>
        <v>1639.0</v>
      </c>
      <c r="AC50" s="23"/>
      <c r="AD50" s="26" t="n">
        <f>2921</f>
        <v>2921.0</v>
      </c>
    </row>
    <row r="51">
      <c r="A51" s="30" t="s">
        <v>42</v>
      </c>
      <c r="B51" s="22" t="s">
        <v>59</v>
      </c>
      <c r="C51" s="22" t="s">
        <v>60</v>
      </c>
      <c r="D51" s="24"/>
      <c r="E51" s="25" t="n">
        <f>737</f>
        <v>737.0</v>
      </c>
      <c r="F51" s="23"/>
      <c r="G51" s="25" t="n">
        <f>691</f>
        <v>691.0</v>
      </c>
      <c r="H51" s="23"/>
      <c r="I51" s="26" t="n">
        <f>1428</f>
        <v>1428.0</v>
      </c>
      <c r="J51" s="24"/>
      <c r="K51" s="25" t="n">
        <f>58576000</f>
        <v>5.8576E7</v>
      </c>
      <c r="L51" s="23"/>
      <c r="M51" s="25" t="n">
        <f>66264000</f>
        <v>6.6264E7</v>
      </c>
      <c r="N51" s="23"/>
      <c r="O51" s="26" t="n">
        <f>124840000</f>
        <v>1.2484E8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71</f>
        <v>71.0</v>
      </c>
      <c r="U51" s="23"/>
      <c r="V51" s="25" t="n">
        <f>49</f>
        <v>49.0</v>
      </c>
      <c r="W51" s="23"/>
      <c r="X51" s="26" t="n">
        <f>120</f>
        <v>120.0</v>
      </c>
      <c r="Y51" s="24"/>
      <c r="Z51" s="25" t="n">
        <f>1807</f>
        <v>1807.0</v>
      </c>
      <c r="AA51" s="23"/>
      <c r="AB51" s="25" t="n">
        <f>1927</f>
        <v>1927.0</v>
      </c>
      <c r="AC51" s="23"/>
      <c r="AD51" s="26" t="n">
        <f>3734</f>
        <v>3734.0</v>
      </c>
    </row>
    <row r="52">
      <c r="A52" s="30" t="s">
        <v>43</v>
      </c>
      <c r="B52" s="22" t="s">
        <v>59</v>
      </c>
      <c r="C52" s="22" t="s">
        <v>60</v>
      </c>
      <c r="D52" s="24"/>
      <c r="E52" s="25" t="n">
        <f>1297</f>
        <v>1297.0</v>
      </c>
      <c r="F52" s="23"/>
      <c r="G52" s="25" t="n">
        <f>1332</f>
        <v>1332.0</v>
      </c>
      <c r="H52" s="23"/>
      <c r="I52" s="26" t="n">
        <f>2629</f>
        <v>2629.0</v>
      </c>
      <c r="J52" s="24"/>
      <c r="K52" s="25" t="n">
        <f>75807000</f>
        <v>7.5807E7</v>
      </c>
      <c r="L52" s="23"/>
      <c r="M52" s="25" t="n">
        <f>75814000</f>
        <v>7.5814E7</v>
      </c>
      <c r="N52" s="23"/>
      <c r="O52" s="26" t="n">
        <f>151621000</f>
        <v>1.51621E8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149</f>
        <v>149.0</v>
      </c>
      <c r="U52" s="23"/>
      <c r="V52" s="25" t="n">
        <f>189</f>
        <v>189.0</v>
      </c>
      <c r="W52" s="23"/>
      <c r="X52" s="26" t="n">
        <f>338</f>
        <v>338.0</v>
      </c>
      <c r="Y52" s="24"/>
      <c r="Z52" s="25" t="n">
        <f>2200</f>
        <v>2200.0</v>
      </c>
      <c r="AA52" s="23"/>
      <c r="AB52" s="25" t="n">
        <f>2350</f>
        <v>2350.0</v>
      </c>
      <c r="AC52" s="23"/>
      <c r="AD52" s="26" t="n">
        <f>4550</f>
        <v>4550.0</v>
      </c>
    </row>
    <row r="53">
      <c r="A53" s="30" t="s">
        <v>44</v>
      </c>
      <c r="B53" s="22" t="s">
        <v>59</v>
      </c>
      <c r="C53" s="22" t="s">
        <v>60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>
      <c r="A54" s="30" t="s">
        <v>45</v>
      </c>
      <c r="B54" s="22" t="s">
        <v>59</v>
      </c>
      <c r="C54" s="22" t="s">
        <v>60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>
      <c r="A55" s="30" t="s">
        <v>46</v>
      </c>
      <c r="B55" s="22" t="s">
        <v>59</v>
      </c>
      <c r="C55" s="22" t="s">
        <v>60</v>
      </c>
      <c r="D55" s="24"/>
      <c r="E55" s="25" t="n">
        <f>3979</f>
        <v>3979.0</v>
      </c>
      <c r="F55" s="23"/>
      <c r="G55" s="25" t="n">
        <f>2060</f>
        <v>2060.0</v>
      </c>
      <c r="H55" s="23"/>
      <c r="I55" s="26" t="n">
        <f>6039</f>
        <v>6039.0</v>
      </c>
      <c r="J55" s="24"/>
      <c r="K55" s="25" t="n">
        <f>172623000</f>
        <v>1.72623E8</v>
      </c>
      <c r="L55" s="23"/>
      <c r="M55" s="25" t="n">
        <f>84347990</f>
        <v>8.434799E7</v>
      </c>
      <c r="N55" s="23"/>
      <c r="O55" s="26" t="n">
        <f>256970990</f>
        <v>2.5697099E8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427</f>
        <v>427.0</v>
      </c>
      <c r="U55" s="23"/>
      <c r="V55" s="25" t="n">
        <f>223</f>
        <v>223.0</v>
      </c>
      <c r="W55" s="23"/>
      <c r="X55" s="26" t="n">
        <f>650</f>
        <v>650.0</v>
      </c>
      <c r="Y55" s="24"/>
      <c r="Z55" s="25" t="n">
        <f>2855</f>
        <v>2855.0</v>
      </c>
      <c r="AA55" s="23"/>
      <c r="AB55" s="25" t="n">
        <f>2771</f>
        <v>2771.0</v>
      </c>
      <c r="AC55" s="23"/>
      <c r="AD55" s="26" t="n">
        <f>5626</f>
        <v>5626.0</v>
      </c>
    </row>
    <row r="56">
      <c r="A56" s="30" t="s">
        <v>47</v>
      </c>
      <c r="B56" s="22" t="s">
        <v>59</v>
      </c>
      <c r="C56" s="22" t="s">
        <v>60</v>
      </c>
      <c r="D56" s="24"/>
      <c r="E56" s="25" t="n">
        <f>3003</f>
        <v>3003.0</v>
      </c>
      <c r="F56" s="23"/>
      <c r="G56" s="25" t="n">
        <f>3074</f>
        <v>3074.0</v>
      </c>
      <c r="H56" s="23"/>
      <c r="I56" s="26" t="n">
        <f>6077</f>
        <v>6077.0</v>
      </c>
      <c r="J56" s="24"/>
      <c r="K56" s="25" t="n">
        <f>178313000</f>
        <v>1.78313E8</v>
      </c>
      <c r="L56" s="23"/>
      <c r="M56" s="25" t="n">
        <f>137150000</f>
        <v>1.3715E8</v>
      </c>
      <c r="N56" s="23"/>
      <c r="O56" s="26" t="n">
        <f>315463000</f>
        <v>3.15463E8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212</f>
        <v>212.0</v>
      </c>
      <c r="U56" s="23"/>
      <c r="V56" s="25" t="n">
        <f>352</f>
        <v>352.0</v>
      </c>
      <c r="W56" s="23"/>
      <c r="X56" s="26" t="n">
        <f>564</f>
        <v>564.0</v>
      </c>
      <c r="Y56" s="24"/>
      <c r="Z56" s="25" t="n">
        <f>3769</f>
        <v>3769.0</v>
      </c>
      <c r="AA56" s="23"/>
      <c r="AB56" s="25" t="n">
        <f>3580</f>
        <v>3580.0</v>
      </c>
      <c r="AC56" s="23"/>
      <c r="AD56" s="26" t="n">
        <f>7349</f>
        <v>7349.0</v>
      </c>
    </row>
    <row r="57">
      <c r="A57" s="30" t="s">
        <v>48</v>
      </c>
      <c r="B57" s="22" t="s">
        <v>59</v>
      </c>
      <c r="C57" s="22" t="s">
        <v>60</v>
      </c>
      <c r="D57" s="24"/>
      <c r="E57" s="25" t="n">
        <f>3714</f>
        <v>3714.0</v>
      </c>
      <c r="F57" s="23"/>
      <c r="G57" s="25" t="n">
        <f>3208</f>
        <v>3208.0</v>
      </c>
      <c r="H57" s="23"/>
      <c r="I57" s="26" t="n">
        <f>6922</f>
        <v>6922.0</v>
      </c>
      <c r="J57" s="24"/>
      <c r="K57" s="25" t="n">
        <f>214981000</f>
        <v>2.14981E8</v>
      </c>
      <c r="L57" s="23"/>
      <c r="M57" s="25" t="n">
        <f>159644000</f>
        <v>1.59644E8</v>
      </c>
      <c r="N57" s="23"/>
      <c r="O57" s="26" t="n">
        <f>374625000</f>
        <v>3.74625E8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412</f>
        <v>412.0</v>
      </c>
      <c r="U57" s="23"/>
      <c r="V57" s="25" t="n">
        <f>262</f>
        <v>262.0</v>
      </c>
      <c r="W57" s="23"/>
      <c r="X57" s="26" t="n">
        <f>674</f>
        <v>674.0</v>
      </c>
      <c r="Y57" s="24"/>
      <c r="Z57" s="25" t="n">
        <f>4585</f>
        <v>4585.0</v>
      </c>
      <c r="AA57" s="23"/>
      <c r="AB57" s="25" t="n">
        <f>4444</f>
        <v>4444.0</v>
      </c>
      <c r="AC57" s="23"/>
      <c r="AD57" s="26" t="n">
        <f>9029</f>
        <v>9029.0</v>
      </c>
    </row>
    <row r="58">
      <c r="A58" s="30" t="s">
        <v>49</v>
      </c>
      <c r="B58" s="22" t="s">
        <v>59</v>
      </c>
      <c r="C58" s="22" t="s">
        <v>60</v>
      </c>
      <c r="D58" s="24"/>
      <c r="E58" s="25" t="n">
        <f>6309</f>
        <v>6309.0</v>
      </c>
      <c r="F58" s="23" t="s">
        <v>34</v>
      </c>
      <c r="G58" s="25" t="n">
        <f>5117</f>
        <v>5117.0</v>
      </c>
      <c r="H58" s="23"/>
      <c r="I58" s="26" t="n">
        <f>11426</f>
        <v>11426.0</v>
      </c>
      <c r="J58" s="24"/>
      <c r="K58" s="25" t="n">
        <f>182469000</f>
        <v>1.82469E8</v>
      </c>
      <c r="L58" s="23"/>
      <c r="M58" s="25" t="n">
        <f>276323000</f>
        <v>2.76323E8</v>
      </c>
      <c r="N58" s="23"/>
      <c r="O58" s="26" t="n">
        <f>458792000</f>
        <v>4.58792E8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577</f>
        <v>577.0</v>
      </c>
      <c r="U58" s="23"/>
      <c r="V58" s="25" t="n">
        <f>274</f>
        <v>274.0</v>
      </c>
      <c r="W58" s="23"/>
      <c r="X58" s="26" t="n">
        <f>851</f>
        <v>851.0</v>
      </c>
      <c r="Y58" s="24"/>
      <c r="Z58" s="25" t="n">
        <f>5850</f>
        <v>5850.0</v>
      </c>
      <c r="AA58" s="23" t="s">
        <v>34</v>
      </c>
      <c r="AB58" s="25" t="n">
        <f>5052</f>
        <v>5052.0</v>
      </c>
      <c r="AC58" s="23" t="s">
        <v>34</v>
      </c>
      <c r="AD58" s="26" t="n">
        <f>10902</f>
        <v>10902.0</v>
      </c>
    </row>
    <row r="59">
      <c r="A59" s="30" t="s">
        <v>50</v>
      </c>
      <c r="B59" s="22" t="s">
        <v>59</v>
      </c>
      <c r="C59" s="22" t="s">
        <v>60</v>
      </c>
      <c r="D59" s="24"/>
      <c r="E59" s="25" t="n">
        <f>2361</f>
        <v>2361.0</v>
      </c>
      <c r="F59" s="23"/>
      <c r="G59" s="25" t="n">
        <f>2465</f>
        <v>2465.0</v>
      </c>
      <c r="H59" s="23"/>
      <c r="I59" s="26" t="n">
        <f>4826</f>
        <v>4826.0</v>
      </c>
      <c r="J59" s="24"/>
      <c r="K59" s="25" t="n">
        <f>188059000</f>
        <v>1.88059E8</v>
      </c>
      <c r="L59" s="23"/>
      <c r="M59" s="25" t="n">
        <f>158980730</f>
        <v>1.5898073E8</v>
      </c>
      <c r="N59" s="23"/>
      <c r="O59" s="26" t="n">
        <f>347039730</f>
        <v>3.4703973E8</v>
      </c>
      <c r="P59" s="27" t="n">
        <f>436</f>
        <v>436.0</v>
      </c>
      <c r="Q59" s="28" t="n">
        <f>380</f>
        <v>380.0</v>
      </c>
      <c r="R59" s="29" t="n">
        <f>816</f>
        <v>816.0</v>
      </c>
      <c r="S59" s="24"/>
      <c r="T59" s="25" t="n">
        <f>267</f>
        <v>267.0</v>
      </c>
      <c r="U59" s="23"/>
      <c r="V59" s="25" t="n">
        <f>373</f>
        <v>373.0</v>
      </c>
      <c r="W59" s="23"/>
      <c r="X59" s="26" t="n">
        <f>640</f>
        <v>640.0</v>
      </c>
      <c r="Y59" s="24"/>
      <c r="Z59" s="25" t="n">
        <f>2457</f>
        <v>2457.0</v>
      </c>
      <c r="AA59" s="23"/>
      <c r="AB59" s="25" t="n">
        <f>2979</f>
        <v>2979.0</v>
      </c>
      <c r="AC59" s="23"/>
      <c r="AD59" s="26" t="n">
        <f>5436</f>
        <v>5436.0</v>
      </c>
    </row>
    <row r="60">
      <c r="A60" s="30" t="s">
        <v>51</v>
      </c>
      <c r="B60" s="22" t="s">
        <v>59</v>
      </c>
      <c r="C60" s="22" t="s">
        <v>60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52</v>
      </c>
      <c r="B61" s="22" t="s">
        <v>59</v>
      </c>
      <c r="C61" s="22" t="s">
        <v>60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53</v>
      </c>
      <c r="B62" s="22" t="s">
        <v>59</v>
      </c>
      <c r="C62" s="22" t="s">
        <v>60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54</v>
      </c>
      <c r="B63" s="22" t="s">
        <v>59</v>
      </c>
      <c r="C63" s="22" t="s">
        <v>60</v>
      </c>
      <c r="D63" s="24"/>
      <c r="E63" s="25" t="n">
        <f>3481</f>
        <v>3481.0</v>
      </c>
      <c r="F63" s="23"/>
      <c r="G63" s="25" t="n">
        <f>3900</f>
        <v>3900.0</v>
      </c>
      <c r="H63" s="23"/>
      <c r="I63" s="26" t="n">
        <f>7381</f>
        <v>7381.0</v>
      </c>
      <c r="J63" s="24"/>
      <c r="K63" s="25" t="n">
        <f>618003000</f>
        <v>6.18003E8</v>
      </c>
      <c r="L63" s="23"/>
      <c r="M63" s="25" t="n">
        <f>178170000</f>
        <v>1.7817E8</v>
      </c>
      <c r="N63" s="23"/>
      <c r="O63" s="26" t="n">
        <f>796173000</f>
        <v>7.96173E8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197</f>
        <v>197.0</v>
      </c>
      <c r="U63" s="23"/>
      <c r="V63" s="25" t="n">
        <f>284</f>
        <v>284.0</v>
      </c>
      <c r="W63" s="23"/>
      <c r="X63" s="26" t="n">
        <f>481</f>
        <v>481.0</v>
      </c>
      <c r="Y63" s="24"/>
      <c r="Z63" s="25" t="n">
        <f>2683</f>
        <v>2683.0</v>
      </c>
      <c r="AA63" s="23"/>
      <c r="AB63" s="25" t="n">
        <f>3755</f>
        <v>3755.0</v>
      </c>
      <c r="AC63" s="23"/>
      <c r="AD63" s="26" t="n">
        <f>6438</f>
        <v>6438.0</v>
      </c>
    </row>
    <row r="64">
      <c r="A64" s="30" t="s">
        <v>55</v>
      </c>
      <c r="B64" s="22" t="s">
        <v>59</v>
      </c>
      <c r="C64" s="22" t="s">
        <v>60</v>
      </c>
      <c r="D64" s="24"/>
      <c r="E64" s="25" t="n">
        <f>2272</f>
        <v>2272.0</v>
      </c>
      <c r="F64" s="23"/>
      <c r="G64" s="25" t="n">
        <f>4071</f>
        <v>4071.0</v>
      </c>
      <c r="H64" s="23"/>
      <c r="I64" s="26" t="n">
        <f>6343</f>
        <v>6343.0</v>
      </c>
      <c r="J64" s="24"/>
      <c r="K64" s="25" t="n">
        <f>521153000</f>
        <v>5.21153E8</v>
      </c>
      <c r="L64" s="23"/>
      <c r="M64" s="25" t="n">
        <f>173413000</f>
        <v>1.73413E8</v>
      </c>
      <c r="N64" s="23"/>
      <c r="O64" s="26" t="n">
        <f>694566000</f>
        <v>6.94566E8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127</f>
        <v>127.0</v>
      </c>
      <c r="U64" s="23"/>
      <c r="V64" s="25" t="n">
        <f>417</f>
        <v>417.0</v>
      </c>
      <c r="W64" s="23"/>
      <c r="X64" s="26" t="n">
        <f>544</f>
        <v>544.0</v>
      </c>
      <c r="Y64" s="24"/>
      <c r="Z64" s="25" t="n">
        <f>2341</f>
        <v>2341.0</v>
      </c>
      <c r="AA64" s="23"/>
      <c r="AB64" s="25" t="n">
        <f>3632</f>
        <v>3632.0</v>
      </c>
      <c r="AC64" s="23"/>
      <c r="AD64" s="26" t="n">
        <f>5973</f>
        <v>5973.0</v>
      </c>
    </row>
    <row r="65">
      <c r="A65" s="30" t="s">
        <v>56</v>
      </c>
      <c r="B65" s="22" t="s">
        <v>59</v>
      </c>
      <c r="C65" s="22" t="s">
        <v>60</v>
      </c>
      <c r="D65" s="24"/>
      <c r="E65" s="25" t="n">
        <f>2811</f>
        <v>2811.0</v>
      </c>
      <c r="F65" s="23"/>
      <c r="G65" s="25" t="n">
        <f>4824</f>
        <v>4824.0</v>
      </c>
      <c r="H65" s="23"/>
      <c r="I65" s="26" t="n">
        <f>7635</f>
        <v>7635.0</v>
      </c>
      <c r="J65" s="24"/>
      <c r="K65" s="25" t="n">
        <f>487717000</f>
        <v>4.87717E8</v>
      </c>
      <c r="L65" s="23"/>
      <c r="M65" s="25" t="n">
        <f>240434000</f>
        <v>2.40434E8</v>
      </c>
      <c r="N65" s="23"/>
      <c r="O65" s="26" t="n">
        <f>728151000</f>
        <v>7.28151E8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106</f>
        <v>106.0</v>
      </c>
      <c r="U65" s="23"/>
      <c r="V65" s="25" t="n">
        <f>265</f>
        <v>265.0</v>
      </c>
      <c r="W65" s="23"/>
      <c r="X65" s="26" t="n">
        <f>371</f>
        <v>371.0</v>
      </c>
      <c r="Y65" s="24"/>
      <c r="Z65" s="25" t="n">
        <f>3192</f>
        <v>3192.0</v>
      </c>
      <c r="AA65" s="23"/>
      <c r="AB65" s="25" t="n">
        <f>4680</f>
        <v>4680.0</v>
      </c>
      <c r="AC65" s="23"/>
      <c r="AD65" s="26" t="n">
        <f>7872</f>
        <v>7872.0</v>
      </c>
    </row>
    <row r="66">
      <c r="A66" s="30" t="s">
        <v>57</v>
      </c>
      <c r="B66" s="22" t="s">
        <v>59</v>
      </c>
      <c r="C66" s="22" t="s">
        <v>60</v>
      </c>
      <c r="D66" s="24"/>
      <c r="E66" s="25" t="n">
        <f>2047</f>
        <v>2047.0</v>
      </c>
      <c r="F66" s="23"/>
      <c r="G66" s="25" t="n">
        <f>2354</f>
        <v>2354.0</v>
      </c>
      <c r="H66" s="23"/>
      <c r="I66" s="26" t="n">
        <f>4401</f>
        <v>4401.0</v>
      </c>
      <c r="J66" s="24" t="s">
        <v>34</v>
      </c>
      <c r="K66" s="25" t="n">
        <f>854860000</f>
        <v>8.5486E8</v>
      </c>
      <c r="L66" s="23"/>
      <c r="M66" s="25" t="n">
        <f>259393250</f>
        <v>2.5939325E8</v>
      </c>
      <c r="N66" s="23" t="s">
        <v>34</v>
      </c>
      <c r="O66" s="26" t="n">
        <f>1114253250</f>
        <v>1.11425325E9</v>
      </c>
      <c r="P66" s="27" t="n">
        <f>2499</f>
        <v>2499.0</v>
      </c>
      <c r="Q66" s="28" t="str">
        <f>"－"</f>
        <v>－</v>
      </c>
      <c r="R66" s="29" t="n">
        <f>2499</f>
        <v>2499.0</v>
      </c>
      <c r="S66" s="24"/>
      <c r="T66" s="25" t="n">
        <f>202</f>
        <v>202.0</v>
      </c>
      <c r="U66" s="23" t="s">
        <v>34</v>
      </c>
      <c r="V66" s="25" t="n">
        <f>766</f>
        <v>766.0</v>
      </c>
      <c r="W66" s="23"/>
      <c r="X66" s="26" t="n">
        <f>968</f>
        <v>968.0</v>
      </c>
      <c r="Y66" s="24"/>
      <c r="Z66" s="25" t="n">
        <f>1535</f>
        <v>1535.0</v>
      </c>
      <c r="AA66" s="23"/>
      <c r="AB66" s="25" t="n">
        <f>2369</f>
        <v>2369.0</v>
      </c>
      <c r="AC66" s="23"/>
      <c r="AD66" s="26" t="n">
        <f>3904</f>
        <v>3904.0</v>
      </c>
    </row>
    <row r="67">
      <c r="A67" s="30" t="s">
        <v>58</v>
      </c>
      <c r="B67" s="22" t="s">
        <v>59</v>
      </c>
      <c r="C67" s="22" t="s">
        <v>60</v>
      </c>
      <c r="D67" s="24"/>
      <c r="E67" s="25"/>
      <c r="F67" s="23"/>
      <c r="G67" s="25"/>
      <c r="H67" s="23"/>
      <c r="I67" s="26"/>
      <c r="J67" s="24"/>
      <c r="K67" s="25"/>
      <c r="L67" s="23"/>
      <c r="M67" s="25"/>
      <c r="N67" s="23"/>
      <c r="O67" s="26"/>
      <c r="P67" s="27"/>
      <c r="Q67" s="28"/>
      <c r="R67" s="29"/>
      <c r="S67" s="24"/>
      <c r="T67" s="25"/>
      <c r="U67" s="23"/>
      <c r="V67" s="25"/>
      <c r="W67" s="23"/>
      <c r="X67" s="26"/>
      <c r="Y67" s="24"/>
      <c r="Z67" s="25"/>
      <c r="AA67" s="23"/>
      <c r="AB67" s="25"/>
      <c r="AC67" s="23"/>
      <c r="AD67" s="26"/>
    </row>
    <row r="68">
      <c r="A68" s="30" t="s">
        <v>26</v>
      </c>
      <c r="B68" s="22" t="s">
        <v>61</v>
      </c>
      <c r="C68" s="22" t="s">
        <v>62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29</v>
      </c>
      <c r="B69" s="22" t="s">
        <v>61</v>
      </c>
      <c r="C69" s="22" t="s">
        <v>62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30</v>
      </c>
      <c r="B70" s="22" t="s">
        <v>61</v>
      </c>
      <c r="C70" s="22" t="s">
        <v>62</v>
      </c>
      <c r="D70" s="24"/>
      <c r="E70" s="25" t="n">
        <f>1350</f>
        <v>1350.0</v>
      </c>
      <c r="F70" s="23"/>
      <c r="G70" s="25" t="n">
        <f>100</f>
        <v>100.0</v>
      </c>
      <c r="H70" s="23"/>
      <c r="I70" s="26" t="n">
        <f>1450</f>
        <v>1450.0</v>
      </c>
      <c r="J70" s="24"/>
      <c r="K70" s="25" t="n">
        <f>600125000</f>
        <v>6.00125E8</v>
      </c>
      <c r="L70" s="23"/>
      <c r="M70" s="25" t="n">
        <f>110000000</f>
        <v>1.1E8</v>
      </c>
      <c r="N70" s="23"/>
      <c r="O70" s="26" t="n">
        <f>710125000</f>
        <v>7.10125E8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1250</f>
        <v>1250.0</v>
      </c>
      <c r="U70" s="23" t="s">
        <v>39</v>
      </c>
      <c r="V70" s="25" t="str">
        <f>"－"</f>
        <v>－</v>
      </c>
      <c r="W70" s="23"/>
      <c r="X70" s="26" t="n">
        <f>1250</f>
        <v>1250.0</v>
      </c>
      <c r="Y70" s="24" t="s">
        <v>39</v>
      </c>
      <c r="Z70" s="25" t="n">
        <f>86300</f>
        <v>86300.0</v>
      </c>
      <c r="AA70" s="23"/>
      <c r="AB70" s="25" t="n">
        <f>18748</f>
        <v>18748.0</v>
      </c>
      <c r="AC70" s="23" t="s">
        <v>39</v>
      </c>
      <c r="AD70" s="26" t="n">
        <f>105048</f>
        <v>105048.0</v>
      </c>
    </row>
    <row r="71">
      <c r="A71" s="30" t="s">
        <v>31</v>
      </c>
      <c r="B71" s="22" t="s">
        <v>61</v>
      </c>
      <c r="C71" s="22" t="s">
        <v>62</v>
      </c>
      <c r="D71" s="24"/>
      <c r="E71" s="25" t="n">
        <f>1750</f>
        <v>1750.0</v>
      </c>
      <c r="F71" s="23" t="s">
        <v>39</v>
      </c>
      <c r="G71" s="25" t="str">
        <f>"－"</f>
        <v>－</v>
      </c>
      <c r="H71" s="23"/>
      <c r="I71" s="26" t="n">
        <f>1750</f>
        <v>1750.0</v>
      </c>
      <c r="J71" s="24"/>
      <c r="K71" s="25" t="n">
        <f>671825000</f>
        <v>6.71825E8</v>
      </c>
      <c r="L71" s="23" t="s">
        <v>39</v>
      </c>
      <c r="M71" s="25" t="str">
        <f>"－"</f>
        <v>－</v>
      </c>
      <c r="N71" s="23"/>
      <c r="O71" s="26" t="n">
        <f>671825000</f>
        <v>6.71825E8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1750</f>
        <v>1750.0</v>
      </c>
      <c r="U71" s="23"/>
      <c r="V71" s="25" t="str">
        <f>"－"</f>
        <v>－</v>
      </c>
      <c r="W71" s="23"/>
      <c r="X71" s="26" t="n">
        <f>1750</f>
        <v>1750.0</v>
      </c>
      <c r="Y71" s="24"/>
      <c r="Z71" s="25" t="n">
        <f>88050</f>
        <v>88050.0</v>
      </c>
      <c r="AA71" s="23"/>
      <c r="AB71" s="25" t="n">
        <f>18748</f>
        <v>18748.0</v>
      </c>
      <c r="AC71" s="23"/>
      <c r="AD71" s="26" t="n">
        <f>106798</f>
        <v>106798.0</v>
      </c>
    </row>
    <row r="72">
      <c r="A72" s="30" t="s">
        <v>32</v>
      </c>
      <c r="B72" s="22" t="s">
        <v>61</v>
      </c>
      <c r="C72" s="22" t="s">
        <v>62</v>
      </c>
      <c r="D72" s="24" t="s">
        <v>39</v>
      </c>
      <c r="E72" s="25" t="str">
        <f>"－"</f>
        <v>－</v>
      </c>
      <c r="F72" s="23"/>
      <c r="G72" s="25" t="str">
        <f>"－"</f>
        <v>－</v>
      </c>
      <c r="H72" s="23" t="s">
        <v>39</v>
      </c>
      <c r="I72" s="26" t="str">
        <f>"－"</f>
        <v>－</v>
      </c>
      <c r="J72" s="24" t="s">
        <v>39</v>
      </c>
      <c r="K72" s="25" t="str">
        <f>"－"</f>
        <v>－</v>
      </c>
      <c r="L72" s="23"/>
      <c r="M72" s="25" t="str">
        <f>"－"</f>
        <v>－</v>
      </c>
      <c r="N72" s="23" t="s">
        <v>39</v>
      </c>
      <c r="O72" s="26" t="str">
        <f>"－"</f>
        <v>－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 t="s">
        <v>39</v>
      </c>
      <c r="T72" s="25" t="str">
        <f>"－"</f>
        <v>－</v>
      </c>
      <c r="U72" s="23"/>
      <c r="V72" s="25" t="str">
        <f>"－"</f>
        <v>－</v>
      </c>
      <c r="W72" s="23" t="s">
        <v>39</v>
      </c>
      <c r="X72" s="26" t="str">
        <f>"－"</f>
        <v>－</v>
      </c>
      <c r="Y72" s="24"/>
      <c r="Z72" s="25" t="n">
        <f>88050</f>
        <v>88050.0</v>
      </c>
      <c r="AA72" s="23"/>
      <c r="AB72" s="25" t="n">
        <f>18748</f>
        <v>18748.0</v>
      </c>
      <c r="AC72" s="23"/>
      <c r="AD72" s="26" t="n">
        <f>106798</f>
        <v>106798.0</v>
      </c>
    </row>
    <row r="73">
      <c r="A73" s="30" t="s">
        <v>33</v>
      </c>
      <c r="B73" s="22" t="s">
        <v>61</v>
      </c>
      <c r="C73" s="22" t="s">
        <v>62</v>
      </c>
      <c r="D73" s="24"/>
      <c r="E73" s="25" t="str">
        <f>"－"</f>
        <v>－</v>
      </c>
      <c r="F73" s="23"/>
      <c r="G73" s="25" t="str">
        <f>"－"</f>
        <v>－</v>
      </c>
      <c r="H73" s="23"/>
      <c r="I73" s="26" t="str">
        <f>"－"</f>
        <v>－</v>
      </c>
      <c r="J73" s="24"/>
      <c r="K73" s="25" t="str">
        <f>"－"</f>
        <v>－</v>
      </c>
      <c r="L73" s="23"/>
      <c r="M73" s="25" t="str">
        <f>"－"</f>
        <v>－</v>
      </c>
      <c r="N73" s="23"/>
      <c r="O73" s="26" t="str">
        <f>"－"</f>
        <v>－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/>
      <c r="V73" s="25" t="str">
        <f>"－"</f>
        <v>－</v>
      </c>
      <c r="W73" s="23"/>
      <c r="X73" s="26" t="str">
        <f>"－"</f>
        <v>－</v>
      </c>
      <c r="Y73" s="24"/>
      <c r="Z73" s="25" t="n">
        <f>88050</f>
        <v>88050.0</v>
      </c>
      <c r="AA73" s="23"/>
      <c r="AB73" s="25" t="n">
        <f>18748</f>
        <v>18748.0</v>
      </c>
      <c r="AC73" s="23"/>
      <c r="AD73" s="26" t="n">
        <f>106798</f>
        <v>106798.0</v>
      </c>
    </row>
    <row r="74">
      <c r="A74" s="30" t="s">
        <v>35</v>
      </c>
      <c r="B74" s="22" t="s">
        <v>61</v>
      </c>
      <c r="C74" s="22" t="s">
        <v>62</v>
      </c>
      <c r="D74" s="24"/>
      <c r="E74" s="25" t="n">
        <f>400</f>
        <v>400.0</v>
      </c>
      <c r="F74" s="23"/>
      <c r="G74" s="25" t="n">
        <f>400</f>
        <v>400.0</v>
      </c>
      <c r="H74" s="23"/>
      <c r="I74" s="26" t="n">
        <f>800</f>
        <v>800.0</v>
      </c>
      <c r="J74" s="24"/>
      <c r="K74" s="25" t="n">
        <f>22400000</f>
        <v>2.24E7</v>
      </c>
      <c r="L74" s="23"/>
      <c r="M74" s="25" t="n">
        <f>27400000</f>
        <v>2.74E7</v>
      </c>
      <c r="N74" s="23"/>
      <c r="O74" s="26" t="n">
        <f>49800000</f>
        <v>4.98E7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str">
        <f>"－"</f>
        <v>－</v>
      </c>
      <c r="W74" s="23"/>
      <c r="X74" s="26" t="str">
        <f>"－"</f>
        <v>－</v>
      </c>
      <c r="Y74" s="24"/>
      <c r="Z74" s="25" t="n">
        <f>88450</f>
        <v>88450.0</v>
      </c>
      <c r="AA74" s="23"/>
      <c r="AB74" s="25" t="n">
        <f>19148</f>
        <v>19148.0</v>
      </c>
      <c r="AC74" s="23"/>
      <c r="AD74" s="26" t="n">
        <f>107598</f>
        <v>107598.0</v>
      </c>
    </row>
    <row r="75">
      <c r="A75" s="30" t="s">
        <v>36</v>
      </c>
      <c r="B75" s="22" t="s">
        <v>61</v>
      </c>
      <c r="C75" s="22" t="s">
        <v>62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37</v>
      </c>
      <c r="B76" s="22" t="s">
        <v>61</v>
      </c>
      <c r="C76" s="22" t="s">
        <v>62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38</v>
      </c>
      <c r="B77" s="22" t="s">
        <v>61</v>
      </c>
      <c r="C77" s="22" t="s">
        <v>62</v>
      </c>
      <c r="D77" s="24"/>
      <c r="E77" s="25" t="n">
        <f>500</f>
        <v>500.0</v>
      </c>
      <c r="F77" s="23" t="s">
        <v>34</v>
      </c>
      <c r="G77" s="25" t="n">
        <f>500</f>
        <v>500.0</v>
      </c>
      <c r="H77" s="23"/>
      <c r="I77" s="26" t="n">
        <f>1000</f>
        <v>1000.0</v>
      </c>
      <c r="J77" s="24"/>
      <c r="K77" s="25" t="n">
        <f>70000000</f>
        <v>7.0E7</v>
      </c>
      <c r="L77" s="23" t="s">
        <v>34</v>
      </c>
      <c r="M77" s="25" t="n">
        <f>250000000</f>
        <v>2.5E8</v>
      </c>
      <c r="N77" s="23"/>
      <c r="O77" s="26" t="n">
        <f>320000000</f>
        <v>3.2E8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/>
      <c r="V77" s="25" t="str">
        <f>"－"</f>
        <v>－</v>
      </c>
      <c r="W77" s="23"/>
      <c r="X77" s="26" t="str">
        <f>"－"</f>
        <v>－</v>
      </c>
      <c r="Y77" s="24"/>
      <c r="Z77" s="25" t="n">
        <f>88950</f>
        <v>88950.0</v>
      </c>
      <c r="AA77" s="23"/>
      <c r="AB77" s="25" t="n">
        <f>19448</f>
        <v>19448.0</v>
      </c>
      <c r="AC77" s="23"/>
      <c r="AD77" s="26" t="n">
        <f>108398</f>
        <v>108398.0</v>
      </c>
    </row>
    <row r="78">
      <c r="A78" s="30" t="s">
        <v>40</v>
      </c>
      <c r="B78" s="22" t="s">
        <v>61</v>
      </c>
      <c r="C78" s="22" t="s">
        <v>62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>
      <c r="A79" s="30" t="s">
        <v>41</v>
      </c>
      <c r="B79" s="22" t="s">
        <v>61</v>
      </c>
      <c r="C79" s="22" t="s">
        <v>62</v>
      </c>
      <c r="D79" s="24"/>
      <c r="E79" s="25" t="n">
        <f>1800</f>
        <v>1800.0</v>
      </c>
      <c r="F79" s="23"/>
      <c r="G79" s="25" t="str">
        <f>"－"</f>
        <v>－</v>
      </c>
      <c r="H79" s="23"/>
      <c r="I79" s="26" t="n">
        <f>1800</f>
        <v>1800.0</v>
      </c>
      <c r="J79" s="24"/>
      <c r="K79" s="25" t="n">
        <f>235000000</f>
        <v>2.35E8</v>
      </c>
      <c r="L79" s="23"/>
      <c r="M79" s="25" t="str">
        <f>"－"</f>
        <v>－</v>
      </c>
      <c r="N79" s="23"/>
      <c r="O79" s="26" t="n">
        <f>235000000</f>
        <v>2.35E8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/>
      <c r="Z79" s="25" t="n">
        <f>90750</f>
        <v>90750.0</v>
      </c>
      <c r="AA79" s="23"/>
      <c r="AB79" s="25" t="n">
        <f>19448</f>
        <v>19448.0</v>
      </c>
      <c r="AC79" s="23"/>
      <c r="AD79" s="26" t="n">
        <f>110198</f>
        <v>110198.0</v>
      </c>
    </row>
    <row r="80">
      <c r="A80" s="30" t="s">
        <v>42</v>
      </c>
      <c r="B80" s="22" t="s">
        <v>61</v>
      </c>
      <c r="C80" s="22" t="s">
        <v>62</v>
      </c>
      <c r="D80" s="24"/>
      <c r="E80" s="25" t="n">
        <f>1850</f>
        <v>1850.0</v>
      </c>
      <c r="F80" s="23"/>
      <c r="G80" s="25" t="n">
        <f>50</f>
        <v>50.0</v>
      </c>
      <c r="H80" s="23"/>
      <c r="I80" s="26" t="n">
        <f>1900</f>
        <v>1900.0</v>
      </c>
      <c r="J80" s="24"/>
      <c r="K80" s="25" t="n">
        <f>281450000</f>
        <v>2.8145E8</v>
      </c>
      <c r="L80" s="23"/>
      <c r="M80" s="25" t="n">
        <f>17500000</f>
        <v>1.75E7</v>
      </c>
      <c r="N80" s="23"/>
      <c r="O80" s="26" t="n">
        <f>298950000</f>
        <v>2.9895E8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1800</f>
        <v>1800.0</v>
      </c>
      <c r="U80" s="23"/>
      <c r="V80" s="25" t="str">
        <f>"－"</f>
        <v>－</v>
      </c>
      <c r="W80" s="23"/>
      <c r="X80" s="26" t="n">
        <f>1800</f>
        <v>1800.0</v>
      </c>
      <c r="Y80" s="24"/>
      <c r="Z80" s="25" t="n">
        <f>92100</f>
        <v>92100.0</v>
      </c>
      <c r="AA80" s="23" t="s">
        <v>34</v>
      </c>
      <c r="AB80" s="25" t="n">
        <f>19498</f>
        <v>19498.0</v>
      </c>
      <c r="AC80" s="23"/>
      <c r="AD80" s="26" t="n">
        <f>111598</f>
        <v>111598.0</v>
      </c>
    </row>
    <row r="81">
      <c r="A81" s="30" t="s">
        <v>43</v>
      </c>
      <c r="B81" s="22" t="s">
        <v>61</v>
      </c>
      <c r="C81" s="22" t="s">
        <v>62</v>
      </c>
      <c r="D81" s="24"/>
      <c r="E81" s="25" t="str">
        <f>"－"</f>
        <v>－</v>
      </c>
      <c r="F81" s="23"/>
      <c r="G81" s="25" t="str">
        <f>"－"</f>
        <v>－</v>
      </c>
      <c r="H81" s="23"/>
      <c r="I81" s="26" t="str">
        <f>"－"</f>
        <v>－</v>
      </c>
      <c r="J81" s="24"/>
      <c r="K81" s="25" t="str">
        <f>"－"</f>
        <v>－</v>
      </c>
      <c r="L81" s="23"/>
      <c r="M81" s="25" t="str">
        <f>"－"</f>
        <v>－</v>
      </c>
      <c r="N81" s="23"/>
      <c r="O81" s="26" t="str">
        <f>"－"</f>
        <v>－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/>
      <c r="V81" s="25" t="str">
        <f>"－"</f>
        <v>－</v>
      </c>
      <c r="W81" s="23"/>
      <c r="X81" s="26" t="str">
        <f>"－"</f>
        <v>－</v>
      </c>
      <c r="Y81" s="24"/>
      <c r="Z81" s="25" t="n">
        <f>91700</f>
        <v>91700.0</v>
      </c>
      <c r="AA81" s="23" t="s">
        <v>39</v>
      </c>
      <c r="AB81" s="25" t="n">
        <f>17227</f>
        <v>17227.0</v>
      </c>
      <c r="AC81" s="23"/>
      <c r="AD81" s="26" t="n">
        <f>108927</f>
        <v>108927.0</v>
      </c>
    </row>
    <row r="82">
      <c r="A82" s="30" t="s">
        <v>44</v>
      </c>
      <c r="B82" s="22" t="s">
        <v>61</v>
      </c>
      <c r="C82" s="22" t="s">
        <v>62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45</v>
      </c>
      <c r="B83" s="22" t="s">
        <v>61</v>
      </c>
      <c r="C83" s="22" t="s">
        <v>62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46</v>
      </c>
      <c r="B84" s="22" t="s">
        <v>61</v>
      </c>
      <c r="C84" s="22" t="s">
        <v>62</v>
      </c>
      <c r="D84" s="24"/>
      <c r="E84" s="25" t="str">
        <f>"－"</f>
        <v>－</v>
      </c>
      <c r="F84" s="23"/>
      <c r="G84" s="25" t="n">
        <f>285</f>
        <v>285.0</v>
      </c>
      <c r="H84" s="23"/>
      <c r="I84" s="26" t="n">
        <f>285</f>
        <v>285.0</v>
      </c>
      <c r="J84" s="24"/>
      <c r="K84" s="25" t="str">
        <f>"－"</f>
        <v>－</v>
      </c>
      <c r="L84" s="23"/>
      <c r="M84" s="25" t="n">
        <f>11706500</f>
        <v>1.17065E7</v>
      </c>
      <c r="N84" s="23"/>
      <c r="O84" s="26" t="n">
        <f>11706500</f>
        <v>1.17065E7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 t="s">
        <v>34</v>
      </c>
      <c r="V84" s="25" t="n">
        <f>285</f>
        <v>285.0</v>
      </c>
      <c r="W84" s="23"/>
      <c r="X84" s="26" t="n">
        <f>285</f>
        <v>285.0</v>
      </c>
      <c r="Y84" s="24"/>
      <c r="Z84" s="25" t="n">
        <f>91700</f>
        <v>91700.0</v>
      </c>
      <c r="AA84" s="23"/>
      <c r="AB84" s="25" t="n">
        <f>17337</f>
        <v>17337.0</v>
      </c>
      <c r="AC84" s="23"/>
      <c r="AD84" s="26" t="n">
        <f>109037</f>
        <v>109037.0</v>
      </c>
    </row>
    <row r="85">
      <c r="A85" s="30" t="s">
        <v>47</v>
      </c>
      <c r="B85" s="22" t="s">
        <v>61</v>
      </c>
      <c r="C85" s="22" t="s">
        <v>62</v>
      </c>
      <c r="D85" s="24"/>
      <c r="E85" s="25" t="n">
        <f>1500</f>
        <v>1500.0</v>
      </c>
      <c r="F85" s="23"/>
      <c r="G85" s="25" t="str">
        <f>"－"</f>
        <v>－</v>
      </c>
      <c r="H85" s="23"/>
      <c r="I85" s="26" t="n">
        <f>1500</f>
        <v>1500.0</v>
      </c>
      <c r="J85" s="24"/>
      <c r="K85" s="25" t="n">
        <f>35800000</f>
        <v>3.58E7</v>
      </c>
      <c r="L85" s="23"/>
      <c r="M85" s="25" t="str">
        <f>"－"</f>
        <v>－</v>
      </c>
      <c r="N85" s="23"/>
      <c r="O85" s="26" t="n">
        <f>35800000</f>
        <v>3.58E7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n">
        <f>1500</f>
        <v>1500.0</v>
      </c>
      <c r="U85" s="23"/>
      <c r="V85" s="25" t="str">
        <f>"－"</f>
        <v>－</v>
      </c>
      <c r="W85" s="23"/>
      <c r="X85" s="26" t="n">
        <f>1500</f>
        <v>1500.0</v>
      </c>
      <c r="Y85" s="24"/>
      <c r="Z85" s="25" t="n">
        <f>93120</f>
        <v>93120.0</v>
      </c>
      <c r="AA85" s="23"/>
      <c r="AB85" s="25" t="n">
        <f>17337</f>
        <v>17337.0</v>
      </c>
      <c r="AC85" s="23"/>
      <c r="AD85" s="26" t="n">
        <f>110457</f>
        <v>110457.0</v>
      </c>
    </row>
    <row r="86">
      <c r="A86" s="30" t="s">
        <v>48</v>
      </c>
      <c r="B86" s="22" t="s">
        <v>61</v>
      </c>
      <c r="C86" s="22" t="s">
        <v>62</v>
      </c>
      <c r="D86" s="24"/>
      <c r="E86" s="25" t="n">
        <f>1139</f>
        <v>1139.0</v>
      </c>
      <c r="F86" s="23"/>
      <c r="G86" s="25" t="str">
        <f>"－"</f>
        <v>－</v>
      </c>
      <c r="H86" s="23"/>
      <c r="I86" s="26" t="n">
        <f>1139</f>
        <v>1139.0</v>
      </c>
      <c r="J86" s="24"/>
      <c r="K86" s="25" t="n">
        <f>119459740</f>
        <v>1.1945974E8</v>
      </c>
      <c r="L86" s="23"/>
      <c r="M86" s="25" t="str">
        <f>"－"</f>
        <v>－</v>
      </c>
      <c r="N86" s="23"/>
      <c r="O86" s="26" t="n">
        <f>119459740</f>
        <v>1.1945974E8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n">
        <f>1139</f>
        <v>1139.0</v>
      </c>
      <c r="U86" s="23"/>
      <c r="V86" s="25" t="str">
        <f>"－"</f>
        <v>－</v>
      </c>
      <c r="W86" s="23"/>
      <c r="X86" s="26" t="n">
        <f>1139</f>
        <v>1139.0</v>
      </c>
      <c r="Y86" s="24"/>
      <c r="Z86" s="25" t="n">
        <f>93688</f>
        <v>93688.0</v>
      </c>
      <c r="AA86" s="23"/>
      <c r="AB86" s="25" t="n">
        <f>17337</f>
        <v>17337.0</v>
      </c>
      <c r="AC86" s="23"/>
      <c r="AD86" s="26" t="n">
        <f>111025</f>
        <v>111025.0</v>
      </c>
    </row>
    <row r="87">
      <c r="A87" s="30" t="s">
        <v>49</v>
      </c>
      <c r="B87" s="22" t="s">
        <v>61</v>
      </c>
      <c r="C87" s="22" t="s">
        <v>62</v>
      </c>
      <c r="D87" s="24"/>
      <c r="E87" s="25" t="str">
        <f>"－"</f>
        <v>－</v>
      </c>
      <c r="F87" s="23"/>
      <c r="G87" s="25" t="str">
        <f>"－"</f>
        <v>－</v>
      </c>
      <c r="H87" s="23"/>
      <c r="I87" s="26" t="str">
        <f>"－"</f>
        <v>－</v>
      </c>
      <c r="J87" s="24"/>
      <c r="K87" s="25" t="str">
        <f>"－"</f>
        <v>－</v>
      </c>
      <c r="L87" s="23"/>
      <c r="M87" s="25" t="str">
        <f>"－"</f>
        <v>－</v>
      </c>
      <c r="N87" s="23"/>
      <c r="O87" s="26" t="str">
        <f>"－"</f>
        <v>－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93688</f>
        <v>93688.0</v>
      </c>
      <c r="AA87" s="23"/>
      <c r="AB87" s="25" t="n">
        <f>17337</f>
        <v>17337.0</v>
      </c>
      <c r="AC87" s="23"/>
      <c r="AD87" s="26" t="n">
        <f>111025</f>
        <v>111025.0</v>
      </c>
    </row>
    <row r="88">
      <c r="A88" s="30" t="s">
        <v>50</v>
      </c>
      <c r="B88" s="22" t="s">
        <v>61</v>
      </c>
      <c r="C88" s="22" t="s">
        <v>62</v>
      </c>
      <c r="D88" s="24"/>
      <c r="E88" s="25" t="n">
        <f>500</f>
        <v>500.0</v>
      </c>
      <c r="F88" s="23"/>
      <c r="G88" s="25" t="str">
        <f>"－"</f>
        <v>－</v>
      </c>
      <c r="H88" s="23"/>
      <c r="I88" s="26" t="n">
        <f>500</f>
        <v>500.0</v>
      </c>
      <c r="J88" s="24"/>
      <c r="K88" s="25" t="n">
        <f>535000000</f>
        <v>5.35E8</v>
      </c>
      <c r="L88" s="23"/>
      <c r="M88" s="25" t="str">
        <f>"－"</f>
        <v>－</v>
      </c>
      <c r="N88" s="23"/>
      <c r="O88" s="26" t="n">
        <f>535000000</f>
        <v>5.35E8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94188</f>
        <v>94188.0</v>
      </c>
      <c r="AA88" s="23"/>
      <c r="AB88" s="25" t="n">
        <f>17337</f>
        <v>17337.0</v>
      </c>
      <c r="AC88" s="23"/>
      <c r="AD88" s="26" t="n">
        <f>111525</f>
        <v>111525.0</v>
      </c>
    </row>
    <row r="89">
      <c r="A89" s="30" t="s">
        <v>51</v>
      </c>
      <c r="B89" s="22" t="s">
        <v>61</v>
      </c>
      <c r="C89" s="22" t="s">
        <v>62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52</v>
      </c>
      <c r="B90" s="22" t="s">
        <v>61</v>
      </c>
      <c r="C90" s="22" t="s">
        <v>62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53</v>
      </c>
      <c r="B91" s="22" t="s">
        <v>61</v>
      </c>
      <c r="C91" s="22" t="s">
        <v>62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54</v>
      </c>
      <c r="B92" s="22" t="s">
        <v>61</v>
      </c>
      <c r="C92" s="22" t="s">
        <v>62</v>
      </c>
      <c r="D92" s="24"/>
      <c r="E92" s="25" t="n">
        <f>950</f>
        <v>950.0</v>
      </c>
      <c r="F92" s="23"/>
      <c r="G92" s="25" t="str">
        <f>"－"</f>
        <v>－</v>
      </c>
      <c r="H92" s="23"/>
      <c r="I92" s="26" t="n">
        <f>950</f>
        <v>950.0</v>
      </c>
      <c r="J92" s="24"/>
      <c r="K92" s="25" t="n">
        <f>1115550000</f>
        <v>1.11555E9</v>
      </c>
      <c r="L92" s="23"/>
      <c r="M92" s="25" t="str">
        <f>"－"</f>
        <v>－</v>
      </c>
      <c r="N92" s="23"/>
      <c r="O92" s="26" t="n">
        <f>1115550000</f>
        <v>1.11555E9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95138</f>
        <v>95138.0</v>
      </c>
      <c r="AA92" s="23"/>
      <c r="AB92" s="25" t="n">
        <f>17337</f>
        <v>17337.0</v>
      </c>
      <c r="AC92" s="23"/>
      <c r="AD92" s="26" t="n">
        <f>112475</f>
        <v>112475.0</v>
      </c>
    </row>
    <row r="93">
      <c r="A93" s="30" t="s">
        <v>55</v>
      </c>
      <c r="B93" s="22" t="s">
        <v>61</v>
      </c>
      <c r="C93" s="22" t="s">
        <v>62</v>
      </c>
      <c r="D93" s="24"/>
      <c r="E93" s="25" t="str">
        <f>"－"</f>
        <v>－</v>
      </c>
      <c r="F93" s="23"/>
      <c r="G93" s="25" t="str">
        <f>"－"</f>
        <v>－</v>
      </c>
      <c r="H93" s="23"/>
      <c r="I93" s="26" t="str">
        <f>"－"</f>
        <v>－</v>
      </c>
      <c r="J93" s="24"/>
      <c r="K93" s="25" t="str">
        <f>"－"</f>
        <v>－</v>
      </c>
      <c r="L93" s="23"/>
      <c r="M93" s="25" t="str">
        <f>"－"</f>
        <v>－</v>
      </c>
      <c r="N93" s="23"/>
      <c r="O93" s="26" t="str">
        <f>"－"</f>
        <v>－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95138</f>
        <v>95138.0</v>
      </c>
      <c r="AA93" s="23"/>
      <c r="AB93" s="25" t="n">
        <f>17337</f>
        <v>17337.0</v>
      </c>
      <c r="AC93" s="23"/>
      <c r="AD93" s="26" t="n">
        <f>112475</f>
        <v>112475.0</v>
      </c>
    </row>
    <row r="94">
      <c r="A94" s="30" t="s">
        <v>56</v>
      </c>
      <c r="B94" s="22" t="s">
        <v>61</v>
      </c>
      <c r="C94" s="22" t="s">
        <v>62</v>
      </c>
      <c r="D94" s="24" t="s">
        <v>34</v>
      </c>
      <c r="E94" s="25" t="n">
        <f>6850</f>
        <v>6850.0</v>
      </c>
      <c r="F94" s="23"/>
      <c r="G94" s="25" t="n">
        <f>100</f>
        <v>100.0</v>
      </c>
      <c r="H94" s="23" t="s">
        <v>34</v>
      </c>
      <c r="I94" s="26" t="n">
        <f>6950</f>
        <v>6950.0</v>
      </c>
      <c r="J94" s="24" t="s">
        <v>34</v>
      </c>
      <c r="K94" s="25" t="n">
        <f>2073792500</f>
        <v>2.0737925E9</v>
      </c>
      <c r="L94" s="23"/>
      <c r="M94" s="25" t="n">
        <f>150000000</f>
        <v>1.5E8</v>
      </c>
      <c r="N94" s="23" t="s">
        <v>34</v>
      </c>
      <c r="O94" s="26" t="n">
        <f>2223792500</f>
        <v>2.2237925E9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 t="s">
        <v>34</v>
      </c>
      <c r="T94" s="25" t="n">
        <f>6850</f>
        <v>6850.0</v>
      </c>
      <c r="U94" s="23"/>
      <c r="V94" s="25" t="n">
        <f>100</f>
        <v>100.0</v>
      </c>
      <c r="W94" s="23" t="s">
        <v>34</v>
      </c>
      <c r="X94" s="26" t="n">
        <f>6950</f>
        <v>6950.0</v>
      </c>
      <c r="Y94" s="24"/>
      <c r="Z94" s="25" t="n">
        <f>95188</f>
        <v>95188.0</v>
      </c>
      <c r="AA94" s="23"/>
      <c r="AB94" s="25" t="n">
        <f>17387</f>
        <v>17387.0</v>
      </c>
      <c r="AC94" s="23"/>
      <c r="AD94" s="26" t="n">
        <f>112575</f>
        <v>112575.0</v>
      </c>
    </row>
    <row r="95">
      <c r="A95" s="30" t="s">
        <v>57</v>
      </c>
      <c r="B95" s="22" t="s">
        <v>61</v>
      </c>
      <c r="C95" s="22" t="s">
        <v>62</v>
      </c>
      <c r="D95" s="24"/>
      <c r="E95" s="25" t="n">
        <f>2628</f>
        <v>2628.0</v>
      </c>
      <c r="F95" s="23"/>
      <c r="G95" s="25" t="str">
        <f>"－"</f>
        <v>－</v>
      </c>
      <c r="H95" s="23"/>
      <c r="I95" s="26" t="n">
        <f>2628</f>
        <v>2628.0</v>
      </c>
      <c r="J95" s="24"/>
      <c r="K95" s="25" t="n">
        <f>946080000</f>
        <v>9.4608E8</v>
      </c>
      <c r="L95" s="23"/>
      <c r="M95" s="25" t="str">
        <f>"－"</f>
        <v>－</v>
      </c>
      <c r="N95" s="23"/>
      <c r="O95" s="26" t="n">
        <f>946080000</f>
        <v>9.4608E8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 t="s">
        <v>34</v>
      </c>
      <c r="Z95" s="25" t="n">
        <f>97816</f>
        <v>97816.0</v>
      </c>
      <c r="AA95" s="23"/>
      <c r="AB95" s="25" t="n">
        <f>17387</f>
        <v>17387.0</v>
      </c>
      <c r="AC95" s="23" t="s">
        <v>34</v>
      </c>
      <c r="AD95" s="26" t="n">
        <f>115203</f>
        <v>115203.0</v>
      </c>
    </row>
    <row r="96">
      <c r="A96" s="30" t="s">
        <v>58</v>
      </c>
      <c r="B96" s="22" t="s">
        <v>61</v>
      </c>
      <c r="C96" s="22" t="s">
        <v>62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26</v>
      </c>
      <c r="B97" s="22" t="s">
        <v>63</v>
      </c>
      <c r="C97" s="22" t="s">
        <v>64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29</v>
      </c>
      <c r="B98" s="22" t="s">
        <v>63</v>
      </c>
      <c r="C98" s="22" t="s">
        <v>64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30</v>
      </c>
      <c r="B99" s="22" t="s">
        <v>63</v>
      </c>
      <c r="C99" s="22" t="s">
        <v>64</v>
      </c>
      <c r="D99" s="24" t="s">
        <v>65</v>
      </c>
      <c r="E99" s="25" t="str">
        <f>"－"</f>
        <v>－</v>
      </c>
      <c r="F99" s="23" t="s">
        <v>65</v>
      </c>
      <c r="G99" s="25" t="str">
        <f>"－"</f>
        <v>－</v>
      </c>
      <c r="H99" s="23" t="s">
        <v>65</v>
      </c>
      <c r="I99" s="26" t="str">
        <f>"－"</f>
        <v>－</v>
      </c>
      <c r="J99" s="24" t="s">
        <v>65</v>
      </c>
      <c r="K99" s="25" t="str">
        <f>"－"</f>
        <v>－</v>
      </c>
      <c r="L99" s="23" t="s">
        <v>65</v>
      </c>
      <c r="M99" s="25" t="str">
        <f>"－"</f>
        <v>－</v>
      </c>
      <c r="N99" s="23" t="s">
        <v>65</v>
      </c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 t="s">
        <v>65</v>
      </c>
      <c r="T99" s="25" t="str">
        <f>"－"</f>
        <v>－</v>
      </c>
      <c r="U99" s="23" t="s">
        <v>65</v>
      </c>
      <c r="V99" s="25" t="str">
        <f>"－"</f>
        <v>－</v>
      </c>
      <c r="W99" s="23" t="s">
        <v>65</v>
      </c>
      <c r="X99" s="26" t="str">
        <f>"－"</f>
        <v>－</v>
      </c>
      <c r="Y99" s="24" t="s">
        <v>65</v>
      </c>
      <c r="Z99" s="25" t="str">
        <f>"－"</f>
        <v>－</v>
      </c>
      <c r="AA99" s="23" t="s">
        <v>65</v>
      </c>
      <c r="AB99" s="25" t="str">
        <f>"－"</f>
        <v>－</v>
      </c>
      <c r="AC99" s="23" t="s">
        <v>65</v>
      </c>
      <c r="AD99" s="26" t="str">
        <f>"－"</f>
        <v>－</v>
      </c>
    </row>
    <row r="100">
      <c r="A100" s="30" t="s">
        <v>31</v>
      </c>
      <c r="B100" s="22" t="s">
        <v>63</v>
      </c>
      <c r="C100" s="22" t="s">
        <v>64</v>
      </c>
      <c r="D100" s="24"/>
      <c r="E100" s="25" t="str">
        <f>"－"</f>
        <v>－</v>
      </c>
      <c r="F100" s="23"/>
      <c r="G100" s="25" t="str">
        <f>"－"</f>
        <v>－</v>
      </c>
      <c r="H100" s="23"/>
      <c r="I100" s="26" t="str">
        <f>"－"</f>
        <v>－</v>
      </c>
      <c r="J100" s="24"/>
      <c r="K100" s="25" t="str">
        <f>"－"</f>
        <v>－</v>
      </c>
      <c r="L100" s="23"/>
      <c r="M100" s="25" t="str">
        <f>"－"</f>
        <v>－</v>
      </c>
      <c r="N100" s="23"/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str">
        <f>"－"</f>
        <v>－</v>
      </c>
      <c r="U100" s="23"/>
      <c r="V100" s="25" t="str">
        <f>"－"</f>
        <v>－</v>
      </c>
      <c r="W100" s="23"/>
      <c r="X100" s="26" t="str">
        <f>"－"</f>
        <v>－</v>
      </c>
      <c r="Y100" s="24"/>
      <c r="Z100" s="25" t="str">
        <f>"－"</f>
        <v>－</v>
      </c>
      <c r="AA100" s="23"/>
      <c r="AB100" s="25" t="str">
        <f>"－"</f>
        <v>－</v>
      </c>
      <c r="AC100" s="23"/>
      <c r="AD100" s="26" t="str">
        <f>"－"</f>
        <v>－</v>
      </c>
    </row>
    <row r="101">
      <c r="A101" s="30" t="s">
        <v>32</v>
      </c>
      <c r="B101" s="22" t="s">
        <v>63</v>
      </c>
      <c r="C101" s="22" t="s">
        <v>64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33</v>
      </c>
      <c r="B102" s="22" t="s">
        <v>63</v>
      </c>
      <c r="C102" s="22" t="s">
        <v>64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str">
        <f>"－"</f>
        <v>－</v>
      </c>
      <c r="AA102" s="23"/>
      <c r="AB102" s="25" t="str">
        <f>"－"</f>
        <v>－</v>
      </c>
      <c r="AC102" s="23"/>
      <c r="AD102" s="26" t="str">
        <f>"－"</f>
        <v>－</v>
      </c>
    </row>
    <row r="103">
      <c r="A103" s="30" t="s">
        <v>35</v>
      </c>
      <c r="B103" s="22" t="s">
        <v>63</v>
      </c>
      <c r="C103" s="22" t="s">
        <v>64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36</v>
      </c>
      <c r="B104" s="22" t="s">
        <v>63</v>
      </c>
      <c r="C104" s="22" t="s">
        <v>64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37</v>
      </c>
      <c r="B105" s="22" t="s">
        <v>63</v>
      </c>
      <c r="C105" s="22" t="s">
        <v>64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38</v>
      </c>
      <c r="B106" s="22" t="s">
        <v>63</v>
      </c>
      <c r="C106" s="22" t="s">
        <v>64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40</v>
      </c>
      <c r="B107" s="22" t="s">
        <v>63</v>
      </c>
      <c r="C107" s="22" t="s">
        <v>64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41</v>
      </c>
      <c r="B108" s="22" t="s">
        <v>63</v>
      </c>
      <c r="C108" s="22" t="s">
        <v>64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42</v>
      </c>
      <c r="B109" s="22" t="s">
        <v>63</v>
      </c>
      <c r="C109" s="22" t="s">
        <v>64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43</v>
      </c>
      <c r="B110" s="22" t="s">
        <v>63</v>
      </c>
      <c r="C110" s="22" t="s">
        <v>64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44</v>
      </c>
      <c r="B111" s="22" t="s">
        <v>63</v>
      </c>
      <c r="C111" s="22" t="s">
        <v>64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45</v>
      </c>
      <c r="B112" s="22" t="s">
        <v>63</v>
      </c>
      <c r="C112" s="22" t="s">
        <v>64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46</v>
      </c>
      <c r="B113" s="22" t="s">
        <v>63</v>
      </c>
      <c r="C113" s="22" t="s">
        <v>64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47</v>
      </c>
      <c r="B114" s="22" t="s">
        <v>63</v>
      </c>
      <c r="C114" s="22" t="s">
        <v>64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48</v>
      </c>
      <c r="B115" s="22" t="s">
        <v>63</v>
      </c>
      <c r="C115" s="22" t="s">
        <v>64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49</v>
      </c>
      <c r="B116" s="22" t="s">
        <v>63</v>
      </c>
      <c r="C116" s="22" t="s">
        <v>64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50</v>
      </c>
      <c r="B117" s="22" t="s">
        <v>63</v>
      </c>
      <c r="C117" s="22" t="s">
        <v>64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51</v>
      </c>
      <c r="B118" s="22" t="s">
        <v>63</v>
      </c>
      <c r="C118" s="22" t="s">
        <v>64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52</v>
      </c>
      <c r="B119" s="22" t="s">
        <v>63</v>
      </c>
      <c r="C119" s="22" t="s">
        <v>64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53</v>
      </c>
      <c r="B120" s="22" t="s">
        <v>63</v>
      </c>
      <c r="C120" s="22" t="s">
        <v>64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54</v>
      </c>
      <c r="B121" s="22" t="s">
        <v>63</v>
      </c>
      <c r="C121" s="22" t="s">
        <v>64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55</v>
      </c>
      <c r="B122" s="22" t="s">
        <v>63</v>
      </c>
      <c r="C122" s="22" t="s">
        <v>64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56</v>
      </c>
      <c r="B123" s="22" t="s">
        <v>63</v>
      </c>
      <c r="C123" s="22" t="s">
        <v>64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57</v>
      </c>
      <c r="B124" s="22" t="s">
        <v>63</v>
      </c>
      <c r="C124" s="22" t="s">
        <v>64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58</v>
      </c>
      <c r="B125" s="22" t="s">
        <v>63</v>
      </c>
      <c r="C125" s="22" t="s">
        <v>64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2019-03-19T11:56:46Z</dcterms:modified>
</cp:coreProperties>
</file>