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<sst xmlns="http://schemas.openxmlformats.org/spreadsheetml/2006/main" count="512" uniqueCount="68">
  <si>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</si>
  <si>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</si>
  <si>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</si>
  <si>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</si>
  <si>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</si>
  <si>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</si>
  <si>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</si>
  <si>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</si>
  <si>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</si>
  <si>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</si>
  <si>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</si>
  <si>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</si>
  <si>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</si>
  <si>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</si>
  <si>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</si>
  <si>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</si>
  <si>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</si>
  <si>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</si>
  <si>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</si>
  <si>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</si>
  <si>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</si>
  <si>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</si>
  <si>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</si>
  <si>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</si>
  <si>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</si>
  <si>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</si>
  <si>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3.1</t>
  </si>
  <si>
    <t>日経225オプション</t>
  </si>
  <si>
    <t>Nikkei 225 Options</t>
  </si>
  <si>
    <t>2</t>
  </si>
  <si>
    <t>◎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</si>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</sst>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 t="s">
        <v>30</v>
      </c>
      <c r="E11" s="25" t="n">
        <f>267443</f>
        <v>267443.0</v>
      </c>
      <c r="F11" s="23" t="s">
        <v>30</v>
      </c>
      <c r="G11" s="25" t="n">
        <f>122603</f>
        <v>122603.0</v>
      </c>
      <c r="H11" s="23" t="s">
        <v>30</v>
      </c>
      <c r="I11" s="26" t="n">
        <f>390046</f>
        <v>390046.0</v>
      </c>
      <c r="J11" s="24"/>
      <c r="K11" s="25" t="n">
        <f>101409418308</f>
        <v>1.01409418308E11</v>
      </c>
      <c r="L11" s="23"/>
      <c r="M11" s="25" t="n">
        <f>23785046170</f>
        <v>2.378504617E10</v>
      </c>
      <c r="N11" s="23"/>
      <c r="O11" s="26" t="n">
        <f>125194464478</f>
        <v>1.25194464478E11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 t="s">
        <v>30</v>
      </c>
      <c r="T11" s="25" t="n">
        <f>45249</f>
        <v>45249.0</v>
      </c>
      <c r="U11" s="23" t="s">
        <v>30</v>
      </c>
      <c r="V11" s="25" t="n">
        <f>24050</f>
        <v>24050.0</v>
      </c>
      <c r="W11" s="23" t="s">
        <v>30</v>
      </c>
      <c r="X11" s="26" t="n">
        <f>69299</f>
        <v>69299.0</v>
      </c>
      <c r="Y11" s="24"/>
      <c r="Z11" s="25" t="n">
        <f>1289529</f>
        <v>1289529.0</v>
      </c>
      <c r="AA11" s="23"/>
      <c r="AB11" s="25" t="n">
        <f>674618</f>
        <v>674618.0</v>
      </c>
      <c r="AC11" s="23"/>
      <c r="AD11" s="26" t="n">
        <f>1964147</f>
        <v>1964147.0</v>
      </c>
    </row>
    <row r="12">
      <c r="A12" s="30" t="s">
        <v>31</v>
      </c>
      <c r="B12" s="22" t="s">
        <v>27</v>
      </c>
      <c r="C12" s="22" t="s">
        <v>28</v>
      </c>
      <c r="D12" s="24"/>
      <c r="E12" s="25" t="n">
        <f>140187</f>
        <v>140187.0</v>
      </c>
      <c r="F12" s="23"/>
      <c r="G12" s="25" t="n">
        <f>100409</f>
        <v>100409.0</v>
      </c>
      <c r="H12" s="23"/>
      <c r="I12" s="26" t="n">
        <f>240596</f>
        <v>240596.0</v>
      </c>
      <c r="J12" s="24"/>
      <c r="K12" s="25" t="n">
        <f>48392582300</f>
        <v>4.83925823E10</v>
      </c>
      <c r="L12" s="23"/>
      <c r="M12" s="25" t="n">
        <f>19270915000</f>
        <v>1.9270915E10</v>
      </c>
      <c r="N12" s="23"/>
      <c r="O12" s="26" t="n">
        <f>67663497300</f>
        <v>6.76634973E10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16430</f>
        <v>16430.0</v>
      </c>
      <c r="U12" s="23"/>
      <c r="V12" s="25" t="n">
        <f>12301</f>
        <v>12301.0</v>
      </c>
      <c r="W12" s="23"/>
      <c r="X12" s="26" t="n">
        <f>28731</f>
        <v>28731.0</v>
      </c>
      <c r="Y12" s="24"/>
      <c r="Z12" s="25" t="n">
        <f>1285173</f>
        <v>1285173.0</v>
      </c>
      <c r="AA12" s="23"/>
      <c r="AB12" s="25" t="n">
        <f>685876</f>
        <v>685876.0</v>
      </c>
      <c r="AC12" s="23"/>
      <c r="AD12" s="26" t="n">
        <f>1971049</f>
        <v>1971049.0</v>
      </c>
    </row>
    <row r="13">
      <c r="A13" s="30" t="s">
        <v>32</v>
      </c>
      <c r="B13" s="22" t="s">
        <v>27</v>
      </c>
      <c r="C13" s="22" t="s">
        <v>28</v>
      </c>
      <c r="D13" s="24"/>
      <c r="E13" s="25" t="n">
        <f>123415</f>
        <v>123415.0</v>
      </c>
      <c r="F13" s="23"/>
      <c r="G13" s="25" t="n">
        <f>76711</f>
        <v>76711.0</v>
      </c>
      <c r="H13" s="23"/>
      <c r="I13" s="26" t="n">
        <f>200126</f>
        <v>200126.0</v>
      </c>
      <c r="J13" s="24"/>
      <c r="K13" s="25" t="n">
        <f>41716733500</f>
        <v>4.17167335E10</v>
      </c>
      <c r="L13" s="23"/>
      <c r="M13" s="25" t="n">
        <f>19849060496</f>
        <v>1.9849060496E10</v>
      </c>
      <c r="N13" s="23"/>
      <c r="O13" s="26" t="n">
        <f>61565793996</f>
        <v>6.1565793996E10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13951</f>
        <v>13951.0</v>
      </c>
      <c r="U13" s="23"/>
      <c r="V13" s="25" t="n">
        <f>8091</f>
        <v>8091.0</v>
      </c>
      <c r="W13" s="23"/>
      <c r="X13" s="26" t="n">
        <f>22042</f>
        <v>22042.0</v>
      </c>
      <c r="Y13" s="24"/>
      <c r="Z13" s="25" t="n">
        <f>1286401</f>
        <v>1286401.0</v>
      </c>
      <c r="AA13" s="23"/>
      <c r="AB13" s="25" t="n">
        <f>694459</f>
        <v>694459.0</v>
      </c>
      <c r="AC13" s="23"/>
      <c r="AD13" s="26" t="n">
        <f>1980860</f>
        <v>1980860.0</v>
      </c>
    </row>
    <row r="14">
      <c r="A14" s="30" t="s">
        <v>33</v>
      </c>
      <c r="B14" s="22" t="s">
        <v>27</v>
      </c>
      <c r="C14" s="22" t="s">
        <v>28</v>
      </c>
      <c r="D14" s="24"/>
      <c r="E14" s="25" t="n">
        <f>129345</f>
        <v>129345.0</v>
      </c>
      <c r="F14" s="23"/>
      <c r="G14" s="25" t="n">
        <f>72774</f>
        <v>72774.0</v>
      </c>
      <c r="H14" s="23"/>
      <c r="I14" s="26" t="n">
        <f>202119</f>
        <v>202119.0</v>
      </c>
      <c r="J14" s="24" t="s">
        <v>34</v>
      </c>
      <c r="K14" s="25" t="n">
        <f>29445298660</f>
        <v>2.944529866E10</v>
      </c>
      <c r="L14" s="23" t="s">
        <v>34</v>
      </c>
      <c r="M14" s="25" t="n">
        <f>12805297000</f>
        <v>1.2805297E10</v>
      </c>
      <c r="N14" s="23" t="s">
        <v>34</v>
      </c>
      <c r="O14" s="26" t="n">
        <f>42250595660</f>
        <v>4.225059566E10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16771</f>
        <v>16771.0</v>
      </c>
      <c r="U14" s="23"/>
      <c r="V14" s="25" t="n">
        <f>9577</f>
        <v>9577.0</v>
      </c>
      <c r="W14" s="23"/>
      <c r="X14" s="26" t="n">
        <f>26348</f>
        <v>26348.0</v>
      </c>
      <c r="Y14" s="24"/>
      <c r="Z14" s="25" t="n">
        <f>1299881</f>
        <v>1299881.0</v>
      </c>
      <c r="AA14" s="23"/>
      <c r="AB14" s="25" t="n">
        <f>703533</f>
        <v>703533.0</v>
      </c>
      <c r="AC14" s="23"/>
      <c r="AD14" s="26" t="n">
        <f>2003414</f>
        <v>2003414.0</v>
      </c>
    </row>
    <row r="15">
      <c r="A15" s="30" t="s">
        <v>35</v>
      </c>
      <c r="B15" s="22" t="s">
        <v>27</v>
      </c>
      <c r="C15" s="22" t="s">
        <v>28</v>
      </c>
      <c r="D15" s="24"/>
      <c r="E15" s="25" t="n">
        <f>142872</f>
        <v>142872.0</v>
      </c>
      <c r="F15" s="23"/>
      <c r="G15" s="25" t="n">
        <f>72093</f>
        <v>72093.0</v>
      </c>
      <c r="H15" s="23"/>
      <c r="I15" s="26" t="n">
        <f>214965</f>
        <v>214965.0</v>
      </c>
      <c r="J15" s="24"/>
      <c r="K15" s="25" t="n">
        <f>43368429930</f>
        <v>4.336842993E10</v>
      </c>
      <c r="L15" s="23"/>
      <c r="M15" s="25" t="n">
        <f>14342930000</f>
        <v>1.434293E10</v>
      </c>
      <c r="N15" s="23"/>
      <c r="O15" s="26" t="n">
        <f>57711359930</f>
        <v>5.771135993E10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22576</f>
        <v>22576.0</v>
      </c>
      <c r="U15" s="23"/>
      <c r="V15" s="25" t="n">
        <f>12814</f>
        <v>12814.0</v>
      </c>
      <c r="W15" s="23"/>
      <c r="X15" s="26" t="n">
        <f>35390</f>
        <v>35390.0</v>
      </c>
      <c r="Y15" s="24"/>
      <c r="Z15" s="25" t="n">
        <f>1311752</f>
        <v>1311752.0</v>
      </c>
      <c r="AA15" s="23"/>
      <c r="AB15" s="25" t="n">
        <f>712505</f>
        <v>712505.0</v>
      </c>
      <c r="AC15" s="23"/>
      <c r="AD15" s="26" t="n">
        <f>2024257</f>
        <v>2024257.0</v>
      </c>
    </row>
    <row r="16">
      <c r="A16" s="30" t="s">
        <v>36</v>
      </c>
      <c r="B16" s="22" t="s">
        <v>27</v>
      </c>
      <c r="C16" s="22" t="s">
        <v>28</v>
      </c>
      <c r="D16" s="24"/>
      <c r="E16" s="25"/>
      <c r="F16" s="23"/>
      <c r="G16" s="25"/>
      <c r="H16" s="23"/>
      <c r="I16" s="26"/>
      <c r="J16" s="24"/>
      <c r="K16" s="25"/>
      <c r="L16" s="23"/>
      <c r="M16" s="25"/>
      <c r="N16" s="23"/>
      <c r="O16" s="26"/>
      <c r="P16" s="27"/>
      <c r="Q16" s="28"/>
      <c r="R16" s="29"/>
      <c r="S16" s="24"/>
      <c r="T16" s="25"/>
      <c r="U16" s="23"/>
      <c r="V16" s="25"/>
      <c r="W16" s="23"/>
      <c r="X16" s="26"/>
      <c r="Y16" s="24"/>
      <c r="Z16" s="25"/>
      <c r="AA16" s="23"/>
      <c r="AB16" s="25"/>
      <c r="AC16" s="23"/>
      <c r="AD16" s="26"/>
    </row>
    <row r="17">
      <c r="A17" s="30" t="s">
        <v>37</v>
      </c>
      <c r="B17" s="22" t="s">
        <v>27</v>
      </c>
      <c r="C17" s="22" t="s">
        <v>28</v>
      </c>
      <c r="D17" s="24"/>
      <c r="E17" s="25"/>
      <c r="F17" s="23"/>
      <c r="G17" s="25"/>
      <c r="H17" s="23"/>
      <c r="I17" s="26"/>
      <c r="J17" s="24"/>
      <c r="K17" s="25"/>
      <c r="L17" s="23"/>
      <c r="M17" s="25"/>
      <c r="N17" s="23"/>
      <c r="O17" s="26"/>
      <c r="P17" s="27"/>
      <c r="Q17" s="28"/>
      <c r="R17" s="29"/>
      <c r="S17" s="24"/>
      <c r="T17" s="25"/>
      <c r="U17" s="23"/>
      <c r="V17" s="25"/>
      <c r="W17" s="23"/>
      <c r="X17" s="26"/>
      <c r="Y17" s="24"/>
      <c r="Z17" s="25"/>
      <c r="AA17" s="23"/>
      <c r="AB17" s="25"/>
      <c r="AC17" s="23"/>
      <c r="AD17" s="26"/>
    </row>
    <row r="18">
      <c r="A18" s="30" t="s">
        <v>38</v>
      </c>
      <c r="B18" s="22" t="s">
        <v>27</v>
      </c>
      <c r="C18" s="22" t="s">
        <v>28</v>
      </c>
      <c r="D18" s="24"/>
      <c r="E18" s="25" t="n">
        <f>194940</f>
        <v>194940.0</v>
      </c>
      <c r="F18" s="23"/>
      <c r="G18" s="25" t="n">
        <f>106541</f>
        <v>106541.0</v>
      </c>
      <c r="H18" s="23"/>
      <c r="I18" s="26" t="n">
        <f>301481</f>
        <v>301481.0</v>
      </c>
      <c r="J18" s="24"/>
      <c r="K18" s="25" t="n">
        <f>95050964522</f>
        <v>9.5050964522E10</v>
      </c>
      <c r="L18" s="23"/>
      <c r="M18" s="25" t="n">
        <f>31512837540</f>
        <v>3.151283754E10</v>
      </c>
      <c r="N18" s="23"/>
      <c r="O18" s="26" t="n">
        <f>126563802062</f>
        <v>1.26563802062E11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30168</f>
        <v>30168.0</v>
      </c>
      <c r="U18" s="23"/>
      <c r="V18" s="25" t="n">
        <f>10898</f>
        <v>10898.0</v>
      </c>
      <c r="W18" s="23"/>
      <c r="X18" s="26" t="n">
        <f>41066</f>
        <v>41066.0</v>
      </c>
      <c r="Y18" s="24"/>
      <c r="Z18" s="25" t="n">
        <f>1330454</f>
        <v>1330454.0</v>
      </c>
      <c r="AA18" s="23"/>
      <c r="AB18" s="25" t="n">
        <f>736136</f>
        <v>736136.0</v>
      </c>
      <c r="AC18" s="23"/>
      <c r="AD18" s="26" t="n">
        <f>2066590</f>
        <v>2066590.0</v>
      </c>
    </row>
    <row r="19">
      <c r="A19" s="30" t="s">
        <v>39</v>
      </c>
      <c r="B19" s="22" t="s">
        <v>27</v>
      </c>
      <c r="C19" s="22" t="s">
        <v>28</v>
      </c>
      <c r="D19" s="24"/>
      <c r="E19" s="25" t="n">
        <f>177809</f>
        <v>177809.0</v>
      </c>
      <c r="F19" s="23"/>
      <c r="G19" s="25" t="n">
        <f>100426</f>
        <v>100426.0</v>
      </c>
      <c r="H19" s="23"/>
      <c r="I19" s="26" t="n">
        <f>278235</f>
        <v>278235.0</v>
      </c>
      <c r="J19" s="24" t="s">
        <v>30</v>
      </c>
      <c r="K19" s="25" t="n">
        <f>112028471000</f>
        <v>1.12028471E11</v>
      </c>
      <c r="L19" s="23"/>
      <c r="M19" s="25" t="n">
        <f>34421113000</f>
        <v>3.4421113E10</v>
      </c>
      <c r="N19" s="23" t="s">
        <v>30</v>
      </c>
      <c r="O19" s="26" t="n">
        <f>146449584000</f>
        <v>1.46449584E11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37783</f>
        <v>37783.0</v>
      </c>
      <c r="U19" s="23"/>
      <c r="V19" s="25" t="n">
        <f>18988</f>
        <v>18988.0</v>
      </c>
      <c r="W19" s="23"/>
      <c r="X19" s="26" t="n">
        <f>56771</f>
        <v>56771.0</v>
      </c>
      <c r="Y19" s="24"/>
      <c r="Z19" s="25" t="n">
        <f>1340560</f>
        <v>1340560.0</v>
      </c>
      <c r="AA19" s="23"/>
      <c r="AB19" s="25" t="n">
        <f>763133</f>
        <v>763133.0</v>
      </c>
      <c r="AC19" s="23"/>
      <c r="AD19" s="26" t="n">
        <f>2103693</f>
        <v>2103693.0</v>
      </c>
    </row>
    <row r="20">
      <c r="A20" s="30" t="s">
        <v>40</v>
      </c>
      <c r="B20" s="22" t="s">
        <v>27</v>
      </c>
      <c r="C20" s="22" t="s">
        <v>28</v>
      </c>
      <c r="D20" s="24"/>
      <c r="E20" s="25" t="n">
        <f>140113</f>
        <v>140113.0</v>
      </c>
      <c r="F20" s="23"/>
      <c r="G20" s="25" t="n">
        <f>79867</f>
        <v>79867.0</v>
      </c>
      <c r="H20" s="23"/>
      <c r="I20" s="26" t="n">
        <f>219980</f>
        <v>219980.0</v>
      </c>
      <c r="J20" s="24"/>
      <c r="K20" s="25" t="n">
        <f>71600192240</f>
        <v>7.160019224E10</v>
      </c>
      <c r="L20" s="23"/>
      <c r="M20" s="25" t="n">
        <f>29960100000</f>
        <v>2.99601E10</v>
      </c>
      <c r="N20" s="23"/>
      <c r="O20" s="26" t="n">
        <f>101560292240</f>
        <v>1.0156029224E11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27278</f>
        <v>27278.0</v>
      </c>
      <c r="U20" s="23"/>
      <c r="V20" s="25" t="n">
        <f>13241</f>
        <v>13241.0</v>
      </c>
      <c r="W20" s="23"/>
      <c r="X20" s="26" t="n">
        <f>40519</f>
        <v>40519.0</v>
      </c>
      <c r="Y20" s="24"/>
      <c r="Z20" s="25" t="n">
        <f>1366236</f>
        <v>1366236.0</v>
      </c>
      <c r="AA20" s="23"/>
      <c r="AB20" s="25" t="n">
        <f>778733</f>
        <v>778733.0</v>
      </c>
      <c r="AC20" s="23"/>
      <c r="AD20" s="26" t="n">
        <f>2144969</f>
        <v>2144969.0</v>
      </c>
    </row>
    <row r="21">
      <c r="A21" s="30" t="s">
        <v>41</v>
      </c>
      <c r="B21" s="22" t="s">
        <v>27</v>
      </c>
      <c r="C21" s="22" t="s">
        <v>28</v>
      </c>
      <c r="D21" s="24"/>
      <c r="E21" s="25" t="n">
        <f>161582</f>
        <v>161582.0</v>
      </c>
      <c r="F21" s="23"/>
      <c r="G21" s="25" t="n">
        <f>85899</f>
        <v>85899.0</v>
      </c>
      <c r="H21" s="23"/>
      <c r="I21" s="26" t="n">
        <f>247481</f>
        <v>247481.0</v>
      </c>
      <c r="J21" s="24"/>
      <c r="K21" s="25" t="n">
        <f>84402068710</f>
        <v>8.440206871E10</v>
      </c>
      <c r="L21" s="23"/>
      <c r="M21" s="25" t="n">
        <f>20406338000</f>
        <v>2.0406338E10</v>
      </c>
      <c r="N21" s="23"/>
      <c r="O21" s="26" t="n">
        <f>104808406710</f>
        <v>1.0480840671E11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19642</f>
        <v>19642.0</v>
      </c>
      <c r="U21" s="23"/>
      <c r="V21" s="25" t="n">
        <f>9395</f>
        <v>9395.0</v>
      </c>
      <c r="W21" s="23"/>
      <c r="X21" s="26" t="n">
        <f>29037</f>
        <v>29037.0</v>
      </c>
      <c r="Y21" s="24" t="s">
        <v>30</v>
      </c>
      <c r="Z21" s="25" t="n">
        <f>1373416</f>
        <v>1373416.0</v>
      </c>
      <c r="AA21" s="23" t="s">
        <v>30</v>
      </c>
      <c r="AB21" s="25" t="n">
        <f>795572</f>
        <v>795572.0</v>
      </c>
      <c r="AC21" s="23" t="s">
        <v>30</v>
      </c>
      <c r="AD21" s="26" t="n">
        <f>2168988</f>
        <v>2168988.0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103144</f>
        <v>103144.0</v>
      </c>
      <c r="F22" s="23"/>
      <c r="G22" s="25" t="n">
        <f>64377</f>
        <v>64377.0</v>
      </c>
      <c r="H22" s="23"/>
      <c r="I22" s="26" t="n">
        <f>167521</f>
        <v>167521.0</v>
      </c>
      <c r="J22" s="24"/>
      <c r="K22" s="25" t="n">
        <f>78374300460</f>
        <v>7.837430046E10</v>
      </c>
      <c r="L22" s="23" t="s">
        <v>30</v>
      </c>
      <c r="M22" s="25" t="n">
        <f>35894731582</f>
        <v>3.5894731582E10</v>
      </c>
      <c r="N22" s="23"/>
      <c r="O22" s="26" t="n">
        <f>114269032042</f>
        <v>1.14269032042E11</v>
      </c>
      <c r="P22" s="27" t="n">
        <f>195835</f>
        <v>195835.0</v>
      </c>
      <c r="Q22" s="28" t="n">
        <f>12</f>
        <v>12.0</v>
      </c>
      <c r="R22" s="29" t="n">
        <f>195847</f>
        <v>195847.0</v>
      </c>
      <c r="S22" s="24"/>
      <c r="T22" s="25" t="n">
        <f>15877</f>
        <v>15877.0</v>
      </c>
      <c r="U22" s="23"/>
      <c r="V22" s="25" t="n">
        <f>15549</f>
        <v>15549.0</v>
      </c>
      <c r="W22" s="23"/>
      <c r="X22" s="26" t="n">
        <f>31426</f>
        <v>31426.0</v>
      </c>
      <c r="Y22" s="24" t="s">
        <v>34</v>
      </c>
      <c r="Z22" s="25" t="n">
        <f>1152683</f>
        <v>1152683.0</v>
      </c>
      <c r="AA22" s="23" t="s">
        <v>34</v>
      </c>
      <c r="AB22" s="25" t="n">
        <f>633605</f>
        <v>633605.0</v>
      </c>
      <c r="AC22" s="23" t="s">
        <v>34</v>
      </c>
      <c r="AD22" s="26" t="n">
        <f>1786288</f>
        <v>1786288.0</v>
      </c>
    </row>
    <row r="23">
      <c r="A23" s="30" t="s">
        <v>43</v>
      </c>
      <c r="B23" s="22" t="s">
        <v>27</v>
      </c>
      <c r="C23" s="22" t="s">
        <v>28</v>
      </c>
      <c r="D23" s="24"/>
      <c r="E23" s="25"/>
      <c r="F23" s="23"/>
      <c r="G23" s="25"/>
      <c r="H23" s="23"/>
      <c r="I23" s="26"/>
      <c r="J23" s="24"/>
      <c r="K23" s="25"/>
      <c r="L23" s="23"/>
      <c r="M23" s="25"/>
      <c r="N23" s="23"/>
      <c r="O23" s="26"/>
      <c r="P23" s="27"/>
      <c r="Q23" s="28"/>
      <c r="R23" s="29"/>
      <c r="S23" s="24"/>
      <c r="T23" s="25"/>
      <c r="U23" s="23"/>
      <c r="V23" s="25"/>
      <c r="W23" s="23"/>
      <c r="X23" s="26"/>
      <c r="Y23" s="24"/>
      <c r="Z23" s="25"/>
      <c r="AA23" s="23"/>
      <c r="AB23" s="25"/>
      <c r="AC23" s="23"/>
      <c r="AD23" s="26"/>
    </row>
    <row r="24">
      <c r="A24" s="30" t="s">
        <v>44</v>
      </c>
      <c r="B24" s="22" t="s">
        <v>27</v>
      </c>
      <c r="C24" s="22" t="s">
        <v>28</v>
      </c>
      <c r="D24" s="24"/>
      <c r="E24" s="25"/>
      <c r="F24" s="23"/>
      <c r="G24" s="25"/>
      <c r="H24" s="23"/>
      <c r="I24" s="26"/>
      <c r="J24" s="24"/>
      <c r="K24" s="25"/>
      <c r="L24" s="23"/>
      <c r="M24" s="25"/>
      <c r="N24" s="23"/>
      <c r="O24" s="26"/>
      <c r="P24" s="27"/>
      <c r="Q24" s="28"/>
      <c r="R24" s="29"/>
      <c r="S24" s="24"/>
      <c r="T24" s="25"/>
      <c r="U24" s="23"/>
      <c r="V24" s="25"/>
      <c r="W24" s="23"/>
      <c r="X24" s="26"/>
      <c r="Y24" s="24"/>
      <c r="Z24" s="25"/>
      <c r="AA24" s="23"/>
      <c r="AB24" s="25"/>
      <c r="AC24" s="23"/>
      <c r="AD24" s="26"/>
    </row>
    <row r="25">
      <c r="A25" s="30" t="s">
        <v>45</v>
      </c>
      <c r="B25" s="22" t="s">
        <v>27</v>
      </c>
      <c r="C25" s="22" t="s">
        <v>28</v>
      </c>
      <c r="D25" s="24"/>
      <c r="E25" s="25" t="n">
        <f>84892</f>
        <v>84892.0</v>
      </c>
      <c r="F25" s="23"/>
      <c r="G25" s="25" t="n">
        <f>48334</f>
        <v>48334.0</v>
      </c>
      <c r="H25" s="23"/>
      <c r="I25" s="26" t="n">
        <f>133226</f>
        <v>133226.0</v>
      </c>
      <c r="J25" s="24"/>
      <c r="K25" s="25" t="n">
        <f>87367579199</f>
        <v>8.7367579199E10</v>
      </c>
      <c r="L25" s="23"/>
      <c r="M25" s="25" t="n">
        <f>29496366910</f>
        <v>2.949636691E10</v>
      </c>
      <c r="N25" s="23"/>
      <c r="O25" s="26" t="n">
        <f>116863946109</f>
        <v>1.16863946109E11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16745</f>
        <v>16745.0</v>
      </c>
      <c r="U25" s="23"/>
      <c r="V25" s="25" t="n">
        <f>12012</f>
        <v>12012.0</v>
      </c>
      <c r="W25" s="23"/>
      <c r="X25" s="26" t="n">
        <f>28757</f>
        <v>28757.0</v>
      </c>
      <c r="Y25" s="24"/>
      <c r="Z25" s="25" t="n">
        <f>1169059</f>
        <v>1169059.0</v>
      </c>
      <c r="AA25" s="23"/>
      <c r="AB25" s="25" t="n">
        <f>644921</f>
        <v>644921.0</v>
      </c>
      <c r="AC25" s="23"/>
      <c r="AD25" s="26" t="n">
        <f>1813980</f>
        <v>1813980.0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83839</f>
        <v>83839.0</v>
      </c>
      <c r="F26" s="23"/>
      <c r="G26" s="25" t="n">
        <f>50380</f>
        <v>50380.0</v>
      </c>
      <c r="H26" s="23"/>
      <c r="I26" s="26" t="n">
        <f>134219</f>
        <v>134219.0</v>
      </c>
      <c r="J26" s="24"/>
      <c r="K26" s="25" t="n">
        <f>105290108270</f>
        <v>1.0529010827E11</v>
      </c>
      <c r="L26" s="23"/>
      <c r="M26" s="25" t="n">
        <f>24004912000</f>
        <v>2.4004912E10</v>
      </c>
      <c r="N26" s="23"/>
      <c r="O26" s="26" t="n">
        <f>129295020270</f>
        <v>1.2929502027E11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24060</f>
        <v>24060.0</v>
      </c>
      <c r="U26" s="23"/>
      <c r="V26" s="25" t="n">
        <f>16320</f>
        <v>16320.0</v>
      </c>
      <c r="W26" s="23"/>
      <c r="X26" s="26" t="n">
        <f>40380</f>
        <v>40380.0</v>
      </c>
      <c r="Y26" s="24"/>
      <c r="Z26" s="25" t="n">
        <f>1183238</f>
        <v>1183238.0</v>
      </c>
      <c r="AA26" s="23"/>
      <c r="AB26" s="25" t="n">
        <f>658955</f>
        <v>658955.0</v>
      </c>
      <c r="AC26" s="23"/>
      <c r="AD26" s="26" t="n">
        <f>1842193</f>
        <v>1842193.0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72679</f>
        <v>72679.0</v>
      </c>
      <c r="F27" s="23"/>
      <c r="G27" s="25" t="n">
        <f>52988</f>
        <v>52988.0</v>
      </c>
      <c r="H27" s="23"/>
      <c r="I27" s="26" t="n">
        <f>125667</f>
        <v>125667.0</v>
      </c>
      <c r="J27" s="24"/>
      <c r="K27" s="25" t="n">
        <f>91103536150</f>
        <v>9.110353615E10</v>
      </c>
      <c r="L27" s="23"/>
      <c r="M27" s="25" t="n">
        <f>29559119000</f>
        <v>2.9559119E10</v>
      </c>
      <c r="N27" s="23"/>
      <c r="O27" s="26" t="n">
        <f>120662655150</f>
        <v>1.2066265515E11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9599</f>
        <v>9599.0</v>
      </c>
      <c r="U27" s="23" t="s">
        <v>34</v>
      </c>
      <c r="V27" s="25" t="n">
        <f>5890</f>
        <v>5890.0</v>
      </c>
      <c r="W27" s="23" t="s">
        <v>34</v>
      </c>
      <c r="X27" s="26" t="n">
        <f>15489</f>
        <v>15489.0</v>
      </c>
      <c r="Y27" s="24"/>
      <c r="Z27" s="25" t="n">
        <f>1190979</f>
        <v>1190979.0</v>
      </c>
      <c r="AA27" s="23"/>
      <c r="AB27" s="25" t="n">
        <f>667260</f>
        <v>667260.0</v>
      </c>
      <c r="AC27" s="23"/>
      <c r="AD27" s="26" t="n">
        <f>1858239</f>
        <v>1858239.0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78863</f>
        <v>78863.0</v>
      </c>
      <c r="F28" s="23"/>
      <c r="G28" s="25" t="n">
        <f>49307</f>
        <v>49307.0</v>
      </c>
      <c r="H28" s="23"/>
      <c r="I28" s="26" t="n">
        <f>128170</f>
        <v>128170.0</v>
      </c>
      <c r="J28" s="24"/>
      <c r="K28" s="25" t="n">
        <f>78844917620</f>
        <v>7.884491762E10</v>
      </c>
      <c r="L28" s="23"/>
      <c r="M28" s="25" t="n">
        <f>23880401400</f>
        <v>2.38804014E10</v>
      </c>
      <c r="N28" s="23"/>
      <c r="O28" s="26" t="n">
        <f>102725319020</f>
        <v>1.0272531902E11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11606</f>
        <v>11606.0</v>
      </c>
      <c r="U28" s="23"/>
      <c r="V28" s="25" t="n">
        <f>9390</f>
        <v>9390.0</v>
      </c>
      <c r="W28" s="23"/>
      <c r="X28" s="26" t="n">
        <f>20996</f>
        <v>20996.0</v>
      </c>
      <c r="Y28" s="24"/>
      <c r="Z28" s="25" t="n">
        <f>1199721</f>
        <v>1199721.0</v>
      </c>
      <c r="AA28" s="23"/>
      <c r="AB28" s="25" t="n">
        <f>675135</f>
        <v>675135.0</v>
      </c>
      <c r="AC28" s="23"/>
      <c r="AD28" s="26" t="n">
        <f>1874856</f>
        <v>1874856.0</v>
      </c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 t="n">
        <f>70040</f>
        <v>70040.0</v>
      </c>
      <c r="F32" s="23"/>
      <c r="G32" s="25" t="n">
        <f>39583</f>
        <v>39583.0</v>
      </c>
      <c r="H32" s="23"/>
      <c r="I32" s="26" t="n">
        <f>109623</f>
        <v>109623.0</v>
      </c>
      <c r="J32" s="24"/>
      <c r="K32" s="25" t="n">
        <f>89938064200</f>
        <v>8.99380642E10</v>
      </c>
      <c r="L32" s="23"/>
      <c r="M32" s="25" t="n">
        <f>19814633040</f>
        <v>1.981463304E10</v>
      </c>
      <c r="N32" s="23"/>
      <c r="O32" s="26" t="n">
        <f>109752697240</f>
        <v>1.0975269724E11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 t="s">
        <v>34</v>
      </c>
      <c r="T32" s="25" t="n">
        <f>9336</f>
        <v>9336.0</v>
      </c>
      <c r="U32" s="23"/>
      <c r="V32" s="25" t="n">
        <f>7709</f>
        <v>7709.0</v>
      </c>
      <c r="W32" s="23"/>
      <c r="X32" s="26" t="n">
        <f>17045</f>
        <v>17045.0</v>
      </c>
      <c r="Y32" s="24"/>
      <c r="Z32" s="25" t="n">
        <f>1215670</f>
        <v>1215670.0</v>
      </c>
      <c r="AA32" s="23"/>
      <c r="AB32" s="25" t="n">
        <f>685163</f>
        <v>685163.0</v>
      </c>
      <c r="AC32" s="23"/>
      <c r="AD32" s="26" t="n">
        <f>1900833</f>
        <v>1900833.0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89635</f>
        <v>89635.0</v>
      </c>
      <c r="F33" s="23"/>
      <c r="G33" s="25" t="n">
        <f>46967</f>
        <v>46967.0</v>
      </c>
      <c r="H33" s="23"/>
      <c r="I33" s="26" t="n">
        <f>136602</f>
        <v>136602.0</v>
      </c>
      <c r="J33" s="24"/>
      <c r="K33" s="25" t="n">
        <f>78957367485</f>
        <v>7.8957367485E10</v>
      </c>
      <c r="L33" s="23"/>
      <c r="M33" s="25" t="n">
        <f>23115366000</f>
        <v>2.3115366E10</v>
      </c>
      <c r="N33" s="23"/>
      <c r="O33" s="26" t="n">
        <f>102072733485</f>
        <v>1.02072733485E11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15212</f>
        <v>15212.0</v>
      </c>
      <c r="U33" s="23"/>
      <c r="V33" s="25" t="n">
        <f>7542</f>
        <v>7542.0</v>
      </c>
      <c r="W33" s="23"/>
      <c r="X33" s="26" t="n">
        <f>22754</f>
        <v>22754.0</v>
      </c>
      <c r="Y33" s="24"/>
      <c r="Z33" s="25" t="n">
        <f>1224931</f>
        <v>1224931.0</v>
      </c>
      <c r="AA33" s="23"/>
      <c r="AB33" s="25" t="n">
        <f>691281</f>
        <v>691281.0</v>
      </c>
      <c r="AC33" s="23"/>
      <c r="AD33" s="26" t="n">
        <f>1916212</f>
        <v>1916212.0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63376</f>
        <v>63376.0</v>
      </c>
      <c r="F34" s="23"/>
      <c r="G34" s="25" t="n">
        <f>66154</f>
        <v>66154.0</v>
      </c>
      <c r="H34" s="23"/>
      <c r="I34" s="26" t="n">
        <f>129530</f>
        <v>129530.0</v>
      </c>
      <c r="J34" s="24"/>
      <c r="K34" s="25" t="n">
        <f>29716941430</f>
        <v>2.971694143E10</v>
      </c>
      <c r="L34" s="23"/>
      <c r="M34" s="25" t="n">
        <f>24554538000</f>
        <v>2.4554538E10</v>
      </c>
      <c r="N34" s="23"/>
      <c r="O34" s="26" t="n">
        <f>54271479430</f>
        <v>5.427147943E10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12139</f>
        <v>12139.0</v>
      </c>
      <c r="U34" s="23"/>
      <c r="V34" s="25" t="n">
        <f>11188</f>
        <v>11188.0</v>
      </c>
      <c r="W34" s="23"/>
      <c r="X34" s="26" t="n">
        <f>23327</f>
        <v>23327.0</v>
      </c>
      <c r="Y34" s="24"/>
      <c r="Z34" s="25" t="n">
        <f>1245355</f>
        <v>1245355.0</v>
      </c>
      <c r="AA34" s="23"/>
      <c r="AB34" s="25" t="n">
        <f>699405</f>
        <v>699405.0</v>
      </c>
      <c r="AC34" s="23"/>
      <c r="AD34" s="26" t="n">
        <f>1944760</f>
        <v>1944760.0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74591</f>
        <v>74591.0</v>
      </c>
      <c r="F35" s="23"/>
      <c r="G35" s="25" t="n">
        <f>57271</f>
        <v>57271.0</v>
      </c>
      <c r="H35" s="23"/>
      <c r="I35" s="26" t="n">
        <f>131862</f>
        <v>131862.0</v>
      </c>
      <c r="J35" s="24"/>
      <c r="K35" s="25" t="n">
        <f>43544182380</f>
        <v>4.354418238E10</v>
      </c>
      <c r="L35" s="23"/>
      <c r="M35" s="25" t="n">
        <f>28826072000</f>
        <v>2.8826072E10</v>
      </c>
      <c r="N35" s="23"/>
      <c r="O35" s="26" t="n">
        <f>72370254380</f>
        <v>7.237025438E10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9934</f>
        <v>9934.0</v>
      </c>
      <c r="U35" s="23"/>
      <c r="V35" s="25" t="n">
        <f>9295</f>
        <v>9295.0</v>
      </c>
      <c r="W35" s="23"/>
      <c r="X35" s="26" t="n">
        <f>19229</f>
        <v>19229.0</v>
      </c>
      <c r="Y35" s="24"/>
      <c r="Z35" s="25" t="n">
        <f>1256092</f>
        <v>1256092.0</v>
      </c>
      <c r="AA35" s="23"/>
      <c r="AB35" s="25" t="n">
        <f>702724</f>
        <v>702724.0</v>
      </c>
      <c r="AC35" s="23"/>
      <c r="AD35" s="26" t="n">
        <f>1958816</f>
        <v>1958816.0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69114</f>
        <v>69114.0</v>
      </c>
      <c r="F36" s="23"/>
      <c r="G36" s="25" t="n">
        <f>44078</f>
        <v>44078.0</v>
      </c>
      <c r="H36" s="23"/>
      <c r="I36" s="26" t="n">
        <f>113192</f>
        <v>113192.0</v>
      </c>
      <c r="J36" s="24"/>
      <c r="K36" s="25" t="n">
        <f>47791996897</f>
        <v>4.7791996897E10</v>
      </c>
      <c r="L36" s="23"/>
      <c r="M36" s="25" t="n">
        <f>16701461720</f>
        <v>1.670146172E10</v>
      </c>
      <c r="N36" s="23"/>
      <c r="O36" s="26" t="n">
        <f>64493458617</f>
        <v>6.4493458617E10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10273</f>
        <v>10273.0</v>
      </c>
      <c r="U36" s="23"/>
      <c r="V36" s="25" t="n">
        <f>13826</f>
        <v>13826.0</v>
      </c>
      <c r="W36" s="23"/>
      <c r="X36" s="26" t="n">
        <f>24099</f>
        <v>24099.0</v>
      </c>
      <c r="Y36" s="24"/>
      <c r="Z36" s="25" t="n">
        <f>1265531</f>
        <v>1265531.0</v>
      </c>
      <c r="AA36" s="23"/>
      <c r="AB36" s="25" t="n">
        <f>713184</f>
        <v>713184.0</v>
      </c>
      <c r="AC36" s="23"/>
      <c r="AD36" s="26" t="n">
        <f>1978715</f>
        <v>1978715.0</v>
      </c>
    </row>
    <row r="37">
      <c r="A37" s="30" t="s">
        <v>57</v>
      </c>
      <c r="B37" s="22" t="s">
        <v>27</v>
      </c>
      <c r="C37" s="22" t="s">
        <v>28</v>
      </c>
      <c r="D37" s="24"/>
      <c r="E37" s="25"/>
      <c r="F37" s="23"/>
      <c r="G37" s="25"/>
      <c r="H37" s="23"/>
      <c r="I37" s="26"/>
      <c r="J37" s="24"/>
      <c r="K37" s="25"/>
      <c r="L37" s="23"/>
      <c r="M37" s="25"/>
      <c r="N37" s="23"/>
      <c r="O37" s="26"/>
      <c r="P37" s="27"/>
      <c r="Q37" s="28"/>
      <c r="R37" s="29"/>
      <c r="S37" s="24"/>
      <c r="T37" s="25"/>
      <c r="U37" s="23"/>
      <c r="V37" s="25"/>
      <c r="W37" s="23"/>
      <c r="X37" s="26"/>
      <c r="Y37" s="24"/>
      <c r="Z37" s="25"/>
      <c r="AA37" s="23"/>
      <c r="AB37" s="25"/>
      <c r="AC37" s="23"/>
      <c r="AD37" s="26"/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59</v>
      </c>
      <c r="B39" s="22" t="s">
        <v>27</v>
      </c>
      <c r="C39" s="22" t="s">
        <v>28</v>
      </c>
      <c r="D39" s="24" t="s">
        <v>34</v>
      </c>
      <c r="E39" s="25" t="n">
        <f>57305</f>
        <v>57305.0</v>
      </c>
      <c r="F39" s="23"/>
      <c r="G39" s="25" t="n">
        <f>38043</f>
        <v>38043.0</v>
      </c>
      <c r="H39" s="23" t="s">
        <v>34</v>
      </c>
      <c r="I39" s="26" t="n">
        <f>95348</f>
        <v>95348.0</v>
      </c>
      <c r="J39" s="24"/>
      <c r="K39" s="25" t="n">
        <f>35155533000</f>
        <v>3.5155533E10</v>
      </c>
      <c r="L39" s="23"/>
      <c r="M39" s="25" t="n">
        <f>27473335040</f>
        <v>2.747333504E10</v>
      </c>
      <c r="N39" s="23"/>
      <c r="O39" s="26" t="n">
        <f>62628868040</f>
        <v>6.262886804E10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10574</f>
        <v>10574.0</v>
      </c>
      <c r="U39" s="23"/>
      <c r="V39" s="25" t="n">
        <f>12653</f>
        <v>12653.0</v>
      </c>
      <c r="W39" s="23"/>
      <c r="X39" s="26" t="n">
        <f>23227</f>
        <v>23227.0</v>
      </c>
      <c r="Y39" s="24"/>
      <c r="Z39" s="25" t="n">
        <f>1276670</f>
        <v>1276670.0</v>
      </c>
      <c r="AA39" s="23"/>
      <c r="AB39" s="25" t="n">
        <f>719240</f>
        <v>719240.0</v>
      </c>
      <c r="AC39" s="23"/>
      <c r="AD39" s="26" t="n">
        <f>1995910</f>
        <v>1995910.0</v>
      </c>
    </row>
    <row r="40">
      <c r="A40" s="30" t="s">
        <v>60</v>
      </c>
      <c r="B40" s="22" t="s">
        <v>27</v>
      </c>
      <c r="C40" s="22" t="s">
        <v>28</v>
      </c>
      <c r="D40" s="24"/>
      <c r="E40" s="25" t="n">
        <f>61158</f>
        <v>61158.0</v>
      </c>
      <c r="F40" s="23" t="s">
        <v>34</v>
      </c>
      <c r="G40" s="25" t="n">
        <f>35860</f>
        <v>35860.0</v>
      </c>
      <c r="H40" s="23"/>
      <c r="I40" s="26" t="n">
        <f>97018</f>
        <v>97018.0</v>
      </c>
      <c r="J40" s="24"/>
      <c r="K40" s="25" t="n">
        <f>31471256300</f>
        <v>3.14712563E10</v>
      </c>
      <c r="L40" s="23"/>
      <c r="M40" s="25" t="n">
        <f>19982401000</f>
        <v>1.9982401E10</v>
      </c>
      <c r="N40" s="23"/>
      <c r="O40" s="26" t="n">
        <f>51453657300</f>
        <v>5.14536573E10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9864</f>
        <v>9864.0</v>
      </c>
      <c r="U40" s="23"/>
      <c r="V40" s="25" t="n">
        <f>11738</f>
        <v>11738.0</v>
      </c>
      <c r="W40" s="23"/>
      <c r="X40" s="26" t="n">
        <f>21602</f>
        <v>21602.0</v>
      </c>
      <c r="Y40" s="24"/>
      <c r="Z40" s="25" t="n">
        <f>1289555</f>
        <v>1289555.0</v>
      </c>
      <c r="AA40" s="23"/>
      <c r="AB40" s="25" t="n">
        <f>732097</f>
        <v>732097.0</v>
      </c>
      <c r="AC40" s="23"/>
      <c r="AD40" s="26" t="n">
        <f>2021652</f>
        <v>2021652.0</v>
      </c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 t="n">
        <f>954</f>
        <v>954.0</v>
      </c>
      <c r="F42" s="23"/>
      <c r="G42" s="25" t="n">
        <f>1270</f>
        <v>1270.0</v>
      </c>
      <c r="H42" s="23"/>
      <c r="I42" s="26" t="n">
        <f>2224</f>
        <v>2224.0</v>
      </c>
      <c r="J42" s="24" t="s">
        <v>30</v>
      </c>
      <c r="K42" s="25" t="n">
        <f>591535000</f>
        <v>5.91535E8</v>
      </c>
      <c r="L42" s="23"/>
      <c r="M42" s="25" t="n">
        <f>102392000</f>
        <v>1.02392E8</v>
      </c>
      <c r="N42" s="23" t="s">
        <v>30</v>
      </c>
      <c r="O42" s="26" t="n">
        <f>693927000</f>
        <v>6.93927E8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42</f>
        <v>42.0</v>
      </c>
      <c r="U42" s="23"/>
      <c r="V42" s="25" t="n">
        <f>82</f>
        <v>82.0</v>
      </c>
      <c r="W42" s="23"/>
      <c r="X42" s="26" t="n">
        <f>124</f>
        <v>124.0</v>
      </c>
      <c r="Y42" s="24"/>
      <c r="Z42" s="25" t="n">
        <f>1761</f>
        <v>1761.0</v>
      </c>
      <c r="AA42" s="23"/>
      <c r="AB42" s="25" t="n">
        <f>2435</f>
        <v>2435.0</v>
      </c>
      <c r="AC42" s="23"/>
      <c r="AD42" s="26" t="n">
        <f>4196</f>
        <v>4196.0</v>
      </c>
    </row>
    <row r="43">
      <c r="A43" s="30" t="s">
        <v>31</v>
      </c>
      <c r="B43" s="22" t="s">
        <v>61</v>
      </c>
      <c r="C43" s="22" t="s">
        <v>62</v>
      </c>
      <c r="D43" s="24"/>
      <c r="E43" s="25" t="n">
        <f>705</f>
        <v>705.0</v>
      </c>
      <c r="F43" s="23"/>
      <c r="G43" s="25" t="n">
        <f>1583</f>
        <v>1583.0</v>
      </c>
      <c r="H43" s="23"/>
      <c r="I43" s="26" t="n">
        <f>2288</f>
        <v>2288.0</v>
      </c>
      <c r="J43" s="24"/>
      <c r="K43" s="25" t="n">
        <f>144089000</f>
        <v>1.44089E8</v>
      </c>
      <c r="L43" s="23"/>
      <c r="M43" s="25" t="n">
        <f>156576000</f>
        <v>1.56576E8</v>
      </c>
      <c r="N43" s="23"/>
      <c r="O43" s="26" t="n">
        <f>300665000</f>
        <v>3.00665E8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45</f>
        <v>45.0</v>
      </c>
      <c r="U43" s="23"/>
      <c r="V43" s="25" t="n">
        <f>78</f>
        <v>78.0</v>
      </c>
      <c r="W43" s="23"/>
      <c r="X43" s="26" t="n">
        <f>123</f>
        <v>123.0</v>
      </c>
      <c r="Y43" s="24"/>
      <c r="Z43" s="25" t="n">
        <f>2054</f>
        <v>2054.0</v>
      </c>
      <c r="AA43" s="23"/>
      <c r="AB43" s="25" t="n">
        <f>3070</f>
        <v>3070.0</v>
      </c>
      <c r="AC43" s="23"/>
      <c r="AD43" s="26" t="n">
        <f>5124</f>
        <v>5124.0</v>
      </c>
    </row>
    <row r="44">
      <c r="A44" s="30" t="s">
        <v>32</v>
      </c>
      <c r="B44" s="22" t="s">
        <v>61</v>
      </c>
      <c r="C44" s="22" t="s">
        <v>62</v>
      </c>
      <c r="D44" s="24"/>
      <c r="E44" s="25" t="n">
        <f>570</f>
        <v>570.0</v>
      </c>
      <c r="F44" s="23"/>
      <c r="G44" s="25" t="n">
        <f>1038</f>
        <v>1038.0</v>
      </c>
      <c r="H44" s="23"/>
      <c r="I44" s="26" t="n">
        <f>1608</f>
        <v>1608.0</v>
      </c>
      <c r="J44" s="24"/>
      <c r="K44" s="25" t="n">
        <f>84423000</f>
        <v>8.4423E7</v>
      </c>
      <c r="L44" s="23"/>
      <c r="M44" s="25" t="n">
        <f>46485000</f>
        <v>4.6485E7</v>
      </c>
      <c r="N44" s="23"/>
      <c r="O44" s="26" t="n">
        <f>130908000</f>
        <v>1.30908E8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44</f>
        <v>44.0</v>
      </c>
      <c r="U44" s="23"/>
      <c r="V44" s="25" t="n">
        <f>90</f>
        <v>90.0</v>
      </c>
      <c r="W44" s="23"/>
      <c r="X44" s="26" t="n">
        <f>134</f>
        <v>134.0</v>
      </c>
      <c r="Y44" s="24"/>
      <c r="Z44" s="25" t="n">
        <f>2043</f>
        <v>2043.0</v>
      </c>
      <c r="AA44" s="23"/>
      <c r="AB44" s="25" t="n">
        <f>3220</f>
        <v>3220.0</v>
      </c>
      <c r="AC44" s="23"/>
      <c r="AD44" s="26" t="n">
        <f>5263</f>
        <v>5263.0</v>
      </c>
    </row>
    <row r="45">
      <c r="A45" s="30" t="s">
        <v>33</v>
      </c>
      <c r="B45" s="22" t="s">
        <v>61</v>
      </c>
      <c r="C45" s="22" t="s">
        <v>62</v>
      </c>
      <c r="D45" s="24" t="s">
        <v>30</v>
      </c>
      <c r="E45" s="25" t="n">
        <f>1360</f>
        <v>1360.0</v>
      </c>
      <c r="F45" s="23"/>
      <c r="G45" s="25" t="n">
        <f>1449</f>
        <v>1449.0</v>
      </c>
      <c r="H45" s="23"/>
      <c r="I45" s="26" t="n">
        <f>2809</f>
        <v>2809.0</v>
      </c>
      <c r="J45" s="24"/>
      <c r="K45" s="25" t="n">
        <f>45052000</f>
        <v>4.5052E7</v>
      </c>
      <c r="L45" s="23"/>
      <c r="M45" s="25" t="n">
        <f>30166000</f>
        <v>3.0166E7</v>
      </c>
      <c r="N45" s="23"/>
      <c r="O45" s="26" t="n">
        <f>75218000</f>
        <v>7.5218E7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61</f>
        <v>61.0</v>
      </c>
      <c r="U45" s="23"/>
      <c r="V45" s="25" t="n">
        <f>117</f>
        <v>117.0</v>
      </c>
      <c r="W45" s="23"/>
      <c r="X45" s="26" t="n">
        <f>178</f>
        <v>178.0</v>
      </c>
      <c r="Y45" s="24" t="s">
        <v>30</v>
      </c>
      <c r="Z45" s="25" t="n">
        <f>2405</f>
        <v>2405.0</v>
      </c>
      <c r="AA45" s="23" t="s">
        <v>30</v>
      </c>
      <c r="AB45" s="25" t="n">
        <f>3630</f>
        <v>3630.0</v>
      </c>
      <c r="AC45" s="23" t="s">
        <v>30</v>
      </c>
      <c r="AD45" s="26" t="n">
        <f>6035</f>
        <v>6035.0</v>
      </c>
    </row>
    <row r="46">
      <c r="A46" s="30" t="s">
        <v>35</v>
      </c>
      <c r="B46" s="22" t="s">
        <v>61</v>
      </c>
      <c r="C46" s="22" t="s">
        <v>62</v>
      </c>
      <c r="D46" s="24"/>
      <c r="E46" s="25" t="n">
        <f>14</f>
        <v>14.0</v>
      </c>
      <c r="F46" s="23"/>
      <c r="G46" s="25" t="n">
        <f>307</f>
        <v>307.0</v>
      </c>
      <c r="H46" s="23"/>
      <c r="I46" s="26" t="n">
        <f>321</f>
        <v>321.0</v>
      </c>
      <c r="J46" s="24"/>
      <c r="K46" s="25" t="n">
        <f>7494000</f>
        <v>7494000.0</v>
      </c>
      <c r="L46" s="23"/>
      <c r="M46" s="25" t="n">
        <f>72228000</f>
        <v>7.2228E7</v>
      </c>
      <c r="N46" s="23"/>
      <c r="O46" s="26" t="n">
        <f>79722000</f>
        <v>7.9722E7</v>
      </c>
      <c r="P46" s="27" t="n">
        <f>742</f>
        <v>742.0</v>
      </c>
      <c r="Q46" s="28" t="n">
        <f>7</f>
        <v>7.0</v>
      </c>
      <c r="R46" s="29" t="n">
        <f>749</f>
        <v>749.0</v>
      </c>
      <c r="S46" s="24" t="s">
        <v>34</v>
      </c>
      <c r="T46" s="25" t="str">
        <f>"－"</f>
        <v>－</v>
      </c>
      <c r="U46" s="23" t="s">
        <v>30</v>
      </c>
      <c r="V46" s="25" t="n">
        <f>266</f>
        <v>266.0</v>
      </c>
      <c r="W46" s="23"/>
      <c r="X46" s="26" t="n">
        <f>266</f>
        <v>266.0</v>
      </c>
      <c r="Y46" s="24" t="s">
        <v>34</v>
      </c>
      <c r="Z46" s="25" t="n">
        <f>25</f>
        <v>25.0</v>
      </c>
      <c r="AA46" s="23" t="s">
        <v>34</v>
      </c>
      <c r="AB46" s="25" t="n">
        <f>834</f>
        <v>834.0</v>
      </c>
      <c r="AC46" s="23" t="s">
        <v>34</v>
      </c>
      <c r="AD46" s="26" t="n">
        <f>859</f>
        <v>859.0</v>
      </c>
    </row>
    <row r="47">
      <c r="A47" s="30" t="s">
        <v>36</v>
      </c>
      <c r="B47" s="22" t="s">
        <v>61</v>
      </c>
      <c r="C47" s="22" t="s">
        <v>62</v>
      </c>
      <c r="D47" s="24"/>
      <c r="E47" s="25"/>
      <c r="F47" s="23"/>
      <c r="G47" s="25"/>
      <c r="H47" s="23"/>
      <c r="I47" s="26"/>
      <c r="J47" s="24"/>
      <c r="K47" s="25"/>
      <c r="L47" s="23"/>
      <c r="M47" s="25"/>
      <c r="N47" s="23"/>
      <c r="O47" s="26"/>
      <c r="P47" s="27"/>
      <c r="Q47" s="28"/>
      <c r="R47" s="29"/>
      <c r="S47" s="24"/>
      <c r="T47" s="25"/>
      <c r="U47" s="23"/>
      <c r="V47" s="25"/>
      <c r="W47" s="23"/>
      <c r="X47" s="26"/>
      <c r="Y47" s="24"/>
      <c r="Z47" s="25"/>
      <c r="AA47" s="23"/>
      <c r="AB47" s="25"/>
      <c r="AC47" s="23"/>
      <c r="AD47" s="26"/>
    </row>
    <row r="48">
      <c r="A48" s="30" t="s">
        <v>37</v>
      </c>
      <c r="B48" s="22" t="s">
        <v>61</v>
      </c>
      <c r="C48" s="22" t="s">
        <v>62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38</v>
      </c>
      <c r="B49" s="22" t="s">
        <v>61</v>
      </c>
      <c r="C49" s="22" t="s">
        <v>62</v>
      </c>
      <c r="D49" s="24"/>
      <c r="E49" s="25" t="n">
        <f>116</f>
        <v>116.0</v>
      </c>
      <c r="F49" s="23"/>
      <c r="G49" s="25" t="n">
        <f>21</f>
        <v>21.0</v>
      </c>
      <c r="H49" s="23"/>
      <c r="I49" s="26" t="n">
        <f>137</f>
        <v>137.0</v>
      </c>
      <c r="J49" s="24"/>
      <c r="K49" s="25" t="n">
        <f>34050000</f>
        <v>3.405E7</v>
      </c>
      <c r="L49" s="23"/>
      <c r="M49" s="25" t="n">
        <f>2828000</f>
        <v>2828000.0</v>
      </c>
      <c r="N49" s="23"/>
      <c r="O49" s="26" t="n">
        <f>36878000</f>
        <v>3.6878E7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5</f>
        <v>5.0</v>
      </c>
      <c r="U49" s="23"/>
      <c r="V49" s="25" t="n">
        <f>1</f>
        <v>1.0</v>
      </c>
      <c r="W49" s="23"/>
      <c r="X49" s="26" t="n">
        <f>6</f>
        <v>6.0</v>
      </c>
      <c r="Y49" s="24"/>
      <c r="Z49" s="25" t="n">
        <f>123</f>
        <v>123.0</v>
      </c>
      <c r="AA49" s="23"/>
      <c r="AB49" s="25" t="n">
        <f>853</f>
        <v>853.0</v>
      </c>
      <c r="AC49" s="23"/>
      <c r="AD49" s="26" t="n">
        <f>976</f>
        <v>976.0</v>
      </c>
    </row>
    <row r="50">
      <c r="A50" s="30" t="s">
        <v>39</v>
      </c>
      <c r="B50" s="22" t="s">
        <v>61</v>
      </c>
      <c r="C50" s="22" t="s">
        <v>62</v>
      </c>
      <c r="D50" s="24"/>
      <c r="E50" s="25" t="n">
        <f>65</f>
        <v>65.0</v>
      </c>
      <c r="F50" s="23" t="s">
        <v>34</v>
      </c>
      <c r="G50" s="25" t="n">
        <f>7</f>
        <v>7.0</v>
      </c>
      <c r="H50" s="23"/>
      <c r="I50" s="26" t="n">
        <f>72</f>
        <v>72.0</v>
      </c>
      <c r="J50" s="24"/>
      <c r="K50" s="25" t="n">
        <f>162955000</f>
        <v>1.62955E8</v>
      </c>
      <c r="L50" s="23"/>
      <c r="M50" s="25" t="n">
        <f>1354000</f>
        <v>1354000.0</v>
      </c>
      <c r="N50" s="23"/>
      <c r="O50" s="26" t="n">
        <f>164309000</f>
        <v>1.64309E8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str">
        <f>"－"</f>
        <v>－</v>
      </c>
      <c r="U50" s="23" t="s">
        <v>34</v>
      </c>
      <c r="V50" s="25" t="str">
        <f>"－"</f>
        <v>－</v>
      </c>
      <c r="W50" s="23" t="s">
        <v>34</v>
      </c>
      <c r="X50" s="26" t="str">
        <f>"－"</f>
        <v>－</v>
      </c>
      <c r="Y50" s="24"/>
      <c r="Z50" s="25" t="n">
        <f>120</f>
        <v>120.0</v>
      </c>
      <c r="AA50" s="23"/>
      <c r="AB50" s="25" t="n">
        <f>855</f>
        <v>855.0</v>
      </c>
      <c r="AC50" s="23"/>
      <c r="AD50" s="26" t="n">
        <f>975</f>
        <v>975.0</v>
      </c>
    </row>
    <row r="51">
      <c r="A51" s="30" t="s">
        <v>40</v>
      </c>
      <c r="B51" s="22" t="s">
        <v>61</v>
      </c>
      <c r="C51" s="22" t="s">
        <v>62</v>
      </c>
      <c r="D51" s="24" t="s">
        <v>34</v>
      </c>
      <c r="E51" s="25" t="n">
        <f>1</f>
        <v>1.0</v>
      </c>
      <c r="F51" s="23"/>
      <c r="G51" s="25" t="n">
        <f>40</f>
        <v>40.0</v>
      </c>
      <c r="H51" s="23" t="s">
        <v>34</v>
      </c>
      <c r="I51" s="26" t="n">
        <f>41</f>
        <v>41.0</v>
      </c>
      <c r="J51" s="24" t="s">
        <v>34</v>
      </c>
      <c r="K51" s="25" t="n">
        <f>180000</f>
        <v>180000.0</v>
      </c>
      <c r="L51" s="23"/>
      <c r="M51" s="25" t="n">
        <f>84395000</f>
        <v>8.4395E7</v>
      </c>
      <c r="N51" s="23"/>
      <c r="O51" s="26" t="n">
        <f>84575000</f>
        <v>8.4575E7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str">
        <f>"－"</f>
        <v>－</v>
      </c>
      <c r="U51" s="23"/>
      <c r="V51" s="25" t="str">
        <f>"－"</f>
        <v>－</v>
      </c>
      <c r="W51" s="23"/>
      <c r="X51" s="26" t="str">
        <f>"－"</f>
        <v>－</v>
      </c>
      <c r="Y51" s="24"/>
      <c r="Z51" s="25" t="n">
        <f>120</f>
        <v>120.0</v>
      </c>
      <c r="AA51" s="23"/>
      <c r="AB51" s="25" t="n">
        <f>868</f>
        <v>868.0</v>
      </c>
      <c r="AC51" s="23"/>
      <c r="AD51" s="26" t="n">
        <f>988</f>
        <v>988.0</v>
      </c>
    </row>
    <row r="52">
      <c r="A52" s="30" t="s">
        <v>41</v>
      </c>
      <c r="B52" s="22" t="s">
        <v>61</v>
      </c>
      <c r="C52" s="22" t="s">
        <v>62</v>
      </c>
      <c r="D52" s="24"/>
      <c r="E52" s="25" t="n">
        <f>102</f>
        <v>102.0</v>
      </c>
      <c r="F52" s="23"/>
      <c r="G52" s="25" t="n">
        <f>112</f>
        <v>112.0</v>
      </c>
      <c r="H52" s="23"/>
      <c r="I52" s="26" t="n">
        <f>214</f>
        <v>214.0</v>
      </c>
      <c r="J52" s="24"/>
      <c r="K52" s="25" t="n">
        <f>7621000</f>
        <v>7621000.0</v>
      </c>
      <c r="L52" s="23" t="s">
        <v>34</v>
      </c>
      <c r="M52" s="25" t="n">
        <f>1148000</f>
        <v>1148000.0</v>
      </c>
      <c r="N52" s="23" t="s">
        <v>34</v>
      </c>
      <c r="O52" s="26" t="n">
        <f>8769000</f>
        <v>8769000.0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str">
        <f>"－"</f>
        <v>－</v>
      </c>
      <c r="U52" s="23"/>
      <c r="V52" s="25" t="str">
        <f>"－"</f>
        <v>－</v>
      </c>
      <c r="W52" s="23"/>
      <c r="X52" s="26" t="str">
        <f>"－"</f>
        <v>－</v>
      </c>
      <c r="Y52" s="24"/>
      <c r="Z52" s="25" t="n">
        <f>142</f>
        <v>142.0</v>
      </c>
      <c r="AA52" s="23"/>
      <c r="AB52" s="25" t="n">
        <f>975</f>
        <v>975.0</v>
      </c>
      <c r="AC52" s="23"/>
      <c r="AD52" s="26" t="n">
        <f>1117</f>
        <v>1117.0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142</f>
        <v>142.0</v>
      </c>
      <c r="F53" s="23"/>
      <c r="G53" s="25" t="n">
        <f>274</f>
        <v>274.0</v>
      </c>
      <c r="H53" s="23"/>
      <c r="I53" s="26" t="n">
        <f>416</f>
        <v>416.0</v>
      </c>
      <c r="J53" s="24"/>
      <c r="K53" s="25" t="n">
        <f>31425000</f>
        <v>3.1425E7</v>
      </c>
      <c r="L53" s="23"/>
      <c r="M53" s="25" t="n">
        <f>10809830</f>
        <v>1.080983E7</v>
      </c>
      <c r="N53" s="23"/>
      <c r="O53" s="26" t="n">
        <f>42234830</f>
        <v>4.223483E7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</f>
        <v>1.0</v>
      </c>
      <c r="U53" s="23"/>
      <c r="V53" s="25" t="n">
        <f>8</f>
        <v>8.0</v>
      </c>
      <c r="W53" s="23"/>
      <c r="X53" s="26" t="n">
        <f>9</f>
        <v>9.0</v>
      </c>
      <c r="Y53" s="24"/>
      <c r="Z53" s="25" t="n">
        <f>171</f>
        <v>171.0</v>
      </c>
      <c r="AA53" s="23"/>
      <c r="AB53" s="25" t="n">
        <f>1132</f>
        <v>1132.0</v>
      </c>
      <c r="AC53" s="23"/>
      <c r="AD53" s="26" t="n">
        <f>1303</f>
        <v>1303.0</v>
      </c>
    </row>
    <row r="54">
      <c r="A54" s="30" t="s">
        <v>43</v>
      </c>
      <c r="B54" s="22" t="s">
        <v>61</v>
      </c>
      <c r="C54" s="22" t="s">
        <v>62</v>
      </c>
      <c r="D54" s="24"/>
      <c r="E54" s="25"/>
      <c r="F54" s="23"/>
      <c r="G54" s="25"/>
      <c r="H54" s="23"/>
      <c r="I54" s="26"/>
      <c r="J54" s="24"/>
      <c r="K54" s="25"/>
      <c r="L54" s="23"/>
      <c r="M54" s="25"/>
      <c r="N54" s="23"/>
      <c r="O54" s="26"/>
      <c r="P54" s="27"/>
      <c r="Q54" s="28"/>
      <c r="R54" s="29"/>
      <c r="S54" s="24"/>
      <c r="T54" s="25"/>
      <c r="U54" s="23"/>
      <c r="V54" s="25"/>
      <c r="W54" s="23"/>
      <c r="X54" s="26"/>
      <c r="Y54" s="24"/>
      <c r="Z54" s="25"/>
      <c r="AA54" s="23"/>
      <c r="AB54" s="25"/>
      <c r="AC54" s="23"/>
      <c r="AD54" s="26"/>
    </row>
    <row r="55">
      <c r="A55" s="30" t="s">
        <v>44</v>
      </c>
      <c r="B55" s="22" t="s">
        <v>61</v>
      </c>
      <c r="C55" s="22" t="s">
        <v>62</v>
      </c>
      <c r="D55" s="24"/>
      <c r="E55" s="25"/>
      <c r="F55" s="23"/>
      <c r="G55" s="25"/>
      <c r="H55" s="23"/>
      <c r="I55" s="26"/>
      <c r="J55" s="24"/>
      <c r="K55" s="25"/>
      <c r="L55" s="23"/>
      <c r="M55" s="25"/>
      <c r="N55" s="23"/>
      <c r="O55" s="26"/>
      <c r="P55" s="27"/>
      <c r="Q55" s="28"/>
      <c r="R55" s="29"/>
      <c r="S55" s="24"/>
      <c r="T55" s="25"/>
      <c r="U55" s="23"/>
      <c r="V55" s="25"/>
      <c r="W55" s="23"/>
      <c r="X55" s="26"/>
      <c r="Y55" s="24"/>
      <c r="Z55" s="25"/>
      <c r="AA55" s="23"/>
      <c r="AB55" s="25"/>
      <c r="AC55" s="23"/>
      <c r="AD55" s="26"/>
    </row>
    <row r="56">
      <c r="A56" s="30" t="s">
        <v>45</v>
      </c>
      <c r="B56" s="22" t="s">
        <v>61</v>
      </c>
      <c r="C56" s="22" t="s">
        <v>62</v>
      </c>
      <c r="D56" s="24"/>
      <c r="E56" s="25" t="n">
        <f>151</f>
        <v>151.0</v>
      </c>
      <c r="F56" s="23"/>
      <c r="G56" s="25" t="n">
        <f>289</f>
        <v>289.0</v>
      </c>
      <c r="H56" s="23"/>
      <c r="I56" s="26" t="n">
        <f>440</f>
        <v>440.0</v>
      </c>
      <c r="J56" s="24"/>
      <c r="K56" s="25" t="n">
        <f>26945000</f>
        <v>2.6945E7</v>
      </c>
      <c r="L56" s="23"/>
      <c r="M56" s="25" t="n">
        <f>13650000</f>
        <v>1.365E7</v>
      </c>
      <c r="N56" s="23"/>
      <c r="O56" s="26" t="n">
        <f>40595000</f>
        <v>4.0595E7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str">
        <f>"－"</f>
        <v>－</v>
      </c>
      <c r="U56" s="23"/>
      <c r="V56" s="25" t="n">
        <f>2</f>
        <v>2.0</v>
      </c>
      <c r="W56" s="23"/>
      <c r="X56" s="26" t="n">
        <f>2</f>
        <v>2.0</v>
      </c>
      <c r="Y56" s="24"/>
      <c r="Z56" s="25" t="n">
        <f>234</f>
        <v>234.0</v>
      </c>
      <c r="AA56" s="23"/>
      <c r="AB56" s="25" t="n">
        <f>1192</f>
        <v>1192.0</v>
      </c>
      <c r="AC56" s="23"/>
      <c r="AD56" s="26" t="n">
        <f>1426</f>
        <v>1426.0</v>
      </c>
    </row>
    <row r="57">
      <c r="A57" s="30" t="s">
        <v>46</v>
      </c>
      <c r="B57" s="22" t="s">
        <v>61</v>
      </c>
      <c r="C57" s="22" t="s">
        <v>62</v>
      </c>
      <c r="D57" s="24"/>
      <c r="E57" s="25" t="n">
        <f>252</f>
        <v>252.0</v>
      </c>
      <c r="F57" s="23"/>
      <c r="G57" s="25" t="n">
        <f>553</f>
        <v>553.0</v>
      </c>
      <c r="H57" s="23"/>
      <c r="I57" s="26" t="n">
        <f>805</f>
        <v>805.0</v>
      </c>
      <c r="J57" s="24"/>
      <c r="K57" s="25" t="n">
        <f>74419880</f>
        <v>7.441988E7</v>
      </c>
      <c r="L57" s="23"/>
      <c r="M57" s="25" t="n">
        <f>71361000</f>
        <v>7.1361E7</v>
      </c>
      <c r="N57" s="23"/>
      <c r="O57" s="26" t="n">
        <f>145780880</f>
        <v>1.4578088E8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6</f>
        <v>6.0</v>
      </c>
      <c r="U57" s="23"/>
      <c r="V57" s="25" t="n">
        <f>1</f>
        <v>1.0</v>
      </c>
      <c r="W57" s="23"/>
      <c r="X57" s="26" t="n">
        <f>7</f>
        <v>7.0</v>
      </c>
      <c r="Y57" s="24"/>
      <c r="Z57" s="25" t="n">
        <f>363</f>
        <v>363.0</v>
      </c>
      <c r="AA57" s="23"/>
      <c r="AB57" s="25" t="n">
        <f>1535</f>
        <v>1535.0</v>
      </c>
      <c r="AC57" s="23"/>
      <c r="AD57" s="26" t="n">
        <f>1898</f>
        <v>1898.0</v>
      </c>
    </row>
    <row r="58">
      <c r="A58" s="30" t="s">
        <v>47</v>
      </c>
      <c r="B58" s="22" t="s">
        <v>61</v>
      </c>
      <c r="C58" s="22" t="s">
        <v>62</v>
      </c>
      <c r="D58" s="24"/>
      <c r="E58" s="25" t="n">
        <f>520</f>
        <v>520.0</v>
      </c>
      <c r="F58" s="23"/>
      <c r="G58" s="25" t="n">
        <f>472</f>
        <v>472.0</v>
      </c>
      <c r="H58" s="23"/>
      <c r="I58" s="26" t="n">
        <f>992</f>
        <v>992.0</v>
      </c>
      <c r="J58" s="24"/>
      <c r="K58" s="25" t="n">
        <f>25063000</f>
        <v>2.5063E7</v>
      </c>
      <c r="L58" s="23"/>
      <c r="M58" s="25" t="n">
        <f>14552000</f>
        <v>1.4552E7</v>
      </c>
      <c r="N58" s="23"/>
      <c r="O58" s="26" t="n">
        <f>39615000</f>
        <v>3.9615E7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2</f>
        <v>2.0</v>
      </c>
      <c r="U58" s="23"/>
      <c r="V58" s="25" t="n">
        <f>1</f>
        <v>1.0</v>
      </c>
      <c r="W58" s="23"/>
      <c r="X58" s="26" t="n">
        <f>3</f>
        <v>3.0</v>
      </c>
      <c r="Y58" s="24"/>
      <c r="Z58" s="25" t="n">
        <f>656</f>
        <v>656.0</v>
      </c>
      <c r="AA58" s="23"/>
      <c r="AB58" s="25" t="n">
        <f>1705</f>
        <v>1705.0</v>
      </c>
      <c r="AC58" s="23"/>
      <c r="AD58" s="26" t="n">
        <f>2361</f>
        <v>2361.0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87</f>
        <v>87.0</v>
      </c>
      <c r="F59" s="23"/>
      <c r="G59" s="25" t="n">
        <f>361</f>
        <v>361.0</v>
      </c>
      <c r="H59" s="23"/>
      <c r="I59" s="26" t="n">
        <f>448</f>
        <v>448.0</v>
      </c>
      <c r="J59" s="24"/>
      <c r="K59" s="25" t="n">
        <f>13838000</f>
        <v>1.3838E7</v>
      </c>
      <c r="L59" s="23"/>
      <c r="M59" s="25" t="n">
        <f>131038360</f>
        <v>1.3103836E8</v>
      </c>
      <c r="N59" s="23"/>
      <c r="O59" s="26" t="n">
        <f>144876360</f>
        <v>1.4487636E8</v>
      </c>
      <c r="P59" s="27" t="n">
        <f>112</f>
        <v>112.0</v>
      </c>
      <c r="Q59" s="28" t="n">
        <f>55</f>
        <v>55.0</v>
      </c>
      <c r="R59" s="29" t="n">
        <f>167</f>
        <v>167.0</v>
      </c>
      <c r="S59" s="24"/>
      <c r="T59" s="25" t="str">
        <f>"－"</f>
        <v>－</v>
      </c>
      <c r="U59" s="23"/>
      <c r="V59" s="25" t="n">
        <f>260</f>
        <v>260.0</v>
      </c>
      <c r="W59" s="23"/>
      <c r="X59" s="26" t="n">
        <f>260</f>
        <v>260.0</v>
      </c>
      <c r="Y59" s="24"/>
      <c r="Z59" s="25" t="n">
        <f>106</f>
        <v>106.0</v>
      </c>
      <c r="AA59" s="23"/>
      <c r="AB59" s="25" t="n">
        <f>899</f>
        <v>899.0</v>
      </c>
      <c r="AC59" s="23"/>
      <c r="AD59" s="26" t="n">
        <f>1005</f>
        <v>1005.0</v>
      </c>
    </row>
    <row r="60">
      <c r="A60" s="30" t="s">
        <v>49</v>
      </c>
      <c r="B60" s="22" t="s">
        <v>61</v>
      </c>
      <c r="C60" s="22" t="s">
        <v>62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50</v>
      </c>
      <c r="B61" s="22" t="s">
        <v>61</v>
      </c>
      <c r="C61" s="22" t="s">
        <v>62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51</v>
      </c>
      <c r="B62" s="22" t="s">
        <v>61</v>
      </c>
      <c r="C62" s="22" t="s">
        <v>62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52</v>
      </c>
      <c r="B63" s="22" t="s">
        <v>61</v>
      </c>
      <c r="C63" s="22" t="s">
        <v>62</v>
      </c>
      <c r="D63" s="24"/>
      <c r="E63" s="25" t="n">
        <f>252</f>
        <v>252.0</v>
      </c>
      <c r="F63" s="23"/>
      <c r="G63" s="25" t="n">
        <f>137</f>
        <v>137.0</v>
      </c>
      <c r="H63" s="23"/>
      <c r="I63" s="26" t="n">
        <f>389</f>
        <v>389.0</v>
      </c>
      <c r="J63" s="24"/>
      <c r="K63" s="25" t="n">
        <f>44750000</f>
        <v>4.475E7</v>
      </c>
      <c r="L63" s="23"/>
      <c r="M63" s="25" t="n">
        <f>14993000</f>
        <v>1.4993E7</v>
      </c>
      <c r="N63" s="23"/>
      <c r="O63" s="26" t="n">
        <f>59743000</f>
        <v>5.9743E7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3</f>
        <v>3.0</v>
      </c>
      <c r="U63" s="23"/>
      <c r="V63" s="25" t="n">
        <f>2</f>
        <v>2.0</v>
      </c>
      <c r="W63" s="23"/>
      <c r="X63" s="26" t="n">
        <f>5</f>
        <v>5.0</v>
      </c>
      <c r="Y63" s="24"/>
      <c r="Z63" s="25" t="n">
        <f>204</f>
        <v>204.0</v>
      </c>
      <c r="AA63" s="23"/>
      <c r="AB63" s="25" t="n">
        <f>981</f>
        <v>981.0</v>
      </c>
      <c r="AC63" s="23"/>
      <c r="AD63" s="26" t="n">
        <f>1185</f>
        <v>1185.0</v>
      </c>
    </row>
    <row r="64">
      <c r="A64" s="30" t="s">
        <v>53</v>
      </c>
      <c r="B64" s="22" t="s">
        <v>61</v>
      </c>
      <c r="C64" s="22" t="s">
        <v>62</v>
      </c>
      <c r="D64" s="24"/>
      <c r="E64" s="25" t="n">
        <f>399</f>
        <v>399.0</v>
      </c>
      <c r="F64" s="23"/>
      <c r="G64" s="25" t="n">
        <f>499</f>
        <v>499.0</v>
      </c>
      <c r="H64" s="23"/>
      <c r="I64" s="26" t="n">
        <f>898</f>
        <v>898.0</v>
      </c>
      <c r="J64" s="24"/>
      <c r="K64" s="25" t="n">
        <f>27226000</f>
        <v>2.7226E7</v>
      </c>
      <c r="L64" s="23"/>
      <c r="M64" s="25" t="n">
        <f>55120000</f>
        <v>5.512E7</v>
      </c>
      <c r="N64" s="23"/>
      <c r="O64" s="26" t="n">
        <f>82346000</f>
        <v>8.2346E7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2</f>
        <v>2.0</v>
      </c>
      <c r="U64" s="23"/>
      <c r="V64" s="25" t="str">
        <f>"－"</f>
        <v>－</v>
      </c>
      <c r="W64" s="23"/>
      <c r="X64" s="26" t="n">
        <f>2</f>
        <v>2.0</v>
      </c>
      <c r="Y64" s="24"/>
      <c r="Z64" s="25" t="n">
        <f>324</f>
        <v>324.0</v>
      </c>
      <c r="AA64" s="23"/>
      <c r="AB64" s="25" t="n">
        <f>1266</f>
        <v>1266.0</v>
      </c>
      <c r="AC64" s="23"/>
      <c r="AD64" s="26" t="n">
        <f>1590</f>
        <v>1590.0</v>
      </c>
    </row>
    <row r="65">
      <c r="A65" s="30" t="s">
        <v>54</v>
      </c>
      <c r="B65" s="22" t="s">
        <v>61</v>
      </c>
      <c r="C65" s="22" t="s">
        <v>62</v>
      </c>
      <c r="D65" s="24"/>
      <c r="E65" s="25" t="n">
        <f>607</f>
        <v>607.0</v>
      </c>
      <c r="F65" s="23"/>
      <c r="G65" s="25" t="n">
        <f>790</f>
        <v>790.0</v>
      </c>
      <c r="H65" s="23"/>
      <c r="I65" s="26" t="n">
        <f>1397</f>
        <v>1397.0</v>
      </c>
      <c r="J65" s="24"/>
      <c r="K65" s="25" t="n">
        <f>33053000</f>
        <v>3.3053E7</v>
      </c>
      <c r="L65" s="23" t="s">
        <v>30</v>
      </c>
      <c r="M65" s="25" t="n">
        <f>222016000</f>
        <v>2.22016E8</v>
      </c>
      <c r="N65" s="23"/>
      <c r="O65" s="26" t="n">
        <f>255069000</f>
        <v>2.55069E8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2</f>
        <v>2.0</v>
      </c>
      <c r="U65" s="23"/>
      <c r="V65" s="25" t="n">
        <f>15</f>
        <v>15.0</v>
      </c>
      <c r="W65" s="23"/>
      <c r="X65" s="26" t="n">
        <f>17</f>
        <v>17.0</v>
      </c>
      <c r="Y65" s="24"/>
      <c r="Z65" s="25" t="n">
        <f>617</f>
        <v>617.0</v>
      </c>
      <c r="AA65" s="23"/>
      <c r="AB65" s="25" t="n">
        <f>1438</f>
        <v>1438.0</v>
      </c>
      <c r="AC65" s="23"/>
      <c r="AD65" s="26" t="n">
        <f>2055</f>
        <v>2055.0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538</f>
        <v>538.0</v>
      </c>
      <c r="F66" s="23" t="s">
        <v>30</v>
      </c>
      <c r="G66" s="25" t="n">
        <f>2520</f>
        <v>2520.0</v>
      </c>
      <c r="H66" s="23" t="s">
        <v>30</v>
      </c>
      <c r="I66" s="26" t="n">
        <f>3058</f>
        <v>3058.0</v>
      </c>
      <c r="J66" s="24"/>
      <c r="K66" s="25" t="n">
        <f>43655000</f>
        <v>4.3655E7</v>
      </c>
      <c r="L66" s="23"/>
      <c r="M66" s="25" t="n">
        <f>107273000</f>
        <v>1.07273E8</v>
      </c>
      <c r="N66" s="23"/>
      <c r="O66" s="26" t="n">
        <f>150928000</f>
        <v>1.50928E8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3</f>
        <v>3.0</v>
      </c>
      <c r="U66" s="23"/>
      <c r="V66" s="25" t="n">
        <f>1</f>
        <v>1.0</v>
      </c>
      <c r="W66" s="23"/>
      <c r="X66" s="26" t="n">
        <f>4</f>
        <v>4.0</v>
      </c>
      <c r="Y66" s="24"/>
      <c r="Z66" s="25" t="n">
        <f>836</f>
        <v>836.0</v>
      </c>
      <c r="AA66" s="23"/>
      <c r="AB66" s="25" t="n">
        <f>2982</f>
        <v>2982.0</v>
      </c>
      <c r="AC66" s="23"/>
      <c r="AD66" s="26" t="n">
        <f>3818</f>
        <v>3818.0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350</f>
        <v>350.0</v>
      </c>
      <c r="F67" s="23"/>
      <c r="G67" s="25" t="n">
        <f>325</f>
        <v>325.0</v>
      </c>
      <c r="H67" s="23"/>
      <c r="I67" s="26" t="n">
        <f>675</f>
        <v>675.0</v>
      </c>
      <c r="J67" s="24"/>
      <c r="K67" s="25" t="n">
        <f>178987000</f>
        <v>1.78987E8</v>
      </c>
      <c r="L67" s="23"/>
      <c r="M67" s="25" t="n">
        <f>178836800</f>
        <v>1.788368E8</v>
      </c>
      <c r="N67" s="23"/>
      <c r="O67" s="26" t="n">
        <f>357823800</f>
        <v>3.578238E8</v>
      </c>
      <c r="P67" s="27" t="n">
        <f>7</f>
        <v>7.0</v>
      </c>
      <c r="Q67" s="28" t="n">
        <f>260</f>
        <v>260.0</v>
      </c>
      <c r="R67" s="29" t="n">
        <f>267</f>
        <v>267.0</v>
      </c>
      <c r="S67" s="24" t="s">
        <v>30</v>
      </c>
      <c r="T67" s="25" t="n">
        <f>209</f>
        <v>209.0</v>
      </c>
      <c r="U67" s="23"/>
      <c r="V67" s="25" t="n">
        <f>240</f>
        <v>240.0</v>
      </c>
      <c r="W67" s="23" t="s">
        <v>30</v>
      </c>
      <c r="X67" s="26" t="n">
        <f>449</f>
        <v>449.0</v>
      </c>
      <c r="Y67" s="24"/>
      <c r="Z67" s="25" t="n">
        <f>336</f>
        <v>336.0</v>
      </c>
      <c r="AA67" s="23"/>
      <c r="AB67" s="25" t="n">
        <f>858</f>
        <v>858.0</v>
      </c>
      <c r="AC67" s="23"/>
      <c r="AD67" s="26" t="n">
        <f>1194</f>
        <v>1194.0</v>
      </c>
    </row>
    <row r="68">
      <c r="A68" s="30" t="s">
        <v>57</v>
      </c>
      <c r="B68" s="22" t="s">
        <v>61</v>
      </c>
      <c r="C68" s="22" t="s">
        <v>62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58</v>
      </c>
      <c r="B69" s="22" t="s">
        <v>61</v>
      </c>
      <c r="C69" s="22" t="s">
        <v>62</v>
      </c>
      <c r="D69" s="24"/>
      <c r="E69" s="25"/>
      <c r="F69" s="23"/>
      <c r="G69" s="25"/>
      <c r="H69" s="23"/>
      <c r="I69" s="26"/>
      <c r="J69" s="24"/>
      <c r="K69" s="25"/>
      <c r="L69" s="23"/>
      <c r="M69" s="25"/>
      <c r="N69" s="23"/>
      <c r="O69" s="26"/>
      <c r="P69" s="27"/>
      <c r="Q69" s="28"/>
      <c r="R69" s="29"/>
      <c r="S69" s="24"/>
      <c r="T69" s="25"/>
      <c r="U69" s="23"/>
      <c r="V69" s="25"/>
      <c r="W69" s="23"/>
      <c r="X69" s="26"/>
      <c r="Y69" s="24"/>
      <c r="Z69" s="25"/>
      <c r="AA69" s="23"/>
      <c r="AB69" s="25"/>
      <c r="AC69" s="23"/>
      <c r="AD69" s="26"/>
    </row>
    <row r="70">
      <c r="A70" s="30" t="s">
        <v>59</v>
      </c>
      <c r="B70" s="22" t="s">
        <v>61</v>
      </c>
      <c r="C70" s="22" t="s">
        <v>62</v>
      </c>
      <c r="D70" s="24"/>
      <c r="E70" s="25" t="n">
        <f>351</f>
        <v>351.0</v>
      </c>
      <c r="F70" s="23"/>
      <c r="G70" s="25" t="n">
        <f>328</f>
        <v>328.0</v>
      </c>
      <c r="H70" s="23"/>
      <c r="I70" s="26" t="n">
        <f>679</f>
        <v>679.0</v>
      </c>
      <c r="J70" s="24"/>
      <c r="K70" s="25" t="n">
        <f>84800000</f>
        <v>8.48E7</v>
      </c>
      <c r="L70" s="23"/>
      <c r="M70" s="25" t="n">
        <f>176623000</f>
        <v>1.76623E8</v>
      </c>
      <c r="N70" s="23"/>
      <c r="O70" s="26" t="n">
        <f>261423000</f>
        <v>2.61423E8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93</f>
        <v>93.0</v>
      </c>
      <c r="U70" s="23"/>
      <c r="V70" s="25" t="n">
        <f>180</f>
        <v>180.0</v>
      </c>
      <c r="W70" s="23"/>
      <c r="X70" s="26" t="n">
        <f>273</f>
        <v>273.0</v>
      </c>
      <c r="Y70" s="24"/>
      <c r="Z70" s="25" t="n">
        <f>616</f>
        <v>616.0</v>
      </c>
      <c r="AA70" s="23"/>
      <c r="AB70" s="25" t="n">
        <f>1092</f>
        <v>1092.0</v>
      </c>
      <c r="AC70" s="23"/>
      <c r="AD70" s="26" t="n">
        <f>1708</f>
        <v>1708.0</v>
      </c>
    </row>
    <row r="71">
      <c r="A71" s="30" t="s">
        <v>60</v>
      </c>
      <c r="B71" s="22" t="s">
        <v>61</v>
      </c>
      <c r="C71" s="22" t="s">
        <v>62</v>
      </c>
      <c r="D71" s="24"/>
      <c r="E71" s="25" t="n">
        <f>783</f>
        <v>783.0</v>
      </c>
      <c r="F71" s="23"/>
      <c r="G71" s="25" t="n">
        <f>120</f>
        <v>120.0</v>
      </c>
      <c r="H71" s="23"/>
      <c r="I71" s="26" t="n">
        <f>903</f>
        <v>903.0</v>
      </c>
      <c r="J71" s="24"/>
      <c r="K71" s="25" t="n">
        <f>203988000</f>
        <v>2.03988E8</v>
      </c>
      <c r="L71" s="23"/>
      <c r="M71" s="25" t="n">
        <f>21639000</f>
        <v>2.1639E7</v>
      </c>
      <c r="N71" s="23"/>
      <c r="O71" s="26" t="n">
        <f>225627000</f>
        <v>2.25627E8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3</f>
        <v>3.0</v>
      </c>
      <c r="U71" s="23"/>
      <c r="V71" s="25" t="str">
        <f>"－"</f>
        <v>－</v>
      </c>
      <c r="W71" s="23"/>
      <c r="X71" s="26" t="n">
        <f>3</f>
        <v>3.0</v>
      </c>
      <c r="Y71" s="24"/>
      <c r="Z71" s="25" t="n">
        <f>845</f>
        <v>845.0</v>
      </c>
      <c r="AA71" s="23"/>
      <c r="AB71" s="25" t="n">
        <f>1122</f>
        <v>1122.0</v>
      </c>
      <c r="AC71" s="23"/>
      <c r="AD71" s="26" t="n">
        <f>1967</f>
        <v>1967.0</v>
      </c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 t="s">
        <v>30</v>
      </c>
      <c r="E73" s="25" t="n">
        <f>41916</f>
        <v>41916.0</v>
      </c>
      <c r="F73" s="23" t="s">
        <v>34</v>
      </c>
      <c r="G73" s="25" t="str">
        <f>"－"</f>
        <v>－</v>
      </c>
      <c r="H73" s="23" t="s">
        <v>30</v>
      </c>
      <c r="I73" s="26" t="n">
        <f>41916</f>
        <v>41916.0</v>
      </c>
      <c r="J73" s="24" t="s">
        <v>30</v>
      </c>
      <c r="K73" s="25" t="n">
        <f>17145539132</f>
        <v>1.7145539132E10</v>
      </c>
      <c r="L73" s="23" t="s">
        <v>34</v>
      </c>
      <c r="M73" s="25" t="str">
        <f>"－"</f>
        <v>－</v>
      </c>
      <c r="N73" s="23" t="s">
        <v>30</v>
      </c>
      <c r="O73" s="26" t="n">
        <f>17145539132</f>
        <v>1.7145539132E10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 t="s">
        <v>30</v>
      </c>
      <c r="T73" s="25" t="n">
        <f>41916</f>
        <v>41916.0</v>
      </c>
      <c r="U73" s="23" t="s">
        <v>34</v>
      </c>
      <c r="V73" s="25" t="str">
        <f>"－"</f>
        <v>－</v>
      </c>
      <c r="W73" s="23" t="s">
        <v>30</v>
      </c>
      <c r="X73" s="26" t="n">
        <f>41916</f>
        <v>41916.0</v>
      </c>
      <c r="Y73" s="24"/>
      <c r="Z73" s="25" t="n">
        <f>118649</f>
        <v>118649.0</v>
      </c>
      <c r="AA73" s="23" t="s">
        <v>34</v>
      </c>
      <c r="AB73" s="25" t="n">
        <f>17387</f>
        <v>17387.0</v>
      </c>
      <c r="AC73" s="23"/>
      <c r="AD73" s="26" t="n">
        <f>136036</f>
        <v>136036.0</v>
      </c>
    </row>
    <row r="74">
      <c r="A74" s="30" t="s">
        <v>31</v>
      </c>
      <c r="B74" s="22" t="s">
        <v>63</v>
      </c>
      <c r="C74" s="22" t="s">
        <v>64</v>
      </c>
      <c r="D74" s="24" t="s">
        <v>34</v>
      </c>
      <c r="E74" s="25" t="str">
        <f>"－"</f>
        <v>－</v>
      </c>
      <c r="F74" s="23"/>
      <c r="G74" s="25" t="str">
        <f>"－"</f>
        <v>－</v>
      </c>
      <c r="H74" s="23" t="s">
        <v>34</v>
      </c>
      <c r="I74" s="26" t="str">
        <f>"－"</f>
        <v>－</v>
      </c>
      <c r="J74" s="24" t="s">
        <v>34</v>
      </c>
      <c r="K74" s="25" t="str">
        <f>"－"</f>
        <v>－</v>
      </c>
      <c r="L74" s="23"/>
      <c r="M74" s="25" t="str">
        <f>"－"</f>
        <v>－</v>
      </c>
      <c r="N74" s="23" t="s">
        <v>34</v>
      </c>
      <c r="O74" s="26" t="str">
        <f>"－"</f>
        <v>－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 t="s">
        <v>34</v>
      </c>
      <c r="T74" s="25" t="str">
        <f>"－"</f>
        <v>－</v>
      </c>
      <c r="U74" s="23"/>
      <c r="V74" s="25" t="str">
        <f>"－"</f>
        <v>－</v>
      </c>
      <c r="W74" s="23" t="s">
        <v>34</v>
      </c>
      <c r="X74" s="26" t="str">
        <f>"－"</f>
        <v>－</v>
      </c>
      <c r="Y74" s="24"/>
      <c r="Z74" s="25" t="n">
        <f>118649</f>
        <v>118649.0</v>
      </c>
      <c r="AA74" s="23"/>
      <c r="AB74" s="25" t="n">
        <f>17387</f>
        <v>17387.0</v>
      </c>
      <c r="AC74" s="23"/>
      <c r="AD74" s="26" t="n">
        <f>136036</f>
        <v>136036.0</v>
      </c>
    </row>
    <row r="75">
      <c r="A75" s="30" t="s">
        <v>32</v>
      </c>
      <c r="B75" s="22" t="s">
        <v>63</v>
      </c>
      <c r="C75" s="22" t="s">
        <v>64</v>
      </c>
      <c r="D75" s="24"/>
      <c r="E75" s="25" t="n">
        <f>300</f>
        <v>300.0</v>
      </c>
      <c r="F75" s="23"/>
      <c r="G75" s="25" t="str">
        <f>"－"</f>
        <v>－</v>
      </c>
      <c r="H75" s="23"/>
      <c r="I75" s="26" t="n">
        <f>300</f>
        <v>300.0</v>
      </c>
      <c r="J75" s="24"/>
      <c r="K75" s="25" t="n">
        <f>390000000</f>
        <v>3.9E8</v>
      </c>
      <c r="L75" s="23"/>
      <c r="M75" s="25" t="str">
        <f>"－"</f>
        <v>－</v>
      </c>
      <c r="N75" s="23"/>
      <c r="O75" s="26" t="n">
        <f>390000000</f>
        <v>3.9E8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str">
        <f>"－"</f>
        <v>－</v>
      </c>
      <c r="W75" s="23"/>
      <c r="X75" s="26" t="str">
        <f>"－"</f>
        <v>－</v>
      </c>
      <c r="Y75" s="24"/>
      <c r="Z75" s="25" t="n">
        <f>118649</f>
        <v>118649.0</v>
      </c>
      <c r="AA75" s="23"/>
      <c r="AB75" s="25" t="n">
        <f>17387</f>
        <v>17387.0</v>
      </c>
      <c r="AC75" s="23"/>
      <c r="AD75" s="26" t="n">
        <f>136036</f>
        <v>136036.0</v>
      </c>
    </row>
    <row r="76">
      <c r="A76" s="30" t="s">
        <v>33</v>
      </c>
      <c r="B76" s="22" t="s">
        <v>63</v>
      </c>
      <c r="C76" s="22" t="s">
        <v>64</v>
      </c>
      <c r="D76" s="24"/>
      <c r="E76" s="25" t="n">
        <f>19164</f>
        <v>19164.0</v>
      </c>
      <c r="F76" s="23" t="s">
        <v>30</v>
      </c>
      <c r="G76" s="25" t="n">
        <f>3664</f>
        <v>3664.0</v>
      </c>
      <c r="H76" s="23"/>
      <c r="I76" s="26" t="n">
        <f>22828</f>
        <v>22828.0</v>
      </c>
      <c r="J76" s="24"/>
      <c r="K76" s="25" t="n">
        <f>1316396138</f>
        <v>1.316396138E9</v>
      </c>
      <c r="L76" s="23"/>
      <c r="M76" s="25" t="n">
        <f>785147600</f>
        <v>7.851476E8</v>
      </c>
      <c r="N76" s="23"/>
      <c r="O76" s="26" t="n">
        <f>2101543738</f>
        <v>2.101543738E9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17164</f>
        <v>17164.0</v>
      </c>
      <c r="U76" s="23" t="s">
        <v>30</v>
      </c>
      <c r="V76" s="25" t="n">
        <f>3264</f>
        <v>3264.0</v>
      </c>
      <c r="W76" s="23"/>
      <c r="X76" s="26" t="n">
        <f>20428</f>
        <v>20428.0</v>
      </c>
      <c r="Y76" s="24" t="s">
        <v>30</v>
      </c>
      <c r="Z76" s="25" t="n">
        <f>135363</f>
        <v>135363.0</v>
      </c>
      <c r="AA76" s="23"/>
      <c r="AB76" s="25" t="n">
        <f>21051</f>
        <v>21051.0</v>
      </c>
      <c r="AC76" s="23"/>
      <c r="AD76" s="26" t="n">
        <f>156414</f>
        <v>156414.0</v>
      </c>
    </row>
    <row r="77">
      <c r="A77" s="30" t="s">
        <v>35</v>
      </c>
      <c r="B77" s="22" t="s">
        <v>63</v>
      </c>
      <c r="C77" s="22" t="s">
        <v>64</v>
      </c>
      <c r="D77" s="24"/>
      <c r="E77" s="25" t="n">
        <f>16763</f>
        <v>16763.0</v>
      </c>
      <c r="F77" s="23"/>
      <c r="G77" s="25" t="n">
        <f>300</f>
        <v>300.0</v>
      </c>
      <c r="H77" s="23"/>
      <c r="I77" s="26" t="n">
        <f>17063</f>
        <v>17063.0</v>
      </c>
      <c r="J77" s="24"/>
      <c r="K77" s="25" t="n">
        <f>11908820200</f>
        <v>1.19088202E10</v>
      </c>
      <c r="L77" s="23"/>
      <c r="M77" s="25" t="n">
        <f>247200000</f>
        <v>2.472E8</v>
      </c>
      <c r="N77" s="23"/>
      <c r="O77" s="26" t="n">
        <f>12156020200</f>
        <v>1.21560202E10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n">
        <f>16763</f>
        <v>16763.0</v>
      </c>
      <c r="U77" s="23"/>
      <c r="V77" s="25" t="n">
        <f>300</f>
        <v>300.0</v>
      </c>
      <c r="W77" s="23"/>
      <c r="X77" s="26" t="n">
        <f>17063</f>
        <v>17063.0</v>
      </c>
      <c r="Y77" s="24"/>
      <c r="Z77" s="25" t="n">
        <f>135295</f>
        <v>135295.0</v>
      </c>
      <c r="AA77" s="23"/>
      <c r="AB77" s="25" t="n">
        <f>21351</f>
        <v>21351.0</v>
      </c>
      <c r="AC77" s="23"/>
      <c r="AD77" s="26" t="n">
        <f>156646</f>
        <v>156646.0</v>
      </c>
    </row>
    <row r="78">
      <c r="A78" s="30" t="s">
        <v>36</v>
      </c>
      <c r="B78" s="22" t="s">
        <v>63</v>
      </c>
      <c r="C78" s="22" t="s">
        <v>64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37</v>
      </c>
      <c r="B79" s="22" t="s">
        <v>63</v>
      </c>
      <c r="C79" s="22" t="s">
        <v>64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38</v>
      </c>
      <c r="B80" s="22" t="s">
        <v>63</v>
      </c>
      <c r="C80" s="22" t="s">
        <v>64</v>
      </c>
      <c r="D80" s="24"/>
      <c r="E80" s="25" t="n">
        <f>1400</f>
        <v>1400.0</v>
      </c>
      <c r="F80" s="23"/>
      <c r="G80" s="25" t="str">
        <f>"－"</f>
        <v>－</v>
      </c>
      <c r="H80" s="23"/>
      <c r="I80" s="26" t="n">
        <f>1400</f>
        <v>1400.0</v>
      </c>
      <c r="J80" s="24"/>
      <c r="K80" s="25" t="n">
        <f>1459552500</f>
        <v>1.4595525E9</v>
      </c>
      <c r="L80" s="23"/>
      <c r="M80" s="25" t="str">
        <f>"－"</f>
        <v>－</v>
      </c>
      <c r="N80" s="23"/>
      <c r="O80" s="26" t="n">
        <f>1459552500</f>
        <v>1.4595525E9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n">
        <f>1400</f>
        <v>1400.0</v>
      </c>
      <c r="U80" s="23"/>
      <c r="V80" s="25" t="str">
        <f>"－"</f>
        <v>－</v>
      </c>
      <c r="W80" s="23"/>
      <c r="X80" s="26" t="n">
        <f>1400</f>
        <v>1400.0</v>
      </c>
      <c r="Y80" s="24"/>
      <c r="Z80" s="25" t="n">
        <f>135295</f>
        <v>135295.0</v>
      </c>
      <c r="AA80" s="23"/>
      <c r="AB80" s="25" t="n">
        <f>21351</f>
        <v>21351.0</v>
      </c>
      <c r="AC80" s="23"/>
      <c r="AD80" s="26" t="n">
        <f>156646</f>
        <v>156646.0</v>
      </c>
    </row>
    <row r="81">
      <c r="A81" s="30" t="s">
        <v>39</v>
      </c>
      <c r="B81" s="22" t="s">
        <v>63</v>
      </c>
      <c r="C81" s="22" t="s">
        <v>64</v>
      </c>
      <c r="D81" s="24"/>
      <c r="E81" s="25" t="n">
        <f>1583</f>
        <v>1583.0</v>
      </c>
      <c r="F81" s="23"/>
      <c r="G81" s="25" t="n">
        <f>1483</f>
        <v>1483.0</v>
      </c>
      <c r="H81" s="23"/>
      <c r="I81" s="26" t="n">
        <f>3066</f>
        <v>3066.0</v>
      </c>
      <c r="J81" s="24"/>
      <c r="K81" s="25" t="n">
        <f>262150000</f>
        <v>2.6215E8</v>
      </c>
      <c r="L81" s="23" t="s">
        <v>30</v>
      </c>
      <c r="M81" s="25" t="n">
        <f>2166228000</f>
        <v>2.166228E9</v>
      </c>
      <c r="N81" s="23"/>
      <c r="O81" s="26" t="n">
        <f>2428378000</f>
        <v>2.428378E9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str">
        <f>"－"</f>
        <v>－</v>
      </c>
      <c r="U81" s="23"/>
      <c r="V81" s="25" t="n">
        <f>900</f>
        <v>900.0</v>
      </c>
      <c r="W81" s="23"/>
      <c r="X81" s="26" t="n">
        <f>900</f>
        <v>900.0</v>
      </c>
      <c r="Y81" s="24"/>
      <c r="Z81" s="25" t="n">
        <f>135338</f>
        <v>135338.0</v>
      </c>
      <c r="AA81" s="23"/>
      <c r="AB81" s="25" t="n">
        <f>22294</f>
        <v>22294.0</v>
      </c>
      <c r="AC81" s="23" t="s">
        <v>30</v>
      </c>
      <c r="AD81" s="26" t="n">
        <f>157632</f>
        <v>157632.0</v>
      </c>
    </row>
    <row r="82">
      <c r="A82" s="30" t="s">
        <v>40</v>
      </c>
      <c r="B82" s="22" t="s">
        <v>63</v>
      </c>
      <c r="C82" s="22" t="s">
        <v>64</v>
      </c>
      <c r="D82" s="24"/>
      <c r="E82" s="25" t="n">
        <f>10030</f>
        <v>10030.0</v>
      </c>
      <c r="F82" s="23"/>
      <c r="G82" s="25" t="n">
        <f>1700</f>
        <v>1700.0</v>
      </c>
      <c r="H82" s="23"/>
      <c r="I82" s="26" t="n">
        <f>11730</f>
        <v>11730.0</v>
      </c>
      <c r="J82" s="24"/>
      <c r="K82" s="25" t="n">
        <f>1191209200</f>
        <v>1.1912092E9</v>
      </c>
      <c r="L82" s="23"/>
      <c r="M82" s="25" t="n">
        <f>1109250000</f>
        <v>1.10925E9</v>
      </c>
      <c r="N82" s="23"/>
      <c r="O82" s="26" t="n">
        <f>2300459200</f>
        <v>2.3004592E9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str">
        <f>"－"</f>
        <v>－</v>
      </c>
      <c r="U82" s="23"/>
      <c r="V82" s="25" t="n">
        <f>1700</f>
        <v>1700.0</v>
      </c>
      <c r="W82" s="23"/>
      <c r="X82" s="26" t="n">
        <f>1700</f>
        <v>1700.0</v>
      </c>
      <c r="Y82" s="24"/>
      <c r="Z82" s="25" t="n">
        <f>129808</f>
        <v>129808.0</v>
      </c>
      <c r="AA82" s="23" t="s">
        <v>30</v>
      </c>
      <c r="AB82" s="25" t="n">
        <f>23994</f>
        <v>23994.0</v>
      </c>
      <c r="AC82" s="23"/>
      <c r="AD82" s="26" t="n">
        <f>153802</f>
        <v>153802.0</v>
      </c>
    </row>
    <row r="83">
      <c r="A83" s="30" t="s">
        <v>41</v>
      </c>
      <c r="B83" s="22" t="s">
        <v>63</v>
      </c>
      <c r="C83" s="22" t="s">
        <v>64</v>
      </c>
      <c r="D83" s="24"/>
      <c r="E83" s="25" t="n">
        <f>1511</f>
        <v>1511.0</v>
      </c>
      <c r="F83" s="23"/>
      <c r="G83" s="25" t="str">
        <f>"－"</f>
        <v>－</v>
      </c>
      <c r="H83" s="23"/>
      <c r="I83" s="26" t="n">
        <f>1511</f>
        <v>1511.0</v>
      </c>
      <c r="J83" s="24"/>
      <c r="K83" s="25" t="n">
        <f>478701551</f>
        <v>4.78701551E8</v>
      </c>
      <c r="L83" s="23"/>
      <c r="M83" s="25" t="str">
        <f>"－"</f>
        <v>－</v>
      </c>
      <c r="N83" s="23"/>
      <c r="O83" s="26" t="n">
        <f>478701551</f>
        <v>4.78701551E8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9</f>
        <v>9.0</v>
      </c>
      <c r="U83" s="23"/>
      <c r="V83" s="25" t="str">
        <f>"－"</f>
        <v>－</v>
      </c>
      <c r="W83" s="23"/>
      <c r="X83" s="26" t="n">
        <f>9</f>
        <v>9.0</v>
      </c>
      <c r="Y83" s="24"/>
      <c r="Z83" s="25" t="n">
        <f>123688</f>
        <v>123688.0</v>
      </c>
      <c r="AA83" s="23"/>
      <c r="AB83" s="25" t="n">
        <f>23994</f>
        <v>23994.0</v>
      </c>
      <c r="AC83" s="23"/>
      <c r="AD83" s="26" t="n">
        <f>147682</f>
        <v>147682.0</v>
      </c>
    </row>
    <row r="84">
      <c r="A84" s="30" t="s">
        <v>42</v>
      </c>
      <c r="B84" s="22" t="s">
        <v>63</v>
      </c>
      <c r="C84" s="22" t="s">
        <v>64</v>
      </c>
      <c r="D84" s="24"/>
      <c r="E84" s="25" t="str">
        <f>"－"</f>
        <v>－</v>
      </c>
      <c r="F84" s="23"/>
      <c r="G84" s="25" t="str">
        <f>"－"</f>
        <v>－</v>
      </c>
      <c r="H84" s="23"/>
      <c r="I84" s="26" t="str">
        <f>"－"</f>
        <v>－</v>
      </c>
      <c r="J84" s="24"/>
      <c r="K84" s="25" t="str">
        <f>"－"</f>
        <v>－</v>
      </c>
      <c r="L84" s="23"/>
      <c r="M84" s="25" t="str">
        <f>"－"</f>
        <v>－</v>
      </c>
      <c r="N84" s="23"/>
      <c r="O84" s="26" t="str">
        <f>"－"</f>
        <v>－</v>
      </c>
      <c r="P84" s="27" t="n">
        <f>5058</f>
        <v>5058.0</v>
      </c>
      <c r="Q84" s="28" t="str">
        <f>"－"</f>
        <v>－</v>
      </c>
      <c r="R84" s="29" t="n">
        <f>5058</f>
        <v>5058.0</v>
      </c>
      <c r="S84" s="24"/>
      <c r="T84" s="25" t="str">
        <f>"－"</f>
        <v>－</v>
      </c>
      <c r="U84" s="23"/>
      <c r="V84" s="25" t="str">
        <f>"－"</f>
        <v>－</v>
      </c>
      <c r="W84" s="23"/>
      <c r="X84" s="26" t="str">
        <f>"－"</f>
        <v>－</v>
      </c>
      <c r="Y84" s="24" t="s">
        <v>34</v>
      </c>
      <c r="Z84" s="25" t="n">
        <f>116294</f>
        <v>116294.0</v>
      </c>
      <c r="AA84" s="23"/>
      <c r="AB84" s="25" t="n">
        <f>17529</f>
        <v>17529.0</v>
      </c>
      <c r="AC84" s="23" t="s">
        <v>34</v>
      </c>
      <c r="AD84" s="26" t="n">
        <f>133823</f>
        <v>133823.0</v>
      </c>
    </row>
    <row r="85">
      <c r="A85" s="30" t="s">
        <v>43</v>
      </c>
      <c r="B85" s="22" t="s">
        <v>63</v>
      </c>
      <c r="C85" s="22" t="s">
        <v>64</v>
      </c>
      <c r="D85" s="24"/>
      <c r="E85" s="25"/>
      <c r="F85" s="23"/>
      <c r="G85" s="25"/>
      <c r="H85" s="23"/>
      <c r="I85" s="26"/>
      <c r="J85" s="24"/>
      <c r="K85" s="25"/>
      <c r="L85" s="23"/>
      <c r="M85" s="25"/>
      <c r="N85" s="23"/>
      <c r="O85" s="26"/>
      <c r="P85" s="27"/>
      <c r="Q85" s="28"/>
      <c r="R85" s="29"/>
      <c r="S85" s="24"/>
      <c r="T85" s="25"/>
      <c r="U85" s="23"/>
      <c r="V85" s="25"/>
      <c r="W85" s="23"/>
      <c r="X85" s="26"/>
      <c r="Y85" s="24"/>
      <c r="Z85" s="25"/>
      <c r="AA85" s="23"/>
      <c r="AB85" s="25"/>
      <c r="AC85" s="23"/>
      <c r="AD85" s="26"/>
    </row>
    <row r="86">
      <c r="A86" s="30" t="s">
        <v>44</v>
      </c>
      <c r="B86" s="22" t="s">
        <v>63</v>
      </c>
      <c r="C86" s="22" t="s">
        <v>64</v>
      </c>
      <c r="D86" s="24"/>
      <c r="E86" s="25"/>
      <c r="F86" s="23"/>
      <c r="G86" s="25"/>
      <c r="H86" s="23"/>
      <c r="I86" s="26"/>
      <c r="J86" s="24"/>
      <c r="K86" s="25"/>
      <c r="L86" s="23"/>
      <c r="M86" s="25"/>
      <c r="N86" s="23"/>
      <c r="O86" s="26"/>
      <c r="P86" s="27"/>
      <c r="Q86" s="28"/>
      <c r="R86" s="29"/>
      <c r="S86" s="24"/>
      <c r="T86" s="25"/>
      <c r="U86" s="23"/>
      <c r="V86" s="25"/>
      <c r="W86" s="23"/>
      <c r="X86" s="26"/>
      <c r="Y86" s="24"/>
      <c r="Z86" s="25"/>
      <c r="AA86" s="23"/>
      <c r="AB86" s="25"/>
      <c r="AC86" s="23"/>
      <c r="AD86" s="26"/>
    </row>
    <row r="87">
      <c r="A87" s="30" t="s">
        <v>45</v>
      </c>
      <c r="B87" s="22" t="s">
        <v>63</v>
      </c>
      <c r="C87" s="22" t="s">
        <v>64</v>
      </c>
      <c r="D87" s="24"/>
      <c r="E87" s="25" t="n">
        <f>71</f>
        <v>71.0</v>
      </c>
      <c r="F87" s="23"/>
      <c r="G87" s="25" t="n">
        <f>285</f>
        <v>285.0</v>
      </c>
      <c r="H87" s="23"/>
      <c r="I87" s="26" t="n">
        <f>356</f>
        <v>356.0</v>
      </c>
      <c r="J87" s="24"/>
      <c r="K87" s="25" t="n">
        <f>105790000</f>
        <v>1.0579E8</v>
      </c>
      <c r="L87" s="23"/>
      <c r="M87" s="25" t="n">
        <f>31492500</f>
        <v>3.14925E7</v>
      </c>
      <c r="N87" s="23"/>
      <c r="O87" s="26" t="n">
        <f>137282500</f>
        <v>1.372825E8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n">
        <f>71</f>
        <v>71.0</v>
      </c>
      <c r="U87" s="23"/>
      <c r="V87" s="25" t="n">
        <f>285</f>
        <v>285.0</v>
      </c>
      <c r="W87" s="23"/>
      <c r="X87" s="26" t="n">
        <f>356</f>
        <v>356.0</v>
      </c>
      <c r="Y87" s="24"/>
      <c r="Z87" s="25" t="n">
        <f>116365</f>
        <v>116365.0</v>
      </c>
      <c r="AA87" s="23"/>
      <c r="AB87" s="25" t="n">
        <f>17814</f>
        <v>17814.0</v>
      </c>
      <c r="AC87" s="23"/>
      <c r="AD87" s="26" t="n">
        <f>134179</f>
        <v>134179.0</v>
      </c>
    </row>
    <row r="88">
      <c r="A88" s="30" t="s">
        <v>46</v>
      </c>
      <c r="B88" s="22" t="s">
        <v>63</v>
      </c>
      <c r="C88" s="22" t="s">
        <v>64</v>
      </c>
      <c r="D88" s="24"/>
      <c r="E88" s="25" t="str">
        <f>"－"</f>
        <v>－</v>
      </c>
      <c r="F88" s="23"/>
      <c r="G88" s="25" t="str">
        <f>"－"</f>
        <v>－</v>
      </c>
      <c r="H88" s="23"/>
      <c r="I88" s="26" t="str">
        <f>"－"</f>
        <v>－</v>
      </c>
      <c r="J88" s="24"/>
      <c r="K88" s="25" t="str">
        <f>"－"</f>
        <v>－</v>
      </c>
      <c r="L88" s="23"/>
      <c r="M88" s="25" t="str">
        <f>"－"</f>
        <v>－</v>
      </c>
      <c r="N88" s="23"/>
      <c r="O88" s="26" t="str">
        <f>"－"</f>
        <v>－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116365</f>
        <v>116365.0</v>
      </c>
      <c r="AA88" s="23"/>
      <c r="AB88" s="25" t="n">
        <f>17814</f>
        <v>17814.0</v>
      </c>
      <c r="AC88" s="23"/>
      <c r="AD88" s="26" t="n">
        <f>134179</f>
        <v>134179.0</v>
      </c>
    </row>
    <row r="89">
      <c r="A89" s="30" t="s">
        <v>47</v>
      </c>
      <c r="B89" s="22" t="s">
        <v>63</v>
      </c>
      <c r="C89" s="22" t="s">
        <v>64</v>
      </c>
      <c r="D89" s="24"/>
      <c r="E89" s="25" t="n">
        <f>1080</f>
        <v>1080.0</v>
      </c>
      <c r="F89" s="23"/>
      <c r="G89" s="25" t="n">
        <f>540</f>
        <v>540.0</v>
      </c>
      <c r="H89" s="23"/>
      <c r="I89" s="26" t="n">
        <f>1620</f>
        <v>1620.0</v>
      </c>
      <c r="J89" s="24"/>
      <c r="K89" s="25" t="n">
        <f>793454940</f>
        <v>7.9345494E8</v>
      </c>
      <c r="L89" s="23"/>
      <c r="M89" s="25" t="n">
        <f>305403480</f>
        <v>3.0540348E8</v>
      </c>
      <c r="N89" s="23"/>
      <c r="O89" s="26" t="n">
        <f>1098858420</f>
        <v>1.09885842E9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1080</f>
        <v>1080.0</v>
      </c>
      <c r="U89" s="23"/>
      <c r="V89" s="25" t="n">
        <f>540</f>
        <v>540.0</v>
      </c>
      <c r="W89" s="23"/>
      <c r="X89" s="26" t="n">
        <f>1620</f>
        <v>1620.0</v>
      </c>
      <c r="Y89" s="24"/>
      <c r="Z89" s="25" t="n">
        <f>117445</f>
        <v>117445.0</v>
      </c>
      <c r="AA89" s="23"/>
      <c r="AB89" s="25" t="n">
        <f>18354</f>
        <v>18354.0</v>
      </c>
      <c r="AC89" s="23"/>
      <c r="AD89" s="26" t="n">
        <f>135799</f>
        <v>135799.0</v>
      </c>
    </row>
    <row r="90">
      <c r="A90" s="30" t="s">
        <v>48</v>
      </c>
      <c r="B90" s="22" t="s">
        <v>63</v>
      </c>
      <c r="C90" s="22" t="s">
        <v>64</v>
      </c>
      <c r="D90" s="24"/>
      <c r="E90" s="25" t="str">
        <f>"－"</f>
        <v>－</v>
      </c>
      <c r="F90" s="23"/>
      <c r="G90" s="25" t="str">
        <f>"－"</f>
        <v>－</v>
      </c>
      <c r="H90" s="23"/>
      <c r="I90" s="26" t="str">
        <f>"－"</f>
        <v>－</v>
      </c>
      <c r="J90" s="24"/>
      <c r="K90" s="25" t="str">
        <f>"－"</f>
        <v>－</v>
      </c>
      <c r="L90" s="23"/>
      <c r="M90" s="25" t="str">
        <f>"－"</f>
        <v>－</v>
      </c>
      <c r="N90" s="23"/>
      <c r="O90" s="26" t="str">
        <f>"－"</f>
        <v>－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117445</f>
        <v>117445.0</v>
      </c>
      <c r="AA90" s="23"/>
      <c r="AB90" s="25" t="n">
        <f>18354</f>
        <v>18354.0</v>
      </c>
      <c r="AC90" s="23"/>
      <c r="AD90" s="26" t="n">
        <f>135799</f>
        <v>135799.0</v>
      </c>
    </row>
    <row r="91">
      <c r="A91" s="30" t="s">
        <v>49</v>
      </c>
      <c r="B91" s="22" t="s">
        <v>63</v>
      </c>
      <c r="C91" s="22" t="s">
        <v>64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50</v>
      </c>
      <c r="B92" s="22" t="s">
        <v>63</v>
      </c>
      <c r="C92" s="22" t="s">
        <v>64</v>
      </c>
      <c r="D92" s="24"/>
      <c r="E92" s="25"/>
      <c r="F92" s="23"/>
      <c r="G92" s="25"/>
      <c r="H92" s="23"/>
      <c r="I92" s="26"/>
      <c r="J92" s="24"/>
      <c r="K92" s="25"/>
      <c r="L92" s="23"/>
      <c r="M92" s="25"/>
      <c r="N92" s="23"/>
      <c r="O92" s="26"/>
      <c r="P92" s="27"/>
      <c r="Q92" s="28"/>
      <c r="R92" s="29"/>
      <c r="S92" s="24"/>
      <c r="T92" s="25"/>
      <c r="U92" s="23"/>
      <c r="V92" s="25"/>
      <c r="W92" s="23"/>
      <c r="X92" s="26"/>
      <c r="Y92" s="24"/>
      <c r="Z92" s="25"/>
      <c r="AA92" s="23"/>
      <c r="AB92" s="25"/>
      <c r="AC92" s="23"/>
      <c r="AD92" s="26"/>
    </row>
    <row r="93">
      <c r="A93" s="30" t="s">
        <v>51</v>
      </c>
      <c r="B93" s="22" t="s">
        <v>63</v>
      </c>
      <c r="C93" s="22" t="s">
        <v>64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52</v>
      </c>
      <c r="B94" s="22" t="s">
        <v>63</v>
      </c>
      <c r="C94" s="22" t="s">
        <v>64</v>
      </c>
      <c r="D94" s="24"/>
      <c r="E94" s="25" t="str">
        <f>"－"</f>
        <v>－</v>
      </c>
      <c r="F94" s="23"/>
      <c r="G94" s="25" t="str">
        <f>"－"</f>
        <v>－</v>
      </c>
      <c r="H94" s="23"/>
      <c r="I94" s="26" t="str">
        <f>"－"</f>
        <v>－</v>
      </c>
      <c r="J94" s="24"/>
      <c r="K94" s="25" t="str">
        <f>"－"</f>
        <v>－</v>
      </c>
      <c r="L94" s="23"/>
      <c r="M94" s="25" t="str">
        <f>"－"</f>
        <v>－</v>
      </c>
      <c r="N94" s="23"/>
      <c r="O94" s="26" t="str">
        <f>"－"</f>
        <v>－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str">
        <f>"－"</f>
        <v>－</v>
      </c>
      <c r="U94" s="23"/>
      <c r="V94" s="25" t="str">
        <f>"－"</f>
        <v>－</v>
      </c>
      <c r="W94" s="23"/>
      <c r="X94" s="26" t="str">
        <f>"－"</f>
        <v>－</v>
      </c>
      <c r="Y94" s="24"/>
      <c r="Z94" s="25" t="n">
        <f>117445</f>
        <v>117445.0</v>
      </c>
      <c r="AA94" s="23"/>
      <c r="AB94" s="25" t="n">
        <f>18354</f>
        <v>18354.0</v>
      </c>
      <c r="AC94" s="23"/>
      <c r="AD94" s="26" t="n">
        <f>135799</f>
        <v>135799.0</v>
      </c>
    </row>
    <row r="95">
      <c r="A95" s="30" t="s">
        <v>53</v>
      </c>
      <c r="B95" s="22" t="s">
        <v>63</v>
      </c>
      <c r="C95" s="22" t="s">
        <v>64</v>
      </c>
      <c r="D95" s="24"/>
      <c r="E95" s="25" t="str">
        <f>"－"</f>
        <v>－</v>
      </c>
      <c r="F95" s="23"/>
      <c r="G95" s="25" t="str">
        <f>"－"</f>
        <v>－</v>
      </c>
      <c r="H95" s="23"/>
      <c r="I95" s="26" t="str">
        <f>"－"</f>
        <v>－</v>
      </c>
      <c r="J95" s="24"/>
      <c r="K95" s="25" t="str">
        <f>"－"</f>
        <v>－</v>
      </c>
      <c r="L95" s="23"/>
      <c r="M95" s="25" t="str">
        <f>"－"</f>
        <v>－</v>
      </c>
      <c r="N95" s="23"/>
      <c r="O95" s="26" t="str">
        <f>"－"</f>
        <v>－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str">
        <f>"－"</f>
        <v>－</v>
      </c>
      <c r="W95" s="23"/>
      <c r="X95" s="26" t="str">
        <f>"－"</f>
        <v>－</v>
      </c>
      <c r="Y95" s="24"/>
      <c r="Z95" s="25" t="n">
        <f>117445</f>
        <v>117445.0</v>
      </c>
      <c r="AA95" s="23"/>
      <c r="AB95" s="25" t="n">
        <f>18354</f>
        <v>18354.0</v>
      </c>
      <c r="AC95" s="23"/>
      <c r="AD95" s="26" t="n">
        <f>135799</f>
        <v>135799.0</v>
      </c>
    </row>
    <row r="96">
      <c r="A96" s="30" t="s">
        <v>54</v>
      </c>
      <c r="B96" s="22" t="s">
        <v>63</v>
      </c>
      <c r="C96" s="22" t="s">
        <v>64</v>
      </c>
      <c r="D96" s="24"/>
      <c r="E96" s="25" t="n">
        <f>100</f>
        <v>100.0</v>
      </c>
      <c r="F96" s="23"/>
      <c r="G96" s="25" t="str">
        <f>"－"</f>
        <v>－</v>
      </c>
      <c r="H96" s="23"/>
      <c r="I96" s="26" t="n">
        <f>100</f>
        <v>100.0</v>
      </c>
      <c r="J96" s="24"/>
      <c r="K96" s="25" t="n">
        <f>21405500</f>
        <v>2.14055E7</v>
      </c>
      <c r="L96" s="23"/>
      <c r="M96" s="25" t="str">
        <f>"－"</f>
        <v>－</v>
      </c>
      <c r="N96" s="23"/>
      <c r="O96" s="26" t="n">
        <f>21405500</f>
        <v>2.14055E7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/>
      <c r="V96" s="25" t="str">
        <f>"－"</f>
        <v>－</v>
      </c>
      <c r="W96" s="23"/>
      <c r="X96" s="26" t="str">
        <f>"－"</f>
        <v>－</v>
      </c>
      <c r="Y96" s="24"/>
      <c r="Z96" s="25" t="n">
        <f>117545</f>
        <v>117545.0</v>
      </c>
      <c r="AA96" s="23"/>
      <c r="AB96" s="25" t="n">
        <f>18354</f>
        <v>18354.0</v>
      </c>
      <c r="AC96" s="23"/>
      <c r="AD96" s="26" t="n">
        <f>135899</f>
        <v>135899.0</v>
      </c>
    </row>
    <row r="97">
      <c r="A97" s="30" t="s">
        <v>55</v>
      </c>
      <c r="B97" s="22" t="s">
        <v>63</v>
      </c>
      <c r="C97" s="22" t="s">
        <v>64</v>
      </c>
      <c r="D97" s="24"/>
      <c r="E97" s="25" t="str">
        <f>"－"</f>
        <v>－</v>
      </c>
      <c r="F97" s="23"/>
      <c r="G97" s="25" t="str">
        <f>"－"</f>
        <v>－</v>
      </c>
      <c r="H97" s="23"/>
      <c r="I97" s="26" t="str">
        <f>"－"</f>
        <v>－</v>
      </c>
      <c r="J97" s="24"/>
      <c r="K97" s="25" t="str">
        <f>"－"</f>
        <v>－</v>
      </c>
      <c r="L97" s="23"/>
      <c r="M97" s="25" t="str">
        <f>"－"</f>
        <v>－</v>
      </c>
      <c r="N97" s="23"/>
      <c r="O97" s="26" t="str">
        <f>"－"</f>
        <v>－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/>
      <c r="X97" s="26" t="str">
        <f>"－"</f>
        <v>－</v>
      </c>
      <c r="Y97" s="24"/>
      <c r="Z97" s="25" t="n">
        <f>117545</f>
        <v>117545.0</v>
      </c>
      <c r="AA97" s="23"/>
      <c r="AB97" s="25" t="n">
        <f>18354</f>
        <v>18354.0</v>
      </c>
      <c r="AC97" s="23"/>
      <c r="AD97" s="26" t="n">
        <f>135899</f>
        <v>135899.0</v>
      </c>
    </row>
    <row r="98">
      <c r="A98" s="30" t="s">
        <v>56</v>
      </c>
      <c r="B98" s="22" t="s">
        <v>63</v>
      </c>
      <c r="C98" s="22" t="s">
        <v>64</v>
      </c>
      <c r="D98" s="24"/>
      <c r="E98" s="25" t="n">
        <f>325</f>
        <v>325.0</v>
      </c>
      <c r="F98" s="23"/>
      <c r="G98" s="25" t="str">
        <f>"－"</f>
        <v>－</v>
      </c>
      <c r="H98" s="23"/>
      <c r="I98" s="26" t="n">
        <f>325</f>
        <v>325.0</v>
      </c>
      <c r="J98" s="24"/>
      <c r="K98" s="25" t="n">
        <f>48100000</f>
        <v>4.81E7</v>
      </c>
      <c r="L98" s="23"/>
      <c r="M98" s="25" t="str">
        <f>"－"</f>
        <v>－</v>
      </c>
      <c r="N98" s="23"/>
      <c r="O98" s="26" t="n">
        <f>48100000</f>
        <v>4.81E7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117870</f>
        <v>117870.0</v>
      </c>
      <c r="AA98" s="23"/>
      <c r="AB98" s="25" t="n">
        <f>18354</f>
        <v>18354.0</v>
      </c>
      <c r="AC98" s="23"/>
      <c r="AD98" s="26" t="n">
        <f>136224</f>
        <v>136224.0</v>
      </c>
    </row>
    <row r="99">
      <c r="A99" s="30" t="s">
        <v>57</v>
      </c>
      <c r="B99" s="22" t="s">
        <v>63</v>
      </c>
      <c r="C99" s="22" t="s">
        <v>64</v>
      </c>
      <c r="D99" s="24"/>
      <c r="E99" s="25"/>
      <c r="F99" s="23"/>
      <c r="G99" s="25"/>
      <c r="H99" s="23"/>
      <c r="I99" s="26"/>
      <c r="J99" s="24"/>
      <c r="K99" s="25"/>
      <c r="L99" s="23"/>
      <c r="M99" s="25"/>
      <c r="N99" s="23"/>
      <c r="O99" s="26"/>
      <c r="P99" s="27"/>
      <c r="Q99" s="28"/>
      <c r="R99" s="29"/>
      <c r="S99" s="24"/>
      <c r="T99" s="25"/>
      <c r="U99" s="23"/>
      <c r="V99" s="25"/>
      <c r="W99" s="23"/>
      <c r="X99" s="26"/>
      <c r="Y99" s="24"/>
      <c r="Z99" s="25"/>
      <c r="AA99" s="23"/>
      <c r="AB99" s="25"/>
      <c r="AC99" s="23"/>
      <c r="AD99" s="26"/>
    </row>
    <row r="100">
      <c r="A100" s="30" t="s">
        <v>58</v>
      </c>
      <c r="B100" s="22" t="s">
        <v>63</v>
      </c>
      <c r="C100" s="22" t="s">
        <v>64</v>
      </c>
      <c r="D100" s="24"/>
      <c r="E100" s="25"/>
      <c r="F100" s="23"/>
      <c r="G100" s="25"/>
      <c r="H100" s="23"/>
      <c r="I100" s="26"/>
      <c r="J100" s="24"/>
      <c r="K100" s="25"/>
      <c r="L100" s="23"/>
      <c r="M100" s="25"/>
      <c r="N100" s="23"/>
      <c r="O100" s="26"/>
      <c r="P100" s="27"/>
      <c r="Q100" s="28"/>
      <c r="R100" s="29"/>
      <c r="S100" s="24"/>
      <c r="T100" s="25"/>
      <c r="U100" s="23"/>
      <c r="V100" s="25"/>
      <c r="W100" s="23"/>
      <c r="X100" s="26"/>
      <c r="Y100" s="24"/>
      <c r="Z100" s="25"/>
      <c r="AA100" s="23"/>
      <c r="AB100" s="25"/>
      <c r="AC100" s="23"/>
      <c r="AD100" s="26"/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400</f>
        <v>400.0</v>
      </c>
      <c r="F101" s="23"/>
      <c r="G101" s="25" t="str">
        <f>"－"</f>
        <v>－</v>
      </c>
      <c r="H101" s="23"/>
      <c r="I101" s="26" t="n">
        <f>400</f>
        <v>400.0</v>
      </c>
      <c r="J101" s="24"/>
      <c r="K101" s="25" t="n">
        <f>68400000</f>
        <v>6.84E7</v>
      </c>
      <c r="L101" s="23"/>
      <c r="M101" s="25" t="str">
        <f>"－"</f>
        <v>－</v>
      </c>
      <c r="N101" s="23"/>
      <c r="O101" s="26" t="n">
        <f>68400000</f>
        <v>6.84E7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n">
        <f>118270</f>
        <v>118270.0</v>
      </c>
      <c r="AA101" s="23"/>
      <c r="AB101" s="25" t="n">
        <f>18354</f>
        <v>18354.0</v>
      </c>
      <c r="AC101" s="23"/>
      <c r="AD101" s="26" t="n">
        <f>136624</f>
        <v>136624.0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n">
        <f>118270</f>
        <v>118270.0</v>
      </c>
      <c r="AA102" s="23"/>
      <c r="AB102" s="25" t="n">
        <f>18354</f>
        <v>18354.0</v>
      </c>
      <c r="AC102" s="23"/>
      <c r="AD102" s="26" t="n">
        <f>136624</f>
        <v>136624.0</v>
      </c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 t="s">
        <v>67</v>
      </c>
      <c r="E104" s="25" t="str">
        <f>"－"</f>
        <v>－</v>
      </c>
      <c r="F104" s="23" t="s">
        <v>67</v>
      </c>
      <c r="G104" s="25" t="str">
        <f>"－"</f>
        <v>－</v>
      </c>
      <c r="H104" s="23" t="s">
        <v>67</v>
      </c>
      <c r="I104" s="26" t="str">
        <f>"－"</f>
        <v>－</v>
      </c>
      <c r="J104" s="24" t="s">
        <v>67</v>
      </c>
      <c r="K104" s="25" t="str">
        <f>"－"</f>
        <v>－</v>
      </c>
      <c r="L104" s="23" t="s">
        <v>67</v>
      </c>
      <c r="M104" s="25" t="str">
        <f>"－"</f>
        <v>－</v>
      </c>
      <c r="N104" s="23" t="s">
        <v>67</v>
      </c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 t="s">
        <v>67</v>
      </c>
      <c r="T104" s="25" t="str">
        <f>"－"</f>
        <v>－</v>
      </c>
      <c r="U104" s="23" t="s">
        <v>67</v>
      </c>
      <c r="V104" s="25" t="str">
        <f>"－"</f>
        <v>－</v>
      </c>
      <c r="W104" s="23" t="s">
        <v>67</v>
      </c>
      <c r="X104" s="26" t="str">
        <f>"－"</f>
        <v>－</v>
      </c>
      <c r="Y104" s="24" t="s">
        <v>67</v>
      </c>
      <c r="Z104" s="25" t="str">
        <f>"－"</f>
        <v>－</v>
      </c>
      <c r="AA104" s="23" t="s">
        <v>67</v>
      </c>
      <c r="AB104" s="25" t="str">
        <f>"－"</f>
        <v>－</v>
      </c>
      <c r="AC104" s="23" t="s">
        <v>67</v>
      </c>
      <c r="AD104" s="26" t="str">
        <f>"－"</f>
        <v>－</v>
      </c>
    </row>
    <row r="105">
      <c r="A105" s="30" t="s">
        <v>31</v>
      </c>
      <c r="B105" s="22" t="s">
        <v>65</v>
      </c>
      <c r="C105" s="22" t="s">
        <v>66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32</v>
      </c>
      <c r="B106" s="22" t="s">
        <v>65</v>
      </c>
      <c r="C106" s="22" t="s">
        <v>66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33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35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36</v>
      </c>
      <c r="B109" s="22" t="s">
        <v>65</v>
      </c>
      <c r="C109" s="22" t="s">
        <v>66</v>
      </c>
      <c r="D109" s="24"/>
      <c r="E109" s="25"/>
      <c r="F109" s="23"/>
      <c r="G109" s="25"/>
      <c r="H109" s="23"/>
      <c r="I109" s="26"/>
      <c r="J109" s="24"/>
      <c r="K109" s="25"/>
      <c r="L109" s="23"/>
      <c r="M109" s="25"/>
      <c r="N109" s="23"/>
      <c r="O109" s="26"/>
      <c r="P109" s="27"/>
      <c r="Q109" s="28"/>
      <c r="R109" s="29"/>
      <c r="S109" s="24"/>
      <c r="T109" s="25"/>
      <c r="U109" s="23"/>
      <c r="V109" s="25"/>
      <c r="W109" s="23"/>
      <c r="X109" s="26"/>
      <c r="Y109" s="24"/>
      <c r="Z109" s="25"/>
      <c r="AA109" s="23"/>
      <c r="AB109" s="25"/>
      <c r="AC109" s="23"/>
      <c r="AD109" s="26"/>
    </row>
    <row r="110">
      <c r="A110" s="30" t="s">
        <v>37</v>
      </c>
      <c r="B110" s="22" t="s">
        <v>65</v>
      </c>
      <c r="C110" s="22" t="s">
        <v>66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38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39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40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/>
      <c r="F116" s="23"/>
      <c r="G116" s="25"/>
      <c r="H116" s="23"/>
      <c r="I116" s="26"/>
      <c r="J116" s="24"/>
      <c r="K116" s="25"/>
      <c r="L116" s="23"/>
      <c r="M116" s="25"/>
      <c r="N116" s="23"/>
      <c r="O116" s="26"/>
      <c r="P116" s="27"/>
      <c r="Q116" s="28"/>
      <c r="R116" s="29"/>
      <c r="S116" s="24"/>
      <c r="T116" s="25"/>
      <c r="U116" s="23"/>
      <c r="V116" s="25"/>
      <c r="W116" s="23"/>
      <c r="X116" s="26"/>
      <c r="Y116" s="24"/>
      <c r="Z116" s="25"/>
      <c r="AA116" s="23"/>
      <c r="AB116" s="25"/>
      <c r="AC116" s="23"/>
      <c r="AD116" s="26"/>
    </row>
    <row r="117">
      <c r="A117" s="30" t="s">
        <v>44</v>
      </c>
      <c r="B117" s="22" t="s">
        <v>65</v>
      </c>
      <c r="C117" s="22" t="s">
        <v>66</v>
      </c>
      <c r="D117" s="24"/>
      <c r="E117" s="25"/>
      <c r="F117" s="23"/>
      <c r="G117" s="25"/>
      <c r="H117" s="23"/>
      <c r="I117" s="26"/>
      <c r="J117" s="24"/>
      <c r="K117" s="25"/>
      <c r="L117" s="23"/>
      <c r="M117" s="25"/>
      <c r="N117" s="23"/>
      <c r="O117" s="26"/>
      <c r="P117" s="27"/>
      <c r="Q117" s="28"/>
      <c r="R117" s="29"/>
      <c r="S117" s="24"/>
      <c r="T117" s="25"/>
      <c r="U117" s="23"/>
      <c r="V117" s="25"/>
      <c r="W117" s="23"/>
      <c r="X117" s="26"/>
      <c r="Y117" s="24"/>
      <c r="Z117" s="25"/>
      <c r="AA117" s="23"/>
      <c r="AB117" s="25"/>
      <c r="AC117" s="23"/>
      <c r="AD117" s="26"/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/>
      <c r="F122" s="23"/>
      <c r="G122" s="25"/>
      <c r="H122" s="23"/>
      <c r="I122" s="26"/>
      <c r="J122" s="24"/>
      <c r="K122" s="25"/>
      <c r="L122" s="23"/>
      <c r="M122" s="25"/>
      <c r="N122" s="23"/>
      <c r="O122" s="26"/>
      <c r="P122" s="27"/>
      <c r="Q122" s="28"/>
      <c r="R122" s="29"/>
      <c r="S122" s="24"/>
      <c r="T122" s="25"/>
      <c r="U122" s="23"/>
      <c r="V122" s="25"/>
      <c r="W122" s="23"/>
      <c r="X122" s="26"/>
      <c r="Y122" s="24"/>
      <c r="Z122" s="25"/>
      <c r="AA122" s="23"/>
      <c r="AB122" s="25"/>
      <c r="AC122" s="23"/>
      <c r="AD122" s="26"/>
    </row>
    <row r="123">
      <c r="A123" s="30" t="s">
        <v>50</v>
      </c>
      <c r="B123" s="22" t="s">
        <v>65</v>
      </c>
      <c r="C123" s="22" t="s">
        <v>66</v>
      </c>
      <c r="D123" s="24"/>
      <c r="E123" s="25"/>
      <c r="F123" s="23"/>
      <c r="G123" s="25"/>
      <c r="H123" s="23"/>
      <c r="I123" s="26"/>
      <c r="J123" s="24"/>
      <c r="K123" s="25"/>
      <c r="L123" s="23"/>
      <c r="M123" s="25"/>
      <c r="N123" s="23"/>
      <c r="O123" s="26"/>
      <c r="P123" s="27"/>
      <c r="Q123" s="28"/>
      <c r="R123" s="29"/>
      <c r="S123" s="24"/>
      <c r="T123" s="25"/>
      <c r="U123" s="23"/>
      <c r="V123" s="25"/>
      <c r="W123" s="23"/>
      <c r="X123" s="26"/>
      <c r="Y123" s="24"/>
      <c r="Z123" s="25"/>
      <c r="AA123" s="23"/>
      <c r="AB123" s="25"/>
      <c r="AC123" s="23"/>
      <c r="AD123" s="26"/>
    </row>
    <row r="124">
      <c r="A124" s="30" t="s">
        <v>51</v>
      </c>
      <c r="B124" s="22" t="s">
        <v>65</v>
      </c>
      <c r="C124" s="22" t="s">
        <v>66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52</v>
      </c>
      <c r="B125" s="22" t="s">
        <v>65</v>
      </c>
      <c r="C125" s="22" t="s">
        <v>66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/>
      <c r="F130" s="23"/>
      <c r="G130" s="25"/>
      <c r="H130" s="23"/>
      <c r="I130" s="26"/>
      <c r="J130" s="24"/>
      <c r="K130" s="25"/>
      <c r="L130" s="23"/>
      <c r="M130" s="25"/>
      <c r="N130" s="23"/>
      <c r="O130" s="26"/>
      <c r="P130" s="27"/>
      <c r="Q130" s="28"/>
      <c r="R130" s="29"/>
      <c r="S130" s="24"/>
      <c r="T130" s="25"/>
      <c r="U130" s="23"/>
      <c r="V130" s="25"/>
      <c r="W130" s="23"/>
      <c r="X130" s="26"/>
      <c r="Y130" s="24"/>
      <c r="Z130" s="25"/>
      <c r="AA130" s="23"/>
      <c r="AB130" s="25"/>
      <c r="AC130" s="23"/>
      <c r="AD130" s="26"/>
    </row>
    <row r="131">
      <c r="A131" s="30" t="s">
        <v>58</v>
      </c>
      <c r="B131" s="22" t="s">
        <v>65</v>
      </c>
      <c r="C131" s="22" t="s">
        <v>66</v>
      </c>
      <c r="D131" s="24"/>
      <c r="E131" s="25"/>
      <c r="F131" s="23"/>
      <c r="G131" s="25"/>
      <c r="H131" s="23"/>
      <c r="I131" s="26"/>
      <c r="J131" s="24"/>
      <c r="K131" s="25"/>
      <c r="L131" s="23"/>
      <c r="M131" s="25"/>
      <c r="N131" s="23"/>
      <c r="O131" s="26"/>
      <c r="P131" s="27"/>
      <c r="Q131" s="28"/>
      <c r="R131" s="29"/>
      <c r="S131" s="24"/>
      <c r="T131" s="25"/>
      <c r="U131" s="23"/>
      <c r="V131" s="25"/>
      <c r="W131" s="23"/>
      <c r="X131" s="26"/>
      <c r="Y131" s="24"/>
      <c r="Z131" s="25"/>
      <c r="AA131" s="23"/>
      <c r="AB131" s="25"/>
      <c r="AC131" s="23"/>
      <c r="AD131" s="26"/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2019-03-19T11:56:46Z</dcterms:modified>
</cp:coreProperties>
</file>