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<sst xmlns="http://schemas.openxmlformats.org/spreadsheetml/2006/main" count="500" uniqueCount="67">
  <si>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</si>
  <si>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</si>
  <si>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</si>
  <si>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</si>
  <si>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</si>
  <si>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</si>
  <si>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</si>
  <si>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</si>
  <si>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</si>
  <si>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</si>
  <si>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</si>
  <si>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</si>
  <si>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</si>
  <si>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</si>
  <si>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</si>
  <si>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</si>
  <si>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</si>
  <si>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</si>
  <si>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</si>
  <si>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</si>
  <si>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</si>
  <si>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</si>
  <si>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</si>
  <si>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</si>
  <si>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</si>
  <si>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</si>
  <si>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4.1</t>
  </si>
  <si>
    <t>日経225オプション</t>
  </si>
  <si>
    <t>Nikkei 225 Options</t>
  </si>
  <si>
    <t>2</t>
  </si>
  <si>
    <t>3</t>
  </si>
  <si>
    <t>◎</t>
  </si>
  <si>
    <t>4</t>
  </si>
  <si>
    <t>5</t>
  </si>
  <si>
    <t>6</t>
  </si>
  <si>
    <t>7</t>
  </si>
  <si>
    <t>8</t>
  </si>
  <si>
    <t>9</t>
  </si>
  <si>
    <t>10</t>
  </si>
  <si>
    <t>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</si>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</sst>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29"/>
  <sheetViews>
    <sheetView showGridLines="0" tabSelected="1" view="pageBreakPreview" workbookViewId="0" zoomScaleNormal="70" zoomScaleSheetLayoutView="100"/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 t="n">
        <f>76969</f>
        <v>76969.0</v>
      </c>
      <c r="F10" s="23"/>
      <c r="G10" s="25" t="n">
        <f>40204</f>
        <v>40204.0</v>
      </c>
      <c r="H10" s="23"/>
      <c r="I10" s="26" t="n">
        <f>117173</f>
        <v>117173.0</v>
      </c>
      <c r="J10" s="24"/>
      <c r="K10" s="25" t="n">
        <f>42226109500</f>
        <v>4.22261095E10</v>
      </c>
      <c r="L10" s="23"/>
      <c r="M10" s="25" t="n">
        <f>15183534250</f>
        <v>1.518353425E10</v>
      </c>
      <c r="N10" s="23"/>
      <c r="O10" s="26" t="n">
        <f>57409643750</f>
        <v>5.740964375E10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4"/>
      <c r="T10" s="25" t="n">
        <f>15874</f>
        <v>15874.0</v>
      </c>
      <c r="U10" s="23"/>
      <c r="V10" s="25" t="n">
        <f>11057</f>
        <v>11057.0</v>
      </c>
      <c r="W10" s="23"/>
      <c r="X10" s="26" t="n">
        <f>26931</f>
        <v>26931.0</v>
      </c>
      <c r="Y10" s="24"/>
      <c r="Z10" s="25" t="n">
        <f>1296989</f>
        <v>1296989.0</v>
      </c>
      <c r="AA10" s="23"/>
      <c r="AB10" s="25" t="n">
        <f>735379</f>
        <v>735379.0</v>
      </c>
      <c r="AC10" s="23"/>
      <c r="AD10" s="26" t="n">
        <f>2032368</f>
        <v>2032368.0</v>
      </c>
    </row>
    <row r="11">
      <c r="A11" s="30" t="s">
        <v>29</v>
      </c>
      <c r="B11" s="22" t="s">
        <v>27</v>
      </c>
      <c r="C11" s="22" t="s">
        <v>28</v>
      </c>
      <c r="D11" s="24"/>
      <c r="E11" s="25" t="n">
        <f>75234</f>
        <v>75234.0</v>
      </c>
      <c r="F11" s="23"/>
      <c r="G11" s="25" t="n">
        <f>46519</f>
        <v>46519.0</v>
      </c>
      <c r="H11" s="23"/>
      <c r="I11" s="26" t="n">
        <f>121753</f>
        <v>121753.0</v>
      </c>
      <c r="J11" s="24"/>
      <c r="K11" s="25" t="n">
        <f>53047868810</f>
        <v>5.304786881E10</v>
      </c>
      <c r="L11" s="23"/>
      <c r="M11" s="25" t="n">
        <f>18842472480</f>
        <v>1.884247248E10</v>
      </c>
      <c r="N11" s="23"/>
      <c r="O11" s="26" t="n">
        <f>71890341290</f>
        <v>7.189034129E10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4"/>
      <c r="T11" s="25" t="n">
        <f>18462</f>
        <v>18462.0</v>
      </c>
      <c r="U11" s="23"/>
      <c r="V11" s="25" t="n">
        <f>14164</f>
        <v>14164.0</v>
      </c>
      <c r="W11" s="23"/>
      <c r="X11" s="26" t="n">
        <f>32626</f>
        <v>32626.0</v>
      </c>
      <c r="Y11" s="24"/>
      <c r="Z11" s="25" t="n">
        <f>1309233</f>
        <v>1309233.0</v>
      </c>
      <c r="AA11" s="23"/>
      <c r="AB11" s="25" t="n">
        <f>748507</f>
        <v>748507.0</v>
      </c>
      <c r="AC11" s="23"/>
      <c r="AD11" s="26" t="n">
        <f>2057740</f>
        <v>2057740.0</v>
      </c>
    </row>
    <row r="12">
      <c r="A12" s="30" t="s">
        <v>30</v>
      </c>
      <c r="B12" s="22" t="s">
        <v>27</v>
      </c>
      <c r="C12" s="22" t="s">
        <v>28</v>
      </c>
      <c r="D12" s="24"/>
      <c r="E12" s="25" t="n">
        <f>90004</f>
        <v>90004.0</v>
      </c>
      <c r="F12" s="23"/>
      <c r="G12" s="25" t="n">
        <f>54089</f>
        <v>54089.0</v>
      </c>
      <c r="H12" s="23"/>
      <c r="I12" s="26" t="n">
        <f>144093</f>
        <v>144093.0</v>
      </c>
      <c r="J12" s="24" t="s">
        <v>31</v>
      </c>
      <c r="K12" s="25" t="n">
        <f>53370958650</f>
        <v>5.337095865E10</v>
      </c>
      <c r="L12" s="23" t="s">
        <v>31</v>
      </c>
      <c r="M12" s="25" t="n">
        <f>20498947391</f>
        <v>2.0498947391E10</v>
      </c>
      <c r="N12" s="23" t="s">
        <v>31</v>
      </c>
      <c r="O12" s="26" t="n">
        <f>73869906041</f>
        <v>7.3869906041E10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4"/>
      <c r="T12" s="25" t="n">
        <f>27785</f>
        <v>27785.0</v>
      </c>
      <c r="U12" s="23"/>
      <c r="V12" s="25" t="n">
        <f>13432</f>
        <v>13432.0</v>
      </c>
      <c r="W12" s="23"/>
      <c r="X12" s="26" t="n">
        <f>41217</f>
        <v>41217.0</v>
      </c>
      <c r="Y12" s="24"/>
      <c r="Z12" s="25" t="n">
        <f>1329772</f>
        <v>1329772.0</v>
      </c>
      <c r="AA12" s="23"/>
      <c r="AB12" s="25" t="n">
        <f>768340</f>
        <v>768340.0</v>
      </c>
      <c r="AC12" s="23"/>
      <c r="AD12" s="26" t="n">
        <f>2098112</f>
        <v>2098112.0</v>
      </c>
    </row>
    <row r="13">
      <c r="A13" s="30" t="s">
        <v>32</v>
      </c>
      <c r="B13" s="22" t="s">
        <v>27</v>
      </c>
      <c r="C13" s="22" t="s">
        <v>28</v>
      </c>
      <c r="D13" s="24"/>
      <c r="E13" s="25"/>
      <c r="F13" s="23"/>
      <c r="G13" s="25"/>
      <c r="H13" s="23"/>
      <c r="I13" s="26"/>
      <c r="J13" s="24"/>
      <c r="K13" s="25"/>
      <c r="L13" s="23"/>
      <c r="M13" s="25"/>
      <c r="N13" s="23"/>
      <c r="O13" s="26"/>
      <c r="P13" s="27"/>
      <c r="Q13" s="28"/>
      <c r="R13" s="29"/>
      <c r="S13" s="24"/>
      <c r="T13" s="25"/>
      <c r="U13" s="23"/>
      <c r="V13" s="25"/>
      <c r="W13" s="23"/>
      <c r="X13" s="26"/>
      <c r="Y13" s="24"/>
      <c r="Z13" s="25"/>
      <c r="AA13" s="23"/>
      <c r="AB13" s="25"/>
      <c r="AC13" s="23"/>
      <c r="AD13" s="26"/>
    </row>
    <row r="14">
      <c r="A14" s="30" t="s">
        <v>33</v>
      </c>
      <c r="B14" s="22" t="s">
        <v>27</v>
      </c>
      <c r="C14" s="22" t="s">
        <v>28</v>
      </c>
      <c r="D14" s="24"/>
      <c r="E14" s="25"/>
      <c r="F14" s="23"/>
      <c r="G14" s="25"/>
      <c r="H14" s="23"/>
      <c r="I14" s="26"/>
      <c r="J14" s="24"/>
      <c r="K14" s="25"/>
      <c r="L14" s="23"/>
      <c r="M14" s="25"/>
      <c r="N14" s="23"/>
      <c r="O14" s="26"/>
      <c r="P14" s="27"/>
      <c r="Q14" s="28"/>
      <c r="R14" s="29"/>
      <c r="S14" s="24"/>
      <c r="T14" s="25"/>
      <c r="U14" s="23"/>
      <c r="V14" s="25"/>
      <c r="W14" s="23"/>
      <c r="X14" s="26"/>
      <c r="Y14" s="24"/>
      <c r="Z14" s="25"/>
      <c r="AA14" s="23"/>
      <c r="AB14" s="25"/>
      <c r="AC14" s="23"/>
      <c r="AD14" s="26"/>
    </row>
    <row r="15">
      <c r="A15" s="30" t="s">
        <v>34</v>
      </c>
      <c r="B15" s="22" t="s">
        <v>27</v>
      </c>
      <c r="C15" s="22" t="s">
        <v>28</v>
      </c>
      <c r="D15" s="24"/>
      <c r="E15" s="25" t="n">
        <f>86777</f>
        <v>86777.0</v>
      </c>
      <c r="F15" s="23"/>
      <c r="G15" s="25" t="n">
        <f>51027</f>
        <v>51027.0</v>
      </c>
      <c r="H15" s="23"/>
      <c r="I15" s="26" t="n">
        <f>137804</f>
        <v>137804.0</v>
      </c>
      <c r="J15" s="24"/>
      <c r="K15" s="25" t="n">
        <f>28662912000</f>
        <v>2.8662912E10</v>
      </c>
      <c r="L15" s="23"/>
      <c r="M15" s="25" t="n">
        <f>10828635525</f>
        <v>1.0828635525E10</v>
      </c>
      <c r="N15" s="23"/>
      <c r="O15" s="26" t="n">
        <f>39491547525</f>
        <v>3.9491547525E10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16609</f>
        <v>16609.0</v>
      </c>
      <c r="U15" s="23"/>
      <c r="V15" s="25" t="n">
        <f>7854</f>
        <v>7854.0</v>
      </c>
      <c r="W15" s="23"/>
      <c r="X15" s="26" t="n">
        <f>24463</f>
        <v>24463.0</v>
      </c>
      <c r="Y15" s="24"/>
      <c r="Z15" s="25" t="n">
        <f>1326560</f>
        <v>1326560.0</v>
      </c>
      <c r="AA15" s="23"/>
      <c r="AB15" s="25" t="n">
        <f>773254</f>
        <v>773254.0</v>
      </c>
      <c r="AC15" s="23"/>
      <c r="AD15" s="26" t="n">
        <f>2099814</f>
        <v>2099814.0</v>
      </c>
    </row>
    <row r="16">
      <c r="A16" s="30" t="s">
        <v>35</v>
      </c>
      <c r="B16" s="22" t="s">
        <v>27</v>
      </c>
      <c r="C16" s="22" t="s">
        <v>28</v>
      </c>
      <c r="D16" s="24"/>
      <c r="E16" s="25" t="n">
        <f>81831</f>
        <v>81831.0</v>
      </c>
      <c r="F16" s="23"/>
      <c r="G16" s="25" t="n">
        <f>60205</f>
        <v>60205.0</v>
      </c>
      <c r="H16" s="23"/>
      <c r="I16" s="26" t="n">
        <f>142036</f>
        <v>142036.0</v>
      </c>
      <c r="J16" s="24"/>
      <c r="K16" s="25" t="n">
        <f>47826289600</f>
        <v>4.78262896E10</v>
      </c>
      <c r="L16" s="23"/>
      <c r="M16" s="25" t="n">
        <f>17583373000</f>
        <v>1.7583373E10</v>
      </c>
      <c r="N16" s="23"/>
      <c r="O16" s="26" t="n">
        <f>65409662600</f>
        <v>6.54096626E10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4"/>
      <c r="T16" s="25" t="n">
        <f>15343</f>
        <v>15343.0</v>
      </c>
      <c r="U16" s="23"/>
      <c r="V16" s="25" t="n">
        <f>9227</f>
        <v>9227.0</v>
      </c>
      <c r="W16" s="23"/>
      <c r="X16" s="26" t="n">
        <f>24570</f>
        <v>24570.0</v>
      </c>
      <c r="Y16" s="24"/>
      <c r="Z16" s="25" t="n">
        <f>1338103</f>
        <v>1338103.0</v>
      </c>
      <c r="AA16" s="23"/>
      <c r="AB16" s="25" t="n">
        <f>779609</f>
        <v>779609.0</v>
      </c>
      <c r="AC16" s="23"/>
      <c r="AD16" s="26" t="n">
        <f>2117712</f>
        <v>2117712.0</v>
      </c>
    </row>
    <row r="17">
      <c r="A17" s="30" t="s">
        <v>36</v>
      </c>
      <c r="B17" s="22" t="s">
        <v>27</v>
      </c>
      <c r="C17" s="22" t="s">
        <v>28</v>
      </c>
      <c r="D17" s="24"/>
      <c r="E17" s="25" t="n">
        <f>84209</f>
        <v>84209.0</v>
      </c>
      <c r="F17" s="23" t="s">
        <v>31</v>
      </c>
      <c r="G17" s="25" t="n">
        <f>93501</f>
        <v>93501.0</v>
      </c>
      <c r="H17" s="23" t="s">
        <v>31</v>
      </c>
      <c r="I17" s="26" t="n">
        <f>177710</f>
        <v>177710.0</v>
      </c>
      <c r="J17" s="24"/>
      <c r="K17" s="25" t="n">
        <f>21788377260</f>
        <v>2.178837726E10</v>
      </c>
      <c r="L17" s="23"/>
      <c r="M17" s="25" t="n">
        <f>18319912320</f>
        <v>1.831991232E10</v>
      </c>
      <c r="N17" s="23"/>
      <c r="O17" s="26" t="n">
        <f>40108289580</f>
        <v>4.010828958E10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4"/>
      <c r="T17" s="25" t="n">
        <f>12105</f>
        <v>12105.0</v>
      </c>
      <c r="U17" s="23"/>
      <c r="V17" s="25" t="n">
        <f>12245</f>
        <v>12245.0</v>
      </c>
      <c r="W17" s="23"/>
      <c r="X17" s="26" t="n">
        <f>24350</f>
        <v>24350.0</v>
      </c>
      <c r="Y17" s="24"/>
      <c r="Z17" s="25" t="n">
        <f>1345124</f>
        <v>1345124.0</v>
      </c>
      <c r="AA17" s="23"/>
      <c r="AB17" s="25" t="n">
        <f>789400</f>
        <v>789400.0</v>
      </c>
      <c r="AC17" s="23"/>
      <c r="AD17" s="26" t="n">
        <f>2134524</f>
        <v>2134524.0</v>
      </c>
    </row>
    <row r="18">
      <c r="A18" s="30" t="s">
        <v>37</v>
      </c>
      <c r="B18" s="22" t="s">
        <v>27</v>
      </c>
      <c r="C18" s="22" t="s">
        <v>28</v>
      </c>
      <c r="D18" s="24"/>
      <c r="E18" s="25" t="n">
        <f>78145</f>
        <v>78145.0</v>
      </c>
      <c r="F18" s="23"/>
      <c r="G18" s="25" t="n">
        <f>61089</f>
        <v>61089.0</v>
      </c>
      <c r="H18" s="23"/>
      <c r="I18" s="26" t="n">
        <f>139234</f>
        <v>139234.0</v>
      </c>
      <c r="J18" s="24"/>
      <c r="K18" s="25" t="n">
        <f>30609195300</f>
        <v>3.06091953E10</v>
      </c>
      <c r="L18" s="23"/>
      <c r="M18" s="25" t="n">
        <f>13859052000</f>
        <v>1.3859052E10</v>
      </c>
      <c r="N18" s="23"/>
      <c r="O18" s="26" t="n">
        <f>44468247300</f>
        <v>4.44682473E10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4"/>
      <c r="T18" s="25" t="n">
        <f>11350</f>
        <v>11350.0</v>
      </c>
      <c r="U18" s="23"/>
      <c r="V18" s="25" t="n">
        <f>9723</f>
        <v>9723.0</v>
      </c>
      <c r="W18" s="23"/>
      <c r="X18" s="26" t="n">
        <f>21073</f>
        <v>21073.0</v>
      </c>
      <c r="Y18" s="24" t="s">
        <v>31</v>
      </c>
      <c r="Z18" s="25" t="n">
        <f>1359346</f>
        <v>1359346.0</v>
      </c>
      <c r="AA18" s="23" t="s">
        <v>31</v>
      </c>
      <c r="AB18" s="25" t="n">
        <f>799362</f>
        <v>799362.0</v>
      </c>
      <c r="AC18" s="23" t="s">
        <v>31</v>
      </c>
      <c r="AD18" s="26" t="n">
        <f>2158708</f>
        <v>2158708.0</v>
      </c>
    </row>
    <row r="19">
      <c r="A19" s="30" t="s">
        <v>38</v>
      </c>
      <c r="B19" s="22" t="s">
        <v>27</v>
      </c>
      <c r="C19" s="22" t="s">
        <v>28</v>
      </c>
      <c r="D19" s="24"/>
      <c r="E19" s="25" t="n">
        <f>68196</f>
        <v>68196.0</v>
      </c>
      <c r="F19" s="23"/>
      <c r="G19" s="25" t="n">
        <f>28008</f>
        <v>28008.0</v>
      </c>
      <c r="H19" s="23"/>
      <c r="I19" s="26" t="n">
        <f>96204</f>
        <v>96204.0</v>
      </c>
      <c r="J19" s="24"/>
      <c r="K19" s="25" t="n">
        <f>25734476857</f>
        <v>2.5734476857E10</v>
      </c>
      <c r="L19" s="23"/>
      <c r="M19" s="25" t="n">
        <f>10863439000</f>
        <v>1.0863439E10</v>
      </c>
      <c r="N19" s="23"/>
      <c r="O19" s="26" t="n">
        <f>36597915857</f>
        <v>3.6597915857E10</v>
      </c>
      <c r="P19" s="27" t="n">
        <f>75935</f>
        <v>75935.0</v>
      </c>
      <c r="Q19" s="28" t="n">
        <f>39052</f>
        <v>39052.0</v>
      </c>
      <c r="R19" s="29" t="n">
        <f>114987</f>
        <v>114987.0</v>
      </c>
      <c r="S19" s="24" t="s">
        <v>39</v>
      </c>
      <c r="T19" s="25" t="n">
        <f>3939</f>
        <v>3939.0</v>
      </c>
      <c r="U19" s="23"/>
      <c r="V19" s="25" t="n">
        <f>5823</f>
        <v>5823.0</v>
      </c>
      <c r="W19" s="23"/>
      <c r="X19" s="26" t="n">
        <f>9762</f>
        <v>9762.0</v>
      </c>
      <c r="Y19" s="24" t="s">
        <v>39</v>
      </c>
      <c r="Z19" s="25" t="n">
        <f>1175937</f>
        <v>1175937.0</v>
      </c>
      <c r="AA19" s="23" t="s">
        <v>39</v>
      </c>
      <c r="AB19" s="25" t="n">
        <f>642069</f>
        <v>642069.0</v>
      </c>
      <c r="AC19" s="23" t="s">
        <v>39</v>
      </c>
      <c r="AD19" s="26" t="n">
        <f>1818006</f>
        <v>1818006.0</v>
      </c>
    </row>
    <row r="20">
      <c r="A20" s="30" t="s">
        <v>40</v>
      </c>
      <c r="B20" s="22" t="s">
        <v>27</v>
      </c>
      <c r="C20" s="22" t="s">
        <v>28</v>
      </c>
      <c r="D20" s="24"/>
      <c r="E20" s="25"/>
      <c r="F20" s="23"/>
      <c r="G20" s="25"/>
      <c r="H20" s="23"/>
      <c r="I20" s="26"/>
      <c r="J20" s="24"/>
      <c r="K20" s="25"/>
      <c r="L20" s="23"/>
      <c r="M20" s="25"/>
      <c r="N20" s="23"/>
      <c r="O20" s="26"/>
      <c r="P20" s="27"/>
      <c r="Q20" s="28"/>
      <c r="R20" s="29"/>
      <c r="S20" s="24"/>
      <c r="T20" s="25"/>
      <c r="U20" s="23"/>
      <c r="V20" s="25"/>
      <c r="W20" s="23"/>
      <c r="X20" s="26"/>
      <c r="Y20" s="24"/>
      <c r="Z20" s="25"/>
      <c r="AA20" s="23"/>
      <c r="AB20" s="25"/>
      <c r="AC20" s="23"/>
      <c r="AD20" s="26"/>
    </row>
    <row r="21">
      <c r="A21" s="30" t="s">
        <v>41</v>
      </c>
      <c r="B21" s="22" t="s">
        <v>27</v>
      </c>
      <c r="C21" s="22" t="s">
        <v>28</v>
      </c>
      <c r="D21" s="24"/>
      <c r="E21" s="25"/>
      <c r="F21" s="23"/>
      <c r="G21" s="25"/>
      <c r="H21" s="23"/>
      <c r="I21" s="26"/>
      <c r="J21" s="24"/>
      <c r="K21" s="25"/>
      <c r="L21" s="23"/>
      <c r="M21" s="25"/>
      <c r="N21" s="23"/>
      <c r="O21" s="26"/>
      <c r="P21" s="27"/>
      <c r="Q21" s="28"/>
      <c r="R21" s="29"/>
      <c r="S21" s="24"/>
      <c r="T21" s="25"/>
      <c r="U21" s="23"/>
      <c r="V21" s="25"/>
      <c r="W21" s="23"/>
      <c r="X21" s="26"/>
      <c r="Y21" s="24"/>
      <c r="Z21" s="25"/>
      <c r="AA21" s="23"/>
      <c r="AB21" s="25"/>
      <c r="AC21" s="23"/>
      <c r="AD21" s="26"/>
    </row>
    <row r="22">
      <c r="A22" s="30" t="s">
        <v>42</v>
      </c>
      <c r="B22" s="22" t="s">
        <v>27</v>
      </c>
      <c r="C22" s="22" t="s">
        <v>28</v>
      </c>
      <c r="D22" s="24" t="s">
        <v>39</v>
      </c>
      <c r="E22" s="25" t="n">
        <f>32263</f>
        <v>32263.0</v>
      </c>
      <c r="F22" s="23" t="s">
        <v>39</v>
      </c>
      <c r="G22" s="25" t="n">
        <f>13043</f>
        <v>13043.0</v>
      </c>
      <c r="H22" s="23" t="s">
        <v>39</v>
      </c>
      <c r="I22" s="26" t="n">
        <f>45306</f>
        <v>45306.0</v>
      </c>
      <c r="J22" s="24" t="s">
        <v>39</v>
      </c>
      <c r="K22" s="25" t="n">
        <f>9739066000</f>
        <v>9.739066E9</v>
      </c>
      <c r="L22" s="23" t="s">
        <v>39</v>
      </c>
      <c r="M22" s="25" t="n">
        <f>3241416000</f>
        <v>3.241416E9</v>
      </c>
      <c r="N22" s="23" t="s">
        <v>39</v>
      </c>
      <c r="O22" s="26" t="n">
        <f>12980482000</f>
        <v>1.2980482E10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4"/>
      <c r="T22" s="25" t="n">
        <f>5173</f>
        <v>5173.0</v>
      </c>
      <c r="U22" s="23" t="s">
        <v>39</v>
      </c>
      <c r="V22" s="25" t="n">
        <f>1085</f>
        <v>1085.0</v>
      </c>
      <c r="W22" s="23" t="s">
        <v>39</v>
      </c>
      <c r="X22" s="26" t="n">
        <f>6258</f>
        <v>6258.0</v>
      </c>
      <c r="Y22" s="24"/>
      <c r="Z22" s="25" t="n">
        <f>1189353</f>
        <v>1189353.0</v>
      </c>
      <c r="AA22" s="23"/>
      <c r="AB22" s="25" t="n">
        <f>644495</f>
        <v>644495.0</v>
      </c>
      <c r="AC22" s="23"/>
      <c r="AD22" s="26" t="n">
        <f>1833848</f>
        <v>1833848.0</v>
      </c>
    </row>
    <row r="23">
      <c r="A23" s="30" t="s">
        <v>43</v>
      </c>
      <c r="B23" s="22" t="s">
        <v>27</v>
      </c>
      <c r="C23" s="22" t="s">
        <v>28</v>
      </c>
      <c r="D23" s="24"/>
      <c r="E23" s="25" t="n">
        <f>54617</f>
        <v>54617.0</v>
      </c>
      <c r="F23" s="23"/>
      <c r="G23" s="25" t="n">
        <f>31328</f>
        <v>31328.0</v>
      </c>
      <c r="H23" s="23"/>
      <c r="I23" s="26" t="n">
        <f>85945</f>
        <v>85945.0</v>
      </c>
      <c r="J23" s="24"/>
      <c r="K23" s="25" t="n">
        <f>18446116500</f>
        <v>1.84461165E10</v>
      </c>
      <c r="L23" s="23"/>
      <c r="M23" s="25" t="n">
        <f>8649715520</f>
        <v>8.64971552E9</v>
      </c>
      <c r="N23" s="23"/>
      <c r="O23" s="26" t="n">
        <f>27095832020</f>
        <v>2.709583202E10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4"/>
      <c r="T23" s="25" t="n">
        <f>8964</f>
        <v>8964.0</v>
      </c>
      <c r="U23" s="23"/>
      <c r="V23" s="25" t="n">
        <f>4802</f>
        <v>4802.0</v>
      </c>
      <c r="W23" s="23"/>
      <c r="X23" s="26" t="n">
        <f>13766</f>
        <v>13766.0</v>
      </c>
      <c r="Y23" s="24"/>
      <c r="Z23" s="25" t="n">
        <f>1205226</f>
        <v>1205226.0</v>
      </c>
      <c r="AA23" s="23"/>
      <c r="AB23" s="25" t="n">
        <f>653285</f>
        <v>653285.0</v>
      </c>
      <c r="AC23" s="23"/>
      <c r="AD23" s="26" t="n">
        <f>1858511</f>
        <v>1858511.0</v>
      </c>
    </row>
    <row r="24">
      <c r="A24" s="30" t="s">
        <v>44</v>
      </c>
      <c r="B24" s="22" t="s">
        <v>27</v>
      </c>
      <c r="C24" s="22" t="s">
        <v>28</v>
      </c>
      <c r="D24" s="24"/>
      <c r="E24" s="25" t="n">
        <f>46858</f>
        <v>46858.0</v>
      </c>
      <c r="F24" s="23"/>
      <c r="G24" s="25" t="n">
        <f>18942</f>
        <v>18942.0</v>
      </c>
      <c r="H24" s="23"/>
      <c r="I24" s="26" t="n">
        <f>65800</f>
        <v>65800.0</v>
      </c>
      <c r="J24" s="24"/>
      <c r="K24" s="25" t="n">
        <f>18758200460</f>
        <v>1.875820046E10</v>
      </c>
      <c r="L24" s="23"/>
      <c r="M24" s="25" t="n">
        <f>6218244000</f>
        <v>6.218244E9</v>
      </c>
      <c r="N24" s="23"/>
      <c r="O24" s="26" t="n">
        <f>24976444460</f>
        <v>2.497644446E10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/>
      <c r="T24" s="25" t="n">
        <f>5039</f>
        <v>5039.0</v>
      </c>
      <c r="U24" s="23"/>
      <c r="V24" s="25" t="n">
        <f>2389</f>
        <v>2389.0</v>
      </c>
      <c r="W24" s="23"/>
      <c r="X24" s="26" t="n">
        <f>7428</f>
        <v>7428.0</v>
      </c>
      <c r="Y24" s="24"/>
      <c r="Z24" s="25" t="n">
        <f>1214381</f>
        <v>1214381.0</v>
      </c>
      <c r="AA24" s="23"/>
      <c r="AB24" s="25" t="n">
        <f>655604</f>
        <v>655604.0</v>
      </c>
      <c r="AC24" s="23"/>
      <c r="AD24" s="26" t="n">
        <f>1869985</f>
        <v>1869985.0</v>
      </c>
    </row>
    <row r="25">
      <c r="A25" s="30" t="s">
        <v>45</v>
      </c>
      <c r="B25" s="22" t="s">
        <v>27</v>
      </c>
      <c r="C25" s="22" t="s">
        <v>28</v>
      </c>
      <c r="D25" s="24"/>
      <c r="E25" s="25" t="n">
        <f>64278</f>
        <v>64278.0</v>
      </c>
      <c r="F25" s="23"/>
      <c r="G25" s="25" t="n">
        <f>28169</f>
        <v>28169.0</v>
      </c>
      <c r="H25" s="23"/>
      <c r="I25" s="26" t="n">
        <f>92447</f>
        <v>92447.0</v>
      </c>
      <c r="J25" s="24"/>
      <c r="K25" s="25" t="n">
        <f>25621827000</f>
        <v>2.5621827E10</v>
      </c>
      <c r="L25" s="23"/>
      <c r="M25" s="25" t="n">
        <f>5544040000</f>
        <v>5.54404E9</v>
      </c>
      <c r="N25" s="23"/>
      <c r="O25" s="26" t="n">
        <f>31165867000</f>
        <v>3.1165867E10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11716</f>
        <v>11716.0</v>
      </c>
      <c r="U25" s="23"/>
      <c r="V25" s="25" t="n">
        <f>3090</f>
        <v>3090.0</v>
      </c>
      <c r="W25" s="23"/>
      <c r="X25" s="26" t="n">
        <f>14806</f>
        <v>14806.0</v>
      </c>
      <c r="Y25" s="24"/>
      <c r="Z25" s="25" t="n">
        <f>1236169</f>
        <v>1236169.0</v>
      </c>
      <c r="AA25" s="23"/>
      <c r="AB25" s="25" t="n">
        <f>663274</f>
        <v>663274.0</v>
      </c>
      <c r="AC25" s="23"/>
      <c r="AD25" s="26" t="n">
        <f>1899443</f>
        <v>1899443.0</v>
      </c>
    </row>
    <row r="26">
      <c r="A26" s="30" t="s">
        <v>46</v>
      </c>
      <c r="B26" s="22" t="s">
        <v>27</v>
      </c>
      <c r="C26" s="22" t="s">
        <v>28</v>
      </c>
      <c r="D26" s="24"/>
      <c r="E26" s="25" t="n">
        <f>66661</f>
        <v>66661.0</v>
      </c>
      <c r="F26" s="23"/>
      <c r="G26" s="25" t="n">
        <f>46387</f>
        <v>46387.0</v>
      </c>
      <c r="H26" s="23"/>
      <c r="I26" s="26" t="n">
        <f>113048</f>
        <v>113048.0</v>
      </c>
      <c r="J26" s="24"/>
      <c r="K26" s="25" t="n">
        <f>23326446380</f>
        <v>2.332644638E10</v>
      </c>
      <c r="L26" s="23"/>
      <c r="M26" s="25" t="n">
        <f>13910635000</f>
        <v>1.3910635E10</v>
      </c>
      <c r="N26" s="23"/>
      <c r="O26" s="26" t="n">
        <f>37237081380</f>
        <v>3.723708138E10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4"/>
      <c r="T26" s="25" t="n">
        <f>13189</f>
        <v>13189.0</v>
      </c>
      <c r="U26" s="23"/>
      <c r="V26" s="25" t="n">
        <f>5640</f>
        <v>5640.0</v>
      </c>
      <c r="W26" s="23"/>
      <c r="X26" s="26" t="n">
        <f>18829</f>
        <v>18829.0</v>
      </c>
      <c r="Y26" s="24"/>
      <c r="Z26" s="25" t="n">
        <f>1254900</f>
        <v>1254900.0</v>
      </c>
      <c r="AA26" s="23"/>
      <c r="AB26" s="25" t="n">
        <f>680022</f>
        <v>680022.0</v>
      </c>
      <c r="AC26" s="23"/>
      <c r="AD26" s="26" t="n">
        <f>1934922</f>
        <v>1934922.0</v>
      </c>
    </row>
    <row r="27">
      <c r="A27" s="30" t="s">
        <v>47</v>
      </c>
      <c r="B27" s="22" t="s">
        <v>27</v>
      </c>
      <c r="C27" s="22" t="s">
        <v>28</v>
      </c>
      <c r="D27" s="24"/>
      <c r="E27" s="25"/>
      <c r="F27" s="23"/>
      <c r="G27" s="25"/>
      <c r="H27" s="23"/>
      <c r="I27" s="26"/>
      <c r="J27" s="24"/>
      <c r="K27" s="25"/>
      <c r="L27" s="23"/>
      <c r="M27" s="25"/>
      <c r="N27" s="23"/>
      <c r="O27" s="26"/>
      <c r="P27" s="27"/>
      <c r="Q27" s="28"/>
      <c r="R27" s="29"/>
      <c r="S27" s="24"/>
      <c r="T27" s="25"/>
      <c r="U27" s="23"/>
      <c r="V27" s="25"/>
      <c r="W27" s="23"/>
      <c r="X27" s="26"/>
      <c r="Y27" s="24"/>
      <c r="Z27" s="25"/>
      <c r="AA27" s="23"/>
      <c r="AB27" s="25"/>
      <c r="AC27" s="23"/>
      <c r="AD27" s="26"/>
    </row>
    <row r="28">
      <c r="A28" s="30" t="s">
        <v>48</v>
      </c>
      <c r="B28" s="22" t="s">
        <v>27</v>
      </c>
      <c r="C28" s="22" t="s">
        <v>28</v>
      </c>
      <c r="D28" s="24"/>
      <c r="E28" s="25"/>
      <c r="F28" s="23"/>
      <c r="G28" s="25"/>
      <c r="H28" s="23"/>
      <c r="I28" s="26"/>
      <c r="J28" s="24"/>
      <c r="K28" s="25"/>
      <c r="L28" s="23"/>
      <c r="M28" s="25"/>
      <c r="N28" s="23"/>
      <c r="O28" s="26"/>
      <c r="P28" s="27"/>
      <c r="Q28" s="28"/>
      <c r="R28" s="29"/>
      <c r="S28" s="24"/>
      <c r="T28" s="25"/>
      <c r="U28" s="23"/>
      <c r="V28" s="25"/>
      <c r="W28" s="23"/>
      <c r="X28" s="26"/>
      <c r="Y28" s="24"/>
      <c r="Z28" s="25"/>
      <c r="AA28" s="23"/>
      <c r="AB28" s="25"/>
      <c r="AC28" s="23"/>
      <c r="AD28" s="26"/>
    </row>
    <row r="29">
      <c r="A29" s="30" t="s">
        <v>49</v>
      </c>
      <c r="B29" s="22" t="s">
        <v>27</v>
      </c>
      <c r="C29" s="22" t="s">
        <v>28</v>
      </c>
      <c r="D29" s="24"/>
      <c r="E29" s="25" t="n">
        <f>43963</f>
        <v>43963.0</v>
      </c>
      <c r="F29" s="23"/>
      <c r="G29" s="25" t="n">
        <f>23706</f>
        <v>23706.0</v>
      </c>
      <c r="H29" s="23"/>
      <c r="I29" s="26" t="n">
        <f>67669</f>
        <v>67669.0</v>
      </c>
      <c r="J29" s="24"/>
      <c r="K29" s="25" t="n">
        <f>10679005000</f>
        <v>1.0679005E10</v>
      </c>
      <c r="L29" s="23"/>
      <c r="M29" s="25" t="n">
        <f>5116203780</f>
        <v>5.11620378E9</v>
      </c>
      <c r="N29" s="23"/>
      <c r="O29" s="26" t="n">
        <f>15795208780</f>
        <v>1.579520878E10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4"/>
      <c r="T29" s="25" t="n">
        <f>6086</f>
        <v>6086.0</v>
      </c>
      <c r="U29" s="23"/>
      <c r="V29" s="25" t="n">
        <f>2662</f>
        <v>2662.0</v>
      </c>
      <c r="W29" s="23"/>
      <c r="X29" s="26" t="n">
        <f>8748</f>
        <v>8748.0</v>
      </c>
      <c r="Y29" s="24"/>
      <c r="Z29" s="25" t="n">
        <f>1256564</f>
        <v>1256564.0</v>
      </c>
      <c r="AA29" s="23"/>
      <c r="AB29" s="25" t="n">
        <f>680854</f>
        <v>680854.0</v>
      </c>
      <c r="AC29" s="23"/>
      <c r="AD29" s="26" t="n">
        <f>1937418</f>
        <v>1937418.0</v>
      </c>
    </row>
    <row r="30">
      <c r="A30" s="30" t="s">
        <v>50</v>
      </c>
      <c r="B30" s="22" t="s">
        <v>27</v>
      </c>
      <c r="C30" s="22" t="s">
        <v>28</v>
      </c>
      <c r="D30" s="24"/>
      <c r="E30" s="25" t="n">
        <f>56125</f>
        <v>56125.0</v>
      </c>
      <c r="F30" s="23"/>
      <c r="G30" s="25" t="n">
        <f>32304</f>
        <v>32304.0</v>
      </c>
      <c r="H30" s="23"/>
      <c r="I30" s="26" t="n">
        <f>88429</f>
        <v>88429.0</v>
      </c>
      <c r="J30" s="24"/>
      <c r="K30" s="25" t="n">
        <f>20616189150</f>
        <v>2.061618915E10</v>
      </c>
      <c r="L30" s="23"/>
      <c r="M30" s="25" t="n">
        <f>9921571306</f>
        <v>9.921571306E9</v>
      </c>
      <c r="N30" s="23"/>
      <c r="O30" s="26" t="n">
        <f>30537760456</f>
        <v>3.0537760456E10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4"/>
      <c r="T30" s="25" t="n">
        <f>10996</f>
        <v>10996.0</v>
      </c>
      <c r="U30" s="23"/>
      <c r="V30" s="25" t="n">
        <f>4164</f>
        <v>4164.0</v>
      </c>
      <c r="W30" s="23"/>
      <c r="X30" s="26" t="n">
        <f>15160</f>
        <v>15160.0</v>
      </c>
      <c r="Y30" s="24"/>
      <c r="Z30" s="25" t="n">
        <f>1266368</f>
        <v>1266368.0</v>
      </c>
      <c r="AA30" s="23"/>
      <c r="AB30" s="25" t="n">
        <f>687746</f>
        <v>687746.0</v>
      </c>
      <c r="AC30" s="23"/>
      <c r="AD30" s="26" t="n">
        <f>1954114</f>
        <v>1954114.0</v>
      </c>
    </row>
    <row r="31">
      <c r="A31" s="30" t="s">
        <v>51</v>
      </c>
      <c r="B31" s="22" t="s">
        <v>27</v>
      </c>
      <c r="C31" s="22" t="s">
        <v>28</v>
      </c>
      <c r="D31" s="24"/>
      <c r="E31" s="25" t="n">
        <f>60086</f>
        <v>60086.0</v>
      </c>
      <c r="F31" s="23"/>
      <c r="G31" s="25" t="n">
        <f>31890</f>
        <v>31890.0</v>
      </c>
      <c r="H31" s="23"/>
      <c r="I31" s="26" t="n">
        <f>91976</f>
        <v>91976.0</v>
      </c>
      <c r="J31" s="24"/>
      <c r="K31" s="25" t="n">
        <f>22204030400</f>
        <v>2.22040304E10</v>
      </c>
      <c r="L31" s="23"/>
      <c r="M31" s="25" t="n">
        <f>11570360000</f>
        <v>1.157036E10</v>
      </c>
      <c r="N31" s="23"/>
      <c r="O31" s="26" t="n">
        <f>33774390400</f>
        <v>3.37743904E10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/>
      <c r="T31" s="25" t="n">
        <f>8416</f>
        <v>8416.0</v>
      </c>
      <c r="U31" s="23"/>
      <c r="V31" s="25" t="n">
        <f>4068</f>
        <v>4068.0</v>
      </c>
      <c r="W31" s="23"/>
      <c r="X31" s="26" t="n">
        <f>12484</f>
        <v>12484.0</v>
      </c>
      <c r="Y31" s="24"/>
      <c r="Z31" s="25" t="n">
        <f>1272107</f>
        <v>1272107.0</v>
      </c>
      <c r="AA31" s="23"/>
      <c r="AB31" s="25" t="n">
        <f>691755</f>
        <v>691755.0</v>
      </c>
      <c r="AC31" s="23"/>
      <c r="AD31" s="26" t="n">
        <f>1963862</f>
        <v>1963862.0</v>
      </c>
    </row>
    <row r="32">
      <c r="A32" s="30" t="s">
        <v>52</v>
      </c>
      <c r="B32" s="22" t="s">
        <v>27</v>
      </c>
      <c r="C32" s="22" t="s">
        <v>28</v>
      </c>
      <c r="D32" s="24"/>
      <c r="E32" s="25" t="n">
        <f>59840</f>
        <v>59840.0</v>
      </c>
      <c r="F32" s="23"/>
      <c r="G32" s="25" t="n">
        <f>30628</f>
        <v>30628.0</v>
      </c>
      <c r="H32" s="23"/>
      <c r="I32" s="26" t="n">
        <f>90468</f>
        <v>90468.0</v>
      </c>
      <c r="J32" s="24"/>
      <c r="K32" s="25" t="n">
        <f>41357088500</f>
        <v>4.13570885E10</v>
      </c>
      <c r="L32" s="23"/>
      <c r="M32" s="25" t="n">
        <f>8278612000</f>
        <v>8.278612E9</v>
      </c>
      <c r="N32" s="23"/>
      <c r="O32" s="26" t="n">
        <f>49635700500</f>
        <v>4.96357005E10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4"/>
      <c r="T32" s="25" t="n">
        <f>14377</f>
        <v>14377.0</v>
      </c>
      <c r="U32" s="23"/>
      <c r="V32" s="25" t="n">
        <f>9421</f>
        <v>9421.0</v>
      </c>
      <c r="W32" s="23"/>
      <c r="X32" s="26" t="n">
        <f>23798</f>
        <v>23798.0</v>
      </c>
      <c r="Y32" s="24"/>
      <c r="Z32" s="25" t="n">
        <f>1261905</f>
        <v>1261905.0</v>
      </c>
      <c r="AA32" s="23"/>
      <c r="AB32" s="25" t="n">
        <f>695859</f>
        <v>695859.0</v>
      </c>
      <c r="AC32" s="23"/>
      <c r="AD32" s="26" t="n">
        <f>1957764</f>
        <v>1957764.0</v>
      </c>
    </row>
    <row r="33">
      <c r="A33" s="30" t="s">
        <v>53</v>
      </c>
      <c r="B33" s="22" t="s">
        <v>27</v>
      </c>
      <c r="C33" s="22" t="s">
        <v>28</v>
      </c>
      <c r="D33" s="24"/>
      <c r="E33" s="25" t="n">
        <f>58547</f>
        <v>58547.0</v>
      </c>
      <c r="F33" s="23"/>
      <c r="G33" s="25" t="n">
        <f>31569</f>
        <v>31569.0</v>
      </c>
      <c r="H33" s="23"/>
      <c r="I33" s="26" t="n">
        <f>90116</f>
        <v>90116.0</v>
      </c>
      <c r="J33" s="24"/>
      <c r="K33" s="25" t="n">
        <f>21986266724</f>
        <v>2.1986266724E10</v>
      </c>
      <c r="L33" s="23"/>
      <c r="M33" s="25" t="n">
        <f>10183873940</f>
        <v>1.018387394E10</v>
      </c>
      <c r="N33" s="23"/>
      <c r="O33" s="26" t="n">
        <f>32170140664</f>
        <v>3.2170140664E10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4"/>
      <c r="T33" s="25" t="n">
        <f>17366</f>
        <v>17366.0</v>
      </c>
      <c r="U33" s="23"/>
      <c r="V33" s="25" t="n">
        <f>5806</f>
        <v>5806.0</v>
      </c>
      <c r="W33" s="23"/>
      <c r="X33" s="26" t="n">
        <f>23172</f>
        <v>23172.0</v>
      </c>
      <c r="Y33" s="24"/>
      <c r="Z33" s="25" t="n">
        <f>1267643</f>
        <v>1267643.0</v>
      </c>
      <c r="AA33" s="23"/>
      <c r="AB33" s="25" t="n">
        <f>701493</f>
        <v>701493.0</v>
      </c>
      <c r="AC33" s="23"/>
      <c r="AD33" s="26" t="n">
        <f>1969136</f>
        <v>1969136.0</v>
      </c>
    </row>
    <row r="34">
      <c r="A34" s="30" t="s">
        <v>54</v>
      </c>
      <c r="B34" s="22" t="s">
        <v>27</v>
      </c>
      <c r="C34" s="22" t="s">
        <v>28</v>
      </c>
      <c r="D34" s="24"/>
      <c r="E34" s="25"/>
      <c r="F34" s="23"/>
      <c r="G34" s="25"/>
      <c r="H34" s="23"/>
      <c r="I34" s="26"/>
      <c r="J34" s="24"/>
      <c r="K34" s="25"/>
      <c r="L34" s="23"/>
      <c r="M34" s="25"/>
      <c r="N34" s="23"/>
      <c r="O34" s="26"/>
      <c r="P34" s="27"/>
      <c r="Q34" s="28"/>
      <c r="R34" s="29"/>
      <c r="S34" s="24"/>
      <c r="T34" s="25"/>
      <c r="U34" s="23"/>
      <c r="V34" s="25"/>
      <c r="W34" s="23"/>
      <c r="X34" s="26"/>
      <c r="Y34" s="24"/>
      <c r="Z34" s="25"/>
      <c r="AA34" s="23"/>
      <c r="AB34" s="25"/>
      <c r="AC34" s="23"/>
      <c r="AD34" s="26"/>
    </row>
    <row r="35">
      <c r="A35" s="30" t="s">
        <v>55</v>
      </c>
      <c r="B35" s="22" t="s">
        <v>27</v>
      </c>
      <c r="C35" s="22" t="s">
        <v>28</v>
      </c>
      <c r="D35" s="24"/>
      <c r="E35" s="25"/>
      <c r="F35" s="23"/>
      <c r="G35" s="25"/>
      <c r="H35" s="23"/>
      <c r="I35" s="26"/>
      <c r="J35" s="24"/>
      <c r="K35" s="25"/>
      <c r="L35" s="23"/>
      <c r="M35" s="25"/>
      <c r="N35" s="23"/>
      <c r="O35" s="26"/>
      <c r="P35" s="27"/>
      <c r="Q35" s="28"/>
      <c r="R35" s="29"/>
      <c r="S35" s="24"/>
      <c r="T35" s="25"/>
      <c r="U35" s="23"/>
      <c r="V35" s="25"/>
      <c r="W35" s="23"/>
      <c r="X35" s="26"/>
      <c r="Y35" s="24"/>
      <c r="Z35" s="25"/>
      <c r="AA35" s="23"/>
      <c r="AB35" s="25"/>
      <c r="AC35" s="23"/>
      <c r="AD35" s="26"/>
    </row>
    <row r="36">
      <c r="A36" s="30" t="s">
        <v>56</v>
      </c>
      <c r="B36" s="22" t="s">
        <v>27</v>
      </c>
      <c r="C36" s="22" t="s">
        <v>28</v>
      </c>
      <c r="D36" s="24"/>
      <c r="E36" s="25" t="n">
        <f>71088</f>
        <v>71088.0</v>
      </c>
      <c r="F36" s="23"/>
      <c r="G36" s="25" t="n">
        <f>35536</f>
        <v>35536.0</v>
      </c>
      <c r="H36" s="23"/>
      <c r="I36" s="26" t="n">
        <f>106624</f>
        <v>106624.0</v>
      </c>
      <c r="J36" s="24"/>
      <c r="K36" s="25" t="n">
        <f>22511114000</f>
        <v>2.2511114E10</v>
      </c>
      <c r="L36" s="23"/>
      <c r="M36" s="25" t="n">
        <f>13444278000</f>
        <v>1.3444278E10</v>
      </c>
      <c r="N36" s="23"/>
      <c r="O36" s="26" t="n">
        <f>35955392000</f>
        <v>3.5955392E10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/>
      <c r="T36" s="25" t="n">
        <f>20101</f>
        <v>20101.0</v>
      </c>
      <c r="U36" s="23"/>
      <c r="V36" s="25" t="n">
        <f>5665</f>
        <v>5665.0</v>
      </c>
      <c r="W36" s="23"/>
      <c r="X36" s="26" t="n">
        <f>25766</f>
        <v>25766.0</v>
      </c>
      <c r="Y36" s="24"/>
      <c r="Z36" s="25" t="n">
        <f>1275306</f>
        <v>1275306.0</v>
      </c>
      <c r="AA36" s="23"/>
      <c r="AB36" s="25" t="n">
        <f>710737</f>
        <v>710737.0</v>
      </c>
      <c r="AC36" s="23"/>
      <c r="AD36" s="26" t="n">
        <f>1986043</f>
        <v>1986043.0</v>
      </c>
    </row>
    <row r="37">
      <c r="A37" s="30" t="s">
        <v>57</v>
      </c>
      <c r="B37" s="22" t="s">
        <v>27</v>
      </c>
      <c r="C37" s="22" t="s">
        <v>28</v>
      </c>
      <c r="D37" s="24"/>
      <c r="E37" s="25" t="n">
        <f>62170</f>
        <v>62170.0</v>
      </c>
      <c r="F37" s="23"/>
      <c r="G37" s="25" t="n">
        <f>31660</f>
        <v>31660.0</v>
      </c>
      <c r="H37" s="23"/>
      <c r="I37" s="26" t="n">
        <f>93830</f>
        <v>93830.0</v>
      </c>
      <c r="J37" s="24"/>
      <c r="K37" s="25" t="n">
        <f>14867333000</f>
        <v>1.4867333E10</v>
      </c>
      <c r="L37" s="23"/>
      <c r="M37" s="25" t="n">
        <f>6162244970</f>
        <v>6.16224497E9</v>
      </c>
      <c r="N37" s="23"/>
      <c r="O37" s="26" t="n">
        <f>21029577970</f>
        <v>2.102957797E10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4"/>
      <c r="T37" s="25" t="n">
        <f>10344</f>
        <v>10344.0</v>
      </c>
      <c r="U37" s="23"/>
      <c r="V37" s="25" t="n">
        <f>8552</f>
        <v>8552.0</v>
      </c>
      <c r="W37" s="23"/>
      <c r="X37" s="26" t="n">
        <f>18896</f>
        <v>18896.0</v>
      </c>
      <c r="Y37" s="24"/>
      <c r="Z37" s="25" t="n">
        <f>1287244</f>
        <v>1287244.0</v>
      </c>
      <c r="AA37" s="23"/>
      <c r="AB37" s="25" t="n">
        <f>714510</f>
        <v>714510.0</v>
      </c>
      <c r="AC37" s="23"/>
      <c r="AD37" s="26" t="n">
        <f>2001754</f>
        <v>2001754.0</v>
      </c>
    </row>
    <row r="38">
      <c r="A38" s="30" t="s">
        <v>58</v>
      </c>
      <c r="B38" s="22" t="s">
        <v>27</v>
      </c>
      <c r="C38" s="22" t="s">
        <v>28</v>
      </c>
      <c r="D38" s="24"/>
      <c r="E38" s="25"/>
      <c r="F38" s="23"/>
      <c r="G38" s="25"/>
      <c r="H38" s="23"/>
      <c r="I38" s="26"/>
      <c r="J38" s="24"/>
      <c r="K38" s="25"/>
      <c r="L38" s="23"/>
      <c r="M38" s="25"/>
      <c r="N38" s="23"/>
      <c r="O38" s="26"/>
      <c r="P38" s="27"/>
      <c r="Q38" s="28"/>
      <c r="R38" s="29"/>
      <c r="S38" s="24"/>
      <c r="T38" s="25"/>
      <c r="U38" s="23"/>
      <c r="V38" s="25"/>
      <c r="W38" s="23"/>
      <c r="X38" s="26"/>
      <c r="Y38" s="24"/>
      <c r="Z38" s="25"/>
      <c r="AA38" s="23"/>
      <c r="AB38" s="25"/>
      <c r="AC38" s="23"/>
      <c r="AD38" s="26"/>
    </row>
    <row r="39">
      <c r="A39" s="30" t="s">
        <v>59</v>
      </c>
      <c r="B39" s="22" t="s">
        <v>27</v>
      </c>
      <c r="C39" s="22" t="s">
        <v>28</v>
      </c>
      <c r="D39" s="24" t="s">
        <v>31</v>
      </c>
      <c r="E39" s="25" t="n">
        <f>103452</f>
        <v>103452.0</v>
      </c>
      <c r="F39" s="23"/>
      <c r="G39" s="25" t="n">
        <f>60463</f>
        <v>60463.0</v>
      </c>
      <c r="H39" s="23"/>
      <c r="I39" s="26" t="n">
        <f>163915</f>
        <v>163915.0</v>
      </c>
      <c r="J39" s="24"/>
      <c r="K39" s="25" t="n">
        <f>23348017975</f>
        <v>2.3348017975E10</v>
      </c>
      <c r="L39" s="23"/>
      <c r="M39" s="25" t="n">
        <f>14229938975</f>
        <v>1.4229938975E10</v>
      </c>
      <c r="N39" s="23"/>
      <c r="O39" s="26" t="n">
        <f>37577956950</f>
        <v>3.757795695E10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 t="s">
        <v>31</v>
      </c>
      <c r="T39" s="25" t="n">
        <f>36821</f>
        <v>36821.0</v>
      </c>
      <c r="U39" s="23" t="s">
        <v>31</v>
      </c>
      <c r="V39" s="25" t="n">
        <f>17669</f>
        <v>17669.0</v>
      </c>
      <c r="W39" s="23" t="s">
        <v>31</v>
      </c>
      <c r="X39" s="26" t="n">
        <f>54490</f>
        <v>54490.0</v>
      </c>
      <c r="Y39" s="24"/>
      <c r="Z39" s="25" t="n">
        <f>1304687</f>
        <v>1304687.0</v>
      </c>
      <c r="AA39" s="23"/>
      <c r="AB39" s="25" t="n">
        <f>719067</f>
        <v>719067.0</v>
      </c>
      <c r="AC39" s="23"/>
      <c r="AD39" s="26" t="n">
        <f>2023754</f>
        <v>2023754.0</v>
      </c>
    </row>
    <row r="40">
      <c r="A40" s="30" t="s">
        <v>26</v>
      </c>
      <c r="B40" s="22" t="s">
        <v>60</v>
      </c>
      <c r="C40" s="22" t="s">
        <v>61</v>
      </c>
      <c r="D40" s="24"/>
      <c r="E40" s="25" t="n">
        <f>526</f>
        <v>526.0</v>
      </c>
      <c r="F40" s="23"/>
      <c r="G40" s="25" t="n">
        <f>281</f>
        <v>281.0</v>
      </c>
      <c r="H40" s="23"/>
      <c r="I40" s="26" t="n">
        <f>807</f>
        <v>807.0</v>
      </c>
      <c r="J40" s="24"/>
      <c r="K40" s="25" t="n">
        <f>67520000</f>
        <v>6.752E7</v>
      </c>
      <c r="L40" s="23"/>
      <c r="M40" s="25" t="n">
        <f>20161000</f>
        <v>2.0161E7</v>
      </c>
      <c r="N40" s="23"/>
      <c r="O40" s="26" t="n">
        <f>87681000</f>
        <v>8.7681E7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4"/>
      <c r="T40" s="25" t="n">
        <f>76</f>
        <v>76.0</v>
      </c>
      <c r="U40" s="23"/>
      <c r="V40" s="25" t="n">
        <f>97</f>
        <v>97.0</v>
      </c>
      <c r="W40" s="23"/>
      <c r="X40" s="26" t="n">
        <f>173</f>
        <v>173.0</v>
      </c>
      <c r="Y40" s="24"/>
      <c r="Z40" s="25" t="n">
        <f>1050</f>
        <v>1050.0</v>
      </c>
      <c r="AA40" s="23"/>
      <c r="AB40" s="25" t="n">
        <f>1129</f>
        <v>1129.0</v>
      </c>
      <c r="AC40" s="23"/>
      <c r="AD40" s="26" t="n">
        <f>2179</f>
        <v>2179.0</v>
      </c>
    </row>
    <row r="41">
      <c r="A41" s="30" t="s">
        <v>29</v>
      </c>
      <c r="B41" s="22" t="s">
        <v>60</v>
      </c>
      <c r="C41" s="22" t="s">
        <v>61</v>
      </c>
      <c r="D41" s="24"/>
      <c r="E41" s="25" t="n">
        <f>875</f>
        <v>875.0</v>
      </c>
      <c r="F41" s="23"/>
      <c r="G41" s="25" t="n">
        <f>412</f>
        <v>412.0</v>
      </c>
      <c r="H41" s="23"/>
      <c r="I41" s="26" t="n">
        <f>1287</f>
        <v>1287.0</v>
      </c>
      <c r="J41" s="24"/>
      <c r="K41" s="25" t="n">
        <f>95547000</f>
        <v>9.5547E7</v>
      </c>
      <c r="L41" s="23"/>
      <c r="M41" s="25" t="n">
        <f>17401000</f>
        <v>1.7401E7</v>
      </c>
      <c r="N41" s="23"/>
      <c r="O41" s="26" t="n">
        <f>112948000</f>
        <v>1.12948E8</v>
      </c>
      <c r="P41" s="27" t="str">
        <f>"－"</f>
        <v>－</v>
      </c>
      <c r="Q41" s="28" t="str">
        <f>"－"</f>
        <v>－</v>
      </c>
      <c r="R41" s="29" t="str">
        <f>"－"</f>
        <v>－</v>
      </c>
      <c r="S41" s="24"/>
      <c r="T41" s="25" t="n">
        <f>176</f>
        <v>176.0</v>
      </c>
      <c r="U41" s="23"/>
      <c r="V41" s="25" t="n">
        <f>17</f>
        <v>17.0</v>
      </c>
      <c r="W41" s="23"/>
      <c r="X41" s="26" t="n">
        <f>193</f>
        <v>193.0</v>
      </c>
      <c r="Y41" s="24"/>
      <c r="Z41" s="25" t="n">
        <f>1136</f>
        <v>1136.0</v>
      </c>
      <c r="AA41" s="23"/>
      <c r="AB41" s="25" t="n">
        <f>1252</f>
        <v>1252.0</v>
      </c>
      <c r="AC41" s="23"/>
      <c r="AD41" s="26" t="n">
        <f>2388</f>
        <v>2388.0</v>
      </c>
    </row>
    <row r="42">
      <c r="A42" s="30" t="s">
        <v>30</v>
      </c>
      <c r="B42" s="22" t="s">
        <v>60</v>
      </c>
      <c r="C42" s="22" t="s">
        <v>61</v>
      </c>
      <c r="D42" s="24"/>
      <c r="E42" s="25" t="n">
        <f>15</f>
        <v>15.0</v>
      </c>
      <c r="F42" s="23"/>
      <c r="G42" s="25" t="n">
        <f>256</f>
        <v>256.0</v>
      </c>
      <c r="H42" s="23"/>
      <c r="I42" s="26" t="n">
        <f>271</f>
        <v>271.0</v>
      </c>
      <c r="J42" s="24"/>
      <c r="K42" s="25" t="n">
        <f>6390000</f>
        <v>6390000.0</v>
      </c>
      <c r="L42" s="23"/>
      <c r="M42" s="25" t="n">
        <f>73015000</f>
        <v>7.3015E7</v>
      </c>
      <c r="N42" s="23"/>
      <c r="O42" s="26" t="n">
        <f>79405000</f>
        <v>7.9405E7</v>
      </c>
      <c r="P42" s="27" t="n">
        <f>343</f>
        <v>343.0</v>
      </c>
      <c r="Q42" s="28" t="n">
        <f>11</f>
        <v>11.0</v>
      </c>
      <c r="R42" s="29" t="n">
        <f>354</f>
        <v>354.0</v>
      </c>
      <c r="S42" s="24" t="s">
        <v>39</v>
      </c>
      <c r="T42" s="25" t="str">
        <f>"－"</f>
        <v>－</v>
      </c>
      <c r="U42" s="23"/>
      <c r="V42" s="25" t="n">
        <f>251</f>
        <v>251.0</v>
      </c>
      <c r="W42" s="23"/>
      <c r="X42" s="26" t="n">
        <f>251</f>
        <v>251.0</v>
      </c>
      <c r="Y42" s="24" t="s">
        <v>39</v>
      </c>
      <c r="Z42" s="25" t="n">
        <f>12</f>
        <v>12.0</v>
      </c>
      <c r="AA42" s="23" t="s">
        <v>39</v>
      </c>
      <c r="AB42" s="25" t="n">
        <f>755</f>
        <v>755.0</v>
      </c>
      <c r="AC42" s="23" t="s">
        <v>39</v>
      </c>
      <c r="AD42" s="26" t="n">
        <f>767</f>
        <v>767.0</v>
      </c>
    </row>
    <row r="43">
      <c r="A43" s="30" t="s">
        <v>32</v>
      </c>
      <c r="B43" s="22" t="s">
        <v>60</v>
      </c>
      <c r="C43" s="22" t="s">
        <v>61</v>
      </c>
      <c r="D43" s="24"/>
      <c r="E43" s="25"/>
      <c r="F43" s="23"/>
      <c r="G43" s="25"/>
      <c r="H43" s="23"/>
      <c r="I43" s="26"/>
      <c r="J43" s="24"/>
      <c r="K43" s="25"/>
      <c r="L43" s="23"/>
      <c r="M43" s="25"/>
      <c r="N43" s="23"/>
      <c r="O43" s="26"/>
      <c r="P43" s="27"/>
      <c r="Q43" s="28"/>
      <c r="R43" s="29"/>
      <c r="S43" s="24"/>
      <c r="T43" s="25"/>
      <c r="U43" s="23"/>
      <c r="V43" s="25"/>
      <c r="W43" s="23"/>
      <c r="X43" s="26"/>
      <c r="Y43" s="24"/>
      <c r="Z43" s="25"/>
      <c r="AA43" s="23"/>
      <c r="AB43" s="25"/>
      <c r="AC43" s="23"/>
      <c r="AD43" s="26"/>
    </row>
    <row r="44">
      <c r="A44" s="30" t="s">
        <v>33</v>
      </c>
      <c r="B44" s="22" t="s">
        <v>60</v>
      </c>
      <c r="C44" s="22" t="s">
        <v>61</v>
      </c>
      <c r="D44" s="24"/>
      <c r="E44" s="25"/>
      <c r="F44" s="23"/>
      <c r="G44" s="25"/>
      <c r="H44" s="23"/>
      <c r="I44" s="26"/>
      <c r="J44" s="24"/>
      <c r="K44" s="25"/>
      <c r="L44" s="23"/>
      <c r="M44" s="25"/>
      <c r="N44" s="23"/>
      <c r="O44" s="26"/>
      <c r="P44" s="27"/>
      <c r="Q44" s="28"/>
      <c r="R44" s="29"/>
      <c r="S44" s="24"/>
      <c r="T44" s="25"/>
      <c r="U44" s="23"/>
      <c r="V44" s="25"/>
      <c r="W44" s="23"/>
      <c r="X44" s="26"/>
      <c r="Y44" s="24"/>
      <c r="Z44" s="25"/>
      <c r="AA44" s="23"/>
      <c r="AB44" s="25"/>
      <c r="AC44" s="23"/>
      <c r="AD44" s="26"/>
    </row>
    <row r="45">
      <c r="A45" s="30" t="s">
        <v>34</v>
      </c>
      <c r="B45" s="22" t="s">
        <v>60</v>
      </c>
      <c r="C45" s="22" t="s">
        <v>61</v>
      </c>
      <c r="D45" s="24" t="s">
        <v>39</v>
      </c>
      <c r="E45" s="25" t="n">
        <f>10</f>
        <v>10.0</v>
      </c>
      <c r="F45" s="23" t="s">
        <v>39</v>
      </c>
      <c r="G45" s="25" t="n">
        <f>8</f>
        <v>8.0</v>
      </c>
      <c r="H45" s="23" t="s">
        <v>39</v>
      </c>
      <c r="I45" s="26" t="n">
        <f>18</f>
        <v>18.0</v>
      </c>
      <c r="J45" s="24" t="s">
        <v>39</v>
      </c>
      <c r="K45" s="25" t="n">
        <f>1935000</f>
        <v>1935000.0</v>
      </c>
      <c r="L45" s="23" t="s">
        <v>39</v>
      </c>
      <c r="M45" s="25" t="n">
        <f>1328000</f>
        <v>1328000.0</v>
      </c>
      <c r="N45" s="23" t="s">
        <v>39</v>
      </c>
      <c r="O45" s="26" t="n">
        <f>3263000</f>
        <v>3263000.0</v>
      </c>
      <c r="P45" s="27" t="str">
        <f>"－"</f>
        <v>－</v>
      </c>
      <c r="Q45" s="28" t="str">
        <f>"－"</f>
        <v>－</v>
      </c>
      <c r="R45" s="29" t="str">
        <f>"－"</f>
        <v>－</v>
      </c>
      <c r="S45" s="24"/>
      <c r="T45" s="25" t="str">
        <f>"－"</f>
        <v>－</v>
      </c>
      <c r="U45" s="23" t="s">
        <v>39</v>
      </c>
      <c r="V45" s="25" t="str">
        <f>"－"</f>
        <v>－</v>
      </c>
      <c r="W45" s="23" t="s">
        <v>39</v>
      </c>
      <c r="X45" s="26" t="str">
        <f>"－"</f>
        <v>－</v>
      </c>
      <c r="Y45" s="24"/>
      <c r="Z45" s="25" t="n">
        <f>20</f>
        <v>20.0</v>
      </c>
      <c r="AA45" s="23"/>
      <c r="AB45" s="25" t="n">
        <f>762</f>
        <v>762.0</v>
      </c>
      <c r="AC45" s="23"/>
      <c r="AD45" s="26" t="n">
        <f>782</f>
        <v>782.0</v>
      </c>
    </row>
    <row r="46">
      <c r="A46" s="30" t="s">
        <v>35</v>
      </c>
      <c r="B46" s="22" t="s">
        <v>60</v>
      </c>
      <c r="C46" s="22" t="s">
        <v>61</v>
      </c>
      <c r="D46" s="24"/>
      <c r="E46" s="25" t="n">
        <f>53</f>
        <v>53.0</v>
      </c>
      <c r="F46" s="23"/>
      <c r="G46" s="25" t="n">
        <f>50</f>
        <v>50.0</v>
      </c>
      <c r="H46" s="23"/>
      <c r="I46" s="26" t="n">
        <f>103</f>
        <v>103.0</v>
      </c>
      <c r="J46" s="24"/>
      <c r="K46" s="25" t="n">
        <f>7287000</f>
        <v>7287000.0</v>
      </c>
      <c r="L46" s="23"/>
      <c r="M46" s="25" t="n">
        <f>7132000</f>
        <v>7132000.0</v>
      </c>
      <c r="N46" s="23"/>
      <c r="O46" s="26" t="n">
        <f>14419000</f>
        <v>1.4419E7</v>
      </c>
      <c r="P46" s="27" t="str">
        <f>"－"</f>
        <v>－</v>
      </c>
      <c r="Q46" s="28" t="str">
        <f>"－"</f>
        <v>－</v>
      </c>
      <c r="R46" s="29" t="str">
        <f>"－"</f>
        <v>－</v>
      </c>
      <c r="S46" s="24"/>
      <c r="T46" s="25" t="n">
        <f>4</f>
        <v>4.0</v>
      </c>
      <c r="U46" s="23"/>
      <c r="V46" s="25" t="n">
        <f>47</f>
        <v>47.0</v>
      </c>
      <c r="W46" s="23"/>
      <c r="X46" s="26" t="n">
        <f>51</f>
        <v>51.0</v>
      </c>
      <c r="Y46" s="24"/>
      <c r="Z46" s="25" t="n">
        <f>46</f>
        <v>46.0</v>
      </c>
      <c r="AA46" s="23"/>
      <c r="AB46" s="25" t="n">
        <f>812</f>
        <v>812.0</v>
      </c>
      <c r="AC46" s="23"/>
      <c r="AD46" s="26" t="n">
        <f>858</f>
        <v>858.0</v>
      </c>
    </row>
    <row r="47">
      <c r="A47" s="30" t="s">
        <v>36</v>
      </c>
      <c r="B47" s="22" t="s">
        <v>60</v>
      </c>
      <c r="C47" s="22" t="s">
        <v>61</v>
      </c>
      <c r="D47" s="24"/>
      <c r="E47" s="25" t="n">
        <f>17</f>
        <v>17.0</v>
      </c>
      <c r="F47" s="23"/>
      <c r="G47" s="25" t="n">
        <f>20</f>
        <v>20.0</v>
      </c>
      <c r="H47" s="23"/>
      <c r="I47" s="26" t="n">
        <f>37</f>
        <v>37.0</v>
      </c>
      <c r="J47" s="24"/>
      <c r="K47" s="25" t="n">
        <f>4615000</f>
        <v>4615000.0</v>
      </c>
      <c r="L47" s="23"/>
      <c r="M47" s="25" t="n">
        <f>6652000</f>
        <v>6652000.0</v>
      </c>
      <c r="N47" s="23"/>
      <c r="O47" s="26" t="n">
        <f>11267000</f>
        <v>1.1267E7</v>
      </c>
      <c r="P47" s="27" t="str">
        <f>"－"</f>
        <v>－</v>
      </c>
      <c r="Q47" s="28" t="str">
        <f>"－"</f>
        <v>－</v>
      </c>
      <c r="R47" s="29" t="str">
        <f>"－"</f>
        <v>－</v>
      </c>
      <c r="S47" s="24"/>
      <c r="T47" s="25" t="n">
        <f>5</f>
        <v>5.0</v>
      </c>
      <c r="U47" s="23"/>
      <c r="V47" s="25" t="n">
        <f>7</f>
        <v>7.0</v>
      </c>
      <c r="W47" s="23"/>
      <c r="X47" s="26" t="n">
        <f>12</f>
        <v>12.0</v>
      </c>
      <c r="Y47" s="24"/>
      <c r="Z47" s="25" t="n">
        <f>54</f>
        <v>54.0</v>
      </c>
      <c r="AA47" s="23"/>
      <c r="AB47" s="25" t="n">
        <f>811</f>
        <v>811.0</v>
      </c>
      <c r="AC47" s="23"/>
      <c r="AD47" s="26" t="n">
        <f>865</f>
        <v>865.0</v>
      </c>
    </row>
    <row r="48">
      <c r="A48" s="30" t="s">
        <v>37</v>
      </c>
      <c r="B48" s="22" t="s">
        <v>60</v>
      </c>
      <c r="C48" s="22" t="s">
        <v>61</v>
      </c>
      <c r="D48" s="24"/>
      <c r="E48" s="25" t="n">
        <f>79</f>
        <v>79.0</v>
      </c>
      <c r="F48" s="23"/>
      <c r="G48" s="25" t="n">
        <f>222</f>
        <v>222.0</v>
      </c>
      <c r="H48" s="23"/>
      <c r="I48" s="26" t="n">
        <f>301</f>
        <v>301.0</v>
      </c>
      <c r="J48" s="24"/>
      <c r="K48" s="25" t="n">
        <f>14741000</f>
        <v>1.4741E7</v>
      </c>
      <c r="L48" s="23" t="s">
        <v>31</v>
      </c>
      <c r="M48" s="25" t="n">
        <f>205942000</f>
        <v>2.05942E8</v>
      </c>
      <c r="N48" s="23"/>
      <c r="O48" s="26" t="n">
        <f>220683000</f>
        <v>2.20683E8</v>
      </c>
      <c r="P48" s="27" t="str">
        <f>"－"</f>
        <v>－</v>
      </c>
      <c r="Q48" s="28" t="str">
        <f>"－"</f>
        <v>－</v>
      </c>
      <c r="R48" s="29" t="str">
        <f>"－"</f>
        <v>－</v>
      </c>
      <c r="S48" s="24"/>
      <c r="T48" s="25" t="n">
        <f>31</f>
        <v>31.0</v>
      </c>
      <c r="U48" s="23"/>
      <c r="V48" s="25" t="n">
        <f>201</f>
        <v>201.0</v>
      </c>
      <c r="W48" s="23"/>
      <c r="X48" s="26" t="n">
        <f>232</f>
        <v>232.0</v>
      </c>
      <c r="Y48" s="24"/>
      <c r="Z48" s="25" t="n">
        <f>132</f>
        <v>132.0</v>
      </c>
      <c r="AA48" s="23"/>
      <c r="AB48" s="25" t="n">
        <f>828</f>
        <v>828.0</v>
      </c>
      <c r="AC48" s="23"/>
      <c r="AD48" s="26" t="n">
        <f>960</f>
        <v>960.0</v>
      </c>
    </row>
    <row r="49">
      <c r="A49" s="30" t="s">
        <v>38</v>
      </c>
      <c r="B49" s="22" t="s">
        <v>60</v>
      </c>
      <c r="C49" s="22" t="s">
        <v>61</v>
      </c>
      <c r="D49" s="24"/>
      <c r="E49" s="25" t="n">
        <f>250</f>
        <v>250.0</v>
      </c>
      <c r="F49" s="23"/>
      <c r="G49" s="25" t="n">
        <f>301</f>
        <v>301.0</v>
      </c>
      <c r="H49" s="23"/>
      <c r="I49" s="26" t="n">
        <f>551</f>
        <v>551.0</v>
      </c>
      <c r="J49" s="24"/>
      <c r="K49" s="25" t="n">
        <f>31259000</f>
        <v>3.1259E7</v>
      </c>
      <c r="L49" s="23"/>
      <c r="M49" s="25" t="n">
        <f>164279000</f>
        <v>1.64279E8</v>
      </c>
      <c r="N49" s="23"/>
      <c r="O49" s="26" t="n">
        <f>195538000</f>
        <v>1.95538E8</v>
      </c>
      <c r="P49" s="27" t="str">
        <f>"－"</f>
        <v>－</v>
      </c>
      <c r="Q49" s="28" t="str">
        <f>"－"</f>
        <v>－</v>
      </c>
      <c r="R49" s="29" t="str">
        <f>"－"</f>
        <v>－</v>
      </c>
      <c r="S49" s="24"/>
      <c r="T49" s="25" t="n">
        <f>11</f>
        <v>11.0</v>
      </c>
      <c r="U49" s="23"/>
      <c r="V49" s="25" t="n">
        <f>6</f>
        <v>6.0</v>
      </c>
      <c r="W49" s="23"/>
      <c r="X49" s="26" t="n">
        <f>17</f>
        <v>17.0</v>
      </c>
      <c r="Y49" s="24"/>
      <c r="Z49" s="25" t="n">
        <f>309</f>
        <v>309.0</v>
      </c>
      <c r="AA49" s="23"/>
      <c r="AB49" s="25" t="n">
        <f>901</f>
        <v>901.0</v>
      </c>
      <c r="AC49" s="23"/>
      <c r="AD49" s="26" t="n">
        <f>1210</f>
        <v>1210.0</v>
      </c>
    </row>
    <row r="50">
      <c r="A50" s="30" t="s">
        <v>40</v>
      </c>
      <c r="B50" s="22" t="s">
        <v>60</v>
      </c>
      <c r="C50" s="22" t="s">
        <v>61</v>
      </c>
      <c r="D50" s="24"/>
      <c r="E50" s="25"/>
      <c r="F50" s="23"/>
      <c r="G50" s="25"/>
      <c r="H50" s="23"/>
      <c r="I50" s="26"/>
      <c r="J50" s="24"/>
      <c r="K50" s="25"/>
      <c r="L50" s="23"/>
      <c r="M50" s="25"/>
      <c r="N50" s="23"/>
      <c r="O50" s="26"/>
      <c r="P50" s="27"/>
      <c r="Q50" s="28"/>
      <c r="R50" s="29"/>
      <c r="S50" s="24"/>
      <c r="T50" s="25"/>
      <c r="U50" s="23"/>
      <c r="V50" s="25"/>
      <c r="W50" s="23"/>
      <c r="X50" s="26"/>
      <c r="Y50" s="24"/>
      <c r="Z50" s="25"/>
      <c r="AA50" s="23"/>
      <c r="AB50" s="25"/>
      <c r="AC50" s="23"/>
      <c r="AD50" s="26"/>
    </row>
    <row r="51">
      <c r="A51" s="30" t="s">
        <v>41</v>
      </c>
      <c r="B51" s="22" t="s">
        <v>60</v>
      </c>
      <c r="C51" s="22" t="s">
        <v>61</v>
      </c>
      <c r="D51" s="24"/>
      <c r="E51" s="25"/>
      <c r="F51" s="23"/>
      <c r="G51" s="25"/>
      <c r="H51" s="23"/>
      <c r="I51" s="26"/>
      <c r="J51" s="24"/>
      <c r="K51" s="25"/>
      <c r="L51" s="23"/>
      <c r="M51" s="25"/>
      <c r="N51" s="23"/>
      <c r="O51" s="26"/>
      <c r="P51" s="27"/>
      <c r="Q51" s="28"/>
      <c r="R51" s="29"/>
      <c r="S51" s="24"/>
      <c r="T51" s="25"/>
      <c r="U51" s="23"/>
      <c r="V51" s="25"/>
      <c r="W51" s="23"/>
      <c r="X51" s="26"/>
      <c r="Y51" s="24"/>
      <c r="Z51" s="25"/>
      <c r="AA51" s="23"/>
      <c r="AB51" s="25"/>
      <c r="AC51" s="23"/>
      <c r="AD51" s="26"/>
    </row>
    <row r="52">
      <c r="A52" s="30" t="s">
        <v>42</v>
      </c>
      <c r="B52" s="22" t="s">
        <v>60</v>
      </c>
      <c r="C52" s="22" t="s">
        <v>61</v>
      </c>
      <c r="D52" s="24"/>
      <c r="E52" s="25" t="n">
        <f>308</f>
        <v>308.0</v>
      </c>
      <c r="F52" s="23"/>
      <c r="G52" s="25" t="n">
        <f>112</f>
        <v>112.0</v>
      </c>
      <c r="H52" s="23"/>
      <c r="I52" s="26" t="n">
        <f>420</f>
        <v>420.0</v>
      </c>
      <c r="J52" s="24"/>
      <c r="K52" s="25" t="n">
        <f>17182000</f>
        <v>1.7182E7</v>
      </c>
      <c r="L52" s="23"/>
      <c r="M52" s="25" t="n">
        <f>8613000</f>
        <v>8613000.0</v>
      </c>
      <c r="N52" s="23"/>
      <c r="O52" s="26" t="n">
        <f>25795000</f>
        <v>2.5795E7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10</f>
        <v>10.0</v>
      </c>
      <c r="U52" s="23"/>
      <c r="V52" s="25" t="n">
        <f>10</f>
        <v>10.0</v>
      </c>
      <c r="W52" s="23"/>
      <c r="X52" s="26" t="n">
        <f>20</f>
        <v>20.0</v>
      </c>
      <c r="Y52" s="24"/>
      <c r="Z52" s="25" t="n">
        <f>533</f>
        <v>533.0</v>
      </c>
      <c r="AA52" s="23"/>
      <c r="AB52" s="25" t="n">
        <f>974</f>
        <v>974.0</v>
      </c>
      <c r="AC52" s="23"/>
      <c r="AD52" s="26" t="n">
        <f>1507</f>
        <v>1507.0</v>
      </c>
    </row>
    <row r="53">
      <c r="A53" s="30" t="s">
        <v>43</v>
      </c>
      <c r="B53" s="22" t="s">
        <v>60</v>
      </c>
      <c r="C53" s="22" t="s">
        <v>61</v>
      </c>
      <c r="D53" s="24"/>
      <c r="E53" s="25" t="n">
        <f>846</f>
        <v>846.0</v>
      </c>
      <c r="F53" s="23"/>
      <c r="G53" s="25" t="n">
        <f>316</f>
        <v>316.0</v>
      </c>
      <c r="H53" s="23"/>
      <c r="I53" s="26" t="n">
        <f>1162</f>
        <v>1162.0</v>
      </c>
      <c r="J53" s="24"/>
      <c r="K53" s="25" t="n">
        <f>57566000</f>
        <v>5.7566E7</v>
      </c>
      <c r="L53" s="23"/>
      <c r="M53" s="25" t="n">
        <f>35030000</f>
        <v>3.503E7</v>
      </c>
      <c r="N53" s="23"/>
      <c r="O53" s="26" t="n">
        <f>92596000</f>
        <v>9.2596E7</v>
      </c>
      <c r="P53" s="27" t="str">
        <f>"－"</f>
        <v>－</v>
      </c>
      <c r="Q53" s="28" t="str">
        <f>"－"</f>
        <v>－</v>
      </c>
      <c r="R53" s="29" t="str">
        <f>"－"</f>
        <v>－</v>
      </c>
      <c r="S53" s="24"/>
      <c r="T53" s="25" t="n">
        <f>215</f>
        <v>215.0</v>
      </c>
      <c r="U53" s="23"/>
      <c r="V53" s="25" t="n">
        <f>36</f>
        <v>36.0</v>
      </c>
      <c r="W53" s="23"/>
      <c r="X53" s="26" t="n">
        <f>251</f>
        <v>251.0</v>
      </c>
      <c r="Y53" s="24"/>
      <c r="Z53" s="25" t="n">
        <f>999</f>
        <v>999.0</v>
      </c>
      <c r="AA53" s="23"/>
      <c r="AB53" s="25" t="n">
        <f>1115</f>
        <v>1115.0</v>
      </c>
      <c r="AC53" s="23"/>
      <c r="AD53" s="26" t="n">
        <f>2114</f>
        <v>2114.0</v>
      </c>
    </row>
    <row r="54">
      <c r="A54" s="30" t="s">
        <v>44</v>
      </c>
      <c r="B54" s="22" t="s">
        <v>60</v>
      </c>
      <c r="C54" s="22" t="s">
        <v>61</v>
      </c>
      <c r="D54" s="24"/>
      <c r="E54" s="25" t="n">
        <f>780</f>
        <v>780.0</v>
      </c>
      <c r="F54" s="23"/>
      <c r="G54" s="25" t="n">
        <f>222</f>
        <v>222.0</v>
      </c>
      <c r="H54" s="23"/>
      <c r="I54" s="26" t="n">
        <f>1002</f>
        <v>1002.0</v>
      </c>
      <c r="J54" s="24"/>
      <c r="K54" s="25" t="n">
        <f>37538000</f>
        <v>3.7538E7</v>
      </c>
      <c r="L54" s="23"/>
      <c r="M54" s="25" t="n">
        <f>9637000</f>
        <v>9637000.0</v>
      </c>
      <c r="N54" s="23"/>
      <c r="O54" s="26" t="n">
        <f>47175000</f>
        <v>4.7175E7</v>
      </c>
      <c r="P54" s="27" t="str">
        <f>"－"</f>
        <v>－</v>
      </c>
      <c r="Q54" s="28" t="str">
        <f>"－"</f>
        <v>－</v>
      </c>
      <c r="R54" s="29" t="str">
        <f>"－"</f>
        <v>－</v>
      </c>
      <c r="S54" s="24"/>
      <c r="T54" s="25" t="n">
        <f>127</f>
        <v>127.0</v>
      </c>
      <c r="U54" s="23"/>
      <c r="V54" s="25" t="n">
        <f>13</f>
        <v>13.0</v>
      </c>
      <c r="W54" s="23"/>
      <c r="X54" s="26" t="n">
        <f>140</f>
        <v>140.0</v>
      </c>
      <c r="Y54" s="24"/>
      <c r="Z54" s="25" t="n">
        <f>1415</f>
        <v>1415.0</v>
      </c>
      <c r="AA54" s="23"/>
      <c r="AB54" s="25" t="n">
        <f>1222</f>
        <v>1222.0</v>
      </c>
      <c r="AC54" s="23"/>
      <c r="AD54" s="26" t="n">
        <f>2637</f>
        <v>2637.0</v>
      </c>
    </row>
    <row r="55">
      <c r="A55" s="30" t="s">
        <v>45</v>
      </c>
      <c r="B55" s="22" t="s">
        <v>60</v>
      </c>
      <c r="C55" s="22" t="s">
        <v>61</v>
      </c>
      <c r="D55" s="24"/>
      <c r="E55" s="25" t="n">
        <f>1091</f>
        <v>1091.0</v>
      </c>
      <c r="F55" s="23"/>
      <c r="G55" s="25" t="n">
        <f>468</f>
        <v>468.0</v>
      </c>
      <c r="H55" s="23"/>
      <c r="I55" s="26" t="n">
        <f>1559</f>
        <v>1559.0</v>
      </c>
      <c r="J55" s="24"/>
      <c r="K55" s="25" t="n">
        <f>130304440</f>
        <v>1.3030444E8</v>
      </c>
      <c r="L55" s="23"/>
      <c r="M55" s="25" t="n">
        <f>14570000</f>
        <v>1.457E7</v>
      </c>
      <c r="N55" s="23"/>
      <c r="O55" s="26" t="n">
        <f>144874440</f>
        <v>1.4487444E8</v>
      </c>
      <c r="P55" s="27" t="str">
        <f>"－"</f>
        <v>－</v>
      </c>
      <c r="Q55" s="28" t="str">
        <f>"－"</f>
        <v>－</v>
      </c>
      <c r="R55" s="29" t="str">
        <f>"－"</f>
        <v>－</v>
      </c>
      <c r="S55" s="24"/>
      <c r="T55" s="25" t="n">
        <f>39</f>
        <v>39.0</v>
      </c>
      <c r="U55" s="23"/>
      <c r="V55" s="25" t="n">
        <f>23</f>
        <v>23.0</v>
      </c>
      <c r="W55" s="23"/>
      <c r="X55" s="26" t="n">
        <f>62</f>
        <v>62.0</v>
      </c>
      <c r="Y55" s="24"/>
      <c r="Z55" s="25" t="n">
        <f>1733</f>
        <v>1733.0</v>
      </c>
      <c r="AA55" s="23"/>
      <c r="AB55" s="25" t="n">
        <f>1389</f>
        <v>1389.0</v>
      </c>
      <c r="AC55" s="23"/>
      <c r="AD55" s="26" t="n">
        <f>3122</f>
        <v>3122.0</v>
      </c>
    </row>
    <row r="56">
      <c r="A56" s="30" t="s">
        <v>46</v>
      </c>
      <c r="B56" s="22" t="s">
        <v>60</v>
      </c>
      <c r="C56" s="22" t="s">
        <v>61</v>
      </c>
      <c r="D56" s="24"/>
      <c r="E56" s="25" t="n">
        <f>804</f>
        <v>804.0</v>
      </c>
      <c r="F56" s="23"/>
      <c r="G56" s="25" t="n">
        <f>431</f>
        <v>431.0</v>
      </c>
      <c r="H56" s="23"/>
      <c r="I56" s="26" t="n">
        <f>1235</f>
        <v>1235.0</v>
      </c>
      <c r="J56" s="24"/>
      <c r="K56" s="25" t="n">
        <f>133697000</f>
        <v>1.33697E8</v>
      </c>
      <c r="L56" s="23"/>
      <c r="M56" s="25" t="n">
        <f>178564040</f>
        <v>1.7856404E8</v>
      </c>
      <c r="N56" s="23"/>
      <c r="O56" s="26" t="n">
        <f>312261040</f>
        <v>3.1226104E8</v>
      </c>
      <c r="P56" s="27" t="n">
        <f>5</f>
        <v>5.0</v>
      </c>
      <c r="Q56" s="28" t="n">
        <f>306</f>
        <v>306.0</v>
      </c>
      <c r="R56" s="29" t="n">
        <f>311</f>
        <v>311.0</v>
      </c>
      <c r="S56" s="24"/>
      <c r="T56" s="25" t="n">
        <f>345</f>
        <v>345.0</v>
      </c>
      <c r="U56" s="23"/>
      <c r="V56" s="25" t="n">
        <f>294</f>
        <v>294.0</v>
      </c>
      <c r="W56" s="23"/>
      <c r="X56" s="26" t="n">
        <f>639</f>
        <v>639.0</v>
      </c>
      <c r="Y56" s="24"/>
      <c r="Z56" s="25" t="n">
        <f>1037</f>
        <v>1037.0</v>
      </c>
      <c r="AA56" s="23"/>
      <c r="AB56" s="25" t="n">
        <f>912</f>
        <v>912.0</v>
      </c>
      <c r="AC56" s="23"/>
      <c r="AD56" s="26" t="n">
        <f>1949</f>
        <v>1949.0</v>
      </c>
    </row>
    <row r="57">
      <c r="A57" s="30" t="s">
        <v>47</v>
      </c>
      <c r="B57" s="22" t="s">
        <v>60</v>
      </c>
      <c r="C57" s="22" t="s">
        <v>61</v>
      </c>
      <c r="D57" s="24"/>
      <c r="E57" s="25"/>
      <c r="F57" s="23"/>
      <c r="G57" s="25"/>
      <c r="H57" s="23"/>
      <c r="I57" s="26"/>
      <c r="J57" s="24"/>
      <c r="K57" s="25"/>
      <c r="L57" s="23"/>
      <c r="M57" s="25"/>
      <c r="N57" s="23"/>
      <c r="O57" s="26"/>
      <c r="P57" s="27"/>
      <c r="Q57" s="28"/>
      <c r="R57" s="29"/>
      <c r="S57" s="24"/>
      <c r="T57" s="25"/>
      <c r="U57" s="23"/>
      <c r="V57" s="25"/>
      <c r="W57" s="23"/>
      <c r="X57" s="26"/>
      <c r="Y57" s="24"/>
      <c r="Z57" s="25"/>
      <c r="AA57" s="23"/>
      <c r="AB57" s="25"/>
      <c r="AC57" s="23"/>
      <c r="AD57" s="26"/>
    </row>
    <row r="58">
      <c r="A58" s="30" t="s">
        <v>48</v>
      </c>
      <c r="B58" s="22" t="s">
        <v>60</v>
      </c>
      <c r="C58" s="22" t="s">
        <v>61</v>
      </c>
      <c r="D58" s="24"/>
      <c r="E58" s="25"/>
      <c r="F58" s="23"/>
      <c r="G58" s="25"/>
      <c r="H58" s="23"/>
      <c r="I58" s="26"/>
      <c r="J58" s="24"/>
      <c r="K58" s="25"/>
      <c r="L58" s="23"/>
      <c r="M58" s="25"/>
      <c r="N58" s="23"/>
      <c r="O58" s="26"/>
      <c r="P58" s="27"/>
      <c r="Q58" s="28"/>
      <c r="R58" s="29"/>
      <c r="S58" s="24"/>
      <c r="T58" s="25"/>
      <c r="U58" s="23"/>
      <c r="V58" s="25"/>
      <c r="W58" s="23"/>
      <c r="X58" s="26"/>
      <c r="Y58" s="24"/>
      <c r="Z58" s="25"/>
      <c r="AA58" s="23"/>
      <c r="AB58" s="25"/>
      <c r="AC58" s="23"/>
      <c r="AD58" s="26"/>
    </row>
    <row r="59">
      <c r="A59" s="30" t="s">
        <v>49</v>
      </c>
      <c r="B59" s="22" t="s">
        <v>60</v>
      </c>
      <c r="C59" s="22" t="s">
        <v>61</v>
      </c>
      <c r="D59" s="24"/>
      <c r="E59" s="25" t="n">
        <f>1445</f>
        <v>1445.0</v>
      </c>
      <c r="F59" s="23"/>
      <c r="G59" s="25" t="n">
        <f>267</f>
        <v>267.0</v>
      </c>
      <c r="H59" s="23"/>
      <c r="I59" s="26" t="n">
        <f>1712</f>
        <v>1712.0</v>
      </c>
      <c r="J59" s="24"/>
      <c r="K59" s="25" t="n">
        <f>224492000</f>
        <v>2.24492E8</v>
      </c>
      <c r="L59" s="23"/>
      <c r="M59" s="25" t="n">
        <f>96763840</f>
        <v>9.676384E7</v>
      </c>
      <c r="N59" s="23"/>
      <c r="O59" s="26" t="n">
        <f>321255840</f>
        <v>3.2125584E8</v>
      </c>
      <c r="P59" s="27" t="str">
        <f>"－"</f>
        <v>－</v>
      </c>
      <c r="Q59" s="28" t="str">
        <f>"－"</f>
        <v>－</v>
      </c>
      <c r="R59" s="29" t="str">
        <f>"－"</f>
        <v>－</v>
      </c>
      <c r="S59" s="24"/>
      <c r="T59" s="25" t="n">
        <f>235</f>
        <v>235.0</v>
      </c>
      <c r="U59" s="23"/>
      <c r="V59" s="25" t="n">
        <f>63</f>
        <v>63.0</v>
      </c>
      <c r="W59" s="23"/>
      <c r="X59" s="26" t="n">
        <f>298</f>
        <v>298.0</v>
      </c>
      <c r="Y59" s="24"/>
      <c r="Z59" s="25" t="n">
        <f>2014</f>
        <v>2014.0</v>
      </c>
      <c r="AA59" s="23"/>
      <c r="AB59" s="25" t="n">
        <f>1055</f>
        <v>1055.0</v>
      </c>
      <c r="AC59" s="23"/>
      <c r="AD59" s="26" t="n">
        <f>3069</f>
        <v>3069.0</v>
      </c>
    </row>
    <row r="60">
      <c r="A60" s="30" t="s">
        <v>50</v>
      </c>
      <c r="B60" s="22" t="s">
        <v>60</v>
      </c>
      <c r="C60" s="22" t="s">
        <v>61</v>
      </c>
      <c r="D60" s="24"/>
      <c r="E60" s="25" t="n">
        <f>1354</f>
        <v>1354.0</v>
      </c>
      <c r="F60" s="23"/>
      <c r="G60" s="25" t="n">
        <f>714</f>
        <v>714.0</v>
      </c>
      <c r="H60" s="23"/>
      <c r="I60" s="26" t="n">
        <f>2068</f>
        <v>2068.0</v>
      </c>
      <c r="J60" s="24" t="s">
        <v>31</v>
      </c>
      <c r="K60" s="25" t="n">
        <f>293084800</f>
        <v>2.930848E8</v>
      </c>
      <c r="L60" s="23"/>
      <c r="M60" s="25" t="n">
        <f>89562600</f>
        <v>8.95626E7</v>
      </c>
      <c r="N60" s="23" t="s">
        <v>31</v>
      </c>
      <c r="O60" s="26" t="n">
        <f>382647400</f>
        <v>3.826474E8</v>
      </c>
      <c r="P60" s="27" t="str">
        <f>"－"</f>
        <v>－</v>
      </c>
      <c r="Q60" s="28" t="str">
        <f>"－"</f>
        <v>－</v>
      </c>
      <c r="R60" s="29" t="str">
        <f>"－"</f>
        <v>－</v>
      </c>
      <c r="S60" s="24"/>
      <c r="T60" s="25" t="n">
        <f>185</f>
        <v>185.0</v>
      </c>
      <c r="U60" s="23"/>
      <c r="V60" s="25" t="n">
        <f>38</f>
        <v>38.0</v>
      </c>
      <c r="W60" s="23"/>
      <c r="X60" s="26" t="n">
        <f>223</f>
        <v>223.0</v>
      </c>
      <c r="Y60" s="24"/>
      <c r="Z60" s="25" t="n">
        <f>2884</f>
        <v>2884.0</v>
      </c>
      <c r="AA60" s="23"/>
      <c r="AB60" s="25" t="n">
        <f>1483</f>
        <v>1483.0</v>
      </c>
      <c r="AC60" s="23"/>
      <c r="AD60" s="26" t="n">
        <f>4367</f>
        <v>4367.0</v>
      </c>
    </row>
    <row r="61">
      <c r="A61" s="30" t="s">
        <v>51</v>
      </c>
      <c r="B61" s="22" t="s">
        <v>60</v>
      </c>
      <c r="C61" s="22" t="s">
        <v>61</v>
      </c>
      <c r="D61" s="24"/>
      <c r="E61" s="25" t="n">
        <f>1056</f>
        <v>1056.0</v>
      </c>
      <c r="F61" s="23" t="s">
        <v>31</v>
      </c>
      <c r="G61" s="25" t="n">
        <f>835</f>
        <v>835.0</v>
      </c>
      <c r="H61" s="23"/>
      <c r="I61" s="26" t="n">
        <f>1891</f>
        <v>1891.0</v>
      </c>
      <c r="J61" s="24"/>
      <c r="K61" s="25" t="n">
        <f>215269000</f>
        <v>2.15269E8</v>
      </c>
      <c r="L61" s="23"/>
      <c r="M61" s="25" t="n">
        <f>46659100</f>
        <v>4.66591E7</v>
      </c>
      <c r="N61" s="23"/>
      <c r="O61" s="26" t="n">
        <f>261928100</f>
        <v>2.619281E8</v>
      </c>
      <c r="P61" s="27" t="str">
        <f>"－"</f>
        <v>－</v>
      </c>
      <c r="Q61" s="28" t="str">
        <f>"－"</f>
        <v>－</v>
      </c>
      <c r="R61" s="29" t="str">
        <f>"－"</f>
        <v>－</v>
      </c>
      <c r="S61" s="24"/>
      <c r="T61" s="25" t="n">
        <f>287</f>
        <v>287.0</v>
      </c>
      <c r="U61" s="23"/>
      <c r="V61" s="25" t="n">
        <f>133</f>
        <v>133.0</v>
      </c>
      <c r="W61" s="23"/>
      <c r="X61" s="26" t="n">
        <f>420</f>
        <v>420.0</v>
      </c>
      <c r="Y61" s="24"/>
      <c r="Z61" s="25" t="n">
        <f>3278</f>
        <v>3278.0</v>
      </c>
      <c r="AA61" s="23"/>
      <c r="AB61" s="25" t="n">
        <f>1864</f>
        <v>1864.0</v>
      </c>
      <c r="AC61" s="23"/>
      <c r="AD61" s="26" t="n">
        <f>5142</f>
        <v>5142.0</v>
      </c>
    </row>
    <row r="62">
      <c r="A62" s="30" t="s">
        <v>52</v>
      </c>
      <c r="B62" s="22" t="s">
        <v>60</v>
      </c>
      <c r="C62" s="22" t="s">
        <v>61</v>
      </c>
      <c r="D62" s="24" t="s">
        <v>31</v>
      </c>
      <c r="E62" s="25" t="n">
        <f>2053</f>
        <v>2053.0</v>
      </c>
      <c r="F62" s="23"/>
      <c r="G62" s="25" t="n">
        <f>765</f>
        <v>765.0</v>
      </c>
      <c r="H62" s="23" t="s">
        <v>31</v>
      </c>
      <c r="I62" s="26" t="n">
        <f>2818</f>
        <v>2818.0</v>
      </c>
      <c r="J62" s="24"/>
      <c r="K62" s="25" t="n">
        <f>197068000</f>
        <v>1.97068E8</v>
      </c>
      <c r="L62" s="23"/>
      <c r="M62" s="25" t="n">
        <f>38060000</f>
        <v>3.806E7</v>
      </c>
      <c r="N62" s="23"/>
      <c r="O62" s="26" t="n">
        <f>235128000</f>
        <v>2.35128E8</v>
      </c>
      <c r="P62" s="27" t="str">
        <f>"－"</f>
        <v>－</v>
      </c>
      <c r="Q62" s="28" t="str">
        <f>"－"</f>
        <v>－</v>
      </c>
      <c r="R62" s="29" t="str">
        <f>"－"</f>
        <v>－</v>
      </c>
      <c r="S62" s="24" t="s">
        <v>31</v>
      </c>
      <c r="T62" s="25" t="n">
        <f>563</f>
        <v>563.0</v>
      </c>
      <c r="U62" s="23"/>
      <c r="V62" s="25" t="n">
        <f>131</f>
        <v>131.0</v>
      </c>
      <c r="W62" s="23" t="s">
        <v>31</v>
      </c>
      <c r="X62" s="26" t="n">
        <f>694</f>
        <v>694.0</v>
      </c>
      <c r="Y62" s="24" t="s">
        <v>31</v>
      </c>
      <c r="Z62" s="25" t="n">
        <f>3977</f>
        <v>3977.0</v>
      </c>
      <c r="AA62" s="23" t="s">
        <v>31</v>
      </c>
      <c r="AB62" s="25" t="n">
        <f>2026</f>
        <v>2026.0</v>
      </c>
      <c r="AC62" s="23" t="s">
        <v>31</v>
      </c>
      <c r="AD62" s="26" t="n">
        <f>6003</f>
        <v>6003.0</v>
      </c>
    </row>
    <row r="63">
      <c r="A63" s="30" t="s">
        <v>53</v>
      </c>
      <c r="B63" s="22" t="s">
        <v>60</v>
      </c>
      <c r="C63" s="22" t="s">
        <v>61</v>
      </c>
      <c r="D63" s="24"/>
      <c r="E63" s="25" t="n">
        <f>307</f>
        <v>307.0</v>
      </c>
      <c r="F63" s="23"/>
      <c r="G63" s="25" t="n">
        <f>476</f>
        <v>476.0</v>
      </c>
      <c r="H63" s="23"/>
      <c r="I63" s="26" t="n">
        <f>783</f>
        <v>783.0</v>
      </c>
      <c r="J63" s="24"/>
      <c r="K63" s="25" t="n">
        <f>43507000</f>
        <v>4.3507E7</v>
      </c>
      <c r="L63" s="23"/>
      <c r="M63" s="25" t="n">
        <f>134478200</f>
        <v>1.344782E8</v>
      </c>
      <c r="N63" s="23"/>
      <c r="O63" s="26" t="n">
        <f>177985200</f>
        <v>1.779852E8</v>
      </c>
      <c r="P63" s="27" t="n">
        <f>451</f>
        <v>451.0</v>
      </c>
      <c r="Q63" s="28" t="n">
        <f>34</f>
        <v>34.0</v>
      </c>
      <c r="R63" s="29" t="n">
        <f>485</f>
        <v>485.0</v>
      </c>
      <c r="S63" s="24"/>
      <c r="T63" s="25" t="n">
        <f>7</f>
        <v>7.0</v>
      </c>
      <c r="U63" s="23" t="s">
        <v>31</v>
      </c>
      <c r="V63" s="25" t="n">
        <f>339</f>
        <v>339.0</v>
      </c>
      <c r="W63" s="23"/>
      <c r="X63" s="26" t="n">
        <f>346</f>
        <v>346.0</v>
      </c>
      <c r="Y63" s="24"/>
      <c r="Z63" s="25" t="n">
        <f>1571</f>
        <v>1571.0</v>
      </c>
      <c r="AA63" s="23"/>
      <c r="AB63" s="25" t="n">
        <f>1163</f>
        <v>1163.0</v>
      </c>
      <c r="AC63" s="23"/>
      <c r="AD63" s="26" t="n">
        <f>2734</f>
        <v>2734.0</v>
      </c>
    </row>
    <row r="64">
      <c r="A64" s="30" t="s">
        <v>54</v>
      </c>
      <c r="B64" s="22" t="s">
        <v>60</v>
      </c>
      <c r="C64" s="22" t="s">
        <v>61</v>
      </c>
      <c r="D64" s="24"/>
      <c r="E64" s="25"/>
      <c r="F64" s="23"/>
      <c r="G64" s="25"/>
      <c r="H64" s="23"/>
      <c r="I64" s="26"/>
      <c r="J64" s="24"/>
      <c r="K64" s="25"/>
      <c r="L64" s="23"/>
      <c r="M64" s="25"/>
      <c r="N64" s="23"/>
      <c r="O64" s="26"/>
      <c r="P64" s="27"/>
      <c r="Q64" s="28"/>
      <c r="R64" s="29"/>
      <c r="S64" s="24"/>
      <c r="T64" s="25"/>
      <c r="U64" s="23"/>
      <c r="V64" s="25"/>
      <c r="W64" s="23"/>
      <c r="X64" s="26"/>
      <c r="Y64" s="24"/>
      <c r="Z64" s="25"/>
      <c r="AA64" s="23"/>
      <c r="AB64" s="25"/>
      <c r="AC64" s="23"/>
      <c r="AD64" s="26"/>
    </row>
    <row r="65">
      <c r="A65" s="30" t="s">
        <v>55</v>
      </c>
      <c r="B65" s="22" t="s">
        <v>60</v>
      </c>
      <c r="C65" s="22" t="s">
        <v>61</v>
      </c>
      <c r="D65" s="24"/>
      <c r="E65" s="25"/>
      <c r="F65" s="23"/>
      <c r="G65" s="25"/>
      <c r="H65" s="23"/>
      <c r="I65" s="26"/>
      <c r="J65" s="24"/>
      <c r="K65" s="25"/>
      <c r="L65" s="23"/>
      <c r="M65" s="25"/>
      <c r="N65" s="23"/>
      <c r="O65" s="26"/>
      <c r="P65" s="27"/>
      <c r="Q65" s="28"/>
      <c r="R65" s="29"/>
      <c r="S65" s="24"/>
      <c r="T65" s="25"/>
      <c r="U65" s="23"/>
      <c r="V65" s="25"/>
      <c r="W65" s="23"/>
      <c r="X65" s="26"/>
      <c r="Y65" s="24"/>
      <c r="Z65" s="25"/>
      <c r="AA65" s="23"/>
      <c r="AB65" s="25"/>
      <c r="AC65" s="23"/>
      <c r="AD65" s="26"/>
    </row>
    <row r="66">
      <c r="A66" s="30" t="s">
        <v>56</v>
      </c>
      <c r="B66" s="22" t="s">
        <v>60</v>
      </c>
      <c r="C66" s="22" t="s">
        <v>61</v>
      </c>
      <c r="D66" s="24"/>
      <c r="E66" s="25" t="n">
        <f>1099</f>
        <v>1099.0</v>
      </c>
      <c r="F66" s="23"/>
      <c r="G66" s="25" t="n">
        <f>394</f>
        <v>394.0</v>
      </c>
      <c r="H66" s="23"/>
      <c r="I66" s="26" t="n">
        <f>1493</f>
        <v>1493.0</v>
      </c>
      <c r="J66" s="24"/>
      <c r="K66" s="25" t="n">
        <f>105021000</f>
        <v>1.05021E8</v>
      </c>
      <c r="L66" s="23"/>
      <c r="M66" s="25" t="n">
        <f>34593000</f>
        <v>3.4593E7</v>
      </c>
      <c r="N66" s="23"/>
      <c r="O66" s="26" t="n">
        <f>139614000</f>
        <v>1.39614E8</v>
      </c>
      <c r="P66" s="27" t="str">
        <f>"－"</f>
        <v>－</v>
      </c>
      <c r="Q66" s="28" t="str">
        <f>"－"</f>
        <v>－</v>
      </c>
      <c r="R66" s="29" t="str">
        <f>"－"</f>
        <v>－</v>
      </c>
      <c r="S66" s="24"/>
      <c r="T66" s="25" t="n">
        <f>364</f>
        <v>364.0</v>
      </c>
      <c r="U66" s="23"/>
      <c r="V66" s="25" t="n">
        <f>27</f>
        <v>27.0</v>
      </c>
      <c r="W66" s="23"/>
      <c r="X66" s="26" t="n">
        <f>391</f>
        <v>391.0</v>
      </c>
      <c r="Y66" s="24"/>
      <c r="Z66" s="25" t="n">
        <f>2079</f>
        <v>2079.0</v>
      </c>
      <c r="AA66" s="23"/>
      <c r="AB66" s="25" t="n">
        <f>1348</f>
        <v>1348.0</v>
      </c>
      <c r="AC66" s="23"/>
      <c r="AD66" s="26" t="n">
        <f>3427</f>
        <v>3427.0</v>
      </c>
    </row>
    <row r="67">
      <c r="A67" s="30" t="s">
        <v>57</v>
      </c>
      <c r="B67" s="22" t="s">
        <v>60</v>
      </c>
      <c r="C67" s="22" t="s">
        <v>61</v>
      </c>
      <c r="D67" s="24"/>
      <c r="E67" s="25" t="n">
        <f>491</f>
        <v>491.0</v>
      </c>
      <c r="F67" s="23"/>
      <c r="G67" s="25" t="n">
        <f>143</f>
        <v>143.0</v>
      </c>
      <c r="H67" s="23"/>
      <c r="I67" s="26" t="n">
        <f>634</f>
        <v>634.0</v>
      </c>
      <c r="J67" s="24"/>
      <c r="K67" s="25" t="n">
        <f>22667000</f>
        <v>2.2667E7</v>
      </c>
      <c r="L67" s="23"/>
      <c r="M67" s="25" t="n">
        <f>11577000</f>
        <v>1.1577E7</v>
      </c>
      <c r="N67" s="23"/>
      <c r="O67" s="26" t="n">
        <f>34244000</f>
        <v>3.4244E7</v>
      </c>
      <c r="P67" s="27" t="str">
        <f>"－"</f>
        <v>－</v>
      </c>
      <c r="Q67" s="28" t="str">
        <f>"－"</f>
        <v>－</v>
      </c>
      <c r="R67" s="29" t="str">
        <f>"－"</f>
        <v>－</v>
      </c>
      <c r="S67" s="24"/>
      <c r="T67" s="25" t="n">
        <f>40</f>
        <v>40.0</v>
      </c>
      <c r="U67" s="23"/>
      <c r="V67" s="25" t="n">
        <f>8</f>
        <v>8.0</v>
      </c>
      <c r="W67" s="23"/>
      <c r="X67" s="26" t="n">
        <f>48</f>
        <v>48.0</v>
      </c>
      <c r="Y67" s="24"/>
      <c r="Z67" s="25" t="n">
        <f>2111</f>
        <v>2111.0</v>
      </c>
      <c r="AA67" s="23"/>
      <c r="AB67" s="25" t="n">
        <f>1370</f>
        <v>1370.0</v>
      </c>
      <c r="AC67" s="23"/>
      <c r="AD67" s="26" t="n">
        <f>3481</f>
        <v>3481.0</v>
      </c>
    </row>
    <row r="68">
      <c r="A68" s="30" t="s">
        <v>58</v>
      </c>
      <c r="B68" s="22" t="s">
        <v>60</v>
      </c>
      <c r="C68" s="22" t="s">
        <v>61</v>
      </c>
      <c r="D68" s="24"/>
      <c r="E68" s="25"/>
      <c r="F68" s="23"/>
      <c r="G68" s="25"/>
      <c r="H68" s="23"/>
      <c r="I68" s="26"/>
      <c r="J68" s="24"/>
      <c r="K68" s="25"/>
      <c r="L68" s="23"/>
      <c r="M68" s="25"/>
      <c r="N68" s="23"/>
      <c r="O68" s="26"/>
      <c r="P68" s="27"/>
      <c r="Q68" s="28"/>
      <c r="R68" s="29"/>
      <c r="S68" s="24"/>
      <c r="T68" s="25"/>
      <c r="U68" s="23"/>
      <c r="V68" s="25"/>
      <c r="W68" s="23"/>
      <c r="X68" s="26"/>
      <c r="Y68" s="24"/>
      <c r="Z68" s="25"/>
      <c r="AA68" s="23"/>
      <c r="AB68" s="25"/>
      <c r="AC68" s="23"/>
      <c r="AD68" s="26"/>
    </row>
    <row r="69">
      <c r="A69" s="30" t="s">
        <v>59</v>
      </c>
      <c r="B69" s="22" t="s">
        <v>60</v>
      </c>
      <c r="C69" s="22" t="s">
        <v>61</v>
      </c>
      <c r="D69" s="24"/>
      <c r="E69" s="25" t="n">
        <f>1294</f>
        <v>1294.0</v>
      </c>
      <c r="F69" s="23"/>
      <c r="G69" s="25" t="n">
        <f>715</f>
        <v>715.0</v>
      </c>
      <c r="H69" s="23"/>
      <c r="I69" s="26" t="n">
        <f>2009</f>
        <v>2009.0</v>
      </c>
      <c r="J69" s="24"/>
      <c r="K69" s="25" t="n">
        <f>29129000</f>
        <v>2.9129E7</v>
      </c>
      <c r="L69" s="23"/>
      <c r="M69" s="25" t="n">
        <f>57099000</f>
        <v>5.7099E7</v>
      </c>
      <c r="N69" s="23"/>
      <c r="O69" s="26" t="n">
        <f>86228000</f>
        <v>8.6228E7</v>
      </c>
      <c r="P69" s="27" t="str">
        <f>"－"</f>
        <v>－</v>
      </c>
      <c r="Q69" s="28" t="str">
        <f>"－"</f>
        <v>－</v>
      </c>
      <c r="R69" s="29" t="str">
        <f>"－"</f>
        <v>－</v>
      </c>
      <c r="S69" s="24"/>
      <c r="T69" s="25" t="n">
        <f>29</f>
        <v>29.0</v>
      </c>
      <c r="U69" s="23"/>
      <c r="V69" s="25" t="n">
        <f>74</f>
        <v>74.0</v>
      </c>
      <c r="W69" s="23"/>
      <c r="X69" s="26" t="n">
        <f>103</f>
        <v>103.0</v>
      </c>
      <c r="Y69" s="24"/>
      <c r="Z69" s="25" t="n">
        <f>2291</f>
        <v>2291.0</v>
      </c>
      <c r="AA69" s="23"/>
      <c r="AB69" s="25" t="n">
        <f>1470</f>
        <v>1470.0</v>
      </c>
      <c r="AC69" s="23"/>
      <c r="AD69" s="26" t="n">
        <f>3761</f>
        <v>3761.0</v>
      </c>
    </row>
    <row r="70">
      <c r="A70" s="30" t="s">
        <v>26</v>
      </c>
      <c r="B70" s="22" t="s">
        <v>62</v>
      </c>
      <c r="C70" s="22" t="s">
        <v>63</v>
      </c>
      <c r="D70" s="24" t="s">
        <v>39</v>
      </c>
      <c r="E70" s="25" t="str">
        <f>"－"</f>
        <v>－</v>
      </c>
      <c r="F70" s="23" t="s">
        <v>39</v>
      </c>
      <c r="G70" s="25" t="str">
        <f>"－"</f>
        <v>－</v>
      </c>
      <c r="H70" s="23" t="s">
        <v>39</v>
      </c>
      <c r="I70" s="26" t="str">
        <f>"－"</f>
        <v>－</v>
      </c>
      <c r="J70" s="24" t="s">
        <v>39</v>
      </c>
      <c r="K70" s="25" t="str">
        <f>"－"</f>
        <v>－</v>
      </c>
      <c r="L70" s="23" t="s">
        <v>39</v>
      </c>
      <c r="M70" s="25" t="str">
        <f>"－"</f>
        <v>－</v>
      </c>
      <c r="N70" s="23" t="s">
        <v>39</v>
      </c>
      <c r="O70" s="26" t="str">
        <f>"－"</f>
        <v>－</v>
      </c>
      <c r="P70" s="27" t="str">
        <f>"－"</f>
        <v>－</v>
      </c>
      <c r="Q70" s="28" t="str">
        <f>"－"</f>
        <v>－</v>
      </c>
      <c r="R70" s="29" t="str">
        <f>"－"</f>
        <v>－</v>
      </c>
      <c r="S70" s="24" t="s">
        <v>39</v>
      </c>
      <c r="T70" s="25" t="str">
        <f>"－"</f>
        <v>－</v>
      </c>
      <c r="U70" s="23" t="s">
        <v>39</v>
      </c>
      <c r="V70" s="25" t="str">
        <f>"－"</f>
        <v>－</v>
      </c>
      <c r="W70" s="23" t="s">
        <v>39</v>
      </c>
      <c r="X70" s="26" t="str">
        <f>"－"</f>
        <v>－</v>
      </c>
      <c r="Y70" s="24"/>
      <c r="Z70" s="25" t="n">
        <f>118270</f>
        <v>118270.0</v>
      </c>
      <c r="AA70" s="23" t="s">
        <v>39</v>
      </c>
      <c r="AB70" s="25" t="n">
        <f>18354</f>
        <v>18354.0</v>
      </c>
      <c r="AC70" s="23"/>
      <c r="AD70" s="26" t="n">
        <f>136624</f>
        <v>136624.0</v>
      </c>
    </row>
    <row r="71">
      <c r="A71" s="30" t="s">
        <v>29</v>
      </c>
      <c r="B71" s="22" t="s">
        <v>62</v>
      </c>
      <c r="C71" s="22" t="s">
        <v>63</v>
      </c>
      <c r="D71" s="24"/>
      <c r="E71" s="25" t="n">
        <f>150</f>
        <v>150.0</v>
      </c>
      <c r="F71" s="23"/>
      <c r="G71" s="25" t="str">
        <f>"－"</f>
        <v>－</v>
      </c>
      <c r="H71" s="23"/>
      <c r="I71" s="26" t="n">
        <f>150</f>
        <v>150.0</v>
      </c>
      <c r="J71" s="24"/>
      <c r="K71" s="25" t="n">
        <f>107250000</f>
        <v>1.0725E8</v>
      </c>
      <c r="L71" s="23"/>
      <c r="M71" s="25" t="str">
        <f>"－"</f>
        <v>－</v>
      </c>
      <c r="N71" s="23"/>
      <c r="O71" s="26" t="n">
        <f>107250000</f>
        <v>1.0725E8</v>
      </c>
      <c r="P71" s="27" t="str">
        <f>"－"</f>
        <v>－</v>
      </c>
      <c r="Q71" s="28" t="str">
        <f>"－"</f>
        <v>－</v>
      </c>
      <c r="R71" s="29" t="str">
        <f>"－"</f>
        <v>－</v>
      </c>
      <c r="S71" s="24"/>
      <c r="T71" s="25" t="str">
        <f>"－"</f>
        <v>－</v>
      </c>
      <c r="U71" s="23"/>
      <c r="V71" s="25" t="str">
        <f>"－"</f>
        <v>－</v>
      </c>
      <c r="W71" s="23"/>
      <c r="X71" s="26" t="str">
        <f>"－"</f>
        <v>－</v>
      </c>
      <c r="Y71" s="24"/>
      <c r="Z71" s="25" t="n">
        <f>118420</f>
        <v>118420.0</v>
      </c>
      <c r="AA71" s="23"/>
      <c r="AB71" s="25" t="n">
        <f>18354</f>
        <v>18354.0</v>
      </c>
      <c r="AC71" s="23"/>
      <c r="AD71" s="26" t="n">
        <f>136774</f>
        <v>136774.0</v>
      </c>
    </row>
    <row r="72">
      <c r="A72" s="30" t="s">
        <v>30</v>
      </c>
      <c r="B72" s="22" t="s">
        <v>62</v>
      </c>
      <c r="C72" s="22" t="s">
        <v>63</v>
      </c>
      <c r="D72" s="24"/>
      <c r="E72" s="25" t="n">
        <f>150</f>
        <v>150.0</v>
      </c>
      <c r="F72" s="23"/>
      <c r="G72" s="25" t="n">
        <f>1150</f>
        <v>1150.0</v>
      </c>
      <c r="H72" s="23"/>
      <c r="I72" s="26" t="n">
        <f>1300</f>
        <v>1300.0</v>
      </c>
      <c r="J72" s="24"/>
      <c r="K72" s="25" t="n">
        <f>168000000</f>
        <v>1.68E8</v>
      </c>
      <c r="L72" s="23" t="s">
        <v>31</v>
      </c>
      <c r="M72" s="25" t="n">
        <f>954875000</f>
        <v>9.54875E8</v>
      </c>
      <c r="N72" s="23"/>
      <c r="O72" s="26" t="n">
        <f>1122875000</f>
        <v>1.122875E9</v>
      </c>
      <c r="P72" s="27" t="str">
        <f>"－"</f>
        <v>－</v>
      </c>
      <c r="Q72" s="28" t="str">
        <f>"－"</f>
        <v>－</v>
      </c>
      <c r="R72" s="29" t="str">
        <f>"－"</f>
        <v>－</v>
      </c>
      <c r="S72" s="24"/>
      <c r="T72" s="25" t="str">
        <f>"－"</f>
        <v>－</v>
      </c>
      <c r="U72" s="23"/>
      <c r="V72" s="25" t="str">
        <f>"－"</f>
        <v>－</v>
      </c>
      <c r="W72" s="23"/>
      <c r="X72" s="26" t="str">
        <f>"－"</f>
        <v>－</v>
      </c>
      <c r="Y72" s="24"/>
      <c r="Z72" s="25" t="n">
        <f>118570</f>
        <v>118570.0</v>
      </c>
      <c r="AA72" s="23"/>
      <c r="AB72" s="25" t="n">
        <f>19504</f>
        <v>19504.0</v>
      </c>
      <c r="AC72" s="23"/>
      <c r="AD72" s="26" t="n">
        <f>138074</f>
        <v>138074.0</v>
      </c>
    </row>
    <row r="73">
      <c r="A73" s="30" t="s">
        <v>32</v>
      </c>
      <c r="B73" s="22" t="s">
        <v>62</v>
      </c>
      <c r="C73" s="22" t="s">
        <v>63</v>
      </c>
      <c r="D73" s="24"/>
      <c r="E73" s="25"/>
      <c r="F73" s="23"/>
      <c r="G73" s="25"/>
      <c r="H73" s="23"/>
      <c r="I73" s="26"/>
      <c r="J73" s="24"/>
      <c r="K73" s="25"/>
      <c r="L73" s="23"/>
      <c r="M73" s="25"/>
      <c r="N73" s="23"/>
      <c r="O73" s="26"/>
      <c r="P73" s="27"/>
      <c r="Q73" s="28"/>
      <c r="R73" s="29"/>
      <c r="S73" s="24"/>
      <c r="T73" s="25"/>
      <c r="U73" s="23"/>
      <c r="V73" s="25"/>
      <c r="W73" s="23"/>
      <c r="X73" s="26"/>
      <c r="Y73" s="24"/>
      <c r="Z73" s="25"/>
      <c r="AA73" s="23"/>
      <c r="AB73" s="25"/>
      <c r="AC73" s="23"/>
      <c r="AD73" s="26"/>
    </row>
    <row r="74">
      <c r="A74" s="30" t="s">
        <v>33</v>
      </c>
      <c r="B74" s="22" t="s">
        <v>62</v>
      </c>
      <c r="C74" s="22" t="s">
        <v>63</v>
      </c>
      <c r="D74" s="24"/>
      <c r="E74" s="25"/>
      <c r="F74" s="23"/>
      <c r="G74" s="25"/>
      <c r="H74" s="23"/>
      <c r="I74" s="26"/>
      <c r="J74" s="24"/>
      <c r="K74" s="25"/>
      <c r="L74" s="23"/>
      <c r="M74" s="25"/>
      <c r="N74" s="23"/>
      <c r="O74" s="26"/>
      <c r="P74" s="27"/>
      <c r="Q74" s="28"/>
      <c r="R74" s="29"/>
      <c r="S74" s="24"/>
      <c r="T74" s="25"/>
      <c r="U74" s="23"/>
      <c r="V74" s="25"/>
      <c r="W74" s="23"/>
      <c r="X74" s="26"/>
      <c r="Y74" s="24"/>
      <c r="Z74" s="25"/>
      <c r="AA74" s="23"/>
      <c r="AB74" s="25"/>
      <c r="AC74" s="23"/>
      <c r="AD74" s="26"/>
    </row>
    <row r="75">
      <c r="A75" s="30" t="s">
        <v>34</v>
      </c>
      <c r="B75" s="22" t="s">
        <v>62</v>
      </c>
      <c r="C75" s="22" t="s">
        <v>63</v>
      </c>
      <c r="D75" s="24"/>
      <c r="E75" s="25" t="n">
        <f>300</f>
        <v>300.0</v>
      </c>
      <c r="F75" s="23"/>
      <c r="G75" s="25" t="str">
        <f>"－"</f>
        <v>－</v>
      </c>
      <c r="H75" s="23"/>
      <c r="I75" s="26" t="n">
        <f>300</f>
        <v>300.0</v>
      </c>
      <c r="J75" s="24"/>
      <c r="K75" s="25" t="n">
        <f>254550000</f>
        <v>2.5455E8</v>
      </c>
      <c r="L75" s="23"/>
      <c r="M75" s="25" t="str">
        <f>"－"</f>
        <v>－</v>
      </c>
      <c r="N75" s="23"/>
      <c r="O75" s="26" t="n">
        <f>254550000</f>
        <v>2.5455E8</v>
      </c>
      <c r="P75" s="27" t="str">
        <f>"－"</f>
        <v>－</v>
      </c>
      <c r="Q75" s="28" t="str">
        <f>"－"</f>
        <v>－</v>
      </c>
      <c r="R75" s="29" t="str">
        <f>"－"</f>
        <v>－</v>
      </c>
      <c r="S75" s="24"/>
      <c r="T75" s="25" t="str">
        <f>"－"</f>
        <v>－</v>
      </c>
      <c r="U75" s="23"/>
      <c r="V75" s="25" t="str">
        <f>"－"</f>
        <v>－</v>
      </c>
      <c r="W75" s="23"/>
      <c r="X75" s="26" t="str">
        <f>"－"</f>
        <v>－</v>
      </c>
      <c r="Y75" s="24"/>
      <c r="Z75" s="25" t="n">
        <f>118870</f>
        <v>118870.0</v>
      </c>
      <c r="AA75" s="23"/>
      <c r="AB75" s="25" t="n">
        <f>19504</f>
        <v>19504.0</v>
      </c>
      <c r="AC75" s="23"/>
      <c r="AD75" s="26" t="n">
        <f>138374</f>
        <v>138374.0</v>
      </c>
    </row>
    <row r="76">
      <c r="A76" s="30" t="s">
        <v>35</v>
      </c>
      <c r="B76" s="22" t="s">
        <v>62</v>
      </c>
      <c r="C76" s="22" t="s">
        <v>63</v>
      </c>
      <c r="D76" s="24"/>
      <c r="E76" s="25" t="n">
        <f>800</f>
        <v>800.0</v>
      </c>
      <c r="F76" s="23"/>
      <c r="G76" s="25" t="n">
        <f>800</f>
        <v>800.0</v>
      </c>
      <c r="H76" s="23"/>
      <c r="I76" s="26" t="n">
        <f>1600</f>
        <v>1600.0</v>
      </c>
      <c r="J76" s="24"/>
      <c r="K76" s="25" t="n">
        <f>288900000</f>
        <v>2.889E8</v>
      </c>
      <c r="L76" s="23"/>
      <c r="M76" s="25" t="n">
        <f>297800000</f>
        <v>2.978E8</v>
      </c>
      <c r="N76" s="23"/>
      <c r="O76" s="26" t="n">
        <f>586700000</f>
        <v>5.867E8</v>
      </c>
      <c r="P76" s="27" t="str">
        <f>"－"</f>
        <v>－</v>
      </c>
      <c r="Q76" s="28" t="str">
        <f>"－"</f>
        <v>－</v>
      </c>
      <c r="R76" s="29" t="str">
        <f>"－"</f>
        <v>－</v>
      </c>
      <c r="S76" s="24"/>
      <c r="T76" s="25" t="n">
        <f>700</f>
        <v>700.0</v>
      </c>
      <c r="U76" s="23"/>
      <c r="V76" s="25" t="n">
        <f>700</f>
        <v>700.0</v>
      </c>
      <c r="W76" s="23"/>
      <c r="X76" s="26" t="n">
        <f>1400</f>
        <v>1400.0</v>
      </c>
      <c r="Y76" s="24"/>
      <c r="Z76" s="25" t="n">
        <f>119670</f>
        <v>119670.0</v>
      </c>
      <c r="AA76" s="23"/>
      <c r="AB76" s="25" t="n">
        <f>20304</f>
        <v>20304.0</v>
      </c>
      <c r="AC76" s="23"/>
      <c r="AD76" s="26" t="n">
        <f>139974</f>
        <v>139974.0</v>
      </c>
    </row>
    <row r="77">
      <c r="A77" s="30" t="s">
        <v>36</v>
      </c>
      <c r="B77" s="22" t="s">
        <v>62</v>
      </c>
      <c r="C77" s="22" t="s">
        <v>63</v>
      </c>
      <c r="D77" s="24" t="s">
        <v>31</v>
      </c>
      <c r="E77" s="25" t="n">
        <f>6445</f>
        <v>6445.0</v>
      </c>
      <c r="F77" s="23" t="s">
        <v>31</v>
      </c>
      <c r="G77" s="25" t="n">
        <f>1552</f>
        <v>1552.0</v>
      </c>
      <c r="H77" s="23" t="s">
        <v>31</v>
      </c>
      <c r="I77" s="26" t="n">
        <f>7997</f>
        <v>7997.0</v>
      </c>
      <c r="J77" s="24" t="s">
        <v>31</v>
      </c>
      <c r="K77" s="25" t="n">
        <f>2277193880</f>
        <v>2.27719388E9</v>
      </c>
      <c r="L77" s="23"/>
      <c r="M77" s="25" t="n">
        <f>777660000</f>
        <v>7.7766E8</v>
      </c>
      <c r="N77" s="23" t="s">
        <v>31</v>
      </c>
      <c r="O77" s="26" t="n">
        <f>3054853880</f>
        <v>3.05485388E9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 t="s">
        <v>31</v>
      </c>
      <c r="T77" s="25" t="n">
        <f>3104</f>
        <v>3104.0</v>
      </c>
      <c r="U77" s="23" t="s">
        <v>31</v>
      </c>
      <c r="V77" s="25" t="n">
        <f>1552</f>
        <v>1552.0</v>
      </c>
      <c r="W77" s="23" t="s">
        <v>31</v>
      </c>
      <c r="X77" s="26" t="n">
        <f>4656</f>
        <v>4656.0</v>
      </c>
      <c r="Y77" s="24"/>
      <c r="Z77" s="25" t="n">
        <f>119779</f>
        <v>119779.0</v>
      </c>
      <c r="AA77" s="23" t="s">
        <v>31</v>
      </c>
      <c r="AB77" s="25" t="n">
        <f>21316</f>
        <v>21316.0</v>
      </c>
      <c r="AC77" s="23" t="s">
        <v>31</v>
      </c>
      <c r="AD77" s="26" t="n">
        <f>141095</f>
        <v>141095.0</v>
      </c>
    </row>
    <row r="78">
      <c r="A78" s="30" t="s">
        <v>37</v>
      </c>
      <c r="B78" s="22" t="s">
        <v>62</v>
      </c>
      <c r="C78" s="22" t="s">
        <v>63</v>
      </c>
      <c r="D78" s="24"/>
      <c r="E78" s="25" t="n">
        <f>200</f>
        <v>200.0</v>
      </c>
      <c r="F78" s="23"/>
      <c r="G78" s="25" t="n">
        <f>200</f>
        <v>200.0</v>
      </c>
      <c r="H78" s="23"/>
      <c r="I78" s="26" t="n">
        <f>400</f>
        <v>400.0</v>
      </c>
      <c r="J78" s="24"/>
      <c r="K78" s="25" t="n">
        <f>35550000</f>
        <v>3.555E7</v>
      </c>
      <c r="L78" s="23"/>
      <c r="M78" s="25" t="n">
        <f>28500000</f>
        <v>2.85E7</v>
      </c>
      <c r="N78" s="23"/>
      <c r="O78" s="26" t="n">
        <f>64050000</f>
        <v>6.405E7</v>
      </c>
      <c r="P78" s="27" t="str">
        <f>"－"</f>
        <v>－</v>
      </c>
      <c r="Q78" s="28" t="str">
        <f>"－"</f>
        <v>－</v>
      </c>
      <c r="R78" s="29" t="str">
        <f>"－"</f>
        <v>－</v>
      </c>
      <c r="S78" s="24"/>
      <c r="T78" s="25" t="str">
        <f>"－"</f>
        <v>－</v>
      </c>
      <c r="U78" s="23"/>
      <c r="V78" s="25" t="str">
        <f>"－"</f>
        <v>－</v>
      </c>
      <c r="W78" s="23"/>
      <c r="X78" s="26" t="str">
        <f>"－"</f>
        <v>－</v>
      </c>
      <c r="Y78" s="24"/>
      <c r="Z78" s="25" t="n">
        <f>119779</f>
        <v>119779.0</v>
      </c>
      <c r="AA78" s="23"/>
      <c r="AB78" s="25" t="n">
        <f>21316</f>
        <v>21316.0</v>
      </c>
      <c r="AC78" s="23"/>
      <c r="AD78" s="26" t="n">
        <f>141095</f>
        <v>141095.0</v>
      </c>
    </row>
    <row r="79">
      <c r="A79" s="30" t="s">
        <v>38</v>
      </c>
      <c r="B79" s="22" t="s">
        <v>62</v>
      </c>
      <c r="C79" s="22" t="s">
        <v>63</v>
      </c>
      <c r="D79" s="24"/>
      <c r="E79" s="25" t="str">
        <f>"－"</f>
        <v>－</v>
      </c>
      <c r="F79" s="23"/>
      <c r="G79" s="25" t="str">
        <f>"－"</f>
        <v>－</v>
      </c>
      <c r="H79" s="23"/>
      <c r="I79" s="26" t="str">
        <f>"－"</f>
        <v>－</v>
      </c>
      <c r="J79" s="24"/>
      <c r="K79" s="25" t="str">
        <f>"－"</f>
        <v>－</v>
      </c>
      <c r="L79" s="23"/>
      <c r="M79" s="25" t="str">
        <f>"－"</f>
        <v>－</v>
      </c>
      <c r="N79" s="23"/>
      <c r="O79" s="26" t="str">
        <f>"－"</f>
        <v>－</v>
      </c>
      <c r="P79" s="27" t="n">
        <f>1200</f>
        <v>1200.0</v>
      </c>
      <c r="Q79" s="28" t="n">
        <f>700</f>
        <v>700.0</v>
      </c>
      <c r="R79" s="29" t="n">
        <f>1900</f>
        <v>1900.0</v>
      </c>
      <c r="S79" s="24"/>
      <c r="T79" s="25" t="str">
        <f>"－"</f>
        <v>－</v>
      </c>
      <c r="U79" s="23"/>
      <c r="V79" s="25" t="str">
        <f>"－"</f>
        <v>－</v>
      </c>
      <c r="W79" s="23"/>
      <c r="X79" s="26" t="str">
        <f>"－"</f>
        <v>－</v>
      </c>
      <c r="Y79" s="24" t="s">
        <v>39</v>
      </c>
      <c r="Z79" s="25" t="n">
        <f>116654</f>
        <v>116654.0</v>
      </c>
      <c r="AA79" s="23"/>
      <c r="AB79" s="25" t="n">
        <f>19931</f>
        <v>19931.0</v>
      </c>
      <c r="AC79" s="23" t="s">
        <v>39</v>
      </c>
      <c r="AD79" s="26" t="n">
        <f>136585</f>
        <v>136585.0</v>
      </c>
    </row>
    <row r="80">
      <c r="A80" s="30" t="s">
        <v>40</v>
      </c>
      <c r="B80" s="22" t="s">
        <v>62</v>
      </c>
      <c r="C80" s="22" t="s">
        <v>63</v>
      </c>
      <c r="D80" s="24"/>
      <c r="E80" s="25"/>
      <c r="F80" s="23"/>
      <c r="G80" s="25"/>
      <c r="H80" s="23"/>
      <c r="I80" s="26"/>
      <c r="J80" s="24"/>
      <c r="K80" s="25"/>
      <c r="L80" s="23"/>
      <c r="M80" s="25"/>
      <c r="N80" s="23"/>
      <c r="O80" s="26"/>
      <c r="P80" s="27"/>
      <c r="Q80" s="28"/>
      <c r="R80" s="29"/>
      <c r="S80" s="24"/>
      <c r="T80" s="25"/>
      <c r="U80" s="23"/>
      <c r="V80" s="25"/>
      <c r="W80" s="23"/>
      <c r="X80" s="26"/>
      <c r="Y80" s="24"/>
      <c r="Z80" s="25"/>
      <c r="AA80" s="23"/>
      <c r="AB80" s="25"/>
      <c r="AC80" s="23"/>
      <c r="AD80" s="26"/>
    </row>
    <row r="81">
      <c r="A81" s="30" t="s">
        <v>41</v>
      </c>
      <c r="B81" s="22" t="s">
        <v>62</v>
      </c>
      <c r="C81" s="22" t="s">
        <v>63</v>
      </c>
      <c r="D81" s="24"/>
      <c r="E81" s="25"/>
      <c r="F81" s="23"/>
      <c r="G81" s="25"/>
      <c r="H81" s="23"/>
      <c r="I81" s="26"/>
      <c r="J81" s="24"/>
      <c r="K81" s="25"/>
      <c r="L81" s="23"/>
      <c r="M81" s="25"/>
      <c r="N81" s="23"/>
      <c r="O81" s="26"/>
      <c r="P81" s="27"/>
      <c r="Q81" s="28"/>
      <c r="R81" s="29"/>
      <c r="S81" s="24"/>
      <c r="T81" s="25"/>
      <c r="U81" s="23"/>
      <c r="V81" s="25"/>
      <c r="W81" s="23"/>
      <c r="X81" s="26"/>
      <c r="Y81" s="24"/>
      <c r="Z81" s="25"/>
      <c r="AA81" s="23"/>
      <c r="AB81" s="25"/>
      <c r="AC81" s="23"/>
      <c r="AD81" s="26"/>
    </row>
    <row r="82">
      <c r="A82" s="30" t="s">
        <v>42</v>
      </c>
      <c r="B82" s="22" t="s">
        <v>62</v>
      </c>
      <c r="C82" s="22" t="s">
        <v>63</v>
      </c>
      <c r="D82" s="24"/>
      <c r="E82" s="25" t="str">
        <f>"－"</f>
        <v>－</v>
      </c>
      <c r="F82" s="23"/>
      <c r="G82" s="25" t="n">
        <f>285</f>
        <v>285.0</v>
      </c>
      <c r="H82" s="23"/>
      <c r="I82" s="26" t="n">
        <f>285</f>
        <v>285.0</v>
      </c>
      <c r="J82" s="24"/>
      <c r="K82" s="25" t="str">
        <f>"－"</f>
        <v>－</v>
      </c>
      <c r="L82" s="23"/>
      <c r="M82" s="25" t="n">
        <f>37905000</f>
        <v>3.7905E7</v>
      </c>
      <c r="N82" s="23"/>
      <c r="O82" s="26" t="n">
        <f>37905000</f>
        <v>3.7905E7</v>
      </c>
      <c r="P82" s="27" t="str">
        <f>"－"</f>
        <v>－</v>
      </c>
      <c r="Q82" s="28" t="str">
        <f>"－"</f>
        <v>－</v>
      </c>
      <c r="R82" s="29" t="str">
        <f>"－"</f>
        <v>－</v>
      </c>
      <c r="S82" s="24"/>
      <c r="T82" s="25" t="str">
        <f>"－"</f>
        <v>－</v>
      </c>
      <c r="U82" s="23"/>
      <c r="V82" s="25" t="n">
        <f>285</f>
        <v>285.0</v>
      </c>
      <c r="W82" s="23"/>
      <c r="X82" s="26" t="n">
        <f>285</f>
        <v>285.0</v>
      </c>
      <c r="Y82" s="24"/>
      <c r="Z82" s="25" t="n">
        <f>116654</f>
        <v>116654.0</v>
      </c>
      <c r="AA82" s="23"/>
      <c r="AB82" s="25" t="n">
        <f>20216</f>
        <v>20216.0</v>
      </c>
      <c r="AC82" s="23"/>
      <c r="AD82" s="26" t="n">
        <f>136870</f>
        <v>136870.0</v>
      </c>
    </row>
    <row r="83">
      <c r="A83" s="30" t="s">
        <v>43</v>
      </c>
      <c r="B83" s="22" t="s">
        <v>62</v>
      </c>
      <c r="C83" s="22" t="s">
        <v>63</v>
      </c>
      <c r="D83" s="24"/>
      <c r="E83" s="25" t="str">
        <f>"－"</f>
        <v>－</v>
      </c>
      <c r="F83" s="23"/>
      <c r="G83" s="25" t="str">
        <f>"－"</f>
        <v>－</v>
      </c>
      <c r="H83" s="23"/>
      <c r="I83" s="26" t="str">
        <f>"－"</f>
        <v>－</v>
      </c>
      <c r="J83" s="24"/>
      <c r="K83" s="25" t="str">
        <f>"－"</f>
        <v>－</v>
      </c>
      <c r="L83" s="23"/>
      <c r="M83" s="25" t="str">
        <f>"－"</f>
        <v>－</v>
      </c>
      <c r="N83" s="23"/>
      <c r="O83" s="26" t="str">
        <f>"－"</f>
        <v>－</v>
      </c>
      <c r="P83" s="27" t="str">
        <f>"－"</f>
        <v>－</v>
      </c>
      <c r="Q83" s="28" t="str">
        <f>"－"</f>
        <v>－</v>
      </c>
      <c r="R83" s="29" t="str">
        <f>"－"</f>
        <v>－</v>
      </c>
      <c r="S83" s="24"/>
      <c r="T83" s="25" t="str">
        <f>"－"</f>
        <v>－</v>
      </c>
      <c r="U83" s="23"/>
      <c r="V83" s="25" t="str">
        <f>"－"</f>
        <v>－</v>
      </c>
      <c r="W83" s="23"/>
      <c r="X83" s="26" t="str">
        <f>"－"</f>
        <v>－</v>
      </c>
      <c r="Y83" s="24"/>
      <c r="Z83" s="25" t="n">
        <f>116654</f>
        <v>116654.0</v>
      </c>
      <c r="AA83" s="23"/>
      <c r="AB83" s="25" t="n">
        <f>20216</f>
        <v>20216.0</v>
      </c>
      <c r="AC83" s="23"/>
      <c r="AD83" s="26" t="n">
        <f>136870</f>
        <v>136870.0</v>
      </c>
    </row>
    <row r="84">
      <c r="A84" s="30" t="s">
        <v>44</v>
      </c>
      <c r="B84" s="22" t="s">
        <v>62</v>
      </c>
      <c r="C84" s="22" t="s">
        <v>63</v>
      </c>
      <c r="D84" s="24"/>
      <c r="E84" s="25" t="n">
        <f>150</f>
        <v>150.0</v>
      </c>
      <c r="F84" s="23"/>
      <c r="G84" s="25" t="n">
        <f>150</f>
        <v>150.0</v>
      </c>
      <c r="H84" s="23"/>
      <c r="I84" s="26" t="n">
        <f>300</f>
        <v>300.0</v>
      </c>
      <c r="J84" s="24"/>
      <c r="K84" s="25" t="n">
        <f>195000000</f>
        <v>1.95E8</v>
      </c>
      <c r="L84" s="23"/>
      <c r="M84" s="25" t="n">
        <f>136500000</f>
        <v>1.365E8</v>
      </c>
      <c r="N84" s="23"/>
      <c r="O84" s="26" t="n">
        <f>331500000</f>
        <v>3.315E8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str">
        <f>"－"</f>
        <v>－</v>
      </c>
      <c r="U84" s="23"/>
      <c r="V84" s="25" t="str">
        <f>"－"</f>
        <v>－</v>
      </c>
      <c r="W84" s="23"/>
      <c r="X84" s="26" t="str">
        <f>"－"</f>
        <v>－</v>
      </c>
      <c r="Y84" s="24"/>
      <c r="Z84" s="25" t="n">
        <f>116804</f>
        <v>116804.0</v>
      </c>
      <c r="AA84" s="23"/>
      <c r="AB84" s="25" t="n">
        <f>20366</f>
        <v>20366.0</v>
      </c>
      <c r="AC84" s="23"/>
      <c r="AD84" s="26" t="n">
        <f>137170</f>
        <v>137170.0</v>
      </c>
    </row>
    <row r="85">
      <c r="A85" s="30" t="s">
        <v>45</v>
      </c>
      <c r="B85" s="22" t="s">
        <v>62</v>
      </c>
      <c r="C85" s="22" t="s">
        <v>63</v>
      </c>
      <c r="D85" s="24"/>
      <c r="E85" s="25" t="n">
        <f>1242</f>
        <v>1242.0</v>
      </c>
      <c r="F85" s="23"/>
      <c r="G85" s="25" t="n">
        <f>150</f>
        <v>150.0</v>
      </c>
      <c r="H85" s="23"/>
      <c r="I85" s="26" t="n">
        <f>1392</f>
        <v>1392.0</v>
      </c>
      <c r="J85" s="24"/>
      <c r="K85" s="25" t="n">
        <f>1273655920</f>
        <v>1.27365592E9</v>
      </c>
      <c r="L85" s="23"/>
      <c r="M85" s="25" t="n">
        <f>138000000</f>
        <v>1.38E8</v>
      </c>
      <c r="N85" s="23"/>
      <c r="O85" s="26" t="n">
        <f>1411655920</f>
        <v>1.41165592E9</v>
      </c>
      <c r="P85" s="27" t="str">
        <f>"－"</f>
        <v>－</v>
      </c>
      <c r="Q85" s="28" t="str">
        <f>"－"</f>
        <v>－</v>
      </c>
      <c r="R85" s="29" t="str">
        <f>"－"</f>
        <v>－</v>
      </c>
      <c r="S85" s="24"/>
      <c r="T85" s="25" t="n">
        <f>92</f>
        <v>92.0</v>
      </c>
      <c r="U85" s="23"/>
      <c r="V85" s="25" t="str">
        <f>"－"</f>
        <v>－</v>
      </c>
      <c r="W85" s="23"/>
      <c r="X85" s="26" t="n">
        <f>92</f>
        <v>92.0</v>
      </c>
      <c r="Y85" s="24"/>
      <c r="Z85" s="25" t="n">
        <f>118046</f>
        <v>118046.0</v>
      </c>
      <c r="AA85" s="23"/>
      <c r="AB85" s="25" t="n">
        <f>20516</f>
        <v>20516.0</v>
      </c>
      <c r="AC85" s="23"/>
      <c r="AD85" s="26" t="n">
        <f>138562</f>
        <v>138562.0</v>
      </c>
    </row>
    <row r="86">
      <c r="A86" s="30" t="s">
        <v>46</v>
      </c>
      <c r="B86" s="22" t="s">
        <v>62</v>
      </c>
      <c r="C86" s="22" t="s">
        <v>63</v>
      </c>
      <c r="D86" s="24"/>
      <c r="E86" s="25" t="n">
        <f>1675</f>
        <v>1675.0</v>
      </c>
      <c r="F86" s="23"/>
      <c r="G86" s="25" t="n">
        <f>200</f>
        <v>200.0</v>
      </c>
      <c r="H86" s="23"/>
      <c r="I86" s="26" t="n">
        <f>1875</f>
        <v>1875.0</v>
      </c>
      <c r="J86" s="24"/>
      <c r="K86" s="25" t="n">
        <f>1579733750</f>
        <v>1.57973375E9</v>
      </c>
      <c r="L86" s="23"/>
      <c r="M86" s="25" t="n">
        <f>252000000</f>
        <v>2.52E8</v>
      </c>
      <c r="N86" s="23"/>
      <c r="O86" s="26" t="n">
        <f>1831733750</f>
        <v>1.83173375E9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n">
        <f>1475</f>
        <v>1475.0</v>
      </c>
      <c r="U86" s="23"/>
      <c r="V86" s="25" t="str">
        <f>"－"</f>
        <v>－</v>
      </c>
      <c r="W86" s="23"/>
      <c r="X86" s="26" t="n">
        <f>1475</f>
        <v>1475.0</v>
      </c>
      <c r="Y86" s="24"/>
      <c r="Z86" s="25" t="n">
        <f>118721</f>
        <v>118721.0</v>
      </c>
      <c r="AA86" s="23"/>
      <c r="AB86" s="25" t="n">
        <f>20716</f>
        <v>20716.0</v>
      </c>
      <c r="AC86" s="23"/>
      <c r="AD86" s="26" t="n">
        <f>139437</f>
        <v>139437.0</v>
      </c>
    </row>
    <row r="87">
      <c r="A87" s="30" t="s">
        <v>47</v>
      </c>
      <c r="B87" s="22" t="s">
        <v>62</v>
      </c>
      <c r="C87" s="22" t="s">
        <v>63</v>
      </c>
      <c r="D87" s="24"/>
      <c r="E87" s="25"/>
      <c r="F87" s="23"/>
      <c r="G87" s="25"/>
      <c r="H87" s="23"/>
      <c r="I87" s="26"/>
      <c r="J87" s="24"/>
      <c r="K87" s="25"/>
      <c r="L87" s="23"/>
      <c r="M87" s="25"/>
      <c r="N87" s="23"/>
      <c r="O87" s="26"/>
      <c r="P87" s="27"/>
      <c r="Q87" s="28"/>
      <c r="R87" s="29"/>
      <c r="S87" s="24"/>
      <c r="T87" s="25"/>
      <c r="U87" s="23"/>
      <c r="V87" s="25"/>
      <c r="W87" s="23"/>
      <c r="X87" s="26"/>
      <c r="Y87" s="24"/>
      <c r="Z87" s="25"/>
      <c r="AA87" s="23"/>
      <c r="AB87" s="25"/>
      <c r="AC87" s="23"/>
      <c r="AD87" s="26"/>
    </row>
    <row r="88">
      <c r="A88" s="30" t="s">
        <v>48</v>
      </c>
      <c r="B88" s="22" t="s">
        <v>62</v>
      </c>
      <c r="C88" s="22" t="s">
        <v>63</v>
      </c>
      <c r="D88" s="24"/>
      <c r="E88" s="25"/>
      <c r="F88" s="23"/>
      <c r="G88" s="25"/>
      <c r="H88" s="23"/>
      <c r="I88" s="26"/>
      <c r="J88" s="24"/>
      <c r="K88" s="25"/>
      <c r="L88" s="23"/>
      <c r="M88" s="25"/>
      <c r="N88" s="23"/>
      <c r="O88" s="26"/>
      <c r="P88" s="27"/>
      <c r="Q88" s="28"/>
      <c r="R88" s="29"/>
      <c r="S88" s="24"/>
      <c r="T88" s="25"/>
      <c r="U88" s="23"/>
      <c r="V88" s="25"/>
      <c r="W88" s="23"/>
      <c r="X88" s="26"/>
      <c r="Y88" s="24"/>
      <c r="Z88" s="25"/>
      <c r="AA88" s="23"/>
      <c r="AB88" s="25"/>
      <c r="AC88" s="23"/>
      <c r="AD88" s="26"/>
    </row>
    <row r="89">
      <c r="A89" s="30" t="s">
        <v>49</v>
      </c>
      <c r="B89" s="22" t="s">
        <v>62</v>
      </c>
      <c r="C89" s="22" t="s">
        <v>63</v>
      </c>
      <c r="D89" s="24"/>
      <c r="E89" s="25" t="n">
        <f>1165</f>
        <v>1165.0</v>
      </c>
      <c r="F89" s="23"/>
      <c r="G89" s="25" t="n">
        <f>150</f>
        <v>150.0</v>
      </c>
      <c r="H89" s="23"/>
      <c r="I89" s="26" t="n">
        <f>1315</f>
        <v>1315.0</v>
      </c>
      <c r="J89" s="24"/>
      <c r="K89" s="25" t="n">
        <f>1053117175</f>
        <v>1.053117175E9</v>
      </c>
      <c r="L89" s="23"/>
      <c r="M89" s="25" t="n">
        <f>143250000</f>
        <v>1.4325E8</v>
      </c>
      <c r="N89" s="23"/>
      <c r="O89" s="26" t="n">
        <f>1196367175</f>
        <v>1.196367175E9</v>
      </c>
      <c r="P89" s="27" t="str">
        <f>"－"</f>
        <v>－</v>
      </c>
      <c r="Q89" s="28" t="str">
        <f>"－"</f>
        <v>－</v>
      </c>
      <c r="R89" s="29" t="str">
        <f>"－"</f>
        <v>－</v>
      </c>
      <c r="S89" s="24"/>
      <c r="T89" s="25" t="n">
        <f>15</f>
        <v>15.0</v>
      </c>
      <c r="U89" s="23"/>
      <c r="V89" s="25" t="str">
        <f>"－"</f>
        <v>－</v>
      </c>
      <c r="W89" s="23"/>
      <c r="X89" s="26" t="n">
        <f>15</f>
        <v>15.0</v>
      </c>
      <c r="Y89" s="24" t="s">
        <v>31</v>
      </c>
      <c r="Z89" s="25" t="n">
        <f>119886</f>
        <v>119886.0</v>
      </c>
      <c r="AA89" s="23"/>
      <c r="AB89" s="25" t="n">
        <f>20866</f>
        <v>20866.0</v>
      </c>
      <c r="AC89" s="23"/>
      <c r="AD89" s="26" t="n">
        <f>140752</f>
        <v>140752.0</v>
      </c>
    </row>
    <row r="90">
      <c r="A90" s="30" t="s">
        <v>50</v>
      </c>
      <c r="B90" s="22" t="s">
        <v>62</v>
      </c>
      <c r="C90" s="22" t="s">
        <v>63</v>
      </c>
      <c r="D90" s="24"/>
      <c r="E90" s="25" t="n">
        <f>350</f>
        <v>350.0</v>
      </c>
      <c r="F90" s="23"/>
      <c r="G90" s="25" t="n">
        <f>350</f>
        <v>350.0</v>
      </c>
      <c r="H90" s="23"/>
      <c r="I90" s="26" t="n">
        <f>700</f>
        <v>700.0</v>
      </c>
      <c r="J90" s="24"/>
      <c r="K90" s="25" t="n">
        <f>495000000</f>
        <v>4.95E8</v>
      </c>
      <c r="L90" s="23"/>
      <c r="M90" s="25" t="n">
        <f>452000000</f>
        <v>4.52E8</v>
      </c>
      <c r="N90" s="23"/>
      <c r="O90" s="26" t="n">
        <f>947000000</f>
        <v>9.47E8</v>
      </c>
      <c r="P90" s="27" t="str">
        <f>"－"</f>
        <v>－</v>
      </c>
      <c r="Q90" s="28" t="str">
        <f>"－"</f>
        <v>－</v>
      </c>
      <c r="R90" s="29" t="str">
        <f>"－"</f>
        <v>－</v>
      </c>
      <c r="S90" s="24"/>
      <c r="T90" s="25" t="str">
        <f>"－"</f>
        <v>－</v>
      </c>
      <c r="U90" s="23"/>
      <c r="V90" s="25" t="str">
        <f>"－"</f>
        <v>－</v>
      </c>
      <c r="W90" s="23"/>
      <c r="X90" s="26" t="str">
        <f>"－"</f>
        <v>－</v>
      </c>
      <c r="Y90" s="24"/>
      <c r="Z90" s="25" t="n">
        <f>118936</f>
        <v>118936.0</v>
      </c>
      <c r="AA90" s="23"/>
      <c r="AB90" s="25" t="n">
        <f>21216</f>
        <v>21216.0</v>
      </c>
      <c r="AC90" s="23"/>
      <c r="AD90" s="26" t="n">
        <f>140152</f>
        <v>140152.0</v>
      </c>
    </row>
    <row r="91">
      <c r="A91" s="30" t="s">
        <v>51</v>
      </c>
      <c r="B91" s="22" t="s">
        <v>62</v>
      </c>
      <c r="C91" s="22" t="s">
        <v>63</v>
      </c>
      <c r="D91" s="24"/>
      <c r="E91" s="25" t="n">
        <f>15</f>
        <v>15.0</v>
      </c>
      <c r="F91" s="23"/>
      <c r="G91" s="25" t="str">
        <f>"－"</f>
        <v>－</v>
      </c>
      <c r="H91" s="23"/>
      <c r="I91" s="26" t="n">
        <f>15</f>
        <v>15.0</v>
      </c>
      <c r="J91" s="24"/>
      <c r="K91" s="25" t="n">
        <f>12339000</f>
        <v>1.2339E7</v>
      </c>
      <c r="L91" s="23"/>
      <c r="M91" s="25" t="str">
        <f>"－"</f>
        <v>－</v>
      </c>
      <c r="N91" s="23"/>
      <c r="O91" s="26" t="n">
        <f>12339000</f>
        <v>1.2339E7</v>
      </c>
      <c r="P91" s="27" t="str">
        <f>"－"</f>
        <v>－</v>
      </c>
      <c r="Q91" s="28" t="str">
        <f>"－"</f>
        <v>－</v>
      </c>
      <c r="R91" s="29" t="str">
        <f>"－"</f>
        <v>－</v>
      </c>
      <c r="S91" s="24"/>
      <c r="T91" s="25" t="n">
        <f>15</f>
        <v>15.0</v>
      </c>
      <c r="U91" s="23"/>
      <c r="V91" s="25" t="str">
        <f>"－"</f>
        <v>－</v>
      </c>
      <c r="W91" s="23"/>
      <c r="X91" s="26" t="n">
        <f>15</f>
        <v>15.0</v>
      </c>
      <c r="Y91" s="24"/>
      <c r="Z91" s="25" t="n">
        <f>118951</f>
        <v>118951.0</v>
      </c>
      <c r="AA91" s="23"/>
      <c r="AB91" s="25" t="n">
        <f>21216</f>
        <v>21216.0</v>
      </c>
      <c r="AC91" s="23"/>
      <c r="AD91" s="26" t="n">
        <f>140167</f>
        <v>140167.0</v>
      </c>
    </row>
    <row r="92">
      <c r="A92" s="30" t="s">
        <v>52</v>
      </c>
      <c r="B92" s="22" t="s">
        <v>62</v>
      </c>
      <c r="C92" s="22" t="s">
        <v>63</v>
      </c>
      <c r="D92" s="24"/>
      <c r="E92" s="25" t="str">
        <f>"－"</f>
        <v>－</v>
      </c>
      <c r="F92" s="23"/>
      <c r="G92" s="25" t="str">
        <f>"－"</f>
        <v>－</v>
      </c>
      <c r="H92" s="23"/>
      <c r="I92" s="26" t="str">
        <f>"－"</f>
        <v>－</v>
      </c>
      <c r="J92" s="24"/>
      <c r="K92" s="25" t="str">
        <f>"－"</f>
        <v>－</v>
      </c>
      <c r="L92" s="23"/>
      <c r="M92" s="25" t="str">
        <f>"－"</f>
        <v>－</v>
      </c>
      <c r="N92" s="23"/>
      <c r="O92" s="26" t="str">
        <f>"－"</f>
        <v>－</v>
      </c>
      <c r="P92" s="27" t="str">
        <f>"－"</f>
        <v>－</v>
      </c>
      <c r="Q92" s="28" t="str">
        <f>"－"</f>
        <v>－</v>
      </c>
      <c r="R92" s="29" t="str">
        <f>"－"</f>
        <v>－</v>
      </c>
      <c r="S92" s="24"/>
      <c r="T92" s="25" t="str">
        <f>"－"</f>
        <v>－</v>
      </c>
      <c r="U92" s="23"/>
      <c r="V92" s="25" t="str">
        <f>"－"</f>
        <v>－</v>
      </c>
      <c r="W92" s="23"/>
      <c r="X92" s="26" t="str">
        <f>"－"</f>
        <v>－</v>
      </c>
      <c r="Y92" s="24"/>
      <c r="Z92" s="25" t="n">
        <f>118951</f>
        <v>118951.0</v>
      </c>
      <c r="AA92" s="23"/>
      <c r="AB92" s="25" t="n">
        <f>21216</f>
        <v>21216.0</v>
      </c>
      <c r="AC92" s="23"/>
      <c r="AD92" s="26" t="n">
        <f>140167</f>
        <v>140167.0</v>
      </c>
    </row>
    <row r="93">
      <c r="A93" s="30" t="s">
        <v>53</v>
      </c>
      <c r="B93" s="22" t="s">
        <v>62</v>
      </c>
      <c r="C93" s="22" t="s">
        <v>63</v>
      </c>
      <c r="D93" s="24"/>
      <c r="E93" s="25" t="n">
        <f>15</f>
        <v>15.0</v>
      </c>
      <c r="F93" s="23"/>
      <c r="G93" s="25" t="str">
        <f>"－"</f>
        <v>－</v>
      </c>
      <c r="H93" s="23"/>
      <c r="I93" s="26" t="n">
        <f>15</f>
        <v>15.0</v>
      </c>
      <c r="J93" s="24"/>
      <c r="K93" s="25" t="n">
        <f>12276750</f>
        <v>1.227675E7</v>
      </c>
      <c r="L93" s="23"/>
      <c r="M93" s="25" t="str">
        <f>"－"</f>
        <v>－</v>
      </c>
      <c r="N93" s="23"/>
      <c r="O93" s="26" t="n">
        <f>12276750</f>
        <v>1.227675E7</v>
      </c>
      <c r="P93" s="27" t="str">
        <f>"－"</f>
        <v>－</v>
      </c>
      <c r="Q93" s="28" t="str">
        <f>"－"</f>
        <v>－</v>
      </c>
      <c r="R93" s="29" t="str">
        <f>"－"</f>
        <v>－</v>
      </c>
      <c r="S93" s="24"/>
      <c r="T93" s="25" t="n">
        <f>15</f>
        <v>15.0</v>
      </c>
      <c r="U93" s="23"/>
      <c r="V93" s="25" t="str">
        <f>"－"</f>
        <v>－</v>
      </c>
      <c r="W93" s="23"/>
      <c r="X93" s="26" t="n">
        <f>15</f>
        <v>15.0</v>
      </c>
      <c r="Y93" s="24"/>
      <c r="Z93" s="25" t="n">
        <f>118966</f>
        <v>118966.0</v>
      </c>
      <c r="AA93" s="23"/>
      <c r="AB93" s="25" t="n">
        <f>21216</f>
        <v>21216.0</v>
      </c>
      <c r="AC93" s="23"/>
      <c r="AD93" s="26" t="n">
        <f>140182</f>
        <v>140182.0</v>
      </c>
    </row>
    <row r="94">
      <c r="A94" s="30" t="s">
        <v>54</v>
      </c>
      <c r="B94" s="22" t="s">
        <v>62</v>
      </c>
      <c r="C94" s="22" t="s">
        <v>63</v>
      </c>
      <c r="D94" s="24"/>
      <c r="E94" s="25"/>
      <c r="F94" s="23"/>
      <c r="G94" s="25"/>
      <c r="H94" s="23"/>
      <c r="I94" s="26"/>
      <c r="J94" s="24"/>
      <c r="K94" s="25"/>
      <c r="L94" s="23"/>
      <c r="M94" s="25"/>
      <c r="N94" s="23"/>
      <c r="O94" s="26"/>
      <c r="P94" s="27"/>
      <c r="Q94" s="28"/>
      <c r="R94" s="29"/>
      <c r="S94" s="24"/>
      <c r="T94" s="25"/>
      <c r="U94" s="23"/>
      <c r="V94" s="25"/>
      <c r="W94" s="23"/>
      <c r="X94" s="26"/>
      <c r="Y94" s="24"/>
      <c r="Z94" s="25"/>
      <c r="AA94" s="23"/>
      <c r="AB94" s="25"/>
      <c r="AC94" s="23"/>
      <c r="AD94" s="26"/>
    </row>
    <row r="95">
      <c r="A95" s="30" t="s">
        <v>55</v>
      </c>
      <c r="B95" s="22" t="s">
        <v>62</v>
      </c>
      <c r="C95" s="22" t="s">
        <v>63</v>
      </c>
      <c r="D95" s="24"/>
      <c r="E95" s="25"/>
      <c r="F95" s="23"/>
      <c r="G95" s="25"/>
      <c r="H95" s="23"/>
      <c r="I95" s="26"/>
      <c r="J95" s="24"/>
      <c r="K95" s="25"/>
      <c r="L95" s="23"/>
      <c r="M95" s="25"/>
      <c r="N95" s="23"/>
      <c r="O95" s="26"/>
      <c r="P95" s="27"/>
      <c r="Q95" s="28"/>
      <c r="R95" s="29"/>
      <c r="S95" s="24"/>
      <c r="T95" s="25"/>
      <c r="U95" s="23"/>
      <c r="V95" s="25"/>
      <c r="W95" s="23"/>
      <c r="X95" s="26"/>
      <c r="Y95" s="24"/>
      <c r="Z95" s="25"/>
      <c r="AA95" s="23"/>
      <c r="AB95" s="25"/>
      <c r="AC95" s="23"/>
      <c r="AD95" s="26"/>
    </row>
    <row r="96">
      <c r="A96" s="30" t="s">
        <v>56</v>
      </c>
      <c r="B96" s="22" t="s">
        <v>62</v>
      </c>
      <c r="C96" s="22" t="s">
        <v>63</v>
      </c>
      <c r="D96" s="24"/>
      <c r="E96" s="25" t="str">
        <f>"－"</f>
        <v>－</v>
      </c>
      <c r="F96" s="23"/>
      <c r="G96" s="25" t="str">
        <f>"－"</f>
        <v>－</v>
      </c>
      <c r="H96" s="23"/>
      <c r="I96" s="26" t="str">
        <f>"－"</f>
        <v>－</v>
      </c>
      <c r="J96" s="24"/>
      <c r="K96" s="25" t="str">
        <f>"－"</f>
        <v>－</v>
      </c>
      <c r="L96" s="23"/>
      <c r="M96" s="25" t="str">
        <f>"－"</f>
        <v>－</v>
      </c>
      <c r="N96" s="23"/>
      <c r="O96" s="26" t="str">
        <f>"－"</f>
        <v>－</v>
      </c>
      <c r="P96" s="27" t="str">
        <f>"－"</f>
        <v>－</v>
      </c>
      <c r="Q96" s="28" t="str">
        <f>"－"</f>
        <v>－</v>
      </c>
      <c r="R96" s="29" t="str">
        <f>"－"</f>
        <v>－</v>
      </c>
      <c r="S96" s="24"/>
      <c r="T96" s="25" t="str">
        <f>"－"</f>
        <v>－</v>
      </c>
      <c r="U96" s="23"/>
      <c r="V96" s="25" t="str">
        <f>"－"</f>
        <v>－</v>
      </c>
      <c r="W96" s="23"/>
      <c r="X96" s="26" t="str">
        <f>"－"</f>
        <v>－</v>
      </c>
      <c r="Y96" s="24"/>
      <c r="Z96" s="25" t="n">
        <f>118966</f>
        <v>118966.0</v>
      </c>
      <c r="AA96" s="23"/>
      <c r="AB96" s="25" t="n">
        <f>21216</f>
        <v>21216.0</v>
      </c>
      <c r="AC96" s="23"/>
      <c r="AD96" s="26" t="n">
        <f>140182</f>
        <v>140182.0</v>
      </c>
    </row>
    <row r="97">
      <c r="A97" s="30" t="s">
        <v>57</v>
      </c>
      <c r="B97" s="22" t="s">
        <v>62</v>
      </c>
      <c r="C97" s="22" t="s">
        <v>63</v>
      </c>
      <c r="D97" s="24"/>
      <c r="E97" s="25" t="str">
        <f>"－"</f>
        <v>－</v>
      </c>
      <c r="F97" s="23"/>
      <c r="G97" s="25" t="str">
        <f>"－"</f>
        <v>－</v>
      </c>
      <c r="H97" s="23"/>
      <c r="I97" s="26" t="str">
        <f>"－"</f>
        <v>－</v>
      </c>
      <c r="J97" s="24"/>
      <c r="K97" s="25" t="str">
        <f>"－"</f>
        <v>－</v>
      </c>
      <c r="L97" s="23"/>
      <c r="M97" s="25" t="str">
        <f>"－"</f>
        <v>－</v>
      </c>
      <c r="N97" s="23"/>
      <c r="O97" s="26" t="str">
        <f>"－"</f>
        <v>－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/>
      <c r="T97" s="25" t="str">
        <f>"－"</f>
        <v>－</v>
      </c>
      <c r="U97" s="23"/>
      <c r="V97" s="25" t="str">
        <f>"－"</f>
        <v>－</v>
      </c>
      <c r="W97" s="23"/>
      <c r="X97" s="26" t="str">
        <f>"－"</f>
        <v>－</v>
      </c>
      <c r="Y97" s="24"/>
      <c r="Z97" s="25" t="n">
        <f>118966</f>
        <v>118966.0</v>
      </c>
      <c r="AA97" s="23"/>
      <c r="AB97" s="25" t="n">
        <f>21216</f>
        <v>21216.0</v>
      </c>
      <c r="AC97" s="23"/>
      <c r="AD97" s="26" t="n">
        <f>140182</f>
        <v>140182.0</v>
      </c>
    </row>
    <row r="98">
      <c r="A98" s="30" t="s">
        <v>58</v>
      </c>
      <c r="B98" s="22" t="s">
        <v>62</v>
      </c>
      <c r="C98" s="22" t="s">
        <v>63</v>
      </c>
      <c r="D98" s="24"/>
      <c r="E98" s="25"/>
      <c r="F98" s="23"/>
      <c r="G98" s="25"/>
      <c r="H98" s="23"/>
      <c r="I98" s="26"/>
      <c r="J98" s="24"/>
      <c r="K98" s="25"/>
      <c r="L98" s="23"/>
      <c r="M98" s="25"/>
      <c r="N98" s="23"/>
      <c r="O98" s="26"/>
      <c r="P98" s="27"/>
      <c r="Q98" s="28"/>
      <c r="R98" s="29"/>
      <c r="S98" s="24"/>
      <c r="T98" s="25"/>
      <c r="U98" s="23"/>
      <c r="V98" s="25"/>
      <c r="W98" s="23"/>
      <c r="X98" s="26"/>
      <c r="Y98" s="24"/>
      <c r="Z98" s="25"/>
      <c r="AA98" s="23"/>
      <c r="AB98" s="25"/>
      <c r="AC98" s="23"/>
      <c r="AD98" s="26"/>
    </row>
    <row r="99">
      <c r="A99" s="30" t="s">
        <v>59</v>
      </c>
      <c r="B99" s="22" t="s">
        <v>62</v>
      </c>
      <c r="C99" s="22" t="s">
        <v>63</v>
      </c>
      <c r="D99" s="24"/>
      <c r="E99" s="25" t="n">
        <f>559</f>
        <v>559.0</v>
      </c>
      <c r="F99" s="23"/>
      <c r="G99" s="25" t="str">
        <f>"－"</f>
        <v>－</v>
      </c>
      <c r="H99" s="23"/>
      <c r="I99" s="26" t="n">
        <f>559</f>
        <v>559.0</v>
      </c>
      <c r="J99" s="24"/>
      <c r="K99" s="25" t="n">
        <f>440621728</f>
        <v>4.40621728E8</v>
      </c>
      <c r="L99" s="23"/>
      <c r="M99" s="25" t="str">
        <f>"－"</f>
        <v>－</v>
      </c>
      <c r="N99" s="23"/>
      <c r="O99" s="26" t="n">
        <f>440621728</f>
        <v>4.40621728E8</v>
      </c>
      <c r="P99" s="27" t="str">
        <f>"－"</f>
        <v>－</v>
      </c>
      <c r="Q99" s="28" t="str">
        <f>"－"</f>
        <v>－</v>
      </c>
      <c r="R99" s="29" t="str">
        <f>"－"</f>
        <v>－</v>
      </c>
      <c r="S99" s="24"/>
      <c r="T99" s="25" t="n">
        <f>559</f>
        <v>559.0</v>
      </c>
      <c r="U99" s="23"/>
      <c r="V99" s="25" t="str">
        <f>"－"</f>
        <v>－</v>
      </c>
      <c r="W99" s="23"/>
      <c r="X99" s="26" t="n">
        <f>559</f>
        <v>559.0</v>
      </c>
      <c r="Y99" s="24"/>
      <c r="Z99" s="25" t="n">
        <f>118966</f>
        <v>118966.0</v>
      </c>
      <c r="AA99" s="23"/>
      <c r="AB99" s="25" t="n">
        <f>21216</f>
        <v>21216.0</v>
      </c>
      <c r="AC99" s="23"/>
      <c r="AD99" s="26" t="n">
        <f>140182</f>
        <v>140182.0</v>
      </c>
    </row>
    <row r="100">
      <c r="A100" s="30" t="s">
        <v>26</v>
      </c>
      <c r="B100" s="22" t="s">
        <v>64</v>
      </c>
      <c r="C100" s="22" t="s">
        <v>65</v>
      </c>
      <c r="D100" s="24" t="s">
        <v>66</v>
      </c>
      <c r="E100" s="25" t="str">
        <f>"－"</f>
        <v>－</v>
      </c>
      <c r="F100" s="23" t="s">
        <v>66</v>
      </c>
      <c r="G100" s="25" t="str">
        <f>"－"</f>
        <v>－</v>
      </c>
      <c r="H100" s="23" t="s">
        <v>66</v>
      </c>
      <c r="I100" s="26" t="str">
        <f>"－"</f>
        <v>－</v>
      </c>
      <c r="J100" s="24" t="s">
        <v>66</v>
      </c>
      <c r="K100" s="25" t="str">
        <f>"－"</f>
        <v>－</v>
      </c>
      <c r="L100" s="23" t="s">
        <v>66</v>
      </c>
      <c r="M100" s="25" t="str">
        <f>"－"</f>
        <v>－</v>
      </c>
      <c r="N100" s="23" t="s">
        <v>66</v>
      </c>
      <c r="O100" s="26" t="str">
        <f>"－"</f>
        <v>－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 t="s">
        <v>66</v>
      </c>
      <c r="T100" s="25" t="str">
        <f>"－"</f>
        <v>－</v>
      </c>
      <c r="U100" s="23" t="s">
        <v>66</v>
      </c>
      <c r="V100" s="25" t="str">
        <f>"－"</f>
        <v>－</v>
      </c>
      <c r="W100" s="23" t="s">
        <v>66</v>
      </c>
      <c r="X100" s="26" t="str">
        <f>"－"</f>
        <v>－</v>
      </c>
      <c r="Y100" s="24" t="s">
        <v>66</v>
      </c>
      <c r="Z100" s="25" t="str">
        <f>"－"</f>
        <v>－</v>
      </c>
      <c r="AA100" s="23" t="s">
        <v>66</v>
      </c>
      <c r="AB100" s="25" t="str">
        <f>"－"</f>
        <v>－</v>
      </c>
      <c r="AC100" s="23" t="s">
        <v>66</v>
      </c>
      <c r="AD100" s="26" t="str">
        <f>"－"</f>
        <v>－</v>
      </c>
    </row>
    <row r="101">
      <c r="A101" s="30" t="s">
        <v>29</v>
      </c>
      <c r="B101" s="22" t="s">
        <v>64</v>
      </c>
      <c r="C101" s="22" t="s">
        <v>65</v>
      </c>
      <c r="D101" s="24"/>
      <c r="E101" s="25" t="str">
        <f>"－"</f>
        <v>－</v>
      </c>
      <c r="F101" s="23"/>
      <c r="G101" s="25" t="str">
        <f>"－"</f>
        <v>－</v>
      </c>
      <c r="H101" s="23"/>
      <c r="I101" s="26" t="str">
        <f>"－"</f>
        <v>－</v>
      </c>
      <c r="J101" s="24"/>
      <c r="K101" s="25" t="str">
        <f>"－"</f>
        <v>－</v>
      </c>
      <c r="L101" s="23"/>
      <c r="M101" s="25" t="str">
        <f>"－"</f>
        <v>－</v>
      </c>
      <c r="N101" s="23"/>
      <c r="O101" s="26" t="str">
        <f>"－"</f>
        <v>－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str">
        <f>"－"</f>
        <v>－</v>
      </c>
      <c r="U101" s="23"/>
      <c r="V101" s="25" t="str">
        <f>"－"</f>
        <v>－</v>
      </c>
      <c r="W101" s="23"/>
      <c r="X101" s="26" t="str">
        <f>"－"</f>
        <v>－</v>
      </c>
      <c r="Y101" s="24"/>
      <c r="Z101" s="25" t="str">
        <f>"－"</f>
        <v>－</v>
      </c>
      <c r="AA101" s="23"/>
      <c r="AB101" s="25" t="str">
        <f>"－"</f>
        <v>－</v>
      </c>
      <c r="AC101" s="23"/>
      <c r="AD101" s="26" t="str">
        <f>"－"</f>
        <v>－</v>
      </c>
    </row>
    <row r="102">
      <c r="A102" s="30" t="s">
        <v>30</v>
      </c>
      <c r="B102" s="22" t="s">
        <v>64</v>
      </c>
      <c r="C102" s="22" t="s">
        <v>65</v>
      </c>
      <c r="D102" s="24"/>
      <c r="E102" s="25" t="str">
        <f>"－"</f>
        <v>－</v>
      </c>
      <c r="F102" s="23"/>
      <c r="G102" s="25" t="str">
        <f>"－"</f>
        <v>－</v>
      </c>
      <c r="H102" s="23"/>
      <c r="I102" s="26" t="str">
        <f>"－"</f>
        <v>－</v>
      </c>
      <c r="J102" s="24"/>
      <c r="K102" s="25" t="str">
        <f>"－"</f>
        <v>－</v>
      </c>
      <c r="L102" s="23"/>
      <c r="M102" s="25" t="str">
        <f>"－"</f>
        <v>－</v>
      </c>
      <c r="N102" s="23"/>
      <c r="O102" s="26" t="str">
        <f>"－"</f>
        <v>－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str">
        <f>"－"</f>
        <v>－</v>
      </c>
      <c r="U102" s="23"/>
      <c r="V102" s="25" t="str">
        <f>"－"</f>
        <v>－</v>
      </c>
      <c r="W102" s="23"/>
      <c r="X102" s="26" t="str">
        <f>"－"</f>
        <v>－</v>
      </c>
      <c r="Y102" s="24"/>
      <c r="Z102" s="25" t="str">
        <f>"－"</f>
        <v>－</v>
      </c>
      <c r="AA102" s="23"/>
      <c r="AB102" s="25" t="str">
        <f>"－"</f>
        <v>－</v>
      </c>
      <c r="AC102" s="23"/>
      <c r="AD102" s="26" t="str">
        <f>"－"</f>
        <v>－</v>
      </c>
    </row>
    <row r="103">
      <c r="A103" s="30" t="s">
        <v>32</v>
      </c>
      <c r="B103" s="22" t="s">
        <v>64</v>
      </c>
      <c r="C103" s="22" t="s">
        <v>65</v>
      </c>
      <c r="D103" s="24"/>
      <c r="E103" s="25"/>
      <c r="F103" s="23"/>
      <c r="G103" s="25"/>
      <c r="H103" s="23"/>
      <c r="I103" s="26"/>
      <c r="J103" s="24"/>
      <c r="K103" s="25"/>
      <c r="L103" s="23"/>
      <c r="M103" s="25"/>
      <c r="N103" s="23"/>
      <c r="O103" s="26"/>
      <c r="P103" s="27"/>
      <c r="Q103" s="28"/>
      <c r="R103" s="29"/>
      <c r="S103" s="24"/>
      <c r="T103" s="25"/>
      <c r="U103" s="23"/>
      <c r="V103" s="25"/>
      <c r="W103" s="23"/>
      <c r="X103" s="26"/>
      <c r="Y103" s="24"/>
      <c r="Z103" s="25"/>
      <c r="AA103" s="23"/>
      <c r="AB103" s="25"/>
      <c r="AC103" s="23"/>
      <c r="AD103" s="26"/>
    </row>
    <row r="104">
      <c r="A104" s="30" t="s">
        <v>33</v>
      </c>
      <c r="B104" s="22" t="s">
        <v>64</v>
      </c>
      <c r="C104" s="22" t="s">
        <v>65</v>
      </c>
      <c r="D104" s="24"/>
      <c r="E104" s="25"/>
      <c r="F104" s="23"/>
      <c r="G104" s="25"/>
      <c r="H104" s="23"/>
      <c r="I104" s="26"/>
      <c r="J104" s="24"/>
      <c r="K104" s="25"/>
      <c r="L104" s="23"/>
      <c r="M104" s="25"/>
      <c r="N104" s="23"/>
      <c r="O104" s="26"/>
      <c r="P104" s="27"/>
      <c r="Q104" s="28"/>
      <c r="R104" s="29"/>
      <c r="S104" s="24"/>
      <c r="T104" s="25"/>
      <c r="U104" s="23"/>
      <c r="V104" s="25"/>
      <c r="W104" s="23"/>
      <c r="X104" s="26"/>
      <c r="Y104" s="24"/>
      <c r="Z104" s="25"/>
      <c r="AA104" s="23"/>
      <c r="AB104" s="25"/>
      <c r="AC104" s="23"/>
      <c r="AD104" s="26"/>
    </row>
    <row r="105">
      <c r="A105" s="30" t="s">
        <v>34</v>
      </c>
      <c r="B105" s="22" t="s">
        <v>64</v>
      </c>
      <c r="C105" s="22" t="s">
        <v>65</v>
      </c>
      <c r="D105" s="24"/>
      <c r="E105" s="25" t="str">
        <f>"－"</f>
        <v>－</v>
      </c>
      <c r="F105" s="23"/>
      <c r="G105" s="25" t="str">
        <f>"－"</f>
        <v>－</v>
      </c>
      <c r="H105" s="23"/>
      <c r="I105" s="26" t="str">
        <f>"－"</f>
        <v>－</v>
      </c>
      <c r="J105" s="24"/>
      <c r="K105" s="25" t="str">
        <f>"－"</f>
        <v>－</v>
      </c>
      <c r="L105" s="23"/>
      <c r="M105" s="25" t="str">
        <f>"－"</f>
        <v>－</v>
      </c>
      <c r="N105" s="23"/>
      <c r="O105" s="26" t="str">
        <f>"－"</f>
        <v>－</v>
      </c>
      <c r="P105" s="27" t="str">
        <f>"－"</f>
        <v>－</v>
      </c>
      <c r="Q105" s="28" t="str">
        <f>"－"</f>
        <v>－</v>
      </c>
      <c r="R105" s="29" t="str">
        <f>"－"</f>
        <v>－</v>
      </c>
      <c r="S105" s="24"/>
      <c r="T105" s="25" t="str">
        <f>"－"</f>
        <v>－</v>
      </c>
      <c r="U105" s="23"/>
      <c r="V105" s="25" t="str">
        <f>"－"</f>
        <v>－</v>
      </c>
      <c r="W105" s="23"/>
      <c r="X105" s="26" t="str">
        <f>"－"</f>
        <v>－</v>
      </c>
      <c r="Y105" s="24"/>
      <c r="Z105" s="25" t="str">
        <f>"－"</f>
        <v>－</v>
      </c>
      <c r="AA105" s="23"/>
      <c r="AB105" s="25" t="str">
        <f>"－"</f>
        <v>－</v>
      </c>
      <c r="AC105" s="23"/>
      <c r="AD105" s="26" t="str">
        <f>"－"</f>
        <v>－</v>
      </c>
    </row>
    <row r="106">
      <c r="A106" s="30" t="s">
        <v>35</v>
      </c>
      <c r="B106" s="22" t="s">
        <v>64</v>
      </c>
      <c r="C106" s="22" t="s">
        <v>65</v>
      </c>
      <c r="D106" s="24"/>
      <c r="E106" s="25" t="str">
        <f>"－"</f>
        <v>－</v>
      </c>
      <c r="F106" s="23"/>
      <c r="G106" s="25" t="str">
        <f>"－"</f>
        <v>－</v>
      </c>
      <c r="H106" s="23"/>
      <c r="I106" s="26" t="str">
        <f>"－"</f>
        <v>－</v>
      </c>
      <c r="J106" s="24"/>
      <c r="K106" s="25" t="str">
        <f>"－"</f>
        <v>－</v>
      </c>
      <c r="L106" s="23"/>
      <c r="M106" s="25" t="str">
        <f>"－"</f>
        <v>－</v>
      </c>
      <c r="N106" s="23"/>
      <c r="O106" s="26" t="str">
        <f>"－"</f>
        <v>－</v>
      </c>
      <c r="P106" s="27" t="str">
        <f>"－"</f>
        <v>－</v>
      </c>
      <c r="Q106" s="28" t="str">
        <f>"－"</f>
        <v>－</v>
      </c>
      <c r="R106" s="29" t="str">
        <f>"－"</f>
        <v>－</v>
      </c>
      <c r="S106" s="24"/>
      <c r="T106" s="25" t="str">
        <f>"－"</f>
        <v>－</v>
      </c>
      <c r="U106" s="23"/>
      <c r="V106" s="25" t="str">
        <f>"－"</f>
        <v>－</v>
      </c>
      <c r="W106" s="23"/>
      <c r="X106" s="26" t="str">
        <f>"－"</f>
        <v>－</v>
      </c>
      <c r="Y106" s="24"/>
      <c r="Z106" s="25" t="str">
        <f>"－"</f>
        <v>－</v>
      </c>
      <c r="AA106" s="23"/>
      <c r="AB106" s="25" t="str">
        <f>"－"</f>
        <v>－</v>
      </c>
      <c r="AC106" s="23"/>
      <c r="AD106" s="26" t="str">
        <f>"－"</f>
        <v>－</v>
      </c>
    </row>
    <row r="107">
      <c r="A107" s="30" t="s">
        <v>36</v>
      </c>
      <c r="B107" s="22" t="s">
        <v>64</v>
      </c>
      <c r="C107" s="22" t="s">
        <v>65</v>
      </c>
      <c r="D107" s="24"/>
      <c r="E107" s="25" t="str">
        <f>"－"</f>
        <v>－</v>
      </c>
      <c r="F107" s="23"/>
      <c r="G107" s="25" t="str">
        <f>"－"</f>
        <v>－</v>
      </c>
      <c r="H107" s="23"/>
      <c r="I107" s="26" t="str">
        <f>"－"</f>
        <v>－</v>
      </c>
      <c r="J107" s="24"/>
      <c r="K107" s="25" t="str">
        <f>"－"</f>
        <v>－</v>
      </c>
      <c r="L107" s="23"/>
      <c r="M107" s="25" t="str">
        <f>"－"</f>
        <v>－</v>
      </c>
      <c r="N107" s="23"/>
      <c r="O107" s="26" t="str">
        <f>"－"</f>
        <v>－</v>
      </c>
      <c r="P107" s="27" t="str">
        <f>"－"</f>
        <v>－</v>
      </c>
      <c r="Q107" s="28" t="str">
        <f>"－"</f>
        <v>－</v>
      </c>
      <c r="R107" s="29" t="str">
        <f>"－"</f>
        <v>－</v>
      </c>
      <c r="S107" s="24"/>
      <c r="T107" s="25" t="str">
        <f>"－"</f>
        <v>－</v>
      </c>
      <c r="U107" s="23"/>
      <c r="V107" s="25" t="str">
        <f>"－"</f>
        <v>－</v>
      </c>
      <c r="W107" s="23"/>
      <c r="X107" s="26" t="str">
        <f>"－"</f>
        <v>－</v>
      </c>
      <c r="Y107" s="24"/>
      <c r="Z107" s="25" t="str">
        <f>"－"</f>
        <v>－</v>
      </c>
      <c r="AA107" s="23"/>
      <c r="AB107" s="25" t="str">
        <f>"－"</f>
        <v>－</v>
      </c>
      <c r="AC107" s="23"/>
      <c r="AD107" s="26" t="str">
        <f>"－"</f>
        <v>－</v>
      </c>
    </row>
    <row r="108">
      <c r="A108" s="30" t="s">
        <v>37</v>
      </c>
      <c r="B108" s="22" t="s">
        <v>64</v>
      </c>
      <c r="C108" s="22" t="s">
        <v>65</v>
      </c>
      <c r="D108" s="24"/>
      <c r="E108" s="25" t="str">
        <f>"－"</f>
        <v>－</v>
      </c>
      <c r="F108" s="23"/>
      <c r="G108" s="25" t="str">
        <f>"－"</f>
        <v>－</v>
      </c>
      <c r="H108" s="23"/>
      <c r="I108" s="26" t="str">
        <f>"－"</f>
        <v>－</v>
      </c>
      <c r="J108" s="24"/>
      <c r="K108" s="25" t="str">
        <f>"－"</f>
        <v>－</v>
      </c>
      <c r="L108" s="23"/>
      <c r="M108" s="25" t="str">
        <f>"－"</f>
        <v>－</v>
      </c>
      <c r="N108" s="23"/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/>
      <c r="T108" s="25" t="str">
        <f>"－"</f>
        <v>－</v>
      </c>
      <c r="U108" s="23"/>
      <c r="V108" s="25" t="str">
        <f>"－"</f>
        <v>－</v>
      </c>
      <c r="W108" s="23"/>
      <c r="X108" s="26" t="str">
        <f>"－"</f>
        <v>－</v>
      </c>
      <c r="Y108" s="24"/>
      <c r="Z108" s="25" t="str">
        <f>"－"</f>
        <v>－</v>
      </c>
      <c r="AA108" s="23"/>
      <c r="AB108" s="25" t="str">
        <f>"－"</f>
        <v>－</v>
      </c>
      <c r="AC108" s="23"/>
      <c r="AD108" s="26" t="str">
        <f>"－"</f>
        <v>－</v>
      </c>
    </row>
    <row r="109">
      <c r="A109" s="30" t="s">
        <v>38</v>
      </c>
      <c r="B109" s="22" t="s">
        <v>64</v>
      </c>
      <c r="C109" s="22" t="s">
        <v>65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40</v>
      </c>
      <c r="B110" s="22" t="s">
        <v>64</v>
      </c>
      <c r="C110" s="22" t="s">
        <v>65</v>
      </c>
      <c r="D110" s="24"/>
      <c r="E110" s="25"/>
      <c r="F110" s="23"/>
      <c r="G110" s="25"/>
      <c r="H110" s="23"/>
      <c r="I110" s="26"/>
      <c r="J110" s="24"/>
      <c r="K110" s="25"/>
      <c r="L110" s="23"/>
      <c r="M110" s="25"/>
      <c r="N110" s="23"/>
      <c r="O110" s="26"/>
      <c r="P110" s="27"/>
      <c r="Q110" s="28"/>
      <c r="R110" s="29"/>
      <c r="S110" s="24"/>
      <c r="T110" s="25"/>
      <c r="U110" s="23"/>
      <c r="V110" s="25"/>
      <c r="W110" s="23"/>
      <c r="X110" s="26"/>
      <c r="Y110" s="24"/>
      <c r="Z110" s="25"/>
      <c r="AA110" s="23"/>
      <c r="AB110" s="25"/>
      <c r="AC110" s="23"/>
      <c r="AD110" s="26"/>
    </row>
    <row r="111">
      <c r="A111" s="30" t="s">
        <v>41</v>
      </c>
      <c r="B111" s="22" t="s">
        <v>64</v>
      </c>
      <c r="C111" s="22" t="s">
        <v>65</v>
      </c>
      <c r="D111" s="24"/>
      <c r="E111" s="25"/>
      <c r="F111" s="23"/>
      <c r="G111" s="25"/>
      <c r="H111" s="23"/>
      <c r="I111" s="26"/>
      <c r="J111" s="24"/>
      <c r="K111" s="25"/>
      <c r="L111" s="23"/>
      <c r="M111" s="25"/>
      <c r="N111" s="23"/>
      <c r="O111" s="26"/>
      <c r="P111" s="27"/>
      <c r="Q111" s="28"/>
      <c r="R111" s="29"/>
      <c r="S111" s="24"/>
      <c r="T111" s="25"/>
      <c r="U111" s="23"/>
      <c r="V111" s="25"/>
      <c r="W111" s="23"/>
      <c r="X111" s="26"/>
      <c r="Y111" s="24"/>
      <c r="Z111" s="25"/>
      <c r="AA111" s="23"/>
      <c r="AB111" s="25"/>
      <c r="AC111" s="23"/>
      <c r="AD111" s="26"/>
    </row>
    <row r="112">
      <c r="A112" s="30" t="s">
        <v>42</v>
      </c>
      <c r="B112" s="22" t="s">
        <v>64</v>
      </c>
      <c r="C112" s="22" t="s">
        <v>65</v>
      </c>
      <c r="D112" s="24"/>
      <c r="E112" s="25" t="str">
        <f>"－"</f>
        <v>－</v>
      </c>
      <c r="F112" s="23"/>
      <c r="G112" s="25" t="str">
        <f>"－"</f>
        <v>－</v>
      </c>
      <c r="H112" s="23"/>
      <c r="I112" s="26" t="str">
        <f>"－"</f>
        <v>－</v>
      </c>
      <c r="J112" s="24"/>
      <c r="K112" s="25" t="str">
        <f>"－"</f>
        <v>－</v>
      </c>
      <c r="L112" s="23"/>
      <c r="M112" s="25" t="str">
        <f>"－"</f>
        <v>－</v>
      </c>
      <c r="N112" s="23"/>
      <c r="O112" s="26" t="str">
        <f>"－"</f>
        <v>－</v>
      </c>
      <c r="P112" s="27" t="str">
        <f>"－"</f>
        <v>－</v>
      </c>
      <c r="Q112" s="28" t="str">
        <f>"－"</f>
        <v>－</v>
      </c>
      <c r="R112" s="29" t="str">
        <f>"－"</f>
        <v>－</v>
      </c>
      <c r="S112" s="24"/>
      <c r="T112" s="25" t="str">
        <f>"－"</f>
        <v>－</v>
      </c>
      <c r="U112" s="23"/>
      <c r="V112" s="25" t="str">
        <f>"－"</f>
        <v>－</v>
      </c>
      <c r="W112" s="23"/>
      <c r="X112" s="26" t="str">
        <f>"－"</f>
        <v>－</v>
      </c>
      <c r="Y112" s="24"/>
      <c r="Z112" s="25" t="str">
        <f>"－"</f>
        <v>－</v>
      </c>
      <c r="AA112" s="23"/>
      <c r="AB112" s="25" t="str">
        <f>"－"</f>
        <v>－</v>
      </c>
      <c r="AC112" s="23"/>
      <c r="AD112" s="26" t="str">
        <f>"－"</f>
        <v>－</v>
      </c>
    </row>
    <row r="113">
      <c r="A113" s="30" t="s">
        <v>43</v>
      </c>
      <c r="B113" s="22" t="s">
        <v>64</v>
      </c>
      <c r="C113" s="22" t="s">
        <v>65</v>
      </c>
      <c r="D113" s="24"/>
      <c r="E113" s="25" t="str">
        <f>"－"</f>
        <v>－</v>
      </c>
      <c r="F113" s="23"/>
      <c r="G113" s="25" t="str">
        <f>"－"</f>
        <v>－</v>
      </c>
      <c r="H113" s="23"/>
      <c r="I113" s="26" t="str">
        <f>"－"</f>
        <v>－</v>
      </c>
      <c r="J113" s="24"/>
      <c r="K113" s="25" t="str">
        <f>"－"</f>
        <v>－</v>
      </c>
      <c r="L113" s="23"/>
      <c r="M113" s="25" t="str">
        <f>"－"</f>
        <v>－</v>
      </c>
      <c r="N113" s="23"/>
      <c r="O113" s="26" t="str">
        <f>"－"</f>
        <v>－</v>
      </c>
      <c r="P113" s="27" t="str">
        <f>"－"</f>
        <v>－</v>
      </c>
      <c r="Q113" s="28" t="str">
        <f>"－"</f>
        <v>－</v>
      </c>
      <c r="R113" s="29" t="str">
        <f>"－"</f>
        <v>－</v>
      </c>
      <c r="S113" s="24"/>
      <c r="T113" s="25" t="str">
        <f>"－"</f>
        <v>－</v>
      </c>
      <c r="U113" s="23"/>
      <c r="V113" s="25" t="str">
        <f>"－"</f>
        <v>－</v>
      </c>
      <c r="W113" s="23"/>
      <c r="X113" s="26" t="str">
        <f>"－"</f>
        <v>－</v>
      </c>
      <c r="Y113" s="24"/>
      <c r="Z113" s="25" t="str">
        <f>"－"</f>
        <v>－</v>
      </c>
      <c r="AA113" s="23"/>
      <c r="AB113" s="25" t="str">
        <f>"－"</f>
        <v>－</v>
      </c>
      <c r="AC113" s="23"/>
      <c r="AD113" s="26" t="str">
        <f>"－"</f>
        <v>－</v>
      </c>
    </row>
    <row r="114">
      <c r="A114" s="30" t="s">
        <v>44</v>
      </c>
      <c r="B114" s="22" t="s">
        <v>64</v>
      </c>
      <c r="C114" s="22" t="s">
        <v>65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45</v>
      </c>
      <c r="B115" s="22" t="s">
        <v>64</v>
      </c>
      <c r="C115" s="22" t="s">
        <v>65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46</v>
      </c>
      <c r="B116" s="22" t="s">
        <v>64</v>
      </c>
      <c r="C116" s="22" t="s">
        <v>65</v>
      </c>
      <c r="D116" s="24"/>
      <c r="E116" s="25" t="str">
        <f>"－"</f>
        <v>－</v>
      </c>
      <c r="F116" s="23"/>
      <c r="G116" s="25" t="str">
        <f>"－"</f>
        <v>－</v>
      </c>
      <c r="H116" s="23"/>
      <c r="I116" s="26" t="str">
        <f>"－"</f>
        <v>－</v>
      </c>
      <c r="J116" s="24"/>
      <c r="K116" s="25" t="str">
        <f>"－"</f>
        <v>－</v>
      </c>
      <c r="L116" s="23"/>
      <c r="M116" s="25" t="str">
        <f>"－"</f>
        <v>－</v>
      </c>
      <c r="N116" s="23"/>
      <c r="O116" s="26" t="str">
        <f>"－"</f>
        <v>－</v>
      </c>
      <c r="P116" s="27" t="str">
        <f>"－"</f>
        <v>－</v>
      </c>
      <c r="Q116" s="28" t="str">
        <f>"－"</f>
        <v>－</v>
      </c>
      <c r="R116" s="29" t="str">
        <f>"－"</f>
        <v>－</v>
      </c>
      <c r="S116" s="24"/>
      <c r="T116" s="25" t="str">
        <f>"－"</f>
        <v>－</v>
      </c>
      <c r="U116" s="23"/>
      <c r="V116" s="25" t="str">
        <f>"－"</f>
        <v>－</v>
      </c>
      <c r="W116" s="23"/>
      <c r="X116" s="26" t="str">
        <f>"－"</f>
        <v>－</v>
      </c>
      <c r="Y116" s="24"/>
      <c r="Z116" s="25" t="str">
        <f>"－"</f>
        <v>－</v>
      </c>
      <c r="AA116" s="23"/>
      <c r="AB116" s="25" t="str">
        <f>"－"</f>
        <v>－</v>
      </c>
      <c r="AC116" s="23"/>
      <c r="AD116" s="26" t="str">
        <f>"－"</f>
        <v>－</v>
      </c>
    </row>
    <row r="117">
      <c r="A117" s="30" t="s">
        <v>47</v>
      </c>
      <c r="B117" s="22" t="s">
        <v>64</v>
      </c>
      <c r="C117" s="22" t="s">
        <v>65</v>
      </c>
      <c r="D117" s="24"/>
      <c r="E117" s="25"/>
      <c r="F117" s="23"/>
      <c r="G117" s="25"/>
      <c r="H117" s="23"/>
      <c r="I117" s="26"/>
      <c r="J117" s="24"/>
      <c r="K117" s="25"/>
      <c r="L117" s="23"/>
      <c r="M117" s="25"/>
      <c r="N117" s="23"/>
      <c r="O117" s="26"/>
      <c r="P117" s="27"/>
      <c r="Q117" s="28"/>
      <c r="R117" s="29"/>
      <c r="S117" s="24"/>
      <c r="T117" s="25"/>
      <c r="U117" s="23"/>
      <c r="V117" s="25"/>
      <c r="W117" s="23"/>
      <c r="X117" s="26"/>
      <c r="Y117" s="24"/>
      <c r="Z117" s="25"/>
      <c r="AA117" s="23"/>
      <c r="AB117" s="25"/>
      <c r="AC117" s="23"/>
      <c r="AD117" s="26"/>
    </row>
    <row r="118">
      <c r="A118" s="30" t="s">
        <v>48</v>
      </c>
      <c r="B118" s="22" t="s">
        <v>64</v>
      </c>
      <c r="C118" s="22" t="s">
        <v>65</v>
      </c>
      <c r="D118" s="24"/>
      <c r="E118" s="25"/>
      <c r="F118" s="23"/>
      <c r="G118" s="25"/>
      <c r="H118" s="23"/>
      <c r="I118" s="26"/>
      <c r="J118" s="24"/>
      <c r="K118" s="25"/>
      <c r="L118" s="23"/>
      <c r="M118" s="25"/>
      <c r="N118" s="23"/>
      <c r="O118" s="26"/>
      <c r="P118" s="27"/>
      <c r="Q118" s="28"/>
      <c r="R118" s="29"/>
      <c r="S118" s="24"/>
      <c r="T118" s="25"/>
      <c r="U118" s="23"/>
      <c r="V118" s="25"/>
      <c r="W118" s="23"/>
      <c r="X118" s="26"/>
      <c r="Y118" s="24"/>
      <c r="Z118" s="25"/>
      <c r="AA118" s="23"/>
      <c r="AB118" s="25"/>
      <c r="AC118" s="23"/>
      <c r="AD118" s="26"/>
    </row>
    <row r="119">
      <c r="A119" s="30" t="s">
        <v>49</v>
      </c>
      <c r="B119" s="22" t="s">
        <v>64</v>
      </c>
      <c r="C119" s="22" t="s">
        <v>65</v>
      </c>
      <c r="D119" s="24"/>
      <c r="E119" s="25" t="str">
        <f>"－"</f>
        <v>－</v>
      </c>
      <c r="F119" s="23"/>
      <c r="G119" s="25" t="str">
        <f>"－"</f>
        <v>－</v>
      </c>
      <c r="H119" s="23"/>
      <c r="I119" s="26" t="str">
        <f>"－"</f>
        <v>－</v>
      </c>
      <c r="J119" s="24"/>
      <c r="K119" s="25" t="str">
        <f>"－"</f>
        <v>－</v>
      </c>
      <c r="L119" s="23"/>
      <c r="M119" s="25" t="str">
        <f>"－"</f>
        <v>－</v>
      </c>
      <c r="N119" s="23"/>
      <c r="O119" s="26" t="str">
        <f>"－"</f>
        <v>－</v>
      </c>
      <c r="P119" s="27" t="str">
        <f>"－"</f>
        <v>－</v>
      </c>
      <c r="Q119" s="28" t="str">
        <f>"－"</f>
        <v>－</v>
      </c>
      <c r="R119" s="29" t="str">
        <f>"－"</f>
        <v>－</v>
      </c>
      <c r="S119" s="24"/>
      <c r="T119" s="25" t="str">
        <f>"－"</f>
        <v>－</v>
      </c>
      <c r="U119" s="23"/>
      <c r="V119" s="25" t="str">
        <f>"－"</f>
        <v>－</v>
      </c>
      <c r="W119" s="23"/>
      <c r="X119" s="26" t="str">
        <f>"－"</f>
        <v>－</v>
      </c>
      <c r="Y119" s="24"/>
      <c r="Z119" s="25" t="str">
        <f>"－"</f>
        <v>－</v>
      </c>
      <c r="AA119" s="23"/>
      <c r="AB119" s="25" t="str">
        <f>"－"</f>
        <v>－</v>
      </c>
      <c r="AC119" s="23"/>
      <c r="AD119" s="26" t="str">
        <f>"－"</f>
        <v>－</v>
      </c>
    </row>
    <row r="120">
      <c r="A120" s="30" t="s">
        <v>50</v>
      </c>
      <c r="B120" s="22" t="s">
        <v>64</v>
      </c>
      <c r="C120" s="22" t="s">
        <v>65</v>
      </c>
      <c r="D120" s="24"/>
      <c r="E120" s="25" t="str">
        <f>"－"</f>
        <v>－</v>
      </c>
      <c r="F120" s="23"/>
      <c r="G120" s="25" t="str">
        <f>"－"</f>
        <v>－</v>
      </c>
      <c r="H120" s="23"/>
      <c r="I120" s="26" t="str">
        <f>"－"</f>
        <v>－</v>
      </c>
      <c r="J120" s="24"/>
      <c r="K120" s="25" t="str">
        <f>"－"</f>
        <v>－</v>
      </c>
      <c r="L120" s="23"/>
      <c r="M120" s="25" t="str">
        <f>"－"</f>
        <v>－</v>
      </c>
      <c r="N120" s="23"/>
      <c r="O120" s="26" t="str">
        <f>"－"</f>
        <v>－</v>
      </c>
      <c r="P120" s="27" t="str">
        <f>"－"</f>
        <v>－</v>
      </c>
      <c r="Q120" s="28" t="str">
        <f>"－"</f>
        <v>－</v>
      </c>
      <c r="R120" s="29" t="str">
        <f>"－"</f>
        <v>－</v>
      </c>
      <c r="S120" s="24"/>
      <c r="T120" s="25" t="str">
        <f>"－"</f>
        <v>－</v>
      </c>
      <c r="U120" s="23"/>
      <c r="V120" s="25" t="str">
        <f>"－"</f>
        <v>－</v>
      </c>
      <c r="W120" s="23"/>
      <c r="X120" s="26" t="str">
        <f>"－"</f>
        <v>－</v>
      </c>
      <c r="Y120" s="24"/>
      <c r="Z120" s="25" t="str">
        <f>"－"</f>
        <v>－</v>
      </c>
      <c r="AA120" s="23"/>
      <c r="AB120" s="25" t="str">
        <f>"－"</f>
        <v>－</v>
      </c>
      <c r="AC120" s="23"/>
      <c r="AD120" s="26" t="str">
        <f>"－"</f>
        <v>－</v>
      </c>
    </row>
    <row r="121">
      <c r="A121" s="30" t="s">
        <v>51</v>
      </c>
      <c r="B121" s="22" t="s">
        <v>64</v>
      </c>
      <c r="C121" s="22" t="s">
        <v>65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52</v>
      </c>
      <c r="B122" s="22" t="s">
        <v>64</v>
      </c>
      <c r="C122" s="22" t="s">
        <v>65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53</v>
      </c>
      <c r="B123" s="22" t="s">
        <v>64</v>
      </c>
      <c r="C123" s="22" t="s">
        <v>65</v>
      </c>
      <c r="D123" s="24"/>
      <c r="E123" s="25" t="str">
        <f>"－"</f>
        <v>－</v>
      </c>
      <c r="F123" s="23"/>
      <c r="G123" s="25" t="str">
        <f>"－"</f>
        <v>－</v>
      </c>
      <c r="H123" s="23"/>
      <c r="I123" s="26" t="str">
        <f>"－"</f>
        <v>－</v>
      </c>
      <c r="J123" s="24"/>
      <c r="K123" s="25" t="str">
        <f>"－"</f>
        <v>－</v>
      </c>
      <c r="L123" s="23"/>
      <c r="M123" s="25" t="str">
        <f>"－"</f>
        <v>－</v>
      </c>
      <c r="N123" s="23"/>
      <c r="O123" s="26" t="str">
        <f>"－"</f>
        <v>－</v>
      </c>
      <c r="P123" s="27" t="str">
        <f>"－"</f>
        <v>－</v>
      </c>
      <c r="Q123" s="28" t="str">
        <f>"－"</f>
        <v>－</v>
      </c>
      <c r="R123" s="29" t="str">
        <f>"－"</f>
        <v>－</v>
      </c>
      <c r="S123" s="24"/>
      <c r="T123" s="25" t="str">
        <f>"－"</f>
        <v>－</v>
      </c>
      <c r="U123" s="23"/>
      <c r="V123" s="25" t="str">
        <f>"－"</f>
        <v>－</v>
      </c>
      <c r="W123" s="23"/>
      <c r="X123" s="26" t="str">
        <f>"－"</f>
        <v>－</v>
      </c>
      <c r="Y123" s="24"/>
      <c r="Z123" s="25" t="str">
        <f>"－"</f>
        <v>－</v>
      </c>
      <c r="AA123" s="23"/>
      <c r="AB123" s="25" t="str">
        <f>"－"</f>
        <v>－</v>
      </c>
      <c r="AC123" s="23"/>
      <c r="AD123" s="26" t="str">
        <f>"－"</f>
        <v>－</v>
      </c>
    </row>
    <row r="124">
      <c r="A124" s="30" t="s">
        <v>54</v>
      </c>
      <c r="B124" s="22" t="s">
        <v>64</v>
      </c>
      <c r="C124" s="22" t="s">
        <v>65</v>
      </c>
      <c r="D124" s="24"/>
      <c r="E124" s="25"/>
      <c r="F124" s="23"/>
      <c r="G124" s="25"/>
      <c r="H124" s="23"/>
      <c r="I124" s="26"/>
      <c r="J124" s="24"/>
      <c r="K124" s="25"/>
      <c r="L124" s="23"/>
      <c r="M124" s="25"/>
      <c r="N124" s="23"/>
      <c r="O124" s="26"/>
      <c r="P124" s="27"/>
      <c r="Q124" s="28"/>
      <c r="R124" s="29"/>
      <c r="S124" s="24"/>
      <c r="T124" s="25"/>
      <c r="U124" s="23"/>
      <c r="V124" s="25"/>
      <c r="W124" s="23"/>
      <c r="X124" s="26"/>
      <c r="Y124" s="24"/>
      <c r="Z124" s="25"/>
      <c r="AA124" s="23"/>
      <c r="AB124" s="25"/>
      <c r="AC124" s="23"/>
      <c r="AD124" s="26"/>
    </row>
    <row r="125">
      <c r="A125" s="30" t="s">
        <v>55</v>
      </c>
      <c r="B125" s="22" t="s">
        <v>64</v>
      </c>
      <c r="C125" s="22" t="s">
        <v>65</v>
      </c>
      <c r="D125" s="24"/>
      <c r="E125" s="25"/>
      <c r="F125" s="23"/>
      <c r="G125" s="25"/>
      <c r="H125" s="23"/>
      <c r="I125" s="26"/>
      <c r="J125" s="24"/>
      <c r="K125" s="25"/>
      <c r="L125" s="23"/>
      <c r="M125" s="25"/>
      <c r="N125" s="23"/>
      <c r="O125" s="26"/>
      <c r="P125" s="27"/>
      <c r="Q125" s="28"/>
      <c r="R125" s="29"/>
      <c r="S125" s="24"/>
      <c r="T125" s="25"/>
      <c r="U125" s="23"/>
      <c r="V125" s="25"/>
      <c r="W125" s="23"/>
      <c r="X125" s="26"/>
      <c r="Y125" s="24"/>
      <c r="Z125" s="25"/>
      <c r="AA125" s="23"/>
      <c r="AB125" s="25"/>
      <c r="AC125" s="23"/>
      <c r="AD125" s="26"/>
    </row>
    <row r="126">
      <c r="A126" s="30" t="s">
        <v>56</v>
      </c>
      <c r="B126" s="22" t="s">
        <v>64</v>
      </c>
      <c r="C126" s="22" t="s">
        <v>65</v>
      </c>
      <c r="D126" s="24"/>
      <c r="E126" s="25" t="str">
        <f>"－"</f>
        <v>－</v>
      </c>
      <c r="F126" s="23"/>
      <c r="G126" s="25" t="str">
        <f>"－"</f>
        <v>－</v>
      </c>
      <c r="H126" s="23"/>
      <c r="I126" s="26" t="str">
        <f>"－"</f>
        <v>－</v>
      </c>
      <c r="J126" s="24"/>
      <c r="K126" s="25" t="str">
        <f>"－"</f>
        <v>－</v>
      </c>
      <c r="L126" s="23"/>
      <c r="M126" s="25" t="str">
        <f>"－"</f>
        <v>－</v>
      </c>
      <c r="N126" s="23"/>
      <c r="O126" s="26" t="str">
        <f>"－"</f>
        <v>－</v>
      </c>
      <c r="P126" s="27" t="str">
        <f>"－"</f>
        <v>－</v>
      </c>
      <c r="Q126" s="28" t="str">
        <f>"－"</f>
        <v>－</v>
      </c>
      <c r="R126" s="29" t="str">
        <f>"－"</f>
        <v>－</v>
      </c>
      <c r="S126" s="24"/>
      <c r="T126" s="25" t="str">
        <f>"－"</f>
        <v>－</v>
      </c>
      <c r="U126" s="23"/>
      <c r="V126" s="25" t="str">
        <f>"－"</f>
        <v>－</v>
      </c>
      <c r="W126" s="23"/>
      <c r="X126" s="26" t="str">
        <f>"－"</f>
        <v>－</v>
      </c>
      <c r="Y126" s="24"/>
      <c r="Z126" s="25" t="str">
        <f>"－"</f>
        <v>－</v>
      </c>
      <c r="AA126" s="23"/>
      <c r="AB126" s="25" t="str">
        <f>"－"</f>
        <v>－</v>
      </c>
      <c r="AC126" s="23"/>
      <c r="AD126" s="26" t="str">
        <f>"－"</f>
        <v>－</v>
      </c>
    </row>
    <row r="127">
      <c r="A127" s="30" t="s">
        <v>57</v>
      </c>
      <c r="B127" s="22" t="s">
        <v>64</v>
      </c>
      <c r="C127" s="22" t="s">
        <v>65</v>
      </c>
      <c r="D127" s="24"/>
      <c r="E127" s="25" t="str">
        <f>"－"</f>
        <v>－</v>
      </c>
      <c r="F127" s="23"/>
      <c r="G127" s="25" t="str">
        <f>"－"</f>
        <v>－</v>
      </c>
      <c r="H127" s="23"/>
      <c r="I127" s="26" t="str">
        <f>"－"</f>
        <v>－</v>
      </c>
      <c r="J127" s="24"/>
      <c r="K127" s="25" t="str">
        <f>"－"</f>
        <v>－</v>
      </c>
      <c r="L127" s="23"/>
      <c r="M127" s="25" t="str">
        <f>"－"</f>
        <v>－</v>
      </c>
      <c r="N127" s="23"/>
      <c r="O127" s="26" t="str">
        <f>"－"</f>
        <v>－</v>
      </c>
      <c r="P127" s="27" t="str">
        <f>"－"</f>
        <v>－</v>
      </c>
      <c r="Q127" s="28" t="str">
        <f>"－"</f>
        <v>－</v>
      </c>
      <c r="R127" s="29" t="str">
        <f>"－"</f>
        <v>－</v>
      </c>
      <c r="S127" s="24"/>
      <c r="T127" s="25" t="str">
        <f>"－"</f>
        <v>－</v>
      </c>
      <c r="U127" s="23"/>
      <c r="V127" s="25" t="str">
        <f>"－"</f>
        <v>－</v>
      </c>
      <c r="W127" s="23"/>
      <c r="X127" s="26" t="str">
        <f>"－"</f>
        <v>－</v>
      </c>
      <c r="Y127" s="24"/>
      <c r="Z127" s="25" t="str">
        <f>"－"</f>
        <v>－</v>
      </c>
      <c r="AA127" s="23"/>
      <c r="AB127" s="25" t="str">
        <f>"－"</f>
        <v>－</v>
      </c>
      <c r="AC127" s="23"/>
      <c r="AD127" s="26" t="str">
        <f>"－"</f>
        <v>－</v>
      </c>
    </row>
    <row r="128">
      <c r="A128" s="30" t="s">
        <v>58</v>
      </c>
      <c r="B128" s="22" t="s">
        <v>64</v>
      </c>
      <c r="C128" s="22" t="s">
        <v>65</v>
      </c>
      <c r="D128" s="24"/>
      <c r="E128" s="25"/>
      <c r="F128" s="23"/>
      <c r="G128" s="25"/>
      <c r="H128" s="23"/>
      <c r="I128" s="26"/>
      <c r="J128" s="24"/>
      <c r="K128" s="25"/>
      <c r="L128" s="23"/>
      <c r="M128" s="25"/>
      <c r="N128" s="23"/>
      <c r="O128" s="26"/>
      <c r="P128" s="27"/>
      <c r="Q128" s="28"/>
      <c r="R128" s="29"/>
      <c r="S128" s="24"/>
      <c r="T128" s="25"/>
      <c r="U128" s="23"/>
      <c r="V128" s="25"/>
      <c r="W128" s="23"/>
      <c r="X128" s="26"/>
      <c r="Y128" s="24"/>
      <c r="Z128" s="25"/>
      <c r="AA128" s="23"/>
      <c r="AB128" s="25"/>
      <c r="AC128" s="23"/>
      <c r="AD128" s="26"/>
    </row>
    <row r="129">
      <c r="A129" s="30" t="s">
        <v>59</v>
      </c>
      <c r="B129" s="22" t="s">
        <v>64</v>
      </c>
      <c r="C129" s="22" t="s">
        <v>65</v>
      </c>
      <c r="D129" s="24"/>
      <c r="E129" s="25" t="str">
        <f>"－"</f>
        <v>－</v>
      </c>
      <c r="F129" s="23"/>
      <c r="G129" s="25" t="str">
        <f>"－"</f>
        <v>－</v>
      </c>
      <c r="H129" s="23"/>
      <c r="I129" s="26" t="str">
        <f>"－"</f>
        <v>－</v>
      </c>
      <c r="J129" s="24"/>
      <c r="K129" s="25" t="str">
        <f>"－"</f>
        <v>－</v>
      </c>
      <c r="L129" s="23"/>
      <c r="M129" s="25" t="str">
        <f>"－"</f>
        <v>－</v>
      </c>
      <c r="N129" s="23"/>
      <c r="O129" s="26" t="str">
        <f>"－"</f>
        <v>－</v>
      </c>
      <c r="P129" s="27" t="str">
        <f>"－"</f>
        <v>－</v>
      </c>
      <c r="Q129" s="28" t="str">
        <f>"－"</f>
        <v>－</v>
      </c>
      <c r="R129" s="29" t="str">
        <f>"－"</f>
        <v>－</v>
      </c>
      <c r="S129" s="24"/>
      <c r="T129" s="25" t="str">
        <f>"－"</f>
        <v>－</v>
      </c>
      <c r="U129" s="23"/>
      <c r="V129" s="25" t="str">
        <f>"－"</f>
        <v>－</v>
      </c>
      <c r="W129" s="23"/>
      <c r="X129" s="26" t="str">
        <f>"－"</f>
        <v>－</v>
      </c>
      <c r="Y129" s="24"/>
      <c r="Z129" s="25" t="str">
        <f>"－"</f>
        <v>－</v>
      </c>
      <c r="AA129" s="23"/>
      <c r="AB129" s="25" t="str">
        <f>"－"</f>
        <v>－</v>
      </c>
      <c r="AC129" s="23"/>
      <c r="AD129" s="26" t="str">
        <f>"－"</f>
        <v>－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2019-03-19T11:56:46Z</dcterms:modified>
</cp:coreProperties>
</file>