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<sst xmlns="http://schemas.openxmlformats.org/spreadsheetml/2006/main" count="512" uniqueCount="68">
  <si>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</si>
  <si>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</si>
  <si>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</si>
  <si>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</si>
  <si>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</si>
  <si>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</si>
  <si>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</si>
  <si>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</si>
  <si>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</si>
  <si>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</si>
  <si>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</si>
  <si>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</si>
  <si>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</si>
  <si>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</si>
  <si>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</si>
  <si>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</si>
  <si>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</si>
  <si>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</si>
  <si>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</si>
  <si>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</si>
  <si>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</si>
  <si>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</si>
  <si>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</si>
  <si>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</si>
  <si>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</si>
  <si>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</si>
  <si>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5.1</t>
  </si>
  <si>
    <t>日経225オプション</t>
  </si>
  <si>
    <t>Nikkei 225 Options</t>
  </si>
  <si>
    <t>◎</t>
  </si>
  <si>
    <t>2</t>
  </si>
  <si>
    <t>3</t>
  </si>
  <si>
    <t>4</t>
  </si>
  <si>
    <t>5</t>
  </si>
  <si>
    <t>6</t>
  </si>
  <si>
    <t>7</t>
  </si>
  <si>
    <t>8</t>
  </si>
  <si>
    <t>●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</si>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</sst>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33"/>
  <sheetViews>
    <sheetView showGridLines="0" tabSelected="1" view="pageBreakPreview" workbookViewId="0" zoomScaleNormal="70" zoomScaleSheetLayoutView="100"/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 t="s">
        <v>29</v>
      </c>
      <c r="E10" s="25" t="n">
        <f>103618</f>
        <v>103618.0</v>
      </c>
      <c r="F10" s="23"/>
      <c r="G10" s="25" t="n">
        <f>61132</f>
        <v>61132.0</v>
      </c>
      <c r="H10" s="23"/>
      <c r="I10" s="26" t="n">
        <f>164750</f>
        <v>164750.0</v>
      </c>
      <c r="J10" s="24"/>
      <c r="K10" s="25" t="n">
        <f>33072633900</f>
        <v>3.30726339E10</v>
      </c>
      <c r="L10" s="23"/>
      <c r="M10" s="25" t="n">
        <f>11538915500</f>
        <v>1.15389155E10</v>
      </c>
      <c r="N10" s="23"/>
      <c r="O10" s="26" t="n">
        <f>44611549400</f>
        <v>4.46115494E10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4"/>
      <c r="T10" s="25" t="n">
        <f>22621</f>
        <v>22621.0</v>
      </c>
      <c r="U10" s="23"/>
      <c r="V10" s="25" t="n">
        <f>7242</f>
        <v>7242.0</v>
      </c>
      <c r="W10" s="23"/>
      <c r="X10" s="26" t="n">
        <f>29863</f>
        <v>29863.0</v>
      </c>
      <c r="Y10" s="24"/>
      <c r="Z10" s="25" t="n">
        <f>1319967</f>
        <v>1319967.0</v>
      </c>
      <c r="AA10" s="23"/>
      <c r="AB10" s="25" t="n">
        <f>722415</f>
        <v>722415.0</v>
      </c>
      <c r="AC10" s="23"/>
      <c r="AD10" s="26" t="n">
        <f>2042382</f>
        <v>2042382.0</v>
      </c>
    </row>
    <row r="11">
      <c r="A11" s="30" t="s">
        <v>30</v>
      </c>
      <c r="B11" s="22" t="s">
        <v>27</v>
      </c>
      <c r="C11" s="22" t="s">
        <v>28</v>
      </c>
      <c r="D11" s="24"/>
      <c r="E11" s="25"/>
      <c r="F11" s="23"/>
      <c r="G11" s="25"/>
      <c r="H11" s="23"/>
      <c r="I11" s="26"/>
      <c r="J11" s="24"/>
      <c r="K11" s="25"/>
      <c r="L11" s="23"/>
      <c r="M11" s="25"/>
      <c r="N11" s="23"/>
      <c r="O11" s="26"/>
      <c r="P11" s="27"/>
      <c r="Q11" s="28"/>
      <c r="R11" s="29"/>
      <c r="S11" s="24"/>
      <c r="T11" s="25"/>
      <c r="U11" s="23"/>
      <c r="V11" s="25"/>
      <c r="W11" s="23"/>
      <c r="X11" s="26"/>
      <c r="Y11" s="24"/>
      <c r="Z11" s="25"/>
      <c r="AA11" s="23"/>
      <c r="AB11" s="25"/>
      <c r="AC11" s="23"/>
      <c r="AD11" s="26"/>
    </row>
    <row r="12">
      <c r="A12" s="30" t="s">
        <v>31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32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33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34</v>
      </c>
      <c r="B15" s="22" t="s">
        <v>27</v>
      </c>
      <c r="C15" s="22" t="s">
        <v>28</v>
      </c>
      <c r="D15" s="24"/>
      <c r="E15" s="25"/>
      <c r="F15" s="23"/>
      <c r="G15" s="25"/>
      <c r="H15" s="23"/>
      <c r="I15" s="26"/>
      <c r="J15" s="24"/>
      <c r="K15" s="25"/>
      <c r="L15" s="23"/>
      <c r="M15" s="25"/>
      <c r="N15" s="23"/>
      <c r="O15" s="26"/>
      <c r="P15" s="27"/>
      <c r="Q15" s="28"/>
      <c r="R15" s="29"/>
      <c r="S15" s="24"/>
      <c r="T15" s="25"/>
      <c r="U15" s="23"/>
      <c r="V15" s="25"/>
      <c r="W15" s="23"/>
      <c r="X15" s="26"/>
      <c r="Y15" s="24"/>
      <c r="Z15" s="25"/>
      <c r="AA15" s="23"/>
      <c r="AB15" s="25"/>
      <c r="AC15" s="23"/>
      <c r="AD15" s="26"/>
    </row>
    <row r="16">
      <c r="A16" s="30" t="s">
        <v>35</v>
      </c>
      <c r="B16" s="22" t="s">
        <v>27</v>
      </c>
      <c r="C16" s="22" t="s">
        <v>28</v>
      </c>
      <c r="D16" s="24"/>
      <c r="E16" s="25" t="n">
        <f>87416</f>
        <v>87416.0</v>
      </c>
      <c r="F16" s="23"/>
      <c r="G16" s="25" t="n">
        <f>52450</f>
        <v>52450.0</v>
      </c>
      <c r="H16" s="23"/>
      <c r="I16" s="26" t="n">
        <f>139866</f>
        <v>139866.0</v>
      </c>
      <c r="J16" s="24"/>
      <c r="K16" s="25" t="n">
        <f>16162649500</f>
        <v>1.61626495E10</v>
      </c>
      <c r="L16" s="23"/>
      <c r="M16" s="25" t="n">
        <f>10179394500</f>
        <v>1.01793945E10</v>
      </c>
      <c r="N16" s="23"/>
      <c r="O16" s="26" t="n">
        <f>26342044000</f>
        <v>2.6342044E10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4"/>
      <c r="T16" s="25" t="n">
        <f>13368</f>
        <v>13368.0</v>
      </c>
      <c r="U16" s="23"/>
      <c r="V16" s="25" t="n">
        <f>6819</f>
        <v>6819.0</v>
      </c>
      <c r="W16" s="23"/>
      <c r="X16" s="26" t="n">
        <f>20187</f>
        <v>20187.0</v>
      </c>
      <c r="Y16" s="24"/>
      <c r="Z16" s="25" t="n">
        <f>1324457</f>
        <v>1324457.0</v>
      </c>
      <c r="AA16" s="23" t="s">
        <v>29</v>
      </c>
      <c r="AB16" s="25" t="n">
        <f>732494</f>
        <v>732494.0</v>
      </c>
      <c r="AC16" s="23" t="s">
        <v>29</v>
      </c>
      <c r="AD16" s="26" t="n">
        <f>2056951</f>
        <v>2056951.0</v>
      </c>
    </row>
    <row r="17">
      <c r="A17" s="30" t="s">
        <v>36</v>
      </c>
      <c r="B17" s="22" t="s">
        <v>27</v>
      </c>
      <c r="C17" s="22" t="s">
        <v>28</v>
      </c>
      <c r="D17" s="24"/>
      <c r="E17" s="25" t="n">
        <f>71401</f>
        <v>71401.0</v>
      </c>
      <c r="F17" s="23"/>
      <c r="G17" s="25" t="n">
        <f>35706</f>
        <v>35706.0</v>
      </c>
      <c r="H17" s="23"/>
      <c r="I17" s="26" t="n">
        <f>107107</f>
        <v>107107.0</v>
      </c>
      <c r="J17" s="24"/>
      <c r="K17" s="25" t="n">
        <f>21143096280</f>
        <v>2.114309628E10</v>
      </c>
      <c r="L17" s="23"/>
      <c r="M17" s="25" t="n">
        <f>9853943000</f>
        <v>9.853943E9</v>
      </c>
      <c r="N17" s="23"/>
      <c r="O17" s="26" t="n">
        <f>30997039280</f>
        <v>3.099703928E10</v>
      </c>
      <c r="P17" s="27" t="n">
        <f>13896</f>
        <v>13896.0</v>
      </c>
      <c r="Q17" s="28" t="n">
        <f>35326</f>
        <v>35326.0</v>
      </c>
      <c r="R17" s="29" t="n">
        <f>49222</f>
        <v>49222.0</v>
      </c>
      <c r="S17" s="24"/>
      <c r="T17" s="25" t="n">
        <f>19006</f>
        <v>19006.0</v>
      </c>
      <c r="U17" s="23"/>
      <c r="V17" s="25" t="n">
        <f>5743</f>
        <v>5743.0</v>
      </c>
      <c r="W17" s="23"/>
      <c r="X17" s="26" t="n">
        <f>24749</f>
        <v>24749.0</v>
      </c>
      <c r="Y17" s="24" t="s">
        <v>37</v>
      </c>
      <c r="Z17" s="25" t="n">
        <f>1158074</f>
        <v>1158074.0</v>
      </c>
      <c r="AA17" s="23" t="s">
        <v>37</v>
      </c>
      <c r="AB17" s="25" t="n">
        <f>639156</f>
        <v>639156.0</v>
      </c>
      <c r="AC17" s="23" t="s">
        <v>37</v>
      </c>
      <c r="AD17" s="26" t="n">
        <f>1797230</f>
        <v>1797230.0</v>
      </c>
    </row>
    <row r="18">
      <c r="A18" s="30" t="s">
        <v>38</v>
      </c>
      <c r="B18" s="22" t="s">
        <v>27</v>
      </c>
      <c r="C18" s="22" t="s">
        <v>28</v>
      </c>
      <c r="D18" s="24"/>
      <c r="E18" s="25"/>
      <c r="F18" s="23"/>
      <c r="G18" s="25"/>
      <c r="H18" s="23"/>
      <c r="I18" s="26"/>
      <c r="J18" s="24"/>
      <c r="K18" s="25"/>
      <c r="L18" s="23"/>
      <c r="M18" s="25"/>
      <c r="N18" s="23"/>
      <c r="O18" s="26"/>
      <c r="P18" s="27"/>
      <c r="Q18" s="28"/>
      <c r="R18" s="29"/>
      <c r="S18" s="24"/>
      <c r="T18" s="25"/>
      <c r="U18" s="23"/>
      <c r="V18" s="25"/>
      <c r="W18" s="23"/>
      <c r="X18" s="26"/>
      <c r="Y18" s="24"/>
      <c r="Z18" s="25"/>
      <c r="AA18" s="23"/>
      <c r="AB18" s="25"/>
      <c r="AC18" s="23"/>
      <c r="AD18" s="26"/>
    </row>
    <row r="19">
      <c r="A19" s="30" t="s">
        <v>39</v>
      </c>
      <c r="B19" s="22" t="s">
        <v>27</v>
      </c>
      <c r="C19" s="22" t="s">
        <v>28</v>
      </c>
      <c r="D19" s="24"/>
      <c r="E19" s="25"/>
      <c r="F19" s="23"/>
      <c r="G19" s="25"/>
      <c r="H19" s="23"/>
      <c r="I19" s="26"/>
      <c r="J19" s="24"/>
      <c r="K19" s="25"/>
      <c r="L19" s="23"/>
      <c r="M19" s="25"/>
      <c r="N19" s="23"/>
      <c r="O19" s="26"/>
      <c r="P19" s="27"/>
      <c r="Q19" s="28"/>
      <c r="R19" s="29"/>
      <c r="S19" s="24"/>
      <c r="T19" s="25"/>
      <c r="U19" s="23"/>
      <c r="V19" s="25"/>
      <c r="W19" s="23"/>
      <c r="X19" s="26"/>
      <c r="Y19" s="24"/>
      <c r="Z19" s="25"/>
      <c r="AA19" s="23"/>
      <c r="AB19" s="25"/>
      <c r="AC19" s="23"/>
      <c r="AD19" s="26"/>
    </row>
    <row r="20">
      <c r="A20" s="30" t="s">
        <v>40</v>
      </c>
      <c r="B20" s="22" t="s">
        <v>27</v>
      </c>
      <c r="C20" s="22" t="s">
        <v>28</v>
      </c>
      <c r="D20" s="24"/>
      <c r="E20" s="25" t="n">
        <f>58359</f>
        <v>58359.0</v>
      </c>
      <c r="F20" s="23"/>
      <c r="G20" s="25" t="n">
        <f>43953</f>
        <v>43953.0</v>
      </c>
      <c r="H20" s="23"/>
      <c r="I20" s="26" t="n">
        <f>102312</f>
        <v>102312.0</v>
      </c>
      <c r="J20" s="24"/>
      <c r="K20" s="25" t="n">
        <f>19210817440</f>
        <v>1.921081744E10</v>
      </c>
      <c r="L20" s="23"/>
      <c r="M20" s="25" t="n">
        <f>10743924460</f>
        <v>1.074392446E10</v>
      </c>
      <c r="N20" s="23"/>
      <c r="O20" s="26" t="n">
        <f>29954741900</f>
        <v>2.99547419E10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16458</f>
        <v>16458.0</v>
      </c>
      <c r="U20" s="23"/>
      <c r="V20" s="25" t="n">
        <f>9503</f>
        <v>9503.0</v>
      </c>
      <c r="W20" s="23"/>
      <c r="X20" s="26" t="n">
        <f>25961</f>
        <v>25961.0</v>
      </c>
      <c r="Y20" s="24"/>
      <c r="Z20" s="25" t="n">
        <f>1171668</f>
        <v>1171668.0</v>
      </c>
      <c r="AA20" s="23"/>
      <c r="AB20" s="25" t="n">
        <f>643377</f>
        <v>643377.0</v>
      </c>
      <c r="AC20" s="23"/>
      <c r="AD20" s="26" t="n">
        <f>1815045</f>
        <v>1815045.0</v>
      </c>
    </row>
    <row r="21">
      <c r="A21" s="30" t="s">
        <v>41</v>
      </c>
      <c r="B21" s="22" t="s">
        <v>27</v>
      </c>
      <c r="C21" s="22" t="s">
        <v>28</v>
      </c>
      <c r="D21" s="24"/>
      <c r="E21" s="25" t="n">
        <f>49844</f>
        <v>49844.0</v>
      </c>
      <c r="F21" s="23" t="s">
        <v>37</v>
      </c>
      <c r="G21" s="25" t="n">
        <f>22013</f>
        <v>22013.0</v>
      </c>
      <c r="H21" s="23"/>
      <c r="I21" s="26" t="n">
        <f>71857</f>
        <v>71857.0</v>
      </c>
      <c r="J21" s="24"/>
      <c r="K21" s="25" t="n">
        <f>16581548060</f>
        <v>1.658154806E10</v>
      </c>
      <c r="L21" s="23"/>
      <c r="M21" s="25" t="n">
        <f>5810633500</f>
        <v>5.8106335E9</v>
      </c>
      <c r="N21" s="23"/>
      <c r="O21" s="26" t="n">
        <f>22392181560</f>
        <v>2.239218156E10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11932</f>
        <v>11932.0</v>
      </c>
      <c r="U21" s="23"/>
      <c r="V21" s="25" t="n">
        <f>2775</f>
        <v>2775.0</v>
      </c>
      <c r="W21" s="23"/>
      <c r="X21" s="26" t="n">
        <f>14707</f>
        <v>14707.0</v>
      </c>
      <c r="Y21" s="24"/>
      <c r="Z21" s="25" t="n">
        <f>1186477</f>
        <v>1186477.0</v>
      </c>
      <c r="AA21" s="23"/>
      <c r="AB21" s="25" t="n">
        <f>644179</f>
        <v>644179.0</v>
      </c>
      <c r="AC21" s="23"/>
      <c r="AD21" s="26" t="n">
        <f>1830656</f>
        <v>1830656.0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44887</f>
        <v>44887.0</v>
      </c>
      <c r="F22" s="23"/>
      <c r="G22" s="25" t="n">
        <f>25340</f>
        <v>25340.0</v>
      </c>
      <c r="H22" s="23"/>
      <c r="I22" s="26" t="n">
        <f>70227</f>
        <v>70227.0</v>
      </c>
      <c r="J22" s="24"/>
      <c r="K22" s="25" t="n">
        <f>14823143000</f>
        <v>1.4823143E10</v>
      </c>
      <c r="L22" s="23"/>
      <c r="M22" s="25" t="n">
        <f>6423108000</f>
        <v>6.423108E9</v>
      </c>
      <c r="N22" s="23"/>
      <c r="O22" s="26" t="n">
        <f>21246251000</f>
        <v>2.1246251E10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4"/>
      <c r="T22" s="25" t="n">
        <f>10394</f>
        <v>10394.0</v>
      </c>
      <c r="U22" s="23"/>
      <c r="V22" s="25" t="n">
        <f>4926</f>
        <v>4926.0</v>
      </c>
      <c r="W22" s="23"/>
      <c r="X22" s="26" t="n">
        <f>15320</f>
        <v>15320.0</v>
      </c>
      <c r="Y22" s="24"/>
      <c r="Z22" s="25" t="n">
        <f>1200145</f>
        <v>1200145.0</v>
      </c>
      <c r="AA22" s="23"/>
      <c r="AB22" s="25" t="n">
        <f>649023</f>
        <v>649023.0</v>
      </c>
      <c r="AC22" s="23"/>
      <c r="AD22" s="26" t="n">
        <f>1849168</f>
        <v>1849168.0</v>
      </c>
    </row>
    <row r="23">
      <c r="A23" s="30" t="s">
        <v>43</v>
      </c>
      <c r="B23" s="22" t="s">
        <v>27</v>
      </c>
      <c r="C23" s="22" t="s">
        <v>28</v>
      </c>
      <c r="D23" s="24"/>
      <c r="E23" s="25" t="n">
        <f>79065</f>
        <v>79065.0</v>
      </c>
      <c r="F23" s="23"/>
      <c r="G23" s="25" t="n">
        <f>31171</f>
        <v>31171.0</v>
      </c>
      <c r="H23" s="23"/>
      <c r="I23" s="26" t="n">
        <f>110236</f>
        <v>110236.0</v>
      </c>
      <c r="J23" s="24" t="s">
        <v>29</v>
      </c>
      <c r="K23" s="25" t="n">
        <f>48330725885</f>
        <v>4.8330725885E10</v>
      </c>
      <c r="L23" s="23"/>
      <c r="M23" s="25" t="n">
        <f>17538407630</f>
        <v>1.753840763E10</v>
      </c>
      <c r="N23" s="23"/>
      <c r="O23" s="26" t="n">
        <f>65869133515</f>
        <v>6.5869133515E10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4"/>
      <c r="T23" s="25" t="n">
        <f>16438</f>
        <v>16438.0</v>
      </c>
      <c r="U23" s="23"/>
      <c r="V23" s="25" t="n">
        <f>9668</f>
        <v>9668.0</v>
      </c>
      <c r="W23" s="23"/>
      <c r="X23" s="26" t="n">
        <f>26106</f>
        <v>26106.0</v>
      </c>
      <c r="Y23" s="24"/>
      <c r="Z23" s="25" t="n">
        <f>1221078</f>
        <v>1221078.0</v>
      </c>
      <c r="AA23" s="23"/>
      <c r="AB23" s="25" t="n">
        <f>658295</f>
        <v>658295.0</v>
      </c>
      <c r="AC23" s="23"/>
      <c r="AD23" s="26" t="n">
        <f>1879373</f>
        <v>1879373.0</v>
      </c>
    </row>
    <row r="24">
      <c r="A24" s="30" t="s">
        <v>44</v>
      </c>
      <c r="B24" s="22" t="s">
        <v>27</v>
      </c>
      <c r="C24" s="22" t="s">
        <v>28</v>
      </c>
      <c r="D24" s="24"/>
      <c r="E24" s="25" t="n">
        <f>60118</f>
        <v>60118.0</v>
      </c>
      <c r="F24" s="23"/>
      <c r="G24" s="25" t="n">
        <f>46333</f>
        <v>46333.0</v>
      </c>
      <c r="H24" s="23"/>
      <c r="I24" s="26" t="n">
        <f>106451</f>
        <v>106451.0</v>
      </c>
      <c r="J24" s="24"/>
      <c r="K24" s="25" t="n">
        <f>26866385750</f>
        <v>2.686638575E10</v>
      </c>
      <c r="L24" s="23"/>
      <c r="M24" s="25" t="n">
        <f>12896617610</f>
        <v>1.289661761E10</v>
      </c>
      <c r="N24" s="23"/>
      <c r="O24" s="26" t="n">
        <f>39763003360</f>
        <v>3.976300336E10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4"/>
      <c r="T24" s="25" t="n">
        <f>11600</f>
        <v>11600.0</v>
      </c>
      <c r="U24" s="23"/>
      <c r="V24" s="25" t="n">
        <f>12205</f>
        <v>12205.0</v>
      </c>
      <c r="W24" s="23"/>
      <c r="X24" s="26" t="n">
        <f>23805</f>
        <v>23805.0</v>
      </c>
      <c r="Y24" s="24"/>
      <c r="Z24" s="25" t="n">
        <f>1226488</f>
        <v>1226488.0</v>
      </c>
      <c r="AA24" s="23"/>
      <c r="AB24" s="25" t="n">
        <f>665607</f>
        <v>665607.0</v>
      </c>
      <c r="AC24" s="23"/>
      <c r="AD24" s="26" t="n">
        <f>1892095</f>
        <v>1892095.0</v>
      </c>
    </row>
    <row r="25">
      <c r="A25" s="30" t="s">
        <v>45</v>
      </c>
      <c r="B25" s="22" t="s">
        <v>27</v>
      </c>
      <c r="C25" s="22" t="s">
        <v>28</v>
      </c>
      <c r="D25" s="24"/>
      <c r="E25" s="25"/>
      <c r="F25" s="23"/>
      <c r="G25" s="25"/>
      <c r="H25" s="23"/>
      <c r="I25" s="26"/>
      <c r="J25" s="24"/>
      <c r="K25" s="25"/>
      <c r="L25" s="23"/>
      <c r="M25" s="25"/>
      <c r="N25" s="23"/>
      <c r="O25" s="26"/>
      <c r="P25" s="27"/>
      <c r="Q25" s="28"/>
      <c r="R25" s="29"/>
      <c r="S25" s="24"/>
      <c r="T25" s="25"/>
      <c r="U25" s="23"/>
      <c r="V25" s="25"/>
      <c r="W25" s="23"/>
      <c r="X25" s="26"/>
      <c r="Y25" s="24"/>
      <c r="Z25" s="25"/>
      <c r="AA25" s="23"/>
      <c r="AB25" s="25"/>
      <c r="AC25" s="23"/>
      <c r="AD25" s="26"/>
    </row>
    <row r="26">
      <c r="A26" s="30" t="s">
        <v>46</v>
      </c>
      <c r="B26" s="22" t="s">
        <v>27</v>
      </c>
      <c r="C26" s="22" t="s">
        <v>28</v>
      </c>
      <c r="D26" s="24"/>
      <c r="E26" s="25"/>
      <c r="F26" s="23"/>
      <c r="G26" s="25"/>
      <c r="H26" s="23"/>
      <c r="I26" s="26"/>
      <c r="J26" s="24"/>
      <c r="K26" s="25"/>
      <c r="L26" s="23"/>
      <c r="M26" s="25"/>
      <c r="N26" s="23"/>
      <c r="O26" s="26"/>
      <c r="P26" s="27"/>
      <c r="Q26" s="28"/>
      <c r="R26" s="29"/>
      <c r="S26" s="24"/>
      <c r="T26" s="25"/>
      <c r="U26" s="23"/>
      <c r="V26" s="25"/>
      <c r="W26" s="23"/>
      <c r="X26" s="26"/>
      <c r="Y26" s="24"/>
      <c r="Z26" s="25"/>
      <c r="AA26" s="23"/>
      <c r="AB26" s="25"/>
      <c r="AC26" s="23"/>
      <c r="AD26" s="26"/>
    </row>
    <row r="27">
      <c r="A27" s="30" t="s">
        <v>47</v>
      </c>
      <c r="B27" s="22" t="s">
        <v>27</v>
      </c>
      <c r="C27" s="22" t="s">
        <v>28</v>
      </c>
      <c r="D27" s="24" t="s">
        <v>37</v>
      </c>
      <c r="E27" s="25" t="n">
        <f>40210</f>
        <v>40210.0</v>
      </c>
      <c r="F27" s="23"/>
      <c r="G27" s="25" t="n">
        <f>24632</f>
        <v>24632.0</v>
      </c>
      <c r="H27" s="23" t="s">
        <v>37</v>
      </c>
      <c r="I27" s="26" t="n">
        <f>64842</f>
        <v>64842.0</v>
      </c>
      <c r="J27" s="24"/>
      <c r="K27" s="25" t="n">
        <f>11969081150</f>
        <v>1.196908115E10</v>
      </c>
      <c r="L27" s="23" t="s">
        <v>37</v>
      </c>
      <c r="M27" s="25" t="n">
        <f>4739407000</f>
        <v>4.739407E9</v>
      </c>
      <c r="N27" s="23"/>
      <c r="O27" s="26" t="n">
        <f>16708488150</f>
        <v>1.670848815E10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8288</f>
        <v>8288.0</v>
      </c>
      <c r="U27" s="23" t="s">
        <v>37</v>
      </c>
      <c r="V27" s="25" t="n">
        <f>2346</f>
        <v>2346.0</v>
      </c>
      <c r="W27" s="23" t="s">
        <v>37</v>
      </c>
      <c r="X27" s="26" t="n">
        <f>10634</f>
        <v>10634.0</v>
      </c>
      <c r="Y27" s="24"/>
      <c r="Z27" s="25" t="n">
        <f>1231896</f>
        <v>1231896.0</v>
      </c>
      <c r="AA27" s="23"/>
      <c r="AB27" s="25" t="n">
        <f>667883</f>
        <v>667883.0</v>
      </c>
      <c r="AC27" s="23"/>
      <c r="AD27" s="26" t="n">
        <f>1899779</f>
        <v>1899779.0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44938</f>
        <v>44938.0</v>
      </c>
      <c r="F28" s="23"/>
      <c r="G28" s="25" t="n">
        <f>38873</f>
        <v>38873.0</v>
      </c>
      <c r="H28" s="23"/>
      <c r="I28" s="26" t="n">
        <f>83811</f>
        <v>83811.0</v>
      </c>
      <c r="J28" s="24"/>
      <c r="K28" s="25" t="n">
        <f>13171125900</f>
        <v>1.31711259E10</v>
      </c>
      <c r="L28" s="23"/>
      <c r="M28" s="25" t="n">
        <f>14635992850</f>
        <v>1.463599285E10</v>
      </c>
      <c r="N28" s="23"/>
      <c r="O28" s="26" t="n">
        <f>27807118750</f>
        <v>2.780711875E10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9621</f>
        <v>9621.0</v>
      </c>
      <c r="U28" s="23"/>
      <c r="V28" s="25" t="n">
        <f>9958</f>
        <v>9958.0</v>
      </c>
      <c r="W28" s="23"/>
      <c r="X28" s="26" t="n">
        <f>19579</f>
        <v>19579.0</v>
      </c>
      <c r="Y28" s="24"/>
      <c r="Z28" s="25" t="n">
        <f>1231827</f>
        <v>1231827.0</v>
      </c>
      <c r="AA28" s="23"/>
      <c r="AB28" s="25" t="n">
        <f>666427</f>
        <v>666427.0</v>
      </c>
      <c r="AC28" s="23"/>
      <c r="AD28" s="26" t="n">
        <f>1898254</f>
        <v>1898254.0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59159</f>
        <v>59159.0</v>
      </c>
      <c r="F29" s="23"/>
      <c r="G29" s="25" t="n">
        <f>32447</f>
        <v>32447.0</v>
      </c>
      <c r="H29" s="23"/>
      <c r="I29" s="26" t="n">
        <f>91606</f>
        <v>91606.0</v>
      </c>
      <c r="J29" s="24"/>
      <c r="K29" s="25" t="n">
        <f>31140922250</f>
        <v>3.114092225E10</v>
      </c>
      <c r="L29" s="23"/>
      <c r="M29" s="25" t="n">
        <f>12868928070</f>
        <v>1.286892807E10</v>
      </c>
      <c r="N29" s="23"/>
      <c r="O29" s="26" t="n">
        <f>44009850320</f>
        <v>4.400985032E10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17385</f>
        <v>17385.0</v>
      </c>
      <c r="U29" s="23"/>
      <c r="V29" s="25" t="n">
        <f>4610</f>
        <v>4610.0</v>
      </c>
      <c r="W29" s="23"/>
      <c r="X29" s="26" t="n">
        <f>21995</f>
        <v>21995.0</v>
      </c>
      <c r="Y29" s="24"/>
      <c r="Z29" s="25" t="n">
        <f>1251504</f>
        <v>1251504.0</v>
      </c>
      <c r="AA29" s="23"/>
      <c r="AB29" s="25" t="n">
        <f>675029</f>
        <v>675029.0</v>
      </c>
      <c r="AC29" s="23"/>
      <c r="AD29" s="26" t="n">
        <f>1926533</f>
        <v>1926533.0</v>
      </c>
    </row>
    <row r="30">
      <c r="A30" s="30" t="s">
        <v>50</v>
      </c>
      <c r="B30" s="22" t="s">
        <v>27</v>
      </c>
      <c r="C30" s="22" t="s">
        <v>28</v>
      </c>
      <c r="D30" s="24"/>
      <c r="E30" s="25" t="n">
        <f>40533</f>
        <v>40533.0</v>
      </c>
      <c r="F30" s="23"/>
      <c r="G30" s="25" t="n">
        <f>33625</f>
        <v>33625.0</v>
      </c>
      <c r="H30" s="23"/>
      <c r="I30" s="26" t="n">
        <f>74158</f>
        <v>74158.0</v>
      </c>
      <c r="J30" s="24"/>
      <c r="K30" s="25" t="n">
        <f>12572055800</f>
        <v>1.25720558E10</v>
      </c>
      <c r="L30" s="23"/>
      <c r="M30" s="25" t="n">
        <f>7001834000</f>
        <v>7.001834E9</v>
      </c>
      <c r="N30" s="23"/>
      <c r="O30" s="26" t="n">
        <f>19573889800</f>
        <v>1.95738898E10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4" t="s">
        <v>37</v>
      </c>
      <c r="T30" s="25" t="n">
        <f>7616</f>
        <v>7616.0</v>
      </c>
      <c r="U30" s="23"/>
      <c r="V30" s="25" t="n">
        <f>7102</f>
        <v>7102.0</v>
      </c>
      <c r="W30" s="23"/>
      <c r="X30" s="26" t="n">
        <f>14718</f>
        <v>14718.0</v>
      </c>
      <c r="Y30" s="24"/>
      <c r="Z30" s="25" t="n">
        <f>1254807</f>
        <v>1254807.0</v>
      </c>
      <c r="AA30" s="23"/>
      <c r="AB30" s="25" t="n">
        <f>679045</f>
        <v>679045.0</v>
      </c>
      <c r="AC30" s="23"/>
      <c r="AD30" s="26" t="n">
        <f>1933852</f>
        <v>1933852.0</v>
      </c>
    </row>
    <row r="31">
      <c r="A31" s="30" t="s">
        <v>51</v>
      </c>
      <c r="B31" s="22" t="s">
        <v>27</v>
      </c>
      <c r="C31" s="22" t="s">
        <v>28</v>
      </c>
      <c r="D31" s="24"/>
      <c r="E31" s="25" t="n">
        <f>54798</f>
        <v>54798.0</v>
      </c>
      <c r="F31" s="23"/>
      <c r="G31" s="25" t="n">
        <f>29157</f>
        <v>29157.0</v>
      </c>
      <c r="H31" s="23"/>
      <c r="I31" s="26" t="n">
        <f>83955</f>
        <v>83955.0</v>
      </c>
      <c r="J31" s="24" t="s">
        <v>37</v>
      </c>
      <c r="K31" s="25" t="n">
        <f>9860470600</f>
        <v>9.8604706E9</v>
      </c>
      <c r="L31" s="23"/>
      <c r="M31" s="25" t="n">
        <f>5062728820</f>
        <v>5.06272882E9</v>
      </c>
      <c r="N31" s="23" t="s">
        <v>37</v>
      </c>
      <c r="O31" s="26" t="n">
        <f>14923199420</f>
        <v>1.492319942E10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4"/>
      <c r="T31" s="25" t="n">
        <f>8163</f>
        <v>8163.0</v>
      </c>
      <c r="U31" s="23"/>
      <c r="V31" s="25" t="n">
        <f>4158</f>
        <v>4158.0</v>
      </c>
      <c r="W31" s="23"/>
      <c r="X31" s="26" t="n">
        <f>12321</f>
        <v>12321.0</v>
      </c>
      <c r="Y31" s="24"/>
      <c r="Z31" s="25" t="n">
        <f>1263649</f>
        <v>1263649.0</v>
      </c>
      <c r="AA31" s="23"/>
      <c r="AB31" s="25" t="n">
        <f>678955</f>
        <v>678955.0</v>
      </c>
      <c r="AC31" s="23"/>
      <c r="AD31" s="26" t="n">
        <f>1942604</f>
        <v>1942604.0</v>
      </c>
    </row>
    <row r="32">
      <c r="A32" s="30" t="s">
        <v>52</v>
      </c>
      <c r="B32" s="22" t="s">
        <v>27</v>
      </c>
      <c r="C32" s="22" t="s">
        <v>28</v>
      </c>
      <c r="D32" s="24"/>
      <c r="E32" s="25"/>
      <c r="F32" s="23"/>
      <c r="G32" s="25"/>
      <c r="H32" s="23"/>
      <c r="I32" s="26"/>
      <c r="J32" s="24"/>
      <c r="K32" s="25"/>
      <c r="L32" s="23"/>
      <c r="M32" s="25"/>
      <c r="N32" s="23"/>
      <c r="O32" s="26"/>
      <c r="P32" s="27"/>
      <c r="Q32" s="28"/>
      <c r="R32" s="29"/>
      <c r="S32" s="24"/>
      <c r="T32" s="25"/>
      <c r="U32" s="23"/>
      <c r="V32" s="25"/>
      <c r="W32" s="23"/>
      <c r="X32" s="26"/>
      <c r="Y32" s="24"/>
      <c r="Z32" s="25"/>
      <c r="AA32" s="23"/>
      <c r="AB32" s="25"/>
      <c r="AC32" s="23"/>
      <c r="AD32" s="26"/>
    </row>
    <row r="33">
      <c r="A33" s="30" t="s">
        <v>53</v>
      </c>
      <c r="B33" s="22" t="s">
        <v>27</v>
      </c>
      <c r="C33" s="22" t="s">
        <v>28</v>
      </c>
      <c r="D33" s="24"/>
      <c r="E33" s="25"/>
      <c r="F33" s="23"/>
      <c r="G33" s="25"/>
      <c r="H33" s="23"/>
      <c r="I33" s="26"/>
      <c r="J33" s="24"/>
      <c r="K33" s="25"/>
      <c r="L33" s="23"/>
      <c r="M33" s="25"/>
      <c r="N33" s="23"/>
      <c r="O33" s="26"/>
      <c r="P33" s="27"/>
      <c r="Q33" s="28"/>
      <c r="R33" s="29"/>
      <c r="S33" s="24"/>
      <c r="T33" s="25"/>
      <c r="U33" s="23"/>
      <c r="V33" s="25"/>
      <c r="W33" s="23"/>
      <c r="X33" s="26"/>
      <c r="Y33" s="24"/>
      <c r="Z33" s="25"/>
      <c r="AA33" s="23"/>
      <c r="AB33" s="25"/>
      <c r="AC33" s="23"/>
      <c r="AD33" s="26"/>
    </row>
    <row r="34">
      <c r="A34" s="30" t="s">
        <v>54</v>
      </c>
      <c r="B34" s="22" t="s">
        <v>27</v>
      </c>
      <c r="C34" s="22" t="s">
        <v>28</v>
      </c>
      <c r="D34" s="24"/>
      <c r="E34" s="25" t="n">
        <f>49527</f>
        <v>49527.0</v>
      </c>
      <c r="F34" s="23"/>
      <c r="G34" s="25" t="n">
        <f>29733</f>
        <v>29733.0</v>
      </c>
      <c r="H34" s="23"/>
      <c r="I34" s="26" t="n">
        <f>79260</f>
        <v>79260.0</v>
      </c>
      <c r="J34" s="24"/>
      <c r="K34" s="25" t="n">
        <f>14848333000</f>
        <v>1.4848333E10</v>
      </c>
      <c r="L34" s="23"/>
      <c r="M34" s="25" t="n">
        <f>13242824000</f>
        <v>1.3242824E10</v>
      </c>
      <c r="N34" s="23"/>
      <c r="O34" s="26" t="n">
        <f>28091157000</f>
        <v>2.8091157E10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10398</f>
        <v>10398.0</v>
      </c>
      <c r="U34" s="23"/>
      <c r="V34" s="25" t="n">
        <f>5344</f>
        <v>5344.0</v>
      </c>
      <c r="W34" s="23"/>
      <c r="X34" s="26" t="n">
        <f>15742</f>
        <v>15742.0</v>
      </c>
      <c r="Y34" s="24"/>
      <c r="Z34" s="25" t="n">
        <f>1270686</f>
        <v>1270686.0</v>
      </c>
      <c r="AA34" s="23"/>
      <c r="AB34" s="25" t="n">
        <f>687724</f>
        <v>687724.0</v>
      </c>
      <c r="AC34" s="23"/>
      <c r="AD34" s="26" t="n">
        <f>1958410</f>
        <v>1958410.0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91592</f>
        <v>91592.0</v>
      </c>
      <c r="F35" s="23"/>
      <c r="G35" s="25" t="n">
        <f>58869</f>
        <v>58869.0</v>
      </c>
      <c r="H35" s="23"/>
      <c r="I35" s="26" t="n">
        <f>150461</f>
        <v>150461.0</v>
      </c>
      <c r="J35" s="24"/>
      <c r="K35" s="25" t="n">
        <f>16216022650</f>
        <v>1.621602265E10</v>
      </c>
      <c r="L35" s="23"/>
      <c r="M35" s="25" t="n">
        <f>16923735500</f>
        <v>1.69237355E10</v>
      </c>
      <c r="N35" s="23"/>
      <c r="O35" s="26" t="n">
        <f>33139758150</f>
        <v>3.313975815E10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22517</f>
        <v>22517.0</v>
      </c>
      <c r="U35" s="23"/>
      <c r="V35" s="25" t="n">
        <f>9570</f>
        <v>9570.0</v>
      </c>
      <c r="W35" s="23"/>
      <c r="X35" s="26" t="n">
        <f>32087</f>
        <v>32087.0</v>
      </c>
      <c r="Y35" s="24"/>
      <c r="Z35" s="25" t="n">
        <f>1281437</f>
        <v>1281437.0</v>
      </c>
      <c r="AA35" s="23"/>
      <c r="AB35" s="25" t="n">
        <f>688997</f>
        <v>688997.0</v>
      </c>
      <c r="AC35" s="23"/>
      <c r="AD35" s="26" t="n">
        <f>1970434</f>
        <v>1970434.0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96089</f>
        <v>96089.0</v>
      </c>
      <c r="F36" s="23"/>
      <c r="G36" s="25" t="n">
        <f>59743</f>
        <v>59743.0</v>
      </c>
      <c r="H36" s="23"/>
      <c r="I36" s="26" t="n">
        <f>155832</f>
        <v>155832.0</v>
      </c>
      <c r="J36" s="24"/>
      <c r="K36" s="25" t="n">
        <f>16283944700</f>
        <v>1.62839447E10</v>
      </c>
      <c r="L36" s="23"/>
      <c r="M36" s="25" t="n">
        <f>16677446800</f>
        <v>1.66774468E10</v>
      </c>
      <c r="N36" s="23"/>
      <c r="O36" s="26" t="n">
        <f>32961391500</f>
        <v>3.29613915E10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 t="s">
        <v>29</v>
      </c>
      <c r="T36" s="25" t="n">
        <f>23281</f>
        <v>23281.0</v>
      </c>
      <c r="U36" s="23"/>
      <c r="V36" s="25" t="n">
        <f>8941</f>
        <v>8941.0</v>
      </c>
      <c r="W36" s="23"/>
      <c r="X36" s="26" t="n">
        <f>32222</f>
        <v>32222.0</v>
      </c>
      <c r="Y36" s="24"/>
      <c r="Z36" s="25" t="n">
        <f>1298071</f>
        <v>1298071.0</v>
      </c>
      <c r="AA36" s="23"/>
      <c r="AB36" s="25" t="n">
        <f>692851</f>
        <v>692851.0</v>
      </c>
      <c r="AC36" s="23"/>
      <c r="AD36" s="26" t="n">
        <f>1990922</f>
        <v>1990922.0</v>
      </c>
    </row>
    <row r="37">
      <c r="A37" s="30" t="s">
        <v>57</v>
      </c>
      <c r="B37" s="22" t="s">
        <v>27</v>
      </c>
      <c r="C37" s="22" t="s">
        <v>28</v>
      </c>
      <c r="D37" s="24"/>
      <c r="E37" s="25" t="n">
        <f>78466</f>
        <v>78466.0</v>
      </c>
      <c r="F37" s="23" t="s">
        <v>29</v>
      </c>
      <c r="G37" s="25" t="n">
        <f>95450</f>
        <v>95450.0</v>
      </c>
      <c r="H37" s="23"/>
      <c r="I37" s="26" t="n">
        <f>173916</f>
        <v>173916.0</v>
      </c>
      <c r="J37" s="24"/>
      <c r="K37" s="25" t="n">
        <f>15316233000</f>
        <v>1.5316233E10</v>
      </c>
      <c r="L37" s="23"/>
      <c r="M37" s="25" t="n">
        <f>20198459160</f>
        <v>2.019845916E10</v>
      </c>
      <c r="N37" s="23"/>
      <c r="O37" s="26" t="n">
        <f>35514692160</f>
        <v>3.551469216E10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4"/>
      <c r="T37" s="25" t="n">
        <f>10546</f>
        <v>10546.0</v>
      </c>
      <c r="U37" s="23"/>
      <c r="V37" s="25" t="n">
        <f>11536</f>
        <v>11536.0</v>
      </c>
      <c r="W37" s="23"/>
      <c r="X37" s="26" t="n">
        <f>22082</f>
        <v>22082.0</v>
      </c>
      <c r="Y37" s="24"/>
      <c r="Z37" s="25" t="n">
        <f>1307646</f>
        <v>1307646.0</v>
      </c>
      <c r="AA37" s="23"/>
      <c r="AB37" s="25" t="n">
        <f>703373</f>
        <v>703373.0</v>
      </c>
      <c r="AC37" s="23"/>
      <c r="AD37" s="26" t="n">
        <f>2011019</f>
        <v>2011019.0</v>
      </c>
    </row>
    <row r="38">
      <c r="A38" s="30" t="s">
        <v>58</v>
      </c>
      <c r="B38" s="22" t="s">
        <v>27</v>
      </c>
      <c r="C38" s="22" t="s">
        <v>28</v>
      </c>
      <c r="D38" s="24"/>
      <c r="E38" s="25" t="n">
        <f>100601</f>
        <v>100601.0</v>
      </c>
      <c r="F38" s="23"/>
      <c r="G38" s="25" t="n">
        <f>73695</f>
        <v>73695.0</v>
      </c>
      <c r="H38" s="23" t="s">
        <v>29</v>
      </c>
      <c r="I38" s="26" t="n">
        <f>174296</f>
        <v>174296.0</v>
      </c>
      <c r="J38" s="24"/>
      <c r="K38" s="25" t="n">
        <f>33089145032</f>
        <v>3.3089145032E10</v>
      </c>
      <c r="L38" s="23" t="s">
        <v>29</v>
      </c>
      <c r="M38" s="25" t="n">
        <f>38595140640</f>
        <v>3.859514064E10</v>
      </c>
      <c r="N38" s="23" t="s">
        <v>29</v>
      </c>
      <c r="O38" s="26" t="n">
        <f>71684285672</f>
        <v>7.1684285672E10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4"/>
      <c r="T38" s="25" t="n">
        <f>22622</f>
        <v>22622.0</v>
      </c>
      <c r="U38" s="23" t="s">
        <v>29</v>
      </c>
      <c r="V38" s="25" t="n">
        <f>17863</f>
        <v>17863.0</v>
      </c>
      <c r="W38" s="23" t="s">
        <v>29</v>
      </c>
      <c r="X38" s="26" t="n">
        <f>40485</f>
        <v>40485.0</v>
      </c>
      <c r="Y38" s="24" t="s">
        <v>29</v>
      </c>
      <c r="Z38" s="25" t="n">
        <f>1329563</f>
        <v>1329563.0</v>
      </c>
      <c r="AA38" s="23"/>
      <c r="AB38" s="25" t="n">
        <f>709649</f>
        <v>709649.0</v>
      </c>
      <c r="AC38" s="23"/>
      <c r="AD38" s="26" t="n">
        <f>2039212</f>
        <v>2039212.0</v>
      </c>
    </row>
    <row r="39">
      <c r="A39" s="30" t="s">
        <v>59</v>
      </c>
      <c r="B39" s="22" t="s">
        <v>27</v>
      </c>
      <c r="C39" s="22" t="s">
        <v>28</v>
      </c>
      <c r="D39" s="24"/>
      <c r="E39" s="25"/>
      <c r="F39" s="23"/>
      <c r="G39" s="25"/>
      <c r="H39" s="23"/>
      <c r="I39" s="26"/>
      <c r="J39" s="24"/>
      <c r="K39" s="25"/>
      <c r="L39" s="23"/>
      <c r="M39" s="25"/>
      <c r="N39" s="23"/>
      <c r="O39" s="26"/>
      <c r="P39" s="27"/>
      <c r="Q39" s="28"/>
      <c r="R39" s="29"/>
      <c r="S39" s="24"/>
      <c r="T39" s="25"/>
      <c r="U39" s="23"/>
      <c r="V39" s="25"/>
      <c r="W39" s="23"/>
      <c r="X39" s="26"/>
      <c r="Y39" s="24"/>
      <c r="Z39" s="25"/>
      <c r="AA39" s="23"/>
      <c r="AB39" s="25"/>
      <c r="AC39" s="23"/>
      <c r="AD39" s="26"/>
    </row>
    <row r="40">
      <c r="A40" s="30" t="s">
        <v>60</v>
      </c>
      <c r="B40" s="22" t="s">
        <v>27</v>
      </c>
      <c r="C40" s="22" t="s">
        <v>28</v>
      </c>
      <c r="D40" s="24"/>
      <c r="E40" s="25"/>
      <c r="F40" s="23"/>
      <c r="G40" s="25"/>
      <c r="H40" s="23"/>
      <c r="I40" s="26"/>
      <c r="J40" s="24"/>
      <c r="K40" s="25"/>
      <c r="L40" s="23"/>
      <c r="M40" s="25"/>
      <c r="N40" s="23"/>
      <c r="O40" s="26"/>
      <c r="P40" s="27"/>
      <c r="Q40" s="28"/>
      <c r="R40" s="29"/>
      <c r="S40" s="24"/>
      <c r="T40" s="25"/>
      <c r="U40" s="23"/>
      <c r="V40" s="25"/>
      <c r="W40" s="23"/>
      <c r="X40" s="26"/>
      <c r="Y40" s="24"/>
      <c r="Z40" s="25"/>
      <c r="AA40" s="23"/>
      <c r="AB40" s="25"/>
      <c r="AC40" s="23"/>
      <c r="AD40" s="26"/>
    </row>
    <row r="41">
      <c r="A41" s="30" t="s">
        <v>26</v>
      </c>
      <c r="B41" s="22" t="s">
        <v>61</v>
      </c>
      <c r="C41" s="22" t="s">
        <v>62</v>
      </c>
      <c r="D41" s="24" t="s">
        <v>37</v>
      </c>
      <c r="E41" s="25" t="n">
        <f>56</f>
        <v>56.0</v>
      </c>
      <c r="F41" s="23" t="s">
        <v>37</v>
      </c>
      <c r="G41" s="25" t="n">
        <f>291</f>
        <v>291.0</v>
      </c>
      <c r="H41" s="23" t="s">
        <v>37</v>
      </c>
      <c r="I41" s="26" t="n">
        <f>347</f>
        <v>347.0</v>
      </c>
      <c r="J41" s="24" t="s">
        <v>37</v>
      </c>
      <c r="K41" s="25" t="n">
        <f>18930000</f>
        <v>1.893E7</v>
      </c>
      <c r="L41" s="23"/>
      <c r="M41" s="25" t="n">
        <f>106543950</f>
        <v>1.0654395E8</v>
      </c>
      <c r="N41" s="23"/>
      <c r="O41" s="26" t="n">
        <f>125473950</f>
        <v>1.2547395E8</v>
      </c>
      <c r="P41" s="27" t="n">
        <f>108</f>
        <v>108.0</v>
      </c>
      <c r="Q41" s="28" t="n">
        <f>298</f>
        <v>298.0</v>
      </c>
      <c r="R41" s="29" t="n">
        <f>406</f>
        <v>406.0</v>
      </c>
      <c r="S41" s="24" t="s">
        <v>37</v>
      </c>
      <c r="T41" s="25" t="str">
        <f>"－"</f>
        <v>－</v>
      </c>
      <c r="U41" s="23"/>
      <c r="V41" s="25" t="n">
        <f>255</f>
        <v>255.0</v>
      </c>
      <c r="W41" s="23"/>
      <c r="X41" s="26" t="n">
        <f>255</f>
        <v>255.0</v>
      </c>
      <c r="Y41" s="24" t="s">
        <v>37</v>
      </c>
      <c r="Z41" s="25" t="n">
        <f>477</f>
        <v>477.0</v>
      </c>
      <c r="AA41" s="23" t="s">
        <v>37</v>
      </c>
      <c r="AB41" s="25" t="n">
        <f>829</f>
        <v>829.0</v>
      </c>
      <c r="AC41" s="23" t="s">
        <v>37</v>
      </c>
      <c r="AD41" s="26" t="n">
        <f>1306</f>
        <v>1306.0</v>
      </c>
    </row>
    <row r="42">
      <c r="A42" s="30" t="s">
        <v>30</v>
      </c>
      <c r="B42" s="22" t="s">
        <v>61</v>
      </c>
      <c r="C42" s="22" t="s">
        <v>62</v>
      </c>
      <c r="D42" s="24"/>
      <c r="E42" s="25"/>
      <c r="F42" s="23"/>
      <c r="G42" s="25"/>
      <c r="H42" s="23"/>
      <c r="I42" s="26"/>
      <c r="J42" s="24"/>
      <c r="K42" s="25"/>
      <c r="L42" s="23"/>
      <c r="M42" s="25"/>
      <c r="N42" s="23"/>
      <c r="O42" s="26"/>
      <c r="P42" s="27"/>
      <c r="Q42" s="28"/>
      <c r="R42" s="29"/>
      <c r="S42" s="24"/>
      <c r="T42" s="25"/>
      <c r="U42" s="23"/>
      <c r="V42" s="25"/>
      <c r="W42" s="23"/>
      <c r="X42" s="26"/>
      <c r="Y42" s="24"/>
      <c r="Z42" s="25"/>
      <c r="AA42" s="23"/>
      <c r="AB42" s="25"/>
      <c r="AC42" s="23"/>
      <c r="AD42" s="26"/>
    </row>
    <row r="43">
      <c r="A43" s="30" t="s">
        <v>31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32</v>
      </c>
      <c r="B44" s="22" t="s">
        <v>61</v>
      </c>
      <c r="C44" s="22" t="s">
        <v>62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33</v>
      </c>
      <c r="B45" s="22" t="s">
        <v>61</v>
      </c>
      <c r="C45" s="22" t="s">
        <v>62</v>
      </c>
      <c r="D45" s="24"/>
      <c r="E45" s="25"/>
      <c r="F45" s="23"/>
      <c r="G45" s="25"/>
      <c r="H45" s="23"/>
      <c r="I45" s="26"/>
      <c r="J45" s="24"/>
      <c r="K45" s="25"/>
      <c r="L45" s="23"/>
      <c r="M45" s="25"/>
      <c r="N45" s="23"/>
      <c r="O45" s="26"/>
      <c r="P45" s="27"/>
      <c r="Q45" s="28"/>
      <c r="R45" s="29"/>
      <c r="S45" s="24"/>
      <c r="T45" s="25"/>
      <c r="U45" s="23"/>
      <c r="V45" s="25"/>
      <c r="W45" s="23"/>
      <c r="X45" s="26"/>
      <c r="Y45" s="24"/>
      <c r="Z45" s="25"/>
      <c r="AA45" s="23"/>
      <c r="AB45" s="25"/>
      <c r="AC45" s="23"/>
      <c r="AD45" s="26"/>
    </row>
    <row r="46">
      <c r="A46" s="30" t="s">
        <v>34</v>
      </c>
      <c r="B46" s="22" t="s">
        <v>61</v>
      </c>
      <c r="C46" s="22" t="s">
        <v>62</v>
      </c>
      <c r="D46" s="24"/>
      <c r="E46" s="25"/>
      <c r="F46" s="23"/>
      <c r="G46" s="25"/>
      <c r="H46" s="23"/>
      <c r="I46" s="26"/>
      <c r="J46" s="24"/>
      <c r="K46" s="25"/>
      <c r="L46" s="23"/>
      <c r="M46" s="25"/>
      <c r="N46" s="23"/>
      <c r="O46" s="26"/>
      <c r="P46" s="27"/>
      <c r="Q46" s="28"/>
      <c r="R46" s="29"/>
      <c r="S46" s="24"/>
      <c r="T46" s="25"/>
      <c r="U46" s="23"/>
      <c r="V46" s="25"/>
      <c r="W46" s="23"/>
      <c r="X46" s="26"/>
      <c r="Y46" s="24"/>
      <c r="Z46" s="25"/>
      <c r="AA46" s="23"/>
      <c r="AB46" s="25"/>
      <c r="AC46" s="23"/>
      <c r="AD46" s="26"/>
    </row>
    <row r="47">
      <c r="A47" s="30" t="s">
        <v>35</v>
      </c>
      <c r="B47" s="22" t="s">
        <v>61</v>
      </c>
      <c r="C47" s="22" t="s">
        <v>62</v>
      </c>
      <c r="D47" s="24"/>
      <c r="E47" s="25" t="n">
        <f>657</f>
        <v>657.0</v>
      </c>
      <c r="F47" s="23"/>
      <c r="G47" s="25" t="n">
        <f>332</f>
        <v>332.0</v>
      </c>
      <c r="H47" s="23"/>
      <c r="I47" s="26" t="n">
        <f>989</f>
        <v>989.0</v>
      </c>
      <c r="J47" s="24"/>
      <c r="K47" s="25" t="n">
        <f>107473000</f>
        <v>1.07473E8</v>
      </c>
      <c r="L47" s="23"/>
      <c r="M47" s="25" t="n">
        <f>73017000</f>
        <v>7.3017E7</v>
      </c>
      <c r="N47" s="23"/>
      <c r="O47" s="26" t="n">
        <f>180490000</f>
        <v>1.8049E8</v>
      </c>
      <c r="P47" s="27" t="str">
        <f>"－"</f>
        <v>－</v>
      </c>
      <c r="Q47" s="28" t="str">
        <f>"－"</f>
        <v>－</v>
      </c>
      <c r="R47" s="29" t="str">
        <f>"－"</f>
        <v>－</v>
      </c>
      <c r="S47" s="24"/>
      <c r="T47" s="25" t="n">
        <f>125</f>
        <v>125.0</v>
      </c>
      <c r="U47" s="23"/>
      <c r="V47" s="25" t="n">
        <f>50</f>
        <v>50.0</v>
      </c>
      <c r="W47" s="23"/>
      <c r="X47" s="26" t="n">
        <f>175</f>
        <v>175.0</v>
      </c>
      <c r="Y47" s="24"/>
      <c r="Z47" s="25" t="n">
        <f>1081</f>
        <v>1081.0</v>
      </c>
      <c r="AA47" s="23"/>
      <c r="AB47" s="25" t="n">
        <f>1057</f>
        <v>1057.0</v>
      </c>
      <c r="AC47" s="23"/>
      <c r="AD47" s="26" t="n">
        <f>2138</f>
        <v>2138.0</v>
      </c>
    </row>
    <row r="48">
      <c r="A48" s="30" t="s">
        <v>36</v>
      </c>
      <c r="B48" s="22" t="s">
        <v>61</v>
      </c>
      <c r="C48" s="22" t="s">
        <v>62</v>
      </c>
      <c r="D48" s="24"/>
      <c r="E48" s="25" t="n">
        <f>1349</f>
        <v>1349.0</v>
      </c>
      <c r="F48" s="23"/>
      <c r="G48" s="25" t="n">
        <f>859</f>
        <v>859.0</v>
      </c>
      <c r="H48" s="23"/>
      <c r="I48" s="26" t="n">
        <f>2208</f>
        <v>2208.0</v>
      </c>
      <c r="J48" s="24"/>
      <c r="K48" s="25" t="n">
        <f>139980000</f>
        <v>1.3998E8</v>
      </c>
      <c r="L48" s="23"/>
      <c r="M48" s="25" t="n">
        <f>196296000</f>
        <v>1.96296E8</v>
      </c>
      <c r="N48" s="23"/>
      <c r="O48" s="26" t="n">
        <f>336276000</f>
        <v>3.36276E8</v>
      </c>
      <c r="P48" s="27" t="str">
        <f>"－"</f>
        <v>－</v>
      </c>
      <c r="Q48" s="28" t="str">
        <f>"－"</f>
        <v>－</v>
      </c>
      <c r="R48" s="29" t="str">
        <f>"－"</f>
        <v>－</v>
      </c>
      <c r="S48" s="24"/>
      <c r="T48" s="25" t="n">
        <f>52</f>
        <v>52.0</v>
      </c>
      <c r="U48" s="23"/>
      <c r="V48" s="25" t="n">
        <f>255</f>
        <v>255.0</v>
      </c>
      <c r="W48" s="23"/>
      <c r="X48" s="26" t="n">
        <f>307</f>
        <v>307.0</v>
      </c>
      <c r="Y48" s="24"/>
      <c r="Z48" s="25" t="n">
        <f>1865</f>
        <v>1865.0</v>
      </c>
      <c r="AA48" s="23"/>
      <c r="AB48" s="25" t="n">
        <f>1569</f>
        <v>1569.0</v>
      </c>
      <c r="AC48" s="23"/>
      <c r="AD48" s="26" t="n">
        <f>3434</f>
        <v>3434.0</v>
      </c>
    </row>
    <row r="49">
      <c r="A49" s="30" t="s">
        <v>38</v>
      </c>
      <c r="B49" s="22" t="s">
        <v>61</v>
      </c>
      <c r="C49" s="22" t="s">
        <v>62</v>
      </c>
      <c r="D49" s="24"/>
      <c r="E49" s="25"/>
      <c r="F49" s="23"/>
      <c r="G49" s="25"/>
      <c r="H49" s="23"/>
      <c r="I49" s="26"/>
      <c r="J49" s="24"/>
      <c r="K49" s="25"/>
      <c r="L49" s="23"/>
      <c r="M49" s="25"/>
      <c r="N49" s="23"/>
      <c r="O49" s="26"/>
      <c r="P49" s="27"/>
      <c r="Q49" s="28"/>
      <c r="R49" s="29"/>
      <c r="S49" s="24"/>
      <c r="T49" s="25"/>
      <c r="U49" s="23"/>
      <c r="V49" s="25"/>
      <c r="W49" s="23"/>
      <c r="X49" s="26"/>
      <c r="Y49" s="24"/>
      <c r="Z49" s="25"/>
      <c r="AA49" s="23"/>
      <c r="AB49" s="25"/>
      <c r="AC49" s="23"/>
      <c r="AD49" s="26"/>
    </row>
    <row r="50">
      <c r="A50" s="30" t="s">
        <v>39</v>
      </c>
      <c r="B50" s="22" t="s">
        <v>61</v>
      </c>
      <c r="C50" s="22" t="s">
        <v>62</v>
      </c>
      <c r="D50" s="24"/>
      <c r="E50" s="25"/>
      <c r="F50" s="23"/>
      <c r="G50" s="25"/>
      <c r="H50" s="23"/>
      <c r="I50" s="26"/>
      <c r="J50" s="24"/>
      <c r="K50" s="25"/>
      <c r="L50" s="23"/>
      <c r="M50" s="25"/>
      <c r="N50" s="23"/>
      <c r="O50" s="26"/>
      <c r="P50" s="27"/>
      <c r="Q50" s="28"/>
      <c r="R50" s="29"/>
      <c r="S50" s="24"/>
      <c r="T50" s="25"/>
      <c r="U50" s="23"/>
      <c r="V50" s="25"/>
      <c r="W50" s="23"/>
      <c r="X50" s="26"/>
      <c r="Y50" s="24"/>
      <c r="Z50" s="25"/>
      <c r="AA50" s="23"/>
      <c r="AB50" s="25"/>
      <c r="AC50" s="23"/>
      <c r="AD50" s="26"/>
    </row>
    <row r="51">
      <c r="A51" s="30" t="s">
        <v>40</v>
      </c>
      <c r="B51" s="22" t="s">
        <v>61</v>
      </c>
      <c r="C51" s="22" t="s">
        <v>62</v>
      </c>
      <c r="D51" s="24"/>
      <c r="E51" s="25" t="n">
        <f>2015</f>
        <v>2015.0</v>
      </c>
      <c r="F51" s="23"/>
      <c r="G51" s="25" t="n">
        <f>991</f>
        <v>991.0</v>
      </c>
      <c r="H51" s="23"/>
      <c r="I51" s="26" t="n">
        <f>3006</f>
        <v>3006.0</v>
      </c>
      <c r="J51" s="24"/>
      <c r="K51" s="25" t="n">
        <f>104558000</f>
        <v>1.04558E8</v>
      </c>
      <c r="L51" s="23"/>
      <c r="M51" s="25" t="n">
        <f>127351000</f>
        <v>1.27351E8</v>
      </c>
      <c r="N51" s="23"/>
      <c r="O51" s="26" t="n">
        <f>231909000</f>
        <v>2.31909E8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1</f>
        <v>1.0</v>
      </c>
      <c r="U51" s="23"/>
      <c r="V51" s="25" t="n">
        <f>35</f>
        <v>35.0</v>
      </c>
      <c r="W51" s="23" t="s">
        <v>37</v>
      </c>
      <c r="X51" s="26" t="n">
        <f>36</f>
        <v>36.0</v>
      </c>
      <c r="Y51" s="24"/>
      <c r="Z51" s="25" t="n">
        <f>2952</f>
        <v>2952.0</v>
      </c>
      <c r="AA51" s="23"/>
      <c r="AB51" s="25" t="n">
        <f>1924</f>
        <v>1924.0</v>
      </c>
      <c r="AC51" s="23"/>
      <c r="AD51" s="26" t="n">
        <f>4876</f>
        <v>4876.0</v>
      </c>
    </row>
    <row r="52">
      <c r="A52" s="30" t="s">
        <v>41</v>
      </c>
      <c r="B52" s="22" t="s">
        <v>61</v>
      </c>
      <c r="C52" s="22" t="s">
        <v>62</v>
      </c>
      <c r="D52" s="24"/>
      <c r="E52" s="25" t="n">
        <f>1902</f>
        <v>1902.0</v>
      </c>
      <c r="F52" s="23"/>
      <c r="G52" s="25" t="n">
        <f>495</f>
        <v>495.0</v>
      </c>
      <c r="H52" s="23"/>
      <c r="I52" s="26" t="n">
        <f>2397</f>
        <v>2397.0</v>
      </c>
      <c r="J52" s="24"/>
      <c r="K52" s="25" t="n">
        <f>132176000</f>
        <v>1.32176E8</v>
      </c>
      <c r="L52" s="23"/>
      <c r="M52" s="25" t="n">
        <f>49448000</f>
        <v>4.9448E7</v>
      </c>
      <c r="N52" s="23"/>
      <c r="O52" s="26" t="n">
        <f>181624000</f>
        <v>1.81624E8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150</f>
        <v>150.0</v>
      </c>
      <c r="U52" s="23"/>
      <c r="V52" s="25" t="n">
        <f>57</f>
        <v>57.0</v>
      </c>
      <c r="W52" s="23"/>
      <c r="X52" s="26" t="n">
        <f>207</f>
        <v>207.0</v>
      </c>
      <c r="Y52" s="24"/>
      <c r="Z52" s="25" t="n">
        <f>3451</f>
        <v>3451.0</v>
      </c>
      <c r="AA52" s="23"/>
      <c r="AB52" s="25" t="n">
        <f>2229</f>
        <v>2229.0</v>
      </c>
      <c r="AC52" s="23"/>
      <c r="AD52" s="26" t="n">
        <f>5680</f>
        <v>5680.0</v>
      </c>
    </row>
    <row r="53">
      <c r="A53" s="30" t="s">
        <v>42</v>
      </c>
      <c r="B53" s="22" t="s">
        <v>61</v>
      </c>
      <c r="C53" s="22" t="s">
        <v>62</v>
      </c>
      <c r="D53" s="24"/>
      <c r="E53" s="25" t="n">
        <f>970</f>
        <v>970.0</v>
      </c>
      <c r="F53" s="23"/>
      <c r="G53" s="25" t="n">
        <f>605</f>
        <v>605.0</v>
      </c>
      <c r="H53" s="23"/>
      <c r="I53" s="26" t="n">
        <f>1575</f>
        <v>1575.0</v>
      </c>
      <c r="J53" s="24"/>
      <c r="K53" s="25" t="n">
        <f>46940000</f>
        <v>4.694E7</v>
      </c>
      <c r="L53" s="23" t="s">
        <v>37</v>
      </c>
      <c r="M53" s="25" t="n">
        <f>20155000</f>
        <v>2.0155E7</v>
      </c>
      <c r="N53" s="23" t="s">
        <v>37</v>
      </c>
      <c r="O53" s="26" t="n">
        <f>67095000</f>
        <v>6.7095E7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47</f>
        <v>47.0</v>
      </c>
      <c r="U53" s="23" t="s">
        <v>37</v>
      </c>
      <c r="V53" s="25" t="n">
        <f>10</f>
        <v>10.0</v>
      </c>
      <c r="W53" s="23"/>
      <c r="X53" s="26" t="n">
        <f>57</f>
        <v>57.0</v>
      </c>
      <c r="Y53" s="24"/>
      <c r="Z53" s="25" t="n">
        <f>3642</f>
        <v>3642.0</v>
      </c>
      <c r="AA53" s="23"/>
      <c r="AB53" s="25" t="n">
        <f>2470</f>
        <v>2470.0</v>
      </c>
      <c r="AC53" s="23"/>
      <c r="AD53" s="26" t="n">
        <f>6112</f>
        <v>6112.0</v>
      </c>
    </row>
    <row r="54">
      <c r="A54" s="30" t="s">
        <v>43</v>
      </c>
      <c r="B54" s="22" t="s">
        <v>61</v>
      </c>
      <c r="C54" s="22" t="s">
        <v>62</v>
      </c>
      <c r="D54" s="24"/>
      <c r="E54" s="25" t="n">
        <f>2350</f>
        <v>2350.0</v>
      </c>
      <c r="F54" s="23"/>
      <c r="G54" s="25" t="n">
        <f>970</f>
        <v>970.0</v>
      </c>
      <c r="H54" s="23"/>
      <c r="I54" s="26" t="n">
        <f>3320</f>
        <v>3320.0</v>
      </c>
      <c r="J54" s="24"/>
      <c r="K54" s="25" t="n">
        <f>179609000</f>
        <v>1.79609E8</v>
      </c>
      <c r="L54" s="23"/>
      <c r="M54" s="25" t="n">
        <f>32515000</f>
        <v>3.2515E7</v>
      </c>
      <c r="N54" s="23"/>
      <c r="O54" s="26" t="n">
        <f>212124000</f>
        <v>2.12124E8</v>
      </c>
      <c r="P54" s="27" t="str">
        <f>"－"</f>
        <v>－</v>
      </c>
      <c r="Q54" s="28" t="str">
        <f>"－"</f>
        <v>－</v>
      </c>
      <c r="R54" s="29" t="str">
        <f>"－"</f>
        <v>－</v>
      </c>
      <c r="S54" s="24"/>
      <c r="T54" s="25" t="n">
        <f>164</f>
        <v>164.0</v>
      </c>
      <c r="U54" s="23"/>
      <c r="V54" s="25" t="n">
        <f>50</f>
        <v>50.0</v>
      </c>
      <c r="W54" s="23"/>
      <c r="X54" s="26" t="n">
        <f>214</f>
        <v>214.0</v>
      </c>
      <c r="Y54" s="24" t="s">
        <v>29</v>
      </c>
      <c r="Z54" s="25" t="n">
        <f>4499</f>
        <v>4499.0</v>
      </c>
      <c r="AA54" s="23"/>
      <c r="AB54" s="25" t="n">
        <f>2871</f>
        <v>2871.0</v>
      </c>
      <c r="AC54" s="23" t="s">
        <v>29</v>
      </c>
      <c r="AD54" s="26" t="n">
        <f>7370</f>
        <v>7370.0</v>
      </c>
    </row>
    <row r="55">
      <c r="A55" s="30" t="s">
        <v>44</v>
      </c>
      <c r="B55" s="22" t="s">
        <v>61</v>
      </c>
      <c r="C55" s="22" t="s">
        <v>62</v>
      </c>
      <c r="D55" s="24"/>
      <c r="E55" s="25" t="n">
        <f>1760</f>
        <v>1760.0</v>
      </c>
      <c r="F55" s="23"/>
      <c r="G55" s="25" t="n">
        <f>776</f>
        <v>776.0</v>
      </c>
      <c r="H55" s="23"/>
      <c r="I55" s="26" t="n">
        <f>2536</f>
        <v>2536.0</v>
      </c>
      <c r="J55" s="24" t="s">
        <v>29</v>
      </c>
      <c r="K55" s="25" t="n">
        <f>247328000</f>
        <v>2.47328E8</v>
      </c>
      <c r="L55" s="23"/>
      <c r="M55" s="25" t="n">
        <f>80167000</f>
        <v>8.0167E7</v>
      </c>
      <c r="N55" s="23"/>
      <c r="O55" s="26" t="n">
        <f>327495000</f>
        <v>3.27495E8</v>
      </c>
      <c r="P55" s="27" t="n">
        <f>64</f>
        <v>64.0</v>
      </c>
      <c r="Q55" s="28" t="n">
        <f>313</f>
        <v>313.0</v>
      </c>
      <c r="R55" s="29" t="n">
        <f>377</f>
        <v>377.0</v>
      </c>
      <c r="S55" s="24"/>
      <c r="T55" s="25" t="n">
        <f>285</f>
        <v>285.0</v>
      </c>
      <c r="U55" s="23"/>
      <c r="V55" s="25" t="n">
        <f>145</f>
        <v>145.0</v>
      </c>
      <c r="W55" s="23"/>
      <c r="X55" s="26" t="n">
        <f>430</f>
        <v>430.0</v>
      </c>
      <c r="Y55" s="24"/>
      <c r="Z55" s="25" t="n">
        <f>1903</f>
        <v>1903.0</v>
      </c>
      <c r="AA55" s="23"/>
      <c r="AB55" s="25" t="n">
        <f>1770</f>
        <v>1770.0</v>
      </c>
      <c r="AC55" s="23"/>
      <c r="AD55" s="26" t="n">
        <f>3673</f>
        <v>3673.0</v>
      </c>
    </row>
    <row r="56">
      <c r="A56" s="30" t="s">
        <v>45</v>
      </c>
      <c r="B56" s="22" t="s">
        <v>61</v>
      </c>
      <c r="C56" s="22" t="s">
        <v>62</v>
      </c>
      <c r="D56" s="24"/>
      <c r="E56" s="25"/>
      <c r="F56" s="23"/>
      <c r="G56" s="25"/>
      <c r="H56" s="23"/>
      <c r="I56" s="26"/>
      <c r="J56" s="24"/>
      <c r="K56" s="25"/>
      <c r="L56" s="23"/>
      <c r="M56" s="25"/>
      <c r="N56" s="23"/>
      <c r="O56" s="26"/>
      <c r="P56" s="27"/>
      <c r="Q56" s="28"/>
      <c r="R56" s="29"/>
      <c r="S56" s="24"/>
      <c r="T56" s="25"/>
      <c r="U56" s="23"/>
      <c r="V56" s="25"/>
      <c r="W56" s="23"/>
      <c r="X56" s="26"/>
      <c r="Y56" s="24"/>
      <c r="Z56" s="25"/>
      <c r="AA56" s="23"/>
      <c r="AB56" s="25"/>
      <c r="AC56" s="23"/>
      <c r="AD56" s="26"/>
    </row>
    <row r="57">
      <c r="A57" s="30" t="s">
        <v>46</v>
      </c>
      <c r="B57" s="22" t="s">
        <v>61</v>
      </c>
      <c r="C57" s="22" t="s">
        <v>62</v>
      </c>
      <c r="D57" s="24"/>
      <c r="E57" s="25"/>
      <c r="F57" s="23"/>
      <c r="G57" s="25"/>
      <c r="H57" s="23"/>
      <c r="I57" s="26"/>
      <c r="J57" s="24"/>
      <c r="K57" s="25"/>
      <c r="L57" s="23"/>
      <c r="M57" s="25"/>
      <c r="N57" s="23"/>
      <c r="O57" s="26"/>
      <c r="P57" s="27"/>
      <c r="Q57" s="28"/>
      <c r="R57" s="29"/>
      <c r="S57" s="24"/>
      <c r="T57" s="25"/>
      <c r="U57" s="23"/>
      <c r="V57" s="25"/>
      <c r="W57" s="23"/>
      <c r="X57" s="26"/>
      <c r="Y57" s="24"/>
      <c r="Z57" s="25"/>
      <c r="AA57" s="23"/>
      <c r="AB57" s="25"/>
      <c r="AC57" s="23"/>
      <c r="AD57" s="26"/>
    </row>
    <row r="58">
      <c r="A58" s="30" t="s">
        <v>47</v>
      </c>
      <c r="B58" s="22" t="s">
        <v>61</v>
      </c>
      <c r="C58" s="22" t="s">
        <v>62</v>
      </c>
      <c r="D58" s="24"/>
      <c r="E58" s="25" t="n">
        <f>980</f>
        <v>980.0</v>
      </c>
      <c r="F58" s="23"/>
      <c r="G58" s="25" t="n">
        <f>557</f>
        <v>557.0</v>
      </c>
      <c r="H58" s="23"/>
      <c r="I58" s="26" t="n">
        <f>1537</f>
        <v>1537.0</v>
      </c>
      <c r="J58" s="24"/>
      <c r="K58" s="25" t="n">
        <f>68994000</f>
        <v>6.8994E7</v>
      </c>
      <c r="L58" s="23"/>
      <c r="M58" s="25" t="n">
        <f>23371000</f>
        <v>2.3371E7</v>
      </c>
      <c r="N58" s="23"/>
      <c r="O58" s="26" t="n">
        <f>92365000</f>
        <v>9.2365E7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57</f>
        <v>57.0</v>
      </c>
      <c r="U58" s="23"/>
      <c r="V58" s="25" t="n">
        <f>24</f>
        <v>24.0</v>
      </c>
      <c r="W58" s="23"/>
      <c r="X58" s="26" t="n">
        <f>81</f>
        <v>81.0</v>
      </c>
      <c r="Y58" s="24"/>
      <c r="Z58" s="25" t="n">
        <f>2418</f>
        <v>2418.0</v>
      </c>
      <c r="AA58" s="23"/>
      <c r="AB58" s="25" t="n">
        <f>1969</f>
        <v>1969.0</v>
      </c>
      <c r="AC58" s="23"/>
      <c r="AD58" s="26" t="n">
        <f>4387</f>
        <v>4387.0</v>
      </c>
    </row>
    <row r="59">
      <c r="A59" s="30" t="s">
        <v>48</v>
      </c>
      <c r="B59" s="22" t="s">
        <v>61</v>
      </c>
      <c r="C59" s="22" t="s">
        <v>62</v>
      </c>
      <c r="D59" s="24"/>
      <c r="E59" s="25" t="n">
        <f>1417</f>
        <v>1417.0</v>
      </c>
      <c r="F59" s="23"/>
      <c r="G59" s="25" t="n">
        <f>1026</f>
        <v>1026.0</v>
      </c>
      <c r="H59" s="23"/>
      <c r="I59" s="26" t="n">
        <f>2443</f>
        <v>2443.0</v>
      </c>
      <c r="J59" s="24"/>
      <c r="K59" s="25" t="n">
        <f>60936000</f>
        <v>6.0936E7</v>
      </c>
      <c r="L59" s="23"/>
      <c r="M59" s="25" t="n">
        <f>91081000</f>
        <v>9.1081E7</v>
      </c>
      <c r="N59" s="23"/>
      <c r="O59" s="26" t="n">
        <f>152017000</f>
        <v>1.52017E8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65</f>
        <v>65.0</v>
      </c>
      <c r="U59" s="23"/>
      <c r="V59" s="25" t="n">
        <f>79</f>
        <v>79.0</v>
      </c>
      <c r="W59" s="23"/>
      <c r="X59" s="26" t="n">
        <f>144</f>
        <v>144.0</v>
      </c>
      <c r="Y59" s="24"/>
      <c r="Z59" s="25" t="n">
        <f>2668</f>
        <v>2668.0</v>
      </c>
      <c r="AA59" s="23"/>
      <c r="AB59" s="25" t="n">
        <f>2260</f>
        <v>2260.0</v>
      </c>
      <c r="AC59" s="23"/>
      <c r="AD59" s="26" t="n">
        <f>4928</f>
        <v>4928.0</v>
      </c>
    </row>
    <row r="60">
      <c r="A60" s="30" t="s">
        <v>49</v>
      </c>
      <c r="B60" s="22" t="s">
        <v>61</v>
      </c>
      <c r="C60" s="22" t="s">
        <v>62</v>
      </c>
      <c r="D60" s="24"/>
      <c r="E60" s="25" t="n">
        <f>1526</f>
        <v>1526.0</v>
      </c>
      <c r="F60" s="23"/>
      <c r="G60" s="25" t="n">
        <f>565</f>
        <v>565.0</v>
      </c>
      <c r="H60" s="23"/>
      <c r="I60" s="26" t="n">
        <f>2091</f>
        <v>2091.0</v>
      </c>
      <c r="J60" s="24"/>
      <c r="K60" s="25" t="n">
        <f>62613000</f>
        <v>6.2613E7</v>
      </c>
      <c r="L60" s="23"/>
      <c r="M60" s="25" t="n">
        <f>44979000</f>
        <v>4.4979E7</v>
      </c>
      <c r="N60" s="23"/>
      <c r="O60" s="26" t="n">
        <f>107592000</f>
        <v>1.07592E8</v>
      </c>
      <c r="P60" s="27" t="str">
        <f>"－"</f>
        <v>－</v>
      </c>
      <c r="Q60" s="28" t="str">
        <f>"－"</f>
        <v>－</v>
      </c>
      <c r="R60" s="29" t="str">
        <f>"－"</f>
        <v>－</v>
      </c>
      <c r="S60" s="24"/>
      <c r="T60" s="25" t="n">
        <f>60</f>
        <v>60.0</v>
      </c>
      <c r="U60" s="23"/>
      <c r="V60" s="25" t="n">
        <f>20</f>
        <v>20.0</v>
      </c>
      <c r="W60" s="23"/>
      <c r="X60" s="26" t="n">
        <f>80</f>
        <v>80.0</v>
      </c>
      <c r="Y60" s="24"/>
      <c r="Z60" s="25" t="n">
        <f>3009</f>
        <v>3009.0</v>
      </c>
      <c r="AA60" s="23"/>
      <c r="AB60" s="25" t="n">
        <f>2311</f>
        <v>2311.0</v>
      </c>
      <c r="AC60" s="23"/>
      <c r="AD60" s="26" t="n">
        <f>5320</f>
        <v>5320.0</v>
      </c>
    </row>
    <row r="61">
      <c r="A61" s="30" t="s">
        <v>50</v>
      </c>
      <c r="B61" s="22" t="s">
        <v>61</v>
      </c>
      <c r="C61" s="22" t="s">
        <v>62</v>
      </c>
      <c r="D61" s="24"/>
      <c r="E61" s="25" t="n">
        <f>2606</f>
        <v>2606.0</v>
      </c>
      <c r="F61" s="23" t="s">
        <v>29</v>
      </c>
      <c r="G61" s="25" t="n">
        <f>1794</f>
        <v>1794.0</v>
      </c>
      <c r="H61" s="23"/>
      <c r="I61" s="26" t="n">
        <f>4400</f>
        <v>4400.0</v>
      </c>
      <c r="J61" s="24"/>
      <c r="K61" s="25" t="n">
        <f>142890000</f>
        <v>1.4289E8</v>
      </c>
      <c r="L61" s="23"/>
      <c r="M61" s="25" t="n">
        <f>183447480</f>
        <v>1.8344748E8</v>
      </c>
      <c r="N61" s="23"/>
      <c r="O61" s="26" t="n">
        <f>326337480</f>
        <v>3.2633748E8</v>
      </c>
      <c r="P61" s="27" t="str">
        <f>"－"</f>
        <v>－</v>
      </c>
      <c r="Q61" s="28" t="str">
        <f>"－"</f>
        <v>－</v>
      </c>
      <c r="R61" s="29" t="str">
        <f>"－"</f>
        <v>－</v>
      </c>
      <c r="S61" s="24" t="s">
        <v>29</v>
      </c>
      <c r="T61" s="25" t="n">
        <f>582</f>
        <v>582.0</v>
      </c>
      <c r="U61" s="23" t="s">
        <v>29</v>
      </c>
      <c r="V61" s="25" t="n">
        <f>393</f>
        <v>393.0</v>
      </c>
      <c r="W61" s="23" t="s">
        <v>29</v>
      </c>
      <c r="X61" s="26" t="n">
        <f>975</f>
        <v>975.0</v>
      </c>
      <c r="Y61" s="24"/>
      <c r="Z61" s="25" t="n">
        <f>4138</f>
        <v>4138.0</v>
      </c>
      <c r="AA61" s="23" t="s">
        <v>29</v>
      </c>
      <c r="AB61" s="25" t="n">
        <f>2934</f>
        <v>2934.0</v>
      </c>
      <c r="AC61" s="23"/>
      <c r="AD61" s="26" t="n">
        <f>7072</f>
        <v>7072.0</v>
      </c>
    </row>
    <row r="62">
      <c r="A62" s="30" t="s">
        <v>51</v>
      </c>
      <c r="B62" s="22" t="s">
        <v>61</v>
      </c>
      <c r="C62" s="22" t="s">
        <v>62</v>
      </c>
      <c r="D62" s="24"/>
      <c r="E62" s="25" t="n">
        <f>702</f>
        <v>702.0</v>
      </c>
      <c r="F62" s="23"/>
      <c r="G62" s="25" t="n">
        <f>1315</f>
        <v>1315.0</v>
      </c>
      <c r="H62" s="23"/>
      <c r="I62" s="26" t="n">
        <f>2017</f>
        <v>2017.0</v>
      </c>
      <c r="J62" s="24"/>
      <c r="K62" s="25" t="n">
        <f>111780000</f>
        <v>1.1178E8</v>
      </c>
      <c r="L62" s="23" t="s">
        <v>29</v>
      </c>
      <c r="M62" s="25" t="n">
        <f>225013000</f>
        <v>2.25013E8</v>
      </c>
      <c r="N62" s="23" t="s">
        <v>29</v>
      </c>
      <c r="O62" s="26" t="n">
        <f>336793000</f>
        <v>3.36793E8</v>
      </c>
      <c r="P62" s="27" t="n">
        <f>41</f>
        <v>41.0</v>
      </c>
      <c r="Q62" s="28" t="n">
        <f>766</f>
        <v>766.0</v>
      </c>
      <c r="R62" s="29" t="n">
        <f>807</f>
        <v>807.0</v>
      </c>
      <c r="S62" s="24"/>
      <c r="T62" s="25" t="n">
        <f>77</f>
        <v>77.0</v>
      </c>
      <c r="U62" s="23"/>
      <c r="V62" s="25" t="n">
        <f>341</f>
        <v>341.0</v>
      </c>
      <c r="W62" s="23"/>
      <c r="X62" s="26" t="n">
        <f>418</f>
        <v>418.0</v>
      </c>
      <c r="Y62" s="24"/>
      <c r="Z62" s="25" t="n">
        <f>1203</f>
        <v>1203.0</v>
      </c>
      <c r="AA62" s="23"/>
      <c r="AB62" s="25" t="n">
        <f>2008</f>
        <v>2008.0</v>
      </c>
      <c r="AC62" s="23"/>
      <c r="AD62" s="26" t="n">
        <f>3211</f>
        <v>3211.0</v>
      </c>
    </row>
    <row r="63">
      <c r="A63" s="30" t="s">
        <v>52</v>
      </c>
      <c r="B63" s="22" t="s">
        <v>61</v>
      </c>
      <c r="C63" s="22" t="s">
        <v>62</v>
      </c>
      <c r="D63" s="24"/>
      <c r="E63" s="25"/>
      <c r="F63" s="23"/>
      <c r="G63" s="25"/>
      <c r="H63" s="23"/>
      <c r="I63" s="26"/>
      <c r="J63" s="24"/>
      <c r="K63" s="25"/>
      <c r="L63" s="23"/>
      <c r="M63" s="25"/>
      <c r="N63" s="23"/>
      <c r="O63" s="26"/>
      <c r="P63" s="27"/>
      <c r="Q63" s="28"/>
      <c r="R63" s="29"/>
      <c r="S63" s="24"/>
      <c r="T63" s="25"/>
      <c r="U63" s="23"/>
      <c r="V63" s="25"/>
      <c r="W63" s="23"/>
      <c r="X63" s="26"/>
      <c r="Y63" s="24"/>
      <c r="Z63" s="25"/>
      <c r="AA63" s="23"/>
      <c r="AB63" s="25"/>
      <c r="AC63" s="23"/>
      <c r="AD63" s="26"/>
    </row>
    <row r="64">
      <c r="A64" s="30" t="s">
        <v>53</v>
      </c>
      <c r="B64" s="22" t="s">
        <v>61</v>
      </c>
      <c r="C64" s="22" t="s">
        <v>62</v>
      </c>
      <c r="D64" s="24"/>
      <c r="E64" s="25"/>
      <c r="F64" s="23"/>
      <c r="G64" s="25"/>
      <c r="H64" s="23"/>
      <c r="I64" s="26"/>
      <c r="J64" s="24"/>
      <c r="K64" s="25"/>
      <c r="L64" s="23"/>
      <c r="M64" s="25"/>
      <c r="N64" s="23"/>
      <c r="O64" s="26"/>
      <c r="P64" s="27"/>
      <c r="Q64" s="28"/>
      <c r="R64" s="29"/>
      <c r="S64" s="24"/>
      <c r="T64" s="25"/>
      <c r="U64" s="23"/>
      <c r="V64" s="25"/>
      <c r="W64" s="23"/>
      <c r="X64" s="26"/>
      <c r="Y64" s="24"/>
      <c r="Z64" s="25"/>
      <c r="AA64" s="23"/>
      <c r="AB64" s="25"/>
      <c r="AC64" s="23"/>
      <c r="AD64" s="26"/>
    </row>
    <row r="65">
      <c r="A65" s="30" t="s">
        <v>54</v>
      </c>
      <c r="B65" s="22" t="s">
        <v>61</v>
      </c>
      <c r="C65" s="22" t="s">
        <v>62</v>
      </c>
      <c r="D65" s="24"/>
      <c r="E65" s="25" t="n">
        <f>1625</f>
        <v>1625.0</v>
      </c>
      <c r="F65" s="23"/>
      <c r="G65" s="25" t="n">
        <f>655</f>
        <v>655.0</v>
      </c>
      <c r="H65" s="23"/>
      <c r="I65" s="26" t="n">
        <f>2280</f>
        <v>2280.0</v>
      </c>
      <c r="J65" s="24"/>
      <c r="K65" s="25" t="n">
        <f>139904000</f>
        <v>1.39904E8</v>
      </c>
      <c r="L65" s="23"/>
      <c r="M65" s="25" t="n">
        <f>64027000</f>
        <v>6.4027E7</v>
      </c>
      <c r="N65" s="23"/>
      <c r="O65" s="26" t="n">
        <f>203931000</f>
        <v>2.03931E8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/>
      <c r="T65" s="25" t="n">
        <f>544</f>
        <v>544.0</v>
      </c>
      <c r="U65" s="23"/>
      <c r="V65" s="25" t="n">
        <f>183</f>
        <v>183.0</v>
      </c>
      <c r="W65" s="23"/>
      <c r="X65" s="26" t="n">
        <f>727</f>
        <v>727.0</v>
      </c>
      <c r="Y65" s="24"/>
      <c r="Z65" s="25" t="n">
        <f>2308</f>
        <v>2308.0</v>
      </c>
      <c r="AA65" s="23"/>
      <c r="AB65" s="25" t="n">
        <f>2180</f>
        <v>2180.0</v>
      </c>
      <c r="AC65" s="23"/>
      <c r="AD65" s="26" t="n">
        <f>4488</f>
        <v>4488.0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2117</f>
        <v>2117.0</v>
      </c>
      <c r="F66" s="23"/>
      <c r="G66" s="25" t="n">
        <f>781</f>
        <v>781.0</v>
      </c>
      <c r="H66" s="23"/>
      <c r="I66" s="26" t="n">
        <f>2898</f>
        <v>2898.0</v>
      </c>
      <c r="J66" s="24"/>
      <c r="K66" s="25" t="n">
        <f>72415000</f>
        <v>7.2415E7</v>
      </c>
      <c r="L66" s="23"/>
      <c r="M66" s="25" t="n">
        <f>79662000</f>
        <v>7.9662E7</v>
      </c>
      <c r="N66" s="23"/>
      <c r="O66" s="26" t="n">
        <f>152077000</f>
        <v>1.52077E8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184</f>
        <v>184.0</v>
      </c>
      <c r="U66" s="23"/>
      <c r="V66" s="25" t="n">
        <f>206</f>
        <v>206.0</v>
      </c>
      <c r="W66" s="23"/>
      <c r="X66" s="26" t="n">
        <f>390</f>
        <v>390.0</v>
      </c>
      <c r="Y66" s="24"/>
      <c r="Z66" s="25" t="n">
        <f>2852</f>
        <v>2852.0</v>
      </c>
      <c r="AA66" s="23"/>
      <c r="AB66" s="25" t="n">
        <f>2240</f>
        <v>2240.0</v>
      </c>
      <c r="AC66" s="23"/>
      <c r="AD66" s="26" t="n">
        <f>5092</f>
        <v>5092.0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2418</f>
        <v>2418.0</v>
      </c>
      <c r="F67" s="23"/>
      <c r="G67" s="25" t="n">
        <f>1000</f>
        <v>1000.0</v>
      </c>
      <c r="H67" s="23"/>
      <c r="I67" s="26" t="n">
        <f>3418</f>
        <v>3418.0</v>
      </c>
      <c r="J67" s="24"/>
      <c r="K67" s="25" t="n">
        <f>113622000</f>
        <v>1.13622E8</v>
      </c>
      <c r="L67" s="23"/>
      <c r="M67" s="25" t="n">
        <f>69445000</f>
        <v>6.9445E7</v>
      </c>
      <c r="N67" s="23"/>
      <c r="O67" s="26" t="n">
        <f>183067000</f>
        <v>1.83067E8</v>
      </c>
      <c r="P67" s="27" t="str">
        <f>"－"</f>
        <v>－</v>
      </c>
      <c r="Q67" s="28" t="str">
        <f>"－"</f>
        <v>－</v>
      </c>
      <c r="R67" s="29" t="str">
        <f>"－"</f>
        <v>－</v>
      </c>
      <c r="S67" s="24"/>
      <c r="T67" s="25" t="n">
        <f>518</f>
        <v>518.0</v>
      </c>
      <c r="U67" s="23"/>
      <c r="V67" s="25" t="n">
        <f>202</f>
        <v>202.0</v>
      </c>
      <c r="W67" s="23"/>
      <c r="X67" s="26" t="n">
        <f>720</f>
        <v>720.0</v>
      </c>
      <c r="Y67" s="24"/>
      <c r="Z67" s="25" t="n">
        <f>3375</f>
        <v>3375.0</v>
      </c>
      <c r="AA67" s="23"/>
      <c r="AB67" s="25" t="n">
        <f>2445</f>
        <v>2445.0</v>
      </c>
      <c r="AC67" s="23"/>
      <c r="AD67" s="26" t="n">
        <f>5820</f>
        <v>5820.0</v>
      </c>
    </row>
    <row r="68">
      <c r="A68" s="30" t="s">
        <v>57</v>
      </c>
      <c r="B68" s="22" t="s">
        <v>61</v>
      </c>
      <c r="C68" s="22" t="s">
        <v>62</v>
      </c>
      <c r="D68" s="24" t="s">
        <v>29</v>
      </c>
      <c r="E68" s="25" t="n">
        <f>3111</f>
        <v>3111.0</v>
      </c>
      <c r="F68" s="23"/>
      <c r="G68" s="25" t="n">
        <f>1710</f>
        <v>1710.0</v>
      </c>
      <c r="H68" s="23" t="s">
        <v>29</v>
      </c>
      <c r="I68" s="26" t="n">
        <f>4821</f>
        <v>4821.0</v>
      </c>
      <c r="J68" s="24"/>
      <c r="K68" s="25" t="n">
        <f>129054000</f>
        <v>1.29054E8</v>
      </c>
      <c r="L68" s="23"/>
      <c r="M68" s="25" t="n">
        <f>187043000</f>
        <v>1.87043E8</v>
      </c>
      <c r="N68" s="23"/>
      <c r="O68" s="26" t="n">
        <f>316097000</f>
        <v>3.16097E8</v>
      </c>
      <c r="P68" s="27" t="str">
        <f>"－"</f>
        <v>－</v>
      </c>
      <c r="Q68" s="28" t="str">
        <f>"－"</f>
        <v>－</v>
      </c>
      <c r="R68" s="29" t="str">
        <f>"－"</f>
        <v>－</v>
      </c>
      <c r="S68" s="24"/>
      <c r="T68" s="25" t="n">
        <f>360</f>
        <v>360.0</v>
      </c>
      <c r="U68" s="23"/>
      <c r="V68" s="25" t="n">
        <f>150</f>
        <v>150.0</v>
      </c>
      <c r="W68" s="23"/>
      <c r="X68" s="26" t="n">
        <f>510</f>
        <v>510.0</v>
      </c>
      <c r="Y68" s="24"/>
      <c r="Z68" s="25" t="n">
        <f>4347</f>
        <v>4347.0</v>
      </c>
      <c r="AA68" s="23"/>
      <c r="AB68" s="25" t="n">
        <f>2749</f>
        <v>2749.0</v>
      </c>
      <c r="AC68" s="23"/>
      <c r="AD68" s="26" t="n">
        <f>7096</f>
        <v>7096.0</v>
      </c>
    </row>
    <row r="69">
      <c r="A69" s="30" t="s">
        <v>58</v>
      </c>
      <c r="B69" s="22" t="s">
        <v>61</v>
      </c>
      <c r="C69" s="22" t="s">
        <v>62</v>
      </c>
      <c r="D69" s="24"/>
      <c r="E69" s="25" t="n">
        <f>694</f>
        <v>694.0</v>
      </c>
      <c r="F69" s="23"/>
      <c r="G69" s="25" t="n">
        <f>570</f>
        <v>570.0</v>
      </c>
      <c r="H69" s="23"/>
      <c r="I69" s="26" t="n">
        <f>1264</f>
        <v>1264.0</v>
      </c>
      <c r="J69" s="24"/>
      <c r="K69" s="25" t="n">
        <f>47362000</f>
        <v>4.7362E7</v>
      </c>
      <c r="L69" s="23"/>
      <c r="M69" s="25" t="n">
        <f>132447450</f>
        <v>1.3244745E8</v>
      </c>
      <c r="N69" s="23"/>
      <c r="O69" s="26" t="n">
        <f>179809450</f>
        <v>1.7980945E8</v>
      </c>
      <c r="P69" s="27" t="n">
        <f>15</f>
        <v>15.0</v>
      </c>
      <c r="Q69" s="28" t="n">
        <f>1661</f>
        <v>1661.0</v>
      </c>
      <c r="R69" s="29" t="n">
        <f>1676</f>
        <v>1676.0</v>
      </c>
      <c r="S69" s="24"/>
      <c r="T69" s="25" t="n">
        <f>49</f>
        <v>49.0</v>
      </c>
      <c r="U69" s="23"/>
      <c r="V69" s="25" t="n">
        <f>258</f>
        <v>258.0</v>
      </c>
      <c r="W69" s="23"/>
      <c r="X69" s="26" t="n">
        <f>307</f>
        <v>307.0</v>
      </c>
      <c r="Y69" s="24"/>
      <c r="Z69" s="25" t="n">
        <f>1106</f>
        <v>1106.0</v>
      </c>
      <c r="AA69" s="23"/>
      <c r="AB69" s="25" t="n">
        <f>1012</f>
        <v>1012.0</v>
      </c>
      <c r="AC69" s="23"/>
      <c r="AD69" s="26" t="n">
        <f>2118</f>
        <v>2118.0</v>
      </c>
    </row>
    <row r="70">
      <c r="A70" s="30" t="s">
        <v>59</v>
      </c>
      <c r="B70" s="22" t="s">
        <v>61</v>
      </c>
      <c r="C70" s="22" t="s">
        <v>62</v>
      </c>
      <c r="D70" s="24"/>
      <c r="E70" s="25"/>
      <c r="F70" s="23"/>
      <c r="G70" s="25"/>
      <c r="H70" s="23"/>
      <c r="I70" s="26"/>
      <c r="J70" s="24"/>
      <c r="K70" s="25"/>
      <c r="L70" s="23"/>
      <c r="M70" s="25"/>
      <c r="N70" s="23"/>
      <c r="O70" s="26"/>
      <c r="P70" s="27"/>
      <c r="Q70" s="28"/>
      <c r="R70" s="29"/>
      <c r="S70" s="24"/>
      <c r="T70" s="25"/>
      <c r="U70" s="23"/>
      <c r="V70" s="25"/>
      <c r="W70" s="23"/>
      <c r="X70" s="26"/>
      <c r="Y70" s="24"/>
      <c r="Z70" s="25"/>
      <c r="AA70" s="23"/>
      <c r="AB70" s="25"/>
      <c r="AC70" s="23"/>
      <c r="AD70" s="26"/>
    </row>
    <row r="71">
      <c r="A71" s="30" t="s">
        <v>60</v>
      </c>
      <c r="B71" s="22" t="s">
        <v>61</v>
      </c>
      <c r="C71" s="22" t="s">
        <v>62</v>
      </c>
      <c r="D71" s="24"/>
      <c r="E71" s="25"/>
      <c r="F71" s="23"/>
      <c r="G71" s="25"/>
      <c r="H71" s="23"/>
      <c r="I71" s="26"/>
      <c r="J71" s="24"/>
      <c r="K71" s="25"/>
      <c r="L71" s="23"/>
      <c r="M71" s="25"/>
      <c r="N71" s="23"/>
      <c r="O71" s="26"/>
      <c r="P71" s="27"/>
      <c r="Q71" s="28"/>
      <c r="R71" s="29"/>
      <c r="S71" s="24"/>
      <c r="T71" s="25"/>
      <c r="U71" s="23"/>
      <c r="V71" s="25"/>
      <c r="W71" s="23"/>
      <c r="X71" s="26"/>
      <c r="Y71" s="24"/>
      <c r="Z71" s="25"/>
      <c r="AA71" s="23"/>
      <c r="AB71" s="25"/>
      <c r="AC71" s="23"/>
      <c r="AD71" s="26"/>
    </row>
    <row r="72">
      <c r="A72" s="30" t="s">
        <v>26</v>
      </c>
      <c r="B72" s="22" t="s">
        <v>63</v>
      </c>
      <c r="C72" s="22" t="s">
        <v>64</v>
      </c>
      <c r="D72" s="24" t="s">
        <v>37</v>
      </c>
      <c r="E72" s="25" t="str">
        <f>"－"</f>
        <v>－</v>
      </c>
      <c r="F72" s="23" t="s">
        <v>37</v>
      </c>
      <c r="G72" s="25" t="str">
        <f>"－"</f>
        <v>－</v>
      </c>
      <c r="H72" s="23" t="s">
        <v>37</v>
      </c>
      <c r="I72" s="26" t="str">
        <f>"－"</f>
        <v>－</v>
      </c>
      <c r="J72" s="24" t="s">
        <v>37</v>
      </c>
      <c r="K72" s="25" t="str">
        <f>"－"</f>
        <v>－</v>
      </c>
      <c r="L72" s="23" t="s">
        <v>37</v>
      </c>
      <c r="M72" s="25" t="str">
        <f>"－"</f>
        <v>－</v>
      </c>
      <c r="N72" s="23" t="s">
        <v>37</v>
      </c>
      <c r="O72" s="26" t="str">
        <f>"－"</f>
        <v>－</v>
      </c>
      <c r="P72" s="27" t="str">
        <f>"－"</f>
        <v>－</v>
      </c>
      <c r="Q72" s="28" t="str">
        <f>"－"</f>
        <v>－</v>
      </c>
      <c r="R72" s="29" t="str">
        <f>"－"</f>
        <v>－</v>
      </c>
      <c r="S72" s="24" t="s">
        <v>37</v>
      </c>
      <c r="T72" s="25" t="str">
        <f>"－"</f>
        <v>－</v>
      </c>
      <c r="U72" s="23" t="s">
        <v>37</v>
      </c>
      <c r="V72" s="25" t="str">
        <f>"－"</f>
        <v>－</v>
      </c>
      <c r="W72" s="23" t="s">
        <v>37</v>
      </c>
      <c r="X72" s="26" t="str">
        <f>"－"</f>
        <v>－</v>
      </c>
      <c r="Y72" s="24"/>
      <c r="Z72" s="25" t="n">
        <f>118966</f>
        <v>118966.0</v>
      </c>
      <c r="AA72" s="23"/>
      <c r="AB72" s="25" t="n">
        <f>21216</f>
        <v>21216.0</v>
      </c>
      <c r="AC72" s="23"/>
      <c r="AD72" s="26" t="n">
        <f>140182</f>
        <v>140182.0</v>
      </c>
    </row>
    <row r="73">
      <c r="A73" s="30" t="s">
        <v>30</v>
      </c>
      <c r="B73" s="22" t="s">
        <v>63</v>
      </c>
      <c r="C73" s="22" t="s">
        <v>64</v>
      </c>
      <c r="D73" s="24"/>
      <c r="E73" s="25"/>
      <c r="F73" s="23"/>
      <c r="G73" s="25"/>
      <c r="H73" s="23"/>
      <c r="I73" s="26"/>
      <c r="J73" s="24"/>
      <c r="K73" s="25"/>
      <c r="L73" s="23"/>
      <c r="M73" s="25"/>
      <c r="N73" s="23"/>
      <c r="O73" s="26"/>
      <c r="P73" s="27"/>
      <c r="Q73" s="28"/>
      <c r="R73" s="29"/>
      <c r="S73" s="24"/>
      <c r="T73" s="25"/>
      <c r="U73" s="23"/>
      <c r="V73" s="25"/>
      <c r="W73" s="23"/>
      <c r="X73" s="26"/>
      <c r="Y73" s="24"/>
      <c r="Z73" s="25"/>
      <c r="AA73" s="23"/>
      <c r="AB73" s="25"/>
      <c r="AC73" s="23"/>
      <c r="AD73" s="26"/>
    </row>
    <row r="74">
      <c r="A74" s="30" t="s">
        <v>31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32</v>
      </c>
      <c r="B75" s="22" t="s">
        <v>63</v>
      </c>
      <c r="C75" s="22" t="s">
        <v>64</v>
      </c>
      <c r="D75" s="24"/>
      <c r="E75" s="25"/>
      <c r="F75" s="23"/>
      <c r="G75" s="25"/>
      <c r="H75" s="23"/>
      <c r="I75" s="26"/>
      <c r="J75" s="24"/>
      <c r="K75" s="25"/>
      <c r="L75" s="23"/>
      <c r="M75" s="25"/>
      <c r="N75" s="23"/>
      <c r="O75" s="26"/>
      <c r="P75" s="27"/>
      <c r="Q75" s="28"/>
      <c r="R75" s="29"/>
      <c r="S75" s="24"/>
      <c r="T75" s="25"/>
      <c r="U75" s="23"/>
      <c r="V75" s="25"/>
      <c r="W75" s="23"/>
      <c r="X75" s="26"/>
      <c r="Y75" s="24"/>
      <c r="Z75" s="25"/>
      <c r="AA75" s="23"/>
      <c r="AB75" s="25"/>
      <c r="AC75" s="23"/>
      <c r="AD75" s="26"/>
    </row>
    <row r="76">
      <c r="A76" s="30" t="s">
        <v>33</v>
      </c>
      <c r="B76" s="22" t="s">
        <v>63</v>
      </c>
      <c r="C76" s="22" t="s">
        <v>64</v>
      </c>
      <c r="D76" s="24"/>
      <c r="E76" s="25"/>
      <c r="F76" s="23"/>
      <c r="G76" s="25"/>
      <c r="H76" s="23"/>
      <c r="I76" s="26"/>
      <c r="J76" s="24"/>
      <c r="K76" s="25"/>
      <c r="L76" s="23"/>
      <c r="M76" s="25"/>
      <c r="N76" s="23"/>
      <c r="O76" s="26"/>
      <c r="P76" s="27"/>
      <c r="Q76" s="28"/>
      <c r="R76" s="29"/>
      <c r="S76" s="24"/>
      <c r="T76" s="25"/>
      <c r="U76" s="23"/>
      <c r="V76" s="25"/>
      <c r="W76" s="23"/>
      <c r="X76" s="26"/>
      <c r="Y76" s="24"/>
      <c r="Z76" s="25"/>
      <c r="AA76" s="23"/>
      <c r="AB76" s="25"/>
      <c r="AC76" s="23"/>
      <c r="AD76" s="26"/>
    </row>
    <row r="77">
      <c r="A77" s="30" t="s">
        <v>34</v>
      </c>
      <c r="B77" s="22" t="s">
        <v>63</v>
      </c>
      <c r="C77" s="22" t="s">
        <v>64</v>
      </c>
      <c r="D77" s="24"/>
      <c r="E77" s="25"/>
      <c r="F77" s="23"/>
      <c r="G77" s="25"/>
      <c r="H77" s="23"/>
      <c r="I77" s="26"/>
      <c r="J77" s="24"/>
      <c r="K77" s="25"/>
      <c r="L77" s="23"/>
      <c r="M77" s="25"/>
      <c r="N77" s="23"/>
      <c r="O77" s="26"/>
      <c r="P77" s="27"/>
      <c r="Q77" s="28"/>
      <c r="R77" s="29"/>
      <c r="S77" s="24"/>
      <c r="T77" s="25"/>
      <c r="U77" s="23"/>
      <c r="V77" s="25"/>
      <c r="W77" s="23"/>
      <c r="X77" s="26"/>
      <c r="Y77" s="24"/>
      <c r="Z77" s="25"/>
      <c r="AA77" s="23"/>
      <c r="AB77" s="25"/>
      <c r="AC77" s="23"/>
      <c r="AD77" s="26"/>
    </row>
    <row r="78">
      <c r="A78" s="30" t="s">
        <v>35</v>
      </c>
      <c r="B78" s="22" t="s">
        <v>63</v>
      </c>
      <c r="C78" s="22" t="s">
        <v>64</v>
      </c>
      <c r="D78" s="24"/>
      <c r="E78" s="25" t="n">
        <f>170</f>
        <v>170.0</v>
      </c>
      <c r="F78" s="23"/>
      <c r="G78" s="25" t="n">
        <f>170</f>
        <v>170.0</v>
      </c>
      <c r="H78" s="23"/>
      <c r="I78" s="26" t="n">
        <f>340</f>
        <v>340.0</v>
      </c>
      <c r="J78" s="24"/>
      <c r="K78" s="25" t="n">
        <f>315265000</f>
        <v>3.15265E8</v>
      </c>
      <c r="L78" s="23"/>
      <c r="M78" s="25" t="n">
        <f>198135000</f>
        <v>1.98135E8</v>
      </c>
      <c r="N78" s="23"/>
      <c r="O78" s="26" t="n">
        <f>513400000</f>
        <v>5.134E8</v>
      </c>
      <c r="P78" s="27" t="str">
        <f>"－"</f>
        <v>－</v>
      </c>
      <c r="Q78" s="28" t="str">
        <f>"－"</f>
        <v>－</v>
      </c>
      <c r="R78" s="29" t="str">
        <f>"－"</f>
        <v>－</v>
      </c>
      <c r="S78" s="24"/>
      <c r="T78" s="25" t="str">
        <f>"－"</f>
        <v>－</v>
      </c>
      <c r="U78" s="23"/>
      <c r="V78" s="25" t="str">
        <f>"－"</f>
        <v>－</v>
      </c>
      <c r="W78" s="23"/>
      <c r="X78" s="26" t="str">
        <f>"－"</f>
        <v>－</v>
      </c>
      <c r="Y78" s="24"/>
      <c r="Z78" s="25" t="n">
        <f>119136</f>
        <v>119136.0</v>
      </c>
      <c r="AA78" s="23"/>
      <c r="AB78" s="25" t="n">
        <f>21386</f>
        <v>21386.0</v>
      </c>
      <c r="AC78" s="23"/>
      <c r="AD78" s="26" t="n">
        <f>140522</f>
        <v>140522.0</v>
      </c>
    </row>
    <row r="79">
      <c r="A79" s="30" t="s">
        <v>36</v>
      </c>
      <c r="B79" s="22" t="s">
        <v>63</v>
      </c>
      <c r="C79" s="22" t="s">
        <v>64</v>
      </c>
      <c r="D79" s="24"/>
      <c r="E79" s="25" t="n">
        <f>1400</f>
        <v>1400.0</v>
      </c>
      <c r="F79" s="23"/>
      <c r="G79" s="25" t="n">
        <f>285</f>
        <v>285.0</v>
      </c>
      <c r="H79" s="23"/>
      <c r="I79" s="26" t="n">
        <f>1685</f>
        <v>1685.0</v>
      </c>
      <c r="J79" s="24" t="s">
        <v>29</v>
      </c>
      <c r="K79" s="25" t="n">
        <f>928200000</f>
        <v>9.282E8</v>
      </c>
      <c r="L79" s="23"/>
      <c r="M79" s="25" t="n">
        <f>34200000</f>
        <v>3.42E7</v>
      </c>
      <c r="N79" s="23" t="s">
        <v>29</v>
      </c>
      <c r="O79" s="26" t="n">
        <f>962400000</f>
        <v>9.624E8</v>
      </c>
      <c r="P79" s="27" t="str">
        <f>"－"</f>
        <v>－</v>
      </c>
      <c r="Q79" s="28" t="str">
        <f>"－"</f>
        <v>－</v>
      </c>
      <c r="R79" s="29" t="str">
        <f>"－"</f>
        <v>－</v>
      </c>
      <c r="S79" s="24" t="s">
        <v>29</v>
      </c>
      <c r="T79" s="25" t="n">
        <f>1400</f>
        <v>1400.0</v>
      </c>
      <c r="U79" s="23" t="s">
        <v>29</v>
      </c>
      <c r="V79" s="25" t="n">
        <f>285</f>
        <v>285.0</v>
      </c>
      <c r="W79" s="23" t="s">
        <v>29</v>
      </c>
      <c r="X79" s="26" t="n">
        <f>1685</f>
        <v>1685.0</v>
      </c>
      <c r="Y79" s="24"/>
      <c r="Z79" s="25" t="n">
        <f>120036</f>
        <v>120036.0</v>
      </c>
      <c r="AA79" s="23" t="s">
        <v>37</v>
      </c>
      <c r="AB79" s="25" t="n">
        <f>20886</f>
        <v>20886.0</v>
      </c>
      <c r="AC79" s="23"/>
      <c r="AD79" s="26" t="n">
        <f>140922</f>
        <v>140922.0</v>
      </c>
    </row>
    <row r="80">
      <c r="A80" s="30" t="s">
        <v>38</v>
      </c>
      <c r="B80" s="22" t="s">
        <v>63</v>
      </c>
      <c r="C80" s="22" t="s">
        <v>64</v>
      </c>
      <c r="D80" s="24"/>
      <c r="E80" s="25"/>
      <c r="F80" s="23"/>
      <c r="G80" s="25"/>
      <c r="H80" s="23"/>
      <c r="I80" s="26"/>
      <c r="J80" s="24"/>
      <c r="K80" s="25"/>
      <c r="L80" s="23"/>
      <c r="M80" s="25"/>
      <c r="N80" s="23"/>
      <c r="O80" s="26"/>
      <c r="P80" s="27"/>
      <c r="Q80" s="28"/>
      <c r="R80" s="29"/>
      <c r="S80" s="24"/>
      <c r="T80" s="25"/>
      <c r="U80" s="23"/>
      <c r="V80" s="25"/>
      <c r="W80" s="23"/>
      <c r="X80" s="26"/>
      <c r="Y80" s="24"/>
      <c r="Z80" s="25"/>
      <c r="AA80" s="23"/>
      <c r="AB80" s="25"/>
      <c r="AC80" s="23"/>
      <c r="AD80" s="26"/>
    </row>
    <row r="81">
      <c r="A81" s="30" t="s">
        <v>39</v>
      </c>
      <c r="B81" s="22" t="s">
        <v>63</v>
      </c>
      <c r="C81" s="22" t="s">
        <v>64</v>
      </c>
      <c r="D81" s="24"/>
      <c r="E81" s="25"/>
      <c r="F81" s="23"/>
      <c r="G81" s="25"/>
      <c r="H81" s="23"/>
      <c r="I81" s="26"/>
      <c r="J81" s="24"/>
      <c r="K81" s="25"/>
      <c r="L81" s="23"/>
      <c r="M81" s="25"/>
      <c r="N81" s="23"/>
      <c r="O81" s="26"/>
      <c r="P81" s="27"/>
      <c r="Q81" s="28"/>
      <c r="R81" s="29"/>
      <c r="S81" s="24"/>
      <c r="T81" s="25"/>
      <c r="U81" s="23"/>
      <c r="V81" s="25"/>
      <c r="W81" s="23"/>
      <c r="X81" s="26"/>
      <c r="Y81" s="24"/>
      <c r="Z81" s="25"/>
      <c r="AA81" s="23"/>
      <c r="AB81" s="25"/>
      <c r="AC81" s="23"/>
      <c r="AD81" s="26"/>
    </row>
    <row r="82">
      <c r="A82" s="30" t="s">
        <v>40</v>
      </c>
      <c r="B82" s="22" t="s">
        <v>63</v>
      </c>
      <c r="C82" s="22" t="s">
        <v>64</v>
      </c>
      <c r="D82" s="24"/>
      <c r="E82" s="25" t="n">
        <f>317</f>
        <v>317.0</v>
      </c>
      <c r="F82" s="23"/>
      <c r="G82" s="25" t="str">
        <f>"－"</f>
        <v>－</v>
      </c>
      <c r="H82" s="23"/>
      <c r="I82" s="26" t="n">
        <f>317</f>
        <v>317.0</v>
      </c>
      <c r="J82" s="24"/>
      <c r="K82" s="25" t="n">
        <f>153624650</f>
        <v>1.5362465E8</v>
      </c>
      <c r="L82" s="23"/>
      <c r="M82" s="25" t="str">
        <f>"－"</f>
        <v>－</v>
      </c>
      <c r="N82" s="23"/>
      <c r="O82" s="26" t="n">
        <f>153624650</f>
        <v>1.5362465E8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n">
        <f>317</f>
        <v>317.0</v>
      </c>
      <c r="U82" s="23"/>
      <c r="V82" s="25" t="str">
        <f>"－"</f>
        <v>－</v>
      </c>
      <c r="W82" s="23"/>
      <c r="X82" s="26" t="n">
        <f>317</f>
        <v>317.0</v>
      </c>
      <c r="Y82" s="24"/>
      <c r="Z82" s="25" t="n">
        <f>118715</f>
        <v>118715.0</v>
      </c>
      <c r="AA82" s="23"/>
      <c r="AB82" s="25" t="n">
        <f>20886</f>
        <v>20886.0</v>
      </c>
      <c r="AC82" s="23"/>
      <c r="AD82" s="26" t="n">
        <f>139601</f>
        <v>139601.0</v>
      </c>
    </row>
    <row r="83">
      <c r="A83" s="30" t="s">
        <v>41</v>
      </c>
      <c r="B83" s="22" t="s">
        <v>63</v>
      </c>
      <c r="C83" s="22" t="s">
        <v>64</v>
      </c>
      <c r="D83" s="24"/>
      <c r="E83" s="25" t="str">
        <f>"－"</f>
        <v>－</v>
      </c>
      <c r="F83" s="23"/>
      <c r="G83" s="25" t="str">
        <f>"－"</f>
        <v>－</v>
      </c>
      <c r="H83" s="23"/>
      <c r="I83" s="26" t="str">
        <f>"－"</f>
        <v>－</v>
      </c>
      <c r="J83" s="24"/>
      <c r="K83" s="25" t="str">
        <f>"－"</f>
        <v>－</v>
      </c>
      <c r="L83" s="23"/>
      <c r="M83" s="25" t="str">
        <f>"－"</f>
        <v>－</v>
      </c>
      <c r="N83" s="23"/>
      <c r="O83" s="26" t="str">
        <f>"－"</f>
        <v>－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/>
      <c r="T83" s="25" t="str">
        <f>"－"</f>
        <v>－</v>
      </c>
      <c r="U83" s="23"/>
      <c r="V83" s="25" t="str">
        <f>"－"</f>
        <v>－</v>
      </c>
      <c r="W83" s="23"/>
      <c r="X83" s="26" t="str">
        <f>"－"</f>
        <v>－</v>
      </c>
      <c r="Y83" s="24" t="s">
        <v>37</v>
      </c>
      <c r="Z83" s="25" t="n">
        <f>118596</f>
        <v>118596.0</v>
      </c>
      <c r="AA83" s="23"/>
      <c r="AB83" s="25" t="n">
        <f>20886</f>
        <v>20886.0</v>
      </c>
      <c r="AC83" s="23" t="s">
        <v>37</v>
      </c>
      <c r="AD83" s="26" t="n">
        <f>139482</f>
        <v>139482.0</v>
      </c>
    </row>
    <row r="84">
      <c r="A84" s="30" t="s">
        <v>42</v>
      </c>
      <c r="B84" s="22" t="s">
        <v>63</v>
      </c>
      <c r="C84" s="22" t="s">
        <v>64</v>
      </c>
      <c r="D84" s="24"/>
      <c r="E84" s="25" t="str">
        <f>"－"</f>
        <v>－</v>
      </c>
      <c r="F84" s="23"/>
      <c r="G84" s="25" t="str">
        <f>"－"</f>
        <v>－</v>
      </c>
      <c r="H84" s="23"/>
      <c r="I84" s="26" t="str">
        <f>"－"</f>
        <v>－</v>
      </c>
      <c r="J84" s="24"/>
      <c r="K84" s="25" t="str">
        <f>"－"</f>
        <v>－</v>
      </c>
      <c r="L84" s="23"/>
      <c r="M84" s="25" t="str">
        <f>"－"</f>
        <v>－</v>
      </c>
      <c r="N84" s="23"/>
      <c r="O84" s="26" t="str">
        <f>"－"</f>
        <v>－</v>
      </c>
      <c r="P84" s="27" t="str">
        <f>"－"</f>
        <v>－</v>
      </c>
      <c r="Q84" s="28" t="str">
        <f>"－"</f>
        <v>－</v>
      </c>
      <c r="R84" s="29" t="str">
        <f>"－"</f>
        <v>－</v>
      </c>
      <c r="S84" s="24"/>
      <c r="T84" s="25" t="str">
        <f>"－"</f>
        <v>－</v>
      </c>
      <c r="U84" s="23"/>
      <c r="V84" s="25" t="str">
        <f>"－"</f>
        <v>－</v>
      </c>
      <c r="W84" s="23"/>
      <c r="X84" s="26" t="str">
        <f>"－"</f>
        <v>－</v>
      </c>
      <c r="Y84" s="24"/>
      <c r="Z84" s="25" t="n">
        <f>118596</f>
        <v>118596.0</v>
      </c>
      <c r="AA84" s="23"/>
      <c r="AB84" s="25" t="n">
        <f>20886</f>
        <v>20886.0</v>
      </c>
      <c r="AC84" s="23"/>
      <c r="AD84" s="26" t="n">
        <f>139482</f>
        <v>139482.0</v>
      </c>
    </row>
    <row r="85">
      <c r="A85" s="30" t="s">
        <v>43</v>
      </c>
      <c r="B85" s="22" t="s">
        <v>63</v>
      </c>
      <c r="C85" s="22" t="s">
        <v>64</v>
      </c>
      <c r="D85" s="24"/>
      <c r="E85" s="25" t="n">
        <f>124</f>
        <v>124.0</v>
      </c>
      <c r="F85" s="23"/>
      <c r="G85" s="25" t="n">
        <f>124</f>
        <v>124.0</v>
      </c>
      <c r="H85" s="23"/>
      <c r="I85" s="26" t="n">
        <f>248</f>
        <v>248.0</v>
      </c>
      <c r="J85" s="24"/>
      <c r="K85" s="25" t="n">
        <f>73111020</f>
        <v>7.311102E7</v>
      </c>
      <c r="L85" s="23"/>
      <c r="M85" s="25" t="n">
        <f>245823862</f>
        <v>2.45823862E8</v>
      </c>
      <c r="N85" s="23"/>
      <c r="O85" s="26" t="n">
        <f>318934882</f>
        <v>3.18934882E8</v>
      </c>
      <c r="P85" s="27" t="str">
        <f>"－"</f>
        <v>－</v>
      </c>
      <c r="Q85" s="28" t="str">
        <f>"－"</f>
        <v>－</v>
      </c>
      <c r="R85" s="29" t="str">
        <f>"－"</f>
        <v>－</v>
      </c>
      <c r="S85" s="24"/>
      <c r="T85" s="25" t="n">
        <f>124</f>
        <v>124.0</v>
      </c>
      <c r="U85" s="23"/>
      <c r="V85" s="25" t="n">
        <f>124</f>
        <v>124.0</v>
      </c>
      <c r="W85" s="23"/>
      <c r="X85" s="26" t="n">
        <f>248</f>
        <v>248.0</v>
      </c>
      <c r="Y85" s="24"/>
      <c r="Z85" s="25" t="n">
        <f>118720</f>
        <v>118720.0</v>
      </c>
      <c r="AA85" s="23"/>
      <c r="AB85" s="25" t="n">
        <f>21010</f>
        <v>21010.0</v>
      </c>
      <c r="AC85" s="23"/>
      <c r="AD85" s="26" t="n">
        <f>139730</f>
        <v>139730.0</v>
      </c>
    </row>
    <row r="86">
      <c r="A86" s="30" t="s">
        <v>44</v>
      </c>
      <c r="B86" s="22" t="s">
        <v>63</v>
      </c>
      <c r="C86" s="22" t="s">
        <v>64</v>
      </c>
      <c r="D86" s="24"/>
      <c r="E86" s="25" t="n">
        <f>250</f>
        <v>250.0</v>
      </c>
      <c r="F86" s="23"/>
      <c r="G86" s="25" t="n">
        <f>250</f>
        <v>250.0</v>
      </c>
      <c r="H86" s="23"/>
      <c r="I86" s="26" t="n">
        <f>500</f>
        <v>500.0</v>
      </c>
      <c r="J86" s="24"/>
      <c r="K86" s="25" t="n">
        <f>277500000</f>
        <v>2.775E8</v>
      </c>
      <c r="L86" s="23"/>
      <c r="M86" s="25" t="n">
        <f>250000000</f>
        <v>2.5E8</v>
      </c>
      <c r="N86" s="23"/>
      <c r="O86" s="26" t="n">
        <f>527500000</f>
        <v>5.275E8</v>
      </c>
      <c r="P86" s="27" t="str">
        <f>"－"</f>
        <v>－</v>
      </c>
      <c r="Q86" s="28" t="str">
        <f>"－"</f>
        <v>－</v>
      </c>
      <c r="R86" s="29" t="str">
        <f>"－"</f>
        <v>－</v>
      </c>
      <c r="S86" s="24"/>
      <c r="T86" s="25" t="str">
        <f>"－"</f>
        <v>－</v>
      </c>
      <c r="U86" s="23"/>
      <c r="V86" s="25" t="str">
        <f>"－"</f>
        <v>－</v>
      </c>
      <c r="W86" s="23"/>
      <c r="X86" s="26" t="str">
        <f>"－"</f>
        <v>－</v>
      </c>
      <c r="Y86" s="24"/>
      <c r="Z86" s="25" t="n">
        <f>118970</f>
        <v>118970.0</v>
      </c>
      <c r="AA86" s="23"/>
      <c r="AB86" s="25" t="n">
        <f>21260</f>
        <v>21260.0</v>
      </c>
      <c r="AC86" s="23"/>
      <c r="AD86" s="26" t="n">
        <f>140230</f>
        <v>140230.0</v>
      </c>
    </row>
    <row r="87">
      <c r="A87" s="30" t="s">
        <v>45</v>
      </c>
      <c r="B87" s="22" t="s">
        <v>63</v>
      </c>
      <c r="C87" s="22" t="s">
        <v>64</v>
      </c>
      <c r="D87" s="24"/>
      <c r="E87" s="25"/>
      <c r="F87" s="23"/>
      <c r="G87" s="25"/>
      <c r="H87" s="23"/>
      <c r="I87" s="26"/>
      <c r="J87" s="24"/>
      <c r="K87" s="25"/>
      <c r="L87" s="23"/>
      <c r="M87" s="25"/>
      <c r="N87" s="23"/>
      <c r="O87" s="26"/>
      <c r="P87" s="27"/>
      <c r="Q87" s="28"/>
      <c r="R87" s="29"/>
      <c r="S87" s="24"/>
      <c r="T87" s="25"/>
      <c r="U87" s="23"/>
      <c r="V87" s="25"/>
      <c r="W87" s="23"/>
      <c r="X87" s="26"/>
      <c r="Y87" s="24"/>
      <c r="Z87" s="25"/>
      <c r="AA87" s="23"/>
      <c r="AB87" s="25"/>
      <c r="AC87" s="23"/>
      <c r="AD87" s="26"/>
    </row>
    <row r="88">
      <c r="A88" s="30" t="s">
        <v>46</v>
      </c>
      <c r="B88" s="22" t="s">
        <v>63</v>
      </c>
      <c r="C88" s="22" t="s">
        <v>64</v>
      </c>
      <c r="D88" s="24"/>
      <c r="E88" s="25"/>
      <c r="F88" s="23"/>
      <c r="G88" s="25"/>
      <c r="H88" s="23"/>
      <c r="I88" s="26"/>
      <c r="J88" s="24"/>
      <c r="K88" s="25"/>
      <c r="L88" s="23"/>
      <c r="M88" s="25"/>
      <c r="N88" s="23"/>
      <c r="O88" s="26"/>
      <c r="P88" s="27"/>
      <c r="Q88" s="28"/>
      <c r="R88" s="29"/>
      <c r="S88" s="24"/>
      <c r="T88" s="25"/>
      <c r="U88" s="23"/>
      <c r="V88" s="25"/>
      <c r="W88" s="23"/>
      <c r="X88" s="26"/>
      <c r="Y88" s="24"/>
      <c r="Z88" s="25"/>
      <c r="AA88" s="23"/>
      <c r="AB88" s="25"/>
      <c r="AC88" s="23"/>
      <c r="AD88" s="26"/>
    </row>
    <row r="89">
      <c r="A89" s="30" t="s">
        <v>47</v>
      </c>
      <c r="B89" s="22" t="s">
        <v>63</v>
      </c>
      <c r="C89" s="22" t="s">
        <v>64</v>
      </c>
      <c r="D89" s="24"/>
      <c r="E89" s="25" t="str">
        <f>"－"</f>
        <v>－</v>
      </c>
      <c r="F89" s="23"/>
      <c r="G89" s="25" t="str">
        <f>"－"</f>
        <v>－</v>
      </c>
      <c r="H89" s="23"/>
      <c r="I89" s="26" t="str">
        <f>"－"</f>
        <v>－</v>
      </c>
      <c r="J89" s="24"/>
      <c r="K89" s="25" t="str">
        <f>"－"</f>
        <v>－</v>
      </c>
      <c r="L89" s="23"/>
      <c r="M89" s="25" t="str">
        <f>"－"</f>
        <v>－</v>
      </c>
      <c r="N89" s="23"/>
      <c r="O89" s="26" t="str">
        <f>"－"</f>
        <v>－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str">
        <f>"－"</f>
        <v>－</v>
      </c>
      <c r="U89" s="23"/>
      <c r="V89" s="25" t="str">
        <f>"－"</f>
        <v>－</v>
      </c>
      <c r="W89" s="23"/>
      <c r="X89" s="26" t="str">
        <f>"－"</f>
        <v>－</v>
      </c>
      <c r="Y89" s="24"/>
      <c r="Z89" s="25" t="n">
        <f>118970</f>
        <v>118970.0</v>
      </c>
      <c r="AA89" s="23"/>
      <c r="AB89" s="25" t="n">
        <f>21260</f>
        <v>21260.0</v>
      </c>
      <c r="AC89" s="23"/>
      <c r="AD89" s="26" t="n">
        <f>140230</f>
        <v>140230.0</v>
      </c>
    </row>
    <row r="90">
      <c r="A90" s="30" t="s">
        <v>48</v>
      </c>
      <c r="B90" s="22" t="s">
        <v>63</v>
      </c>
      <c r="C90" s="22" t="s">
        <v>64</v>
      </c>
      <c r="D90" s="24"/>
      <c r="E90" s="25" t="n">
        <f>605</f>
        <v>605.0</v>
      </c>
      <c r="F90" s="23"/>
      <c r="G90" s="25" t="n">
        <f>446</f>
        <v>446.0</v>
      </c>
      <c r="H90" s="23"/>
      <c r="I90" s="26" t="n">
        <f>1051</f>
        <v>1051.0</v>
      </c>
      <c r="J90" s="24"/>
      <c r="K90" s="25" t="n">
        <f>327098800</f>
        <v>3.270988E8</v>
      </c>
      <c r="L90" s="23"/>
      <c r="M90" s="25" t="n">
        <f>71360000</f>
        <v>7.136E7</v>
      </c>
      <c r="N90" s="23"/>
      <c r="O90" s="26" t="n">
        <f>398458800</f>
        <v>3.984588E8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159</f>
        <v>159.0</v>
      </c>
      <c r="U90" s="23"/>
      <c r="V90" s="25" t="str">
        <f>"－"</f>
        <v>－</v>
      </c>
      <c r="W90" s="23"/>
      <c r="X90" s="26" t="n">
        <f>159</f>
        <v>159.0</v>
      </c>
      <c r="Y90" s="24"/>
      <c r="Z90" s="25" t="n">
        <f>118970</f>
        <v>118970.0</v>
      </c>
      <c r="AA90" s="23"/>
      <c r="AB90" s="25" t="n">
        <f>21120</f>
        <v>21120.0</v>
      </c>
      <c r="AC90" s="23"/>
      <c r="AD90" s="26" t="n">
        <f>140090</f>
        <v>140090.0</v>
      </c>
    </row>
    <row r="91">
      <c r="A91" s="30" t="s">
        <v>49</v>
      </c>
      <c r="B91" s="22" t="s">
        <v>63</v>
      </c>
      <c r="C91" s="22" t="s">
        <v>64</v>
      </c>
      <c r="D91" s="24" t="s">
        <v>29</v>
      </c>
      <c r="E91" s="25" t="n">
        <f>3128</f>
        <v>3128.0</v>
      </c>
      <c r="F91" s="23"/>
      <c r="G91" s="25" t="str">
        <f>"－"</f>
        <v>－</v>
      </c>
      <c r="H91" s="23" t="s">
        <v>29</v>
      </c>
      <c r="I91" s="26" t="n">
        <f>3128</f>
        <v>3128.0</v>
      </c>
      <c r="J91" s="24"/>
      <c r="K91" s="25" t="n">
        <f>344080000</f>
        <v>3.4408E8</v>
      </c>
      <c r="L91" s="23"/>
      <c r="M91" s="25" t="str">
        <f>"－"</f>
        <v>－</v>
      </c>
      <c r="N91" s="23"/>
      <c r="O91" s="26" t="n">
        <f>344080000</f>
        <v>3.4408E8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str">
        <f>"－"</f>
        <v>－</v>
      </c>
      <c r="U91" s="23"/>
      <c r="V91" s="25" t="str">
        <f>"－"</f>
        <v>－</v>
      </c>
      <c r="W91" s="23"/>
      <c r="X91" s="26" t="str">
        <f>"－"</f>
        <v>－</v>
      </c>
      <c r="Y91" s="24" t="s">
        <v>29</v>
      </c>
      <c r="Z91" s="25" t="n">
        <f>121180</f>
        <v>121180.0</v>
      </c>
      <c r="AA91" s="23"/>
      <c r="AB91" s="25" t="n">
        <f>21120</f>
        <v>21120.0</v>
      </c>
      <c r="AC91" s="23" t="s">
        <v>29</v>
      </c>
      <c r="AD91" s="26" t="n">
        <f>142300</f>
        <v>142300.0</v>
      </c>
    </row>
    <row r="92">
      <c r="A92" s="30" t="s">
        <v>50</v>
      </c>
      <c r="B92" s="22" t="s">
        <v>63</v>
      </c>
      <c r="C92" s="22" t="s">
        <v>64</v>
      </c>
      <c r="D92" s="24"/>
      <c r="E92" s="25" t="str">
        <f>"－"</f>
        <v>－</v>
      </c>
      <c r="F92" s="23"/>
      <c r="G92" s="25" t="str">
        <f>"－"</f>
        <v>－</v>
      </c>
      <c r="H92" s="23"/>
      <c r="I92" s="26" t="str">
        <f>"－"</f>
        <v>－</v>
      </c>
      <c r="J92" s="24"/>
      <c r="K92" s="25" t="str">
        <f>"－"</f>
        <v>－</v>
      </c>
      <c r="L92" s="23"/>
      <c r="M92" s="25" t="str">
        <f>"－"</f>
        <v>－</v>
      </c>
      <c r="N92" s="23"/>
      <c r="O92" s="26" t="str">
        <f>"－"</f>
        <v>－</v>
      </c>
      <c r="P92" s="27" t="str">
        <f>"－"</f>
        <v>－</v>
      </c>
      <c r="Q92" s="28" t="str">
        <f>"－"</f>
        <v>－</v>
      </c>
      <c r="R92" s="29" t="str">
        <f>"－"</f>
        <v>－</v>
      </c>
      <c r="S92" s="24"/>
      <c r="T92" s="25" t="str">
        <f>"－"</f>
        <v>－</v>
      </c>
      <c r="U92" s="23"/>
      <c r="V92" s="25" t="str">
        <f>"－"</f>
        <v>－</v>
      </c>
      <c r="W92" s="23"/>
      <c r="X92" s="26" t="str">
        <f>"－"</f>
        <v>－</v>
      </c>
      <c r="Y92" s="24"/>
      <c r="Z92" s="25" t="n">
        <f>119052</f>
        <v>119052.0</v>
      </c>
      <c r="AA92" s="23"/>
      <c r="AB92" s="25" t="n">
        <f>21120</f>
        <v>21120.0</v>
      </c>
      <c r="AC92" s="23"/>
      <c r="AD92" s="26" t="n">
        <f>140172</f>
        <v>140172.0</v>
      </c>
    </row>
    <row r="93">
      <c r="A93" s="30" t="s">
        <v>51</v>
      </c>
      <c r="B93" s="22" t="s">
        <v>63</v>
      </c>
      <c r="C93" s="22" t="s">
        <v>64</v>
      </c>
      <c r="D93" s="24"/>
      <c r="E93" s="25" t="n">
        <f>635</f>
        <v>635.0</v>
      </c>
      <c r="F93" s="23" t="s">
        <v>29</v>
      </c>
      <c r="G93" s="25" t="n">
        <f>490</f>
        <v>490.0</v>
      </c>
      <c r="H93" s="23"/>
      <c r="I93" s="26" t="n">
        <f>1125</f>
        <v>1125.0</v>
      </c>
      <c r="J93" s="24"/>
      <c r="K93" s="25" t="n">
        <f>386950000</f>
        <v>3.8695E8</v>
      </c>
      <c r="L93" s="23"/>
      <c r="M93" s="25" t="n">
        <f>351800000</f>
        <v>3.518E8</v>
      </c>
      <c r="N93" s="23"/>
      <c r="O93" s="26" t="n">
        <f>738750000</f>
        <v>7.3875E8</v>
      </c>
      <c r="P93" s="27" t="str">
        <f>"－"</f>
        <v>－</v>
      </c>
      <c r="Q93" s="28" t="str">
        <f>"－"</f>
        <v>－</v>
      </c>
      <c r="R93" s="29" t="str">
        <f>"－"</f>
        <v>－</v>
      </c>
      <c r="S93" s="24"/>
      <c r="T93" s="25" t="n">
        <f>290</f>
        <v>290.0</v>
      </c>
      <c r="U93" s="23"/>
      <c r="V93" s="25" t="n">
        <f>145</f>
        <v>145.0</v>
      </c>
      <c r="W93" s="23"/>
      <c r="X93" s="26" t="n">
        <f>435</f>
        <v>435.0</v>
      </c>
      <c r="Y93" s="24"/>
      <c r="Z93" s="25" t="n">
        <f>119387</f>
        <v>119387.0</v>
      </c>
      <c r="AA93" s="23"/>
      <c r="AB93" s="25" t="n">
        <f>21310</f>
        <v>21310.0</v>
      </c>
      <c r="AC93" s="23"/>
      <c r="AD93" s="26" t="n">
        <f>140697</f>
        <v>140697.0</v>
      </c>
    </row>
    <row r="94">
      <c r="A94" s="30" t="s">
        <v>52</v>
      </c>
      <c r="B94" s="22" t="s">
        <v>63</v>
      </c>
      <c r="C94" s="22" t="s">
        <v>64</v>
      </c>
      <c r="D94" s="24"/>
      <c r="E94" s="25"/>
      <c r="F94" s="23"/>
      <c r="G94" s="25"/>
      <c r="H94" s="23"/>
      <c r="I94" s="26"/>
      <c r="J94" s="24"/>
      <c r="K94" s="25"/>
      <c r="L94" s="23"/>
      <c r="M94" s="25"/>
      <c r="N94" s="23"/>
      <c r="O94" s="26"/>
      <c r="P94" s="27"/>
      <c r="Q94" s="28"/>
      <c r="R94" s="29"/>
      <c r="S94" s="24"/>
      <c r="T94" s="25"/>
      <c r="U94" s="23"/>
      <c r="V94" s="25"/>
      <c r="W94" s="23"/>
      <c r="X94" s="26"/>
      <c r="Y94" s="24"/>
      <c r="Z94" s="25"/>
      <c r="AA94" s="23"/>
      <c r="AB94" s="25"/>
      <c r="AC94" s="23"/>
      <c r="AD94" s="26"/>
    </row>
    <row r="95">
      <c r="A95" s="30" t="s">
        <v>53</v>
      </c>
      <c r="B95" s="22" t="s">
        <v>63</v>
      </c>
      <c r="C95" s="22" t="s">
        <v>64</v>
      </c>
      <c r="D95" s="24"/>
      <c r="E95" s="25"/>
      <c r="F95" s="23"/>
      <c r="G95" s="25"/>
      <c r="H95" s="23"/>
      <c r="I95" s="26"/>
      <c r="J95" s="24"/>
      <c r="K95" s="25"/>
      <c r="L95" s="23"/>
      <c r="M95" s="25"/>
      <c r="N95" s="23"/>
      <c r="O95" s="26"/>
      <c r="P95" s="27"/>
      <c r="Q95" s="28"/>
      <c r="R95" s="29"/>
      <c r="S95" s="24"/>
      <c r="T95" s="25"/>
      <c r="U95" s="23"/>
      <c r="V95" s="25"/>
      <c r="W95" s="23"/>
      <c r="X95" s="26"/>
      <c r="Y95" s="24"/>
      <c r="Z95" s="25"/>
      <c r="AA95" s="23"/>
      <c r="AB95" s="25"/>
      <c r="AC95" s="23"/>
      <c r="AD95" s="26"/>
    </row>
    <row r="96">
      <c r="A96" s="30" t="s">
        <v>54</v>
      </c>
      <c r="B96" s="22" t="s">
        <v>63</v>
      </c>
      <c r="C96" s="22" t="s">
        <v>64</v>
      </c>
      <c r="D96" s="24"/>
      <c r="E96" s="25" t="n">
        <f>700</f>
        <v>700.0</v>
      </c>
      <c r="F96" s="23"/>
      <c r="G96" s="25" t="str">
        <f>"－"</f>
        <v>－</v>
      </c>
      <c r="H96" s="23"/>
      <c r="I96" s="26" t="n">
        <f>700</f>
        <v>700.0</v>
      </c>
      <c r="J96" s="24"/>
      <c r="K96" s="25" t="n">
        <f>312200000</f>
        <v>3.122E8</v>
      </c>
      <c r="L96" s="23"/>
      <c r="M96" s="25" t="str">
        <f>"－"</f>
        <v>－</v>
      </c>
      <c r="N96" s="23"/>
      <c r="O96" s="26" t="n">
        <f>312200000</f>
        <v>3.122E8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n">
        <f>700</f>
        <v>700.0</v>
      </c>
      <c r="U96" s="23"/>
      <c r="V96" s="25" t="str">
        <f>"－"</f>
        <v>－</v>
      </c>
      <c r="W96" s="23"/>
      <c r="X96" s="26" t="n">
        <f>700</f>
        <v>700.0</v>
      </c>
      <c r="Y96" s="24"/>
      <c r="Z96" s="25" t="n">
        <f>119387</f>
        <v>119387.0</v>
      </c>
      <c r="AA96" s="23"/>
      <c r="AB96" s="25" t="n">
        <f>21310</f>
        <v>21310.0</v>
      </c>
      <c r="AC96" s="23"/>
      <c r="AD96" s="26" t="n">
        <f>140697</f>
        <v>140697.0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300</f>
        <v>300.0</v>
      </c>
      <c r="F97" s="23"/>
      <c r="G97" s="25" t="n">
        <f>300</f>
        <v>300.0</v>
      </c>
      <c r="H97" s="23"/>
      <c r="I97" s="26" t="n">
        <f>600</f>
        <v>600.0</v>
      </c>
      <c r="J97" s="24"/>
      <c r="K97" s="25" t="n">
        <f>171250000</f>
        <v>1.7125E8</v>
      </c>
      <c r="L97" s="23" t="s">
        <v>29</v>
      </c>
      <c r="M97" s="25" t="n">
        <f>393750000</f>
        <v>3.9375E8</v>
      </c>
      <c r="N97" s="23"/>
      <c r="O97" s="26" t="n">
        <f>565000000</f>
        <v>5.65E8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119562</f>
        <v>119562.0</v>
      </c>
      <c r="AA97" s="23" t="s">
        <v>29</v>
      </c>
      <c r="AB97" s="25" t="n">
        <f>21485</f>
        <v>21485.0</v>
      </c>
      <c r="AC97" s="23"/>
      <c r="AD97" s="26" t="n">
        <f>141047</f>
        <v>141047.0</v>
      </c>
    </row>
    <row r="98">
      <c r="A98" s="30" t="s">
        <v>56</v>
      </c>
      <c r="B98" s="22" t="s">
        <v>63</v>
      </c>
      <c r="C98" s="22" t="s">
        <v>64</v>
      </c>
      <c r="D98" s="24"/>
      <c r="E98" s="25" t="n">
        <f>94</f>
        <v>94.0</v>
      </c>
      <c r="F98" s="23"/>
      <c r="G98" s="25" t="n">
        <f>47</f>
        <v>47.0</v>
      </c>
      <c r="H98" s="23"/>
      <c r="I98" s="26" t="n">
        <f>141</f>
        <v>141.0</v>
      </c>
      <c r="J98" s="24"/>
      <c r="K98" s="25" t="n">
        <f>61100000</f>
        <v>6.11E7</v>
      </c>
      <c r="L98" s="23"/>
      <c r="M98" s="25" t="n">
        <f>19270000</f>
        <v>1.927E7</v>
      </c>
      <c r="N98" s="23"/>
      <c r="O98" s="26" t="n">
        <f>80370000</f>
        <v>8.037E7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str">
        <f>"－"</f>
        <v>－</v>
      </c>
      <c r="U98" s="23"/>
      <c r="V98" s="25" t="str">
        <f>"－"</f>
        <v>－</v>
      </c>
      <c r="W98" s="23"/>
      <c r="X98" s="26" t="str">
        <f>"－"</f>
        <v>－</v>
      </c>
      <c r="Y98" s="24"/>
      <c r="Z98" s="25" t="n">
        <f>119531</f>
        <v>119531.0</v>
      </c>
      <c r="AA98" s="23"/>
      <c r="AB98" s="25" t="n">
        <f>21407</f>
        <v>21407.0</v>
      </c>
      <c r="AC98" s="23"/>
      <c r="AD98" s="26" t="n">
        <f>140938</f>
        <v>140938.0</v>
      </c>
    </row>
    <row r="99">
      <c r="A99" s="30" t="s">
        <v>57</v>
      </c>
      <c r="B99" s="22" t="s">
        <v>63</v>
      </c>
      <c r="C99" s="22" t="s">
        <v>64</v>
      </c>
      <c r="D99" s="24"/>
      <c r="E99" s="25" t="str">
        <f>"－"</f>
        <v>－</v>
      </c>
      <c r="F99" s="23"/>
      <c r="G99" s="25" t="str">
        <f>"－"</f>
        <v>－</v>
      </c>
      <c r="H99" s="23"/>
      <c r="I99" s="26" t="str">
        <f>"－"</f>
        <v>－</v>
      </c>
      <c r="J99" s="24"/>
      <c r="K99" s="25" t="str">
        <f>"－"</f>
        <v>－</v>
      </c>
      <c r="L99" s="23"/>
      <c r="M99" s="25" t="str">
        <f>"－"</f>
        <v>－</v>
      </c>
      <c r="N99" s="23"/>
      <c r="O99" s="26" t="str">
        <f>"－"</f>
        <v>－</v>
      </c>
      <c r="P99" s="27" t="str">
        <f>"－"</f>
        <v>－</v>
      </c>
      <c r="Q99" s="28" t="str">
        <f>"－"</f>
        <v>－</v>
      </c>
      <c r="R99" s="29" t="str">
        <f>"－"</f>
        <v>－</v>
      </c>
      <c r="S99" s="24"/>
      <c r="T99" s="25" t="str">
        <f>"－"</f>
        <v>－</v>
      </c>
      <c r="U99" s="23"/>
      <c r="V99" s="25" t="str">
        <f>"－"</f>
        <v>－</v>
      </c>
      <c r="W99" s="23"/>
      <c r="X99" s="26" t="str">
        <f>"－"</f>
        <v>－</v>
      </c>
      <c r="Y99" s="24"/>
      <c r="Z99" s="25" t="n">
        <f>119531</f>
        <v>119531.0</v>
      </c>
      <c r="AA99" s="23"/>
      <c r="AB99" s="25" t="n">
        <f>21407</f>
        <v>21407.0</v>
      </c>
      <c r="AC99" s="23"/>
      <c r="AD99" s="26" t="n">
        <f>140938</f>
        <v>140938.0</v>
      </c>
    </row>
    <row r="100">
      <c r="A100" s="30" t="s">
        <v>58</v>
      </c>
      <c r="B100" s="22" t="s">
        <v>63</v>
      </c>
      <c r="C100" s="22" t="s">
        <v>64</v>
      </c>
      <c r="D100" s="24"/>
      <c r="E100" s="25" t="str">
        <f>"－"</f>
        <v>－</v>
      </c>
      <c r="F100" s="23"/>
      <c r="G100" s="25" t="str">
        <f>"－"</f>
        <v>－</v>
      </c>
      <c r="H100" s="23"/>
      <c r="I100" s="26" t="str">
        <f>"－"</f>
        <v>－</v>
      </c>
      <c r="J100" s="24"/>
      <c r="K100" s="25" t="str">
        <f>"－"</f>
        <v>－</v>
      </c>
      <c r="L100" s="23"/>
      <c r="M100" s="25" t="str">
        <f>"－"</f>
        <v>－</v>
      </c>
      <c r="N100" s="23"/>
      <c r="O100" s="26" t="str">
        <f>"－"</f>
        <v>－</v>
      </c>
      <c r="P100" s="27" t="str">
        <f>"－"</f>
        <v>－</v>
      </c>
      <c r="Q100" s="28" t="str">
        <f>"－"</f>
        <v>－</v>
      </c>
      <c r="R100" s="29" t="str">
        <f>"－"</f>
        <v>－</v>
      </c>
      <c r="S100" s="24"/>
      <c r="T100" s="25" t="str">
        <f>"－"</f>
        <v>－</v>
      </c>
      <c r="U100" s="23"/>
      <c r="V100" s="25" t="str">
        <f>"－"</f>
        <v>－</v>
      </c>
      <c r="W100" s="23"/>
      <c r="X100" s="26" t="str">
        <f>"－"</f>
        <v>－</v>
      </c>
      <c r="Y100" s="24"/>
      <c r="Z100" s="25" t="n">
        <f>119531</f>
        <v>119531.0</v>
      </c>
      <c r="AA100" s="23"/>
      <c r="AB100" s="25" t="n">
        <f>21407</f>
        <v>21407.0</v>
      </c>
      <c r="AC100" s="23"/>
      <c r="AD100" s="26" t="n">
        <f>140938</f>
        <v>140938.0</v>
      </c>
    </row>
    <row r="101">
      <c r="A101" s="30" t="s">
        <v>59</v>
      </c>
      <c r="B101" s="22" t="s">
        <v>63</v>
      </c>
      <c r="C101" s="22" t="s">
        <v>64</v>
      </c>
      <c r="D101" s="24"/>
      <c r="E101" s="25"/>
      <c r="F101" s="23"/>
      <c r="G101" s="25"/>
      <c r="H101" s="23"/>
      <c r="I101" s="26"/>
      <c r="J101" s="24"/>
      <c r="K101" s="25"/>
      <c r="L101" s="23"/>
      <c r="M101" s="25"/>
      <c r="N101" s="23"/>
      <c r="O101" s="26"/>
      <c r="P101" s="27"/>
      <c r="Q101" s="28"/>
      <c r="R101" s="29"/>
      <c r="S101" s="24"/>
      <c r="T101" s="25"/>
      <c r="U101" s="23"/>
      <c r="V101" s="25"/>
      <c r="W101" s="23"/>
      <c r="X101" s="26"/>
      <c r="Y101" s="24"/>
      <c r="Z101" s="25"/>
      <c r="AA101" s="23"/>
      <c r="AB101" s="25"/>
      <c r="AC101" s="23"/>
      <c r="AD101" s="26"/>
    </row>
    <row r="102">
      <c r="A102" s="30" t="s">
        <v>60</v>
      </c>
      <c r="B102" s="22" t="s">
        <v>63</v>
      </c>
      <c r="C102" s="22" t="s">
        <v>64</v>
      </c>
      <c r="D102" s="24"/>
      <c r="E102" s="25"/>
      <c r="F102" s="23"/>
      <c r="G102" s="25"/>
      <c r="H102" s="23"/>
      <c r="I102" s="26"/>
      <c r="J102" s="24"/>
      <c r="K102" s="25"/>
      <c r="L102" s="23"/>
      <c r="M102" s="25"/>
      <c r="N102" s="23"/>
      <c r="O102" s="26"/>
      <c r="P102" s="27"/>
      <c r="Q102" s="28"/>
      <c r="R102" s="29"/>
      <c r="S102" s="24"/>
      <c r="T102" s="25"/>
      <c r="U102" s="23"/>
      <c r="V102" s="25"/>
      <c r="W102" s="23"/>
      <c r="X102" s="26"/>
      <c r="Y102" s="24"/>
      <c r="Z102" s="25"/>
      <c r="AA102" s="23"/>
      <c r="AB102" s="25"/>
      <c r="AC102" s="23"/>
      <c r="AD102" s="26"/>
    </row>
    <row r="103">
      <c r="A103" s="30" t="s">
        <v>26</v>
      </c>
      <c r="B103" s="22" t="s">
        <v>65</v>
      </c>
      <c r="C103" s="22" t="s">
        <v>66</v>
      </c>
      <c r="D103" s="24" t="s">
        <v>67</v>
      </c>
      <c r="E103" s="25" t="str">
        <f>"－"</f>
        <v>－</v>
      </c>
      <c r="F103" s="23" t="s">
        <v>67</v>
      </c>
      <c r="G103" s="25" t="str">
        <f>"－"</f>
        <v>－</v>
      </c>
      <c r="H103" s="23" t="s">
        <v>67</v>
      </c>
      <c r="I103" s="26" t="str">
        <f>"－"</f>
        <v>－</v>
      </c>
      <c r="J103" s="24" t="s">
        <v>67</v>
      </c>
      <c r="K103" s="25" t="str">
        <f>"－"</f>
        <v>－</v>
      </c>
      <c r="L103" s="23" t="s">
        <v>67</v>
      </c>
      <c r="M103" s="25" t="str">
        <f>"－"</f>
        <v>－</v>
      </c>
      <c r="N103" s="23" t="s">
        <v>67</v>
      </c>
      <c r="O103" s="26" t="str">
        <f>"－"</f>
        <v>－</v>
      </c>
      <c r="P103" s="27" t="str">
        <f>"－"</f>
        <v>－</v>
      </c>
      <c r="Q103" s="28" t="str">
        <f>"－"</f>
        <v>－</v>
      </c>
      <c r="R103" s="29" t="str">
        <f>"－"</f>
        <v>－</v>
      </c>
      <c r="S103" s="24" t="s">
        <v>67</v>
      </c>
      <c r="T103" s="25" t="str">
        <f>"－"</f>
        <v>－</v>
      </c>
      <c r="U103" s="23" t="s">
        <v>67</v>
      </c>
      <c r="V103" s="25" t="str">
        <f>"－"</f>
        <v>－</v>
      </c>
      <c r="W103" s="23" t="s">
        <v>67</v>
      </c>
      <c r="X103" s="26" t="str">
        <f>"－"</f>
        <v>－</v>
      </c>
      <c r="Y103" s="24" t="s">
        <v>67</v>
      </c>
      <c r="Z103" s="25" t="str">
        <f>"－"</f>
        <v>－</v>
      </c>
      <c r="AA103" s="23" t="s">
        <v>67</v>
      </c>
      <c r="AB103" s="25" t="str">
        <f>"－"</f>
        <v>－</v>
      </c>
      <c r="AC103" s="23" t="s">
        <v>67</v>
      </c>
      <c r="AD103" s="26" t="str">
        <f>"－"</f>
        <v>－</v>
      </c>
    </row>
    <row r="104">
      <c r="A104" s="30" t="s">
        <v>30</v>
      </c>
      <c r="B104" s="22" t="s">
        <v>65</v>
      </c>
      <c r="C104" s="22" t="s">
        <v>66</v>
      </c>
      <c r="D104" s="24"/>
      <c r="E104" s="25"/>
      <c r="F104" s="23"/>
      <c r="G104" s="25"/>
      <c r="H104" s="23"/>
      <c r="I104" s="26"/>
      <c r="J104" s="24"/>
      <c r="K104" s="25"/>
      <c r="L104" s="23"/>
      <c r="M104" s="25"/>
      <c r="N104" s="23"/>
      <c r="O104" s="26"/>
      <c r="P104" s="27"/>
      <c r="Q104" s="28"/>
      <c r="R104" s="29"/>
      <c r="S104" s="24"/>
      <c r="T104" s="25"/>
      <c r="U104" s="23"/>
      <c r="V104" s="25"/>
      <c r="W104" s="23"/>
      <c r="X104" s="26"/>
      <c r="Y104" s="24"/>
      <c r="Z104" s="25"/>
      <c r="AA104" s="23"/>
      <c r="AB104" s="25"/>
      <c r="AC104" s="23"/>
      <c r="AD104" s="26"/>
    </row>
    <row r="105">
      <c r="A105" s="30" t="s">
        <v>31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32</v>
      </c>
      <c r="B106" s="22" t="s">
        <v>65</v>
      </c>
      <c r="C106" s="22" t="s">
        <v>66</v>
      </c>
      <c r="D106" s="24"/>
      <c r="E106" s="25"/>
      <c r="F106" s="23"/>
      <c r="G106" s="25"/>
      <c r="H106" s="23"/>
      <c r="I106" s="26"/>
      <c r="J106" s="24"/>
      <c r="K106" s="25"/>
      <c r="L106" s="23"/>
      <c r="M106" s="25"/>
      <c r="N106" s="23"/>
      <c r="O106" s="26"/>
      <c r="P106" s="27"/>
      <c r="Q106" s="28"/>
      <c r="R106" s="29"/>
      <c r="S106" s="24"/>
      <c r="T106" s="25"/>
      <c r="U106" s="23"/>
      <c r="V106" s="25"/>
      <c r="W106" s="23"/>
      <c r="X106" s="26"/>
      <c r="Y106" s="24"/>
      <c r="Z106" s="25"/>
      <c r="AA106" s="23"/>
      <c r="AB106" s="25"/>
      <c r="AC106" s="23"/>
      <c r="AD106" s="26"/>
    </row>
    <row r="107">
      <c r="A107" s="30" t="s">
        <v>33</v>
      </c>
      <c r="B107" s="22" t="s">
        <v>65</v>
      </c>
      <c r="C107" s="22" t="s">
        <v>66</v>
      </c>
      <c r="D107" s="24"/>
      <c r="E107" s="25"/>
      <c r="F107" s="23"/>
      <c r="G107" s="25"/>
      <c r="H107" s="23"/>
      <c r="I107" s="26"/>
      <c r="J107" s="24"/>
      <c r="K107" s="25"/>
      <c r="L107" s="23"/>
      <c r="M107" s="25"/>
      <c r="N107" s="23"/>
      <c r="O107" s="26"/>
      <c r="P107" s="27"/>
      <c r="Q107" s="28"/>
      <c r="R107" s="29"/>
      <c r="S107" s="24"/>
      <c r="T107" s="25"/>
      <c r="U107" s="23"/>
      <c r="V107" s="25"/>
      <c r="W107" s="23"/>
      <c r="X107" s="26"/>
      <c r="Y107" s="24"/>
      <c r="Z107" s="25"/>
      <c r="AA107" s="23"/>
      <c r="AB107" s="25"/>
      <c r="AC107" s="23"/>
      <c r="AD107" s="26"/>
    </row>
    <row r="108">
      <c r="A108" s="30" t="s">
        <v>34</v>
      </c>
      <c r="B108" s="22" t="s">
        <v>65</v>
      </c>
      <c r="C108" s="22" t="s">
        <v>66</v>
      </c>
      <c r="D108" s="24"/>
      <c r="E108" s="25"/>
      <c r="F108" s="23"/>
      <c r="G108" s="25"/>
      <c r="H108" s="23"/>
      <c r="I108" s="26"/>
      <c r="J108" s="24"/>
      <c r="K108" s="25"/>
      <c r="L108" s="23"/>
      <c r="M108" s="25"/>
      <c r="N108" s="23"/>
      <c r="O108" s="26"/>
      <c r="P108" s="27"/>
      <c r="Q108" s="28"/>
      <c r="R108" s="29"/>
      <c r="S108" s="24"/>
      <c r="T108" s="25"/>
      <c r="U108" s="23"/>
      <c r="V108" s="25"/>
      <c r="W108" s="23"/>
      <c r="X108" s="26"/>
      <c r="Y108" s="24"/>
      <c r="Z108" s="25"/>
      <c r="AA108" s="23"/>
      <c r="AB108" s="25"/>
      <c r="AC108" s="23"/>
      <c r="AD108" s="26"/>
    </row>
    <row r="109">
      <c r="A109" s="30" t="s">
        <v>35</v>
      </c>
      <c r="B109" s="22" t="s">
        <v>65</v>
      </c>
      <c r="C109" s="22" t="s">
        <v>66</v>
      </c>
      <c r="D109" s="24"/>
      <c r="E109" s="25" t="str">
        <f>"－"</f>
        <v>－</v>
      </c>
      <c r="F109" s="23"/>
      <c r="G109" s="25" t="str">
        <f>"－"</f>
        <v>－</v>
      </c>
      <c r="H109" s="23"/>
      <c r="I109" s="26" t="str">
        <f>"－"</f>
        <v>－</v>
      </c>
      <c r="J109" s="24"/>
      <c r="K109" s="25" t="str">
        <f>"－"</f>
        <v>－</v>
      </c>
      <c r="L109" s="23"/>
      <c r="M109" s="25" t="str">
        <f>"－"</f>
        <v>－</v>
      </c>
      <c r="N109" s="23"/>
      <c r="O109" s="26" t="str">
        <f>"－"</f>
        <v>－</v>
      </c>
      <c r="P109" s="27" t="str">
        <f>"－"</f>
        <v>－</v>
      </c>
      <c r="Q109" s="28" t="str">
        <f>"－"</f>
        <v>－</v>
      </c>
      <c r="R109" s="29" t="str">
        <f>"－"</f>
        <v>－</v>
      </c>
      <c r="S109" s="24"/>
      <c r="T109" s="25" t="str">
        <f>"－"</f>
        <v>－</v>
      </c>
      <c r="U109" s="23"/>
      <c r="V109" s="25" t="str">
        <f>"－"</f>
        <v>－</v>
      </c>
      <c r="W109" s="23"/>
      <c r="X109" s="26" t="str">
        <f>"－"</f>
        <v>－</v>
      </c>
      <c r="Y109" s="24"/>
      <c r="Z109" s="25" t="str">
        <f>"－"</f>
        <v>－</v>
      </c>
      <c r="AA109" s="23"/>
      <c r="AB109" s="25" t="str">
        <f>"－"</f>
        <v>－</v>
      </c>
      <c r="AC109" s="23"/>
      <c r="AD109" s="26" t="str">
        <f>"－"</f>
        <v>－</v>
      </c>
    </row>
    <row r="110">
      <c r="A110" s="30" t="s">
        <v>36</v>
      </c>
      <c r="B110" s="22" t="s">
        <v>65</v>
      </c>
      <c r="C110" s="22" t="s">
        <v>66</v>
      </c>
      <c r="D110" s="24"/>
      <c r="E110" s="25" t="str">
        <f>"－"</f>
        <v>－</v>
      </c>
      <c r="F110" s="23"/>
      <c r="G110" s="25" t="str">
        <f>"－"</f>
        <v>－</v>
      </c>
      <c r="H110" s="23"/>
      <c r="I110" s="26" t="str">
        <f>"－"</f>
        <v>－</v>
      </c>
      <c r="J110" s="24"/>
      <c r="K110" s="25" t="str">
        <f>"－"</f>
        <v>－</v>
      </c>
      <c r="L110" s="23"/>
      <c r="M110" s="25" t="str">
        <f>"－"</f>
        <v>－</v>
      </c>
      <c r="N110" s="23"/>
      <c r="O110" s="26" t="str">
        <f>"－"</f>
        <v>－</v>
      </c>
      <c r="P110" s="27" t="str">
        <f>"－"</f>
        <v>－</v>
      </c>
      <c r="Q110" s="28" t="str">
        <f>"－"</f>
        <v>－</v>
      </c>
      <c r="R110" s="29" t="str">
        <f>"－"</f>
        <v>－</v>
      </c>
      <c r="S110" s="24"/>
      <c r="T110" s="25" t="str">
        <f>"－"</f>
        <v>－</v>
      </c>
      <c r="U110" s="23"/>
      <c r="V110" s="25" t="str">
        <f>"－"</f>
        <v>－</v>
      </c>
      <c r="W110" s="23"/>
      <c r="X110" s="26" t="str">
        <f>"－"</f>
        <v>－</v>
      </c>
      <c r="Y110" s="24"/>
      <c r="Z110" s="25" t="str">
        <f>"－"</f>
        <v>－</v>
      </c>
      <c r="AA110" s="23"/>
      <c r="AB110" s="25" t="str">
        <f>"－"</f>
        <v>－</v>
      </c>
      <c r="AC110" s="23"/>
      <c r="AD110" s="26" t="str">
        <f>"－"</f>
        <v>－</v>
      </c>
    </row>
    <row r="111">
      <c r="A111" s="30" t="s">
        <v>38</v>
      </c>
      <c r="B111" s="22" t="s">
        <v>65</v>
      </c>
      <c r="C111" s="22" t="s">
        <v>66</v>
      </c>
      <c r="D111" s="24"/>
      <c r="E111" s="25"/>
      <c r="F111" s="23"/>
      <c r="G111" s="25"/>
      <c r="H111" s="23"/>
      <c r="I111" s="26"/>
      <c r="J111" s="24"/>
      <c r="K111" s="25"/>
      <c r="L111" s="23"/>
      <c r="M111" s="25"/>
      <c r="N111" s="23"/>
      <c r="O111" s="26"/>
      <c r="P111" s="27"/>
      <c r="Q111" s="28"/>
      <c r="R111" s="29"/>
      <c r="S111" s="24"/>
      <c r="T111" s="25"/>
      <c r="U111" s="23"/>
      <c r="V111" s="25"/>
      <c r="W111" s="23"/>
      <c r="X111" s="26"/>
      <c r="Y111" s="24"/>
      <c r="Z111" s="25"/>
      <c r="AA111" s="23"/>
      <c r="AB111" s="25"/>
      <c r="AC111" s="23"/>
      <c r="AD111" s="26"/>
    </row>
    <row r="112">
      <c r="A112" s="30" t="s">
        <v>39</v>
      </c>
      <c r="B112" s="22" t="s">
        <v>65</v>
      </c>
      <c r="C112" s="22" t="s">
        <v>66</v>
      </c>
      <c r="D112" s="24"/>
      <c r="E112" s="25"/>
      <c r="F112" s="23"/>
      <c r="G112" s="25"/>
      <c r="H112" s="23"/>
      <c r="I112" s="26"/>
      <c r="J112" s="24"/>
      <c r="K112" s="25"/>
      <c r="L112" s="23"/>
      <c r="M112" s="25"/>
      <c r="N112" s="23"/>
      <c r="O112" s="26"/>
      <c r="P112" s="27"/>
      <c r="Q112" s="28"/>
      <c r="R112" s="29"/>
      <c r="S112" s="24"/>
      <c r="T112" s="25"/>
      <c r="U112" s="23"/>
      <c r="V112" s="25"/>
      <c r="W112" s="23"/>
      <c r="X112" s="26"/>
      <c r="Y112" s="24"/>
      <c r="Z112" s="25"/>
      <c r="AA112" s="23"/>
      <c r="AB112" s="25"/>
      <c r="AC112" s="23"/>
      <c r="AD112" s="26"/>
    </row>
    <row r="113">
      <c r="A113" s="30" t="s">
        <v>40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41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 t="str">
        <f>"－"</f>
        <v>－</v>
      </c>
      <c r="F116" s="23"/>
      <c r="G116" s="25" t="str">
        <f>"－"</f>
        <v>－</v>
      </c>
      <c r="H116" s="23"/>
      <c r="I116" s="26" t="str">
        <f>"－"</f>
        <v>－</v>
      </c>
      <c r="J116" s="24"/>
      <c r="K116" s="25" t="str">
        <f>"－"</f>
        <v>－</v>
      </c>
      <c r="L116" s="23"/>
      <c r="M116" s="25" t="str">
        <f>"－"</f>
        <v>－</v>
      </c>
      <c r="N116" s="23"/>
      <c r="O116" s="26" t="str">
        <f>"－"</f>
        <v>－</v>
      </c>
      <c r="P116" s="27" t="str">
        <f>"－"</f>
        <v>－</v>
      </c>
      <c r="Q116" s="28" t="str">
        <f>"－"</f>
        <v>－</v>
      </c>
      <c r="R116" s="29" t="str">
        <f>"－"</f>
        <v>－</v>
      </c>
      <c r="S116" s="24"/>
      <c r="T116" s="25" t="str">
        <f>"－"</f>
        <v>－</v>
      </c>
      <c r="U116" s="23"/>
      <c r="V116" s="25" t="str">
        <f>"－"</f>
        <v>－</v>
      </c>
      <c r="W116" s="23"/>
      <c r="X116" s="26" t="str">
        <f>"－"</f>
        <v>－</v>
      </c>
      <c r="Y116" s="24"/>
      <c r="Z116" s="25" t="str">
        <f>"－"</f>
        <v>－</v>
      </c>
      <c r="AA116" s="23"/>
      <c r="AB116" s="25" t="str">
        <f>"－"</f>
        <v>－</v>
      </c>
      <c r="AC116" s="23"/>
      <c r="AD116" s="26" t="str">
        <f>"－"</f>
        <v>－</v>
      </c>
    </row>
    <row r="117">
      <c r="A117" s="30" t="s">
        <v>44</v>
      </c>
      <c r="B117" s="22" t="s">
        <v>65</v>
      </c>
      <c r="C117" s="22" t="s">
        <v>66</v>
      </c>
      <c r="D117" s="24"/>
      <c r="E117" s="25" t="str">
        <f>"－"</f>
        <v>－</v>
      </c>
      <c r="F117" s="23"/>
      <c r="G117" s="25" t="str">
        <f>"－"</f>
        <v>－</v>
      </c>
      <c r="H117" s="23"/>
      <c r="I117" s="26" t="str">
        <f>"－"</f>
        <v>－</v>
      </c>
      <c r="J117" s="24"/>
      <c r="K117" s="25" t="str">
        <f>"－"</f>
        <v>－</v>
      </c>
      <c r="L117" s="23"/>
      <c r="M117" s="25" t="str">
        <f>"－"</f>
        <v>－</v>
      </c>
      <c r="N117" s="23"/>
      <c r="O117" s="26" t="str">
        <f>"－"</f>
        <v>－</v>
      </c>
      <c r="P117" s="27" t="str">
        <f>"－"</f>
        <v>－</v>
      </c>
      <c r="Q117" s="28" t="str">
        <f>"－"</f>
        <v>－</v>
      </c>
      <c r="R117" s="29" t="str">
        <f>"－"</f>
        <v>－</v>
      </c>
      <c r="S117" s="24"/>
      <c r="T117" s="25" t="str">
        <f>"－"</f>
        <v>－</v>
      </c>
      <c r="U117" s="23"/>
      <c r="V117" s="25" t="str">
        <f>"－"</f>
        <v>－</v>
      </c>
      <c r="W117" s="23"/>
      <c r="X117" s="26" t="str">
        <f>"－"</f>
        <v>－</v>
      </c>
      <c r="Y117" s="24"/>
      <c r="Z117" s="25" t="str">
        <f>"－"</f>
        <v>－</v>
      </c>
      <c r="AA117" s="23"/>
      <c r="AB117" s="25" t="str">
        <f>"－"</f>
        <v>－</v>
      </c>
      <c r="AC117" s="23"/>
      <c r="AD117" s="26" t="str">
        <f>"－"</f>
        <v>－</v>
      </c>
    </row>
    <row r="118">
      <c r="A118" s="30" t="s">
        <v>45</v>
      </c>
      <c r="B118" s="22" t="s">
        <v>65</v>
      </c>
      <c r="C118" s="22" t="s">
        <v>66</v>
      </c>
      <c r="D118" s="24"/>
      <c r="E118" s="25"/>
      <c r="F118" s="23"/>
      <c r="G118" s="25"/>
      <c r="H118" s="23"/>
      <c r="I118" s="26"/>
      <c r="J118" s="24"/>
      <c r="K118" s="25"/>
      <c r="L118" s="23"/>
      <c r="M118" s="25"/>
      <c r="N118" s="23"/>
      <c r="O118" s="26"/>
      <c r="P118" s="27"/>
      <c r="Q118" s="28"/>
      <c r="R118" s="29"/>
      <c r="S118" s="24"/>
      <c r="T118" s="25"/>
      <c r="U118" s="23"/>
      <c r="V118" s="25"/>
      <c r="W118" s="23"/>
      <c r="X118" s="26"/>
      <c r="Y118" s="24"/>
      <c r="Z118" s="25"/>
      <c r="AA118" s="23"/>
      <c r="AB118" s="25"/>
      <c r="AC118" s="23"/>
      <c r="AD118" s="26"/>
    </row>
    <row r="119">
      <c r="A119" s="30" t="s">
        <v>46</v>
      </c>
      <c r="B119" s="22" t="s">
        <v>65</v>
      </c>
      <c r="C119" s="22" t="s">
        <v>66</v>
      </c>
      <c r="D119" s="24"/>
      <c r="E119" s="25"/>
      <c r="F119" s="23"/>
      <c r="G119" s="25"/>
      <c r="H119" s="23"/>
      <c r="I119" s="26"/>
      <c r="J119" s="24"/>
      <c r="K119" s="25"/>
      <c r="L119" s="23"/>
      <c r="M119" s="25"/>
      <c r="N119" s="23"/>
      <c r="O119" s="26"/>
      <c r="P119" s="27"/>
      <c r="Q119" s="28"/>
      <c r="R119" s="29"/>
      <c r="S119" s="24"/>
      <c r="T119" s="25"/>
      <c r="U119" s="23"/>
      <c r="V119" s="25"/>
      <c r="W119" s="23"/>
      <c r="X119" s="26"/>
      <c r="Y119" s="24"/>
      <c r="Z119" s="25"/>
      <c r="AA119" s="23"/>
      <c r="AB119" s="25"/>
      <c r="AC119" s="23"/>
      <c r="AD119" s="26"/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 t="str">
        <f>"－"</f>
        <v>－</v>
      </c>
      <c r="F123" s="23"/>
      <c r="G123" s="25" t="str">
        <f>"－"</f>
        <v>－</v>
      </c>
      <c r="H123" s="23"/>
      <c r="I123" s="26" t="str">
        <f>"－"</f>
        <v>－</v>
      </c>
      <c r="J123" s="24"/>
      <c r="K123" s="25" t="str">
        <f>"－"</f>
        <v>－</v>
      </c>
      <c r="L123" s="23"/>
      <c r="M123" s="25" t="str">
        <f>"－"</f>
        <v>－</v>
      </c>
      <c r="N123" s="23"/>
      <c r="O123" s="26" t="str">
        <f>"－"</f>
        <v>－</v>
      </c>
      <c r="P123" s="27" t="str">
        <f>"－"</f>
        <v>－</v>
      </c>
      <c r="Q123" s="28" t="str">
        <f>"－"</f>
        <v>－</v>
      </c>
      <c r="R123" s="29" t="str">
        <f>"－"</f>
        <v>－</v>
      </c>
      <c r="S123" s="24"/>
      <c r="T123" s="25" t="str">
        <f>"－"</f>
        <v>－</v>
      </c>
      <c r="U123" s="23"/>
      <c r="V123" s="25" t="str">
        <f>"－"</f>
        <v>－</v>
      </c>
      <c r="W123" s="23"/>
      <c r="X123" s="26" t="str">
        <f>"－"</f>
        <v>－</v>
      </c>
      <c r="Y123" s="24"/>
      <c r="Z123" s="25" t="str">
        <f>"－"</f>
        <v>－</v>
      </c>
      <c r="AA123" s="23"/>
      <c r="AB123" s="25" t="str">
        <f>"－"</f>
        <v>－</v>
      </c>
      <c r="AC123" s="23"/>
      <c r="AD123" s="26" t="str">
        <f>"－"</f>
        <v>－</v>
      </c>
    </row>
    <row r="124">
      <c r="A124" s="30" t="s">
        <v>51</v>
      </c>
      <c r="B124" s="22" t="s">
        <v>65</v>
      </c>
      <c r="C124" s="22" t="s">
        <v>66</v>
      </c>
      <c r="D124" s="24"/>
      <c r="E124" s="25" t="str">
        <f>"－"</f>
        <v>－</v>
      </c>
      <c r="F124" s="23"/>
      <c r="G124" s="25" t="str">
        <f>"－"</f>
        <v>－</v>
      </c>
      <c r="H124" s="23"/>
      <c r="I124" s="26" t="str">
        <f>"－"</f>
        <v>－</v>
      </c>
      <c r="J124" s="24"/>
      <c r="K124" s="25" t="str">
        <f>"－"</f>
        <v>－</v>
      </c>
      <c r="L124" s="23"/>
      <c r="M124" s="25" t="str">
        <f>"－"</f>
        <v>－</v>
      </c>
      <c r="N124" s="23"/>
      <c r="O124" s="26" t="str">
        <f>"－"</f>
        <v>－</v>
      </c>
      <c r="P124" s="27" t="str">
        <f>"－"</f>
        <v>－</v>
      </c>
      <c r="Q124" s="28" t="str">
        <f>"－"</f>
        <v>－</v>
      </c>
      <c r="R124" s="29" t="str">
        <f>"－"</f>
        <v>－</v>
      </c>
      <c r="S124" s="24"/>
      <c r="T124" s="25" t="str">
        <f>"－"</f>
        <v>－</v>
      </c>
      <c r="U124" s="23"/>
      <c r="V124" s="25" t="str">
        <f>"－"</f>
        <v>－</v>
      </c>
      <c r="W124" s="23"/>
      <c r="X124" s="26" t="str">
        <f>"－"</f>
        <v>－</v>
      </c>
      <c r="Y124" s="24"/>
      <c r="Z124" s="25" t="str">
        <f>"－"</f>
        <v>－</v>
      </c>
      <c r="AA124" s="23"/>
      <c r="AB124" s="25" t="str">
        <f>"－"</f>
        <v>－</v>
      </c>
      <c r="AC124" s="23"/>
      <c r="AD124" s="26" t="str">
        <f>"－"</f>
        <v>－</v>
      </c>
    </row>
    <row r="125">
      <c r="A125" s="30" t="s">
        <v>52</v>
      </c>
      <c r="B125" s="22" t="s">
        <v>65</v>
      </c>
      <c r="C125" s="22" t="s">
        <v>66</v>
      </c>
      <c r="D125" s="24"/>
      <c r="E125" s="25"/>
      <c r="F125" s="23"/>
      <c r="G125" s="25"/>
      <c r="H125" s="23"/>
      <c r="I125" s="26"/>
      <c r="J125" s="24"/>
      <c r="K125" s="25"/>
      <c r="L125" s="23"/>
      <c r="M125" s="25"/>
      <c r="N125" s="23"/>
      <c r="O125" s="26"/>
      <c r="P125" s="27"/>
      <c r="Q125" s="28"/>
      <c r="R125" s="29"/>
      <c r="S125" s="24"/>
      <c r="T125" s="25"/>
      <c r="U125" s="23"/>
      <c r="V125" s="25"/>
      <c r="W125" s="23"/>
      <c r="X125" s="26"/>
      <c r="Y125" s="24"/>
      <c r="Z125" s="25"/>
      <c r="AA125" s="23"/>
      <c r="AB125" s="25"/>
      <c r="AC125" s="23"/>
      <c r="AD125" s="26"/>
    </row>
    <row r="126">
      <c r="A126" s="30" t="s">
        <v>53</v>
      </c>
      <c r="B126" s="22" t="s">
        <v>65</v>
      </c>
      <c r="C126" s="22" t="s">
        <v>66</v>
      </c>
      <c r="D126" s="24"/>
      <c r="E126" s="25"/>
      <c r="F126" s="23"/>
      <c r="G126" s="25"/>
      <c r="H126" s="23"/>
      <c r="I126" s="26"/>
      <c r="J126" s="24"/>
      <c r="K126" s="25"/>
      <c r="L126" s="23"/>
      <c r="M126" s="25"/>
      <c r="N126" s="23"/>
      <c r="O126" s="26"/>
      <c r="P126" s="27"/>
      <c r="Q126" s="28"/>
      <c r="R126" s="29"/>
      <c r="S126" s="24"/>
      <c r="T126" s="25"/>
      <c r="U126" s="23"/>
      <c r="V126" s="25"/>
      <c r="W126" s="23"/>
      <c r="X126" s="26"/>
      <c r="Y126" s="24"/>
      <c r="Z126" s="25"/>
      <c r="AA126" s="23"/>
      <c r="AB126" s="25"/>
      <c r="AC126" s="23"/>
      <c r="AD126" s="26"/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 t="str">
        <f>"－"</f>
        <v>－</v>
      </c>
      <c r="F130" s="23"/>
      <c r="G130" s="25" t="str">
        <f>"－"</f>
        <v>－</v>
      </c>
      <c r="H130" s="23"/>
      <c r="I130" s="26" t="str">
        <f>"－"</f>
        <v>－</v>
      </c>
      <c r="J130" s="24"/>
      <c r="K130" s="25" t="str">
        <f>"－"</f>
        <v>－</v>
      </c>
      <c r="L130" s="23"/>
      <c r="M130" s="25" t="str">
        <f>"－"</f>
        <v>－</v>
      </c>
      <c r="N130" s="23"/>
      <c r="O130" s="26" t="str">
        <f>"－"</f>
        <v>－</v>
      </c>
      <c r="P130" s="27" t="str">
        <f>"－"</f>
        <v>－</v>
      </c>
      <c r="Q130" s="28" t="str">
        <f>"－"</f>
        <v>－</v>
      </c>
      <c r="R130" s="29" t="str">
        <f>"－"</f>
        <v>－</v>
      </c>
      <c r="S130" s="24"/>
      <c r="T130" s="25" t="str">
        <f>"－"</f>
        <v>－</v>
      </c>
      <c r="U130" s="23"/>
      <c r="V130" s="25" t="str">
        <f>"－"</f>
        <v>－</v>
      </c>
      <c r="W130" s="23"/>
      <c r="X130" s="26" t="str">
        <f>"－"</f>
        <v>－</v>
      </c>
      <c r="Y130" s="24"/>
      <c r="Z130" s="25" t="str">
        <f>"－"</f>
        <v>－</v>
      </c>
      <c r="AA130" s="23"/>
      <c r="AB130" s="25" t="str">
        <f>"－"</f>
        <v>－</v>
      </c>
      <c r="AC130" s="23"/>
      <c r="AD130" s="26" t="str">
        <f>"－"</f>
        <v>－</v>
      </c>
    </row>
    <row r="131">
      <c r="A131" s="30" t="s">
        <v>58</v>
      </c>
      <c r="B131" s="22" t="s">
        <v>65</v>
      </c>
      <c r="C131" s="22" t="s">
        <v>66</v>
      </c>
      <c r="D131" s="24"/>
      <c r="E131" s="25" t="str">
        <f>"－"</f>
        <v>－</v>
      </c>
      <c r="F131" s="23"/>
      <c r="G131" s="25" t="str">
        <f>"－"</f>
        <v>－</v>
      </c>
      <c r="H131" s="23"/>
      <c r="I131" s="26" t="str">
        <f>"－"</f>
        <v>－</v>
      </c>
      <c r="J131" s="24"/>
      <c r="K131" s="25" t="str">
        <f>"－"</f>
        <v>－</v>
      </c>
      <c r="L131" s="23"/>
      <c r="M131" s="25" t="str">
        <f>"－"</f>
        <v>－</v>
      </c>
      <c r="N131" s="23"/>
      <c r="O131" s="26" t="str">
        <f>"－"</f>
        <v>－</v>
      </c>
      <c r="P131" s="27" t="str">
        <f>"－"</f>
        <v>－</v>
      </c>
      <c r="Q131" s="28" t="str">
        <f>"－"</f>
        <v>－</v>
      </c>
      <c r="R131" s="29" t="str">
        <f>"－"</f>
        <v>－</v>
      </c>
      <c r="S131" s="24"/>
      <c r="T131" s="25" t="str">
        <f>"－"</f>
        <v>－</v>
      </c>
      <c r="U131" s="23"/>
      <c r="V131" s="25" t="str">
        <f>"－"</f>
        <v>－</v>
      </c>
      <c r="W131" s="23"/>
      <c r="X131" s="26" t="str">
        <f>"－"</f>
        <v>－</v>
      </c>
      <c r="Y131" s="24"/>
      <c r="Z131" s="25" t="str">
        <f>"－"</f>
        <v>－</v>
      </c>
      <c r="AA131" s="23"/>
      <c r="AB131" s="25" t="str">
        <f>"－"</f>
        <v>－</v>
      </c>
      <c r="AC131" s="23"/>
      <c r="AD131" s="26" t="str">
        <f>"－"</f>
        <v>－</v>
      </c>
    </row>
    <row r="132">
      <c r="A132" s="30" t="s">
        <v>59</v>
      </c>
      <c r="B132" s="22" t="s">
        <v>65</v>
      </c>
      <c r="C132" s="22" t="s">
        <v>66</v>
      </c>
      <c r="D132" s="24"/>
      <c r="E132" s="25"/>
      <c r="F132" s="23"/>
      <c r="G132" s="25"/>
      <c r="H132" s="23"/>
      <c r="I132" s="26"/>
      <c r="J132" s="24"/>
      <c r="K132" s="25"/>
      <c r="L132" s="23"/>
      <c r="M132" s="25"/>
      <c r="N132" s="23"/>
      <c r="O132" s="26"/>
      <c r="P132" s="27"/>
      <c r="Q132" s="28"/>
      <c r="R132" s="29"/>
      <c r="S132" s="24"/>
      <c r="T132" s="25"/>
      <c r="U132" s="23"/>
      <c r="V132" s="25"/>
      <c r="W132" s="23"/>
      <c r="X132" s="26"/>
      <c r="Y132" s="24"/>
      <c r="Z132" s="25"/>
      <c r="AA132" s="23"/>
      <c r="AB132" s="25"/>
      <c r="AC132" s="23"/>
      <c r="AD132" s="26"/>
    </row>
    <row r="133">
      <c r="A133" s="30" t="s">
        <v>60</v>
      </c>
      <c r="B133" s="22" t="s">
        <v>65</v>
      </c>
      <c r="C133" s="22" t="s">
        <v>66</v>
      </c>
      <c r="D133" s="24"/>
      <c r="E133" s="25"/>
      <c r="F133" s="23"/>
      <c r="G133" s="25"/>
      <c r="H133" s="23"/>
      <c r="I133" s="26"/>
      <c r="J133" s="24"/>
      <c r="K133" s="25"/>
      <c r="L133" s="23"/>
      <c r="M133" s="25"/>
      <c r="N133" s="23"/>
      <c r="O133" s="26"/>
      <c r="P133" s="27"/>
      <c r="Q133" s="28"/>
      <c r="R133" s="29"/>
      <c r="S133" s="24"/>
      <c r="T133" s="25"/>
      <c r="U133" s="23"/>
      <c r="V133" s="25"/>
      <c r="W133" s="23"/>
      <c r="X133" s="26"/>
      <c r="Y133" s="24"/>
      <c r="Z133" s="25"/>
      <c r="AA133" s="23"/>
      <c r="AB133" s="25"/>
      <c r="AC133" s="23"/>
      <c r="AD133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2019-03-19T11:56:46Z</dcterms:modified>
</cp:coreProperties>
</file>