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<sst xmlns="http://schemas.openxmlformats.org/spreadsheetml/2006/main" count="1662" uniqueCount="83">
  <si>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</si>
  <si>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</si>
  <si>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</si>
  <si>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</si>
  <si>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</si>
  <si>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</si>
  <si>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</si>
  <si>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</si>
  <si>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</si>
  <si>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</si>
  <si>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</si>
  <si>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</si>
  <si>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</si>
  <si>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</si>
  <si>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</si>
  <si>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</si>
  <si>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6.1</t>
  </si>
  <si>
    <t>日経225先物</t>
  </si>
  <si>
    <t>Nikkei 225 Futures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</si>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</sst>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15"/>
  <sheetViews>
    <sheetView showGridLines="0" tabSelected="1" view="pageBreakPreview" workbookViewId="0" zoomScaleNormal="70" zoomScaleSheetLayoutView="100">
      <selection sqref="A1:C1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118765</f>
        <v>118765.0</v>
      </c>
      <c r="F6" s="10"/>
      <c r="G6" s="2" t="n">
        <f>2608401589740</f>
        <v>2.60840158974E12</v>
      </c>
      <c r="H6" s="10"/>
      <c r="I6" s="2" t="n">
        <f>6699</f>
        <v>6699.0</v>
      </c>
      <c r="J6" s="10"/>
      <c r="K6" s="2" t="n">
        <f>507183</f>
        <v>507183.0</v>
      </c>
    </row>
    <row r="7">
      <c r="A7" s="8" t="s">
        <v>19</v>
      </c>
      <c r="B7" s="9" t="s">
        <v>17</v>
      </c>
      <c r="C7" s="9" t="s">
        <v>18</v>
      </c>
      <c r="D7" s="10"/>
      <c r="E7" s="2" t="n">
        <f>114058</f>
        <v>114058.0</v>
      </c>
      <c r="F7" s="10"/>
      <c r="G7" s="2" t="n">
        <f>2532796139400</f>
        <v>2.5327961394E12</v>
      </c>
      <c r="H7" s="10"/>
      <c r="I7" s="2" t="n">
        <f>7617</f>
        <v>7617.0</v>
      </c>
      <c r="J7" s="10"/>
      <c r="K7" s="2" t="n">
        <f>508574</f>
        <v>508574.0</v>
      </c>
    </row>
    <row r="8">
      <c r="A8" s="8" t="s">
        <v>20</v>
      </c>
      <c r="B8" s="9" t="s">
        <v>17</v>
      </c>
      <c r="C8" s="9" t="s">
        <v>18</v>
      </c>
      <c r="D8" s="10"/>
      <c r="E8" s="2" t="n">
        <f>151236</f>
        <v>151236.0</v>
      </c>
      <c r="F8" s="10"/>
      <c r="G8" s="2" t="n">
        <f>3420283016301</f>
        <v>3.420283016301E12</v>
      </c>
      <c r="H8" s="10"/>
      <c r="I8" s="2" t="n">
        <f>9426</f>
        <v>9426.0</v>
      </c>
      <c r="J8" s="10"/>
      <c r="K8" s="2" t="n">
        <f>510056</f>
        <v>510056.0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157756</f>
        <v>157756.0</v>
      </c>
      <c r="F9" s="10"/>
      <c r="G9" s="2" t="n">
        <f>3581447146870</f>
        <v>3.58144714687E12</v>
      </c>
      <c r="H9" s="10"/>
      <c r="I9" s="2" t="n">
        <f>9909</f>
        <v>9909.0</v>
      </c>
      <c r="J9" s="10"/>
      <c r="K9" s="2" t="n">
        <f>515132</f>
        <v>515132.0</v>
      </c>
    </row>
    <row r="10">
      <c r="A10" s="8" t="s">
        <v>22</v>
      </c>
      <c r="B10" s="9" t="s">
        <v>17</v>
      </c>
      <c r="C10" s="9" t="s">
        <v>18</v>
      </c>
      <c r="D10" s="10"/>
      <c r="E10" s="2" t="n">
        <f>117844</f>
        <v>117844.0</v>
      </c>
      <c r="F10" s="10"/>
      <c r="G10" s="2" t="n">
        <f>2675439457120</f>
        <v>2.67543945712E12</v>
      </c>
      <c r="H10" s="10"/>
      <c r="I10" s="2" t="n">
        <f>8698</f>
        <v>8698.0</v>
      </c>
      <c r="J10" s="10"/>
      <c r="K10" s="2" t="n">
        <f>514565</f>
        <v>514565.0</v>
      </c>
    </row>
    <row r="11">
      <c r="A11" s="8" t="s">
        <v>23</v>
      </c>
      <c r="B11" s="9" t="s">
        <v>17</v>
      </c>
      <c r="C11" s="9" t="s">
        <v>18</v>
      </c>
      <c r="D11" s="10"/>
      <c r="E11" s="2"/>
      <c r="F11" s="10"/>
      <c r="G11" s="2"/>
      <c r="H11" s="10"/>
      <c r="I11" s="2"/>
      <c r="J11" s="10"/>
      <c r="K11" s="2"/>
    </row>
    <row r="12">
      <c r="A12" s="8" t="s">
        <v>24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25</v>
      </c>
      <c r="B13" s="9" t="s">
        <v>17</v>
      </c>
      <c r="C13" s="9" t="s">
        <v>18</v>
      </c>
      <c r="D13" s="10"/>
      <c r="E13" s="2" t="n">
        <f>255940</f>
        <v>255940.0</v>
      </c>
      <c r="F13" s="10"/>
      <c r="G13" s="2" t="n">
        <f>5910963707431</f>
        <v>5.910963707431E12</v>
      </c>
      <c r="H13" s="10" t="s">
        <v>26</v>
      </c>
      <c r="I13" s="2" t="n">
        <f>39312</f>
        <v>39312.0</v>
      </c>
      <c r="J13" s="10"/>
      <c r="K13" s="2" t="n">
        <f>522897</f>
        <v>522897.0</v>
      </c>
    </row>
    <row r="14">
      <c r="A14" s="8" t="s">
        <v>27</v>
      </c>
      <c r="B14" s="9" t="s">
        <v>17</v>
      </c>
      <c r="C14" s="9" t="s">
        <v>18</v>
      </c>
      <c r="D14" s="10"/>
      <c r="E14" s="2" t="n">
        <f>342381</f>
        <v>342381.0</v>
      </c>
      <c r="F14" s="10"/>
      <c r="G14" s="2" t="n">
        <f>7892997900307</f>
        <v>7.892997900307E12</v>
      </c>
      <c r="H14" s="10"/>
      <c r="I14" s="2" t="n">
        <f>38967</f>
        <v>38967.0</v>
      </c>
      <c r="J14" s="10"/>
      <c r="K14" s="2" t="n">
        <f>567195</f>
        <v>567195.0</v>
      </c>
    </row>
    <row r="15">
      <c r="A15" s="8" t="s">
        <v>28</v>
      </c>
      <c r="B15" s="9" t="s">
        <v>17</v>
      </c>
      <c r="C15" s="9" t="s">
        <v>18</v>
      </c>
      <c r="D15" s="10" t="s">
        <v>26</v>
      </c>
      <c r="E15" s="2" t="n">
        <f>347652</f>
        <v>347652.0</v>
      </c>
      <c r="F15" s="10" t="s">
        <v>26</v>
      </c>
      <c r="G15" s="2" t="n">
        <f>7991685132086</f>
        <v>7.991685132086E12</v>
      </c>
      <c r="H15" s="10"/>
      <c r="I15" s="2" t="n">
        <f>27086</f>
        <v>27086.0</v>
      </c>
      <c r="J15" s="10"/>
      <c r="K15" s="2" t="n">
        <f>563962</f>
        <v>563962.0</v>
      </c>
    </row>
    <row r="16">
      <c r="A16" s="8" t="s">
        <v>29</v>
      </c>
      <c r="B16" s="9" t="s">
        <v>17</v>
      </c>
      <c r="C16" s="9" t="s">
        <v>18</v>
      </c>
      <c r="D16" s="10"/>
      <c r="E16" s="2" t="n">
        <f>225718</f>
        <v>225718.0</v>
      </c>
      <c r="F16" s="10"/>
      <c r="G16" s="2" t="n">
        <f>5123002568414</f>
        <v>5.123002568414E12</v>
      </c>
      <c r="H16" s="10"/>
      <c r="I16" s="2" t="n">
        <f>11974</f>
        <v>11974.0</v>
      </c>
      <c r="J16" s="10"/>
      <c r="K16" s="2" t="n">
        <f>539822</f>
        <v>539822.0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152734</f>
        <v>152734.0</v>
      </c>
      <c r="F17" s="10"/>
      <c r="G17" s="2" t="n">
        <f>3362316903234</f>
        <v>3.362316903234E12</v>
      </c>
      <c r="H17" s="10"/>
      <c r="I17" s="2" t="n">
        <f>11207</f>
        <v>11207.0</v>
      </c>
      <c r="J17" s="10" t="s">
        <v>26</v>
      </c>
      <c r="K17" s="2" t="n">
        <f>604958</f>
        <v>604958.0</v>
      </c>
    </row>
    <row r="18">
      <c r="A18" s="8" t="s">
        <v>31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32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33</v>
      </c>
      <c r="B20" s="9" t="s">
        <v>17</v>
      </c>
      <c r="C20" s="9" t="s">
        <v>18</v>
      </c>
      <c r="D20" s="10"/>
      <c r="E20" s="2" t="n">
        <f>157446</f>
        <v>157446.0</v>
      </c>
      <c r="F20" s="10"/>
      <c r="G20" s="2" t="n">
        <f>3452201941670</f>
        <v>3.45220194167E12</v>
      </c>
      <c r="H20" s="10"/>
      <c r="I20" s="2" t="n">
        <f>9794</f>
        <v>9794.0</v>
      </c>
      <c r="J20" s="10"/>
      <c r="K20" s="2" t="n">
        <f>407302</f>
        <v>407302.0</v>
      </c>
    </row>
    <row r="21">
      <c r="A21" s="8" t="s">
        <v>34</v>
      </c>
      <c r="B21" s="9" t="s">
        <v>17</v>
      </c>
      <c r="C21" s="9" t="s">
        <v>18</v>
      </c>
      <c r="D21" s="10"/>
      <c r="E21" s="2" t="n">
        <f>162555</f>
        <v>162555.0</v>
      </c>
      <c r="F21" s="10"/>
      <c r="G21" s="2" t="n">
        <f>3589546430560</f>
        <v>3.58954643056E12</v>
      </c>
      <c r="H21" s="10"/>
      <c r="I21" s="2" t="n">
        <f>12147</f>
        <v>12147.0</v>
      </c>
      <c r="J21" s="10"/>
      <c r="K21" s="2" t="n">
        <f>405423</f>
        <v>405423.0</v>
      </c>
    </row>
    <row r="22">
      <c r="A22" s="8" t="s">
        <v>35</v>
      </c>
      <c r="B22" s="9" t="s">
        <v>17</v>
      </c>
      <c r="C22" s="9" t="s">
        <v>18</v>
      </c>
      <c r="D22" s="10"/>
      <c r="E22" s="2" t="n">
        <f>104149</f>
        <v>104149.0</v>
      </c>
      <c r="F22" s="10"/>
      <c r="G22" s="2" t="n">
        <f>2329552574340</f>
        <v>2.32955257434E12</v>
      </c>
      <c r="H22" s="10"/>
      <c r="I22" s="2" t="n">
        <f>7683</f>
        <v>7683.0</v>
      </c>
      <c r="J22" s="10"/>
      <c r="K22" s="2" t="n">
        <f>402068</f>
        <v>402068.0</v>
      </c>
    </row>
    <row r="23">
      <c r="A23" s="8" t="s">
        <v>36</v>
      </c>
      <c r="B23" s="9" t="s">
        <v>17</v>
      </c>
      <c r="C23" s="9" t="s">
        <v>18</v>
      </c>
      <c r="D23" s="10"/>
      <c r="E23" s="2" t="n">
        <f>88999</f>
        <v>88999.0</v>
      </c>
      <c r="F23" s="10"/>
      <c r="G23" s="2" t="n">
        <f>1989217919010</f>
        <v>1.98921791901E12</v>
      </c>
      <c r="H23" s="10"/>
      <c r="I23" s="2" t="n">
        <f>5902</f>
        <v>5902.0</v>
      </c>
      <c r="J23" s="10" t="s">
        <v>37</v>
      </c>
      <c r="K23" s="2" t="n">
        <f>401521</f>
        <v>401521.0</v>
      </c>
    </row>
    <row r="24">
      <c r="A24" s="8" t="s">
        <v>38</v>
      </c>
      <c r="B24" s="9" t="s">
        <v>17</v>
      </c>
      <c r="C24" s="9" t="s">
        <v>18</v>
      </c>
      <c r="D24" s="10"/>
      <c r="E24" s="2" t="n">
        <f>74441</f>
        <v>74441.0</v>
      </c>
      <c r="F24" s="10"/>
      <c r="G24" s="2" t="n">
        <f>1665341126362</f>
        <v>1.665341126362E12</v>
      </c>
      <c r="H24" s="10"/>
      <c r="I24" s="2" t="n">
        <f>3981</f>
        <v>3981.0</v>
      </c>
      <c r="J24" s="10"/>
      <c r="K24" s="2" t="n">
        <f>402424</f>
        <v>402424.0</v>
      </c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 t="n">
        <f>62778</f>
        <v>62778.0</v>
      </c>
      <c r="F27" s="10"/>
      <c r="G27" s="2" t="n">
        <f>1408863814653</f>
        <v>1.408863814653E12</v>
      </c>
      <c r="H27" s="10"/>
      <c r="I27" s="2" t="n">
        <f>5917</f>
        <v>5917.0</v>
      </c>
      <c r="J27" s="10"/>
      <c r="K27" s="2" t="n">
        <f>402876</f>
        <v>402876.0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99966</f>
        <v>99966.0</v>
      </c>
      <c r="F28" s="10"/>
      <c r="G28" s="2" t="n">
        <f>2244370640300</f>
        <v>2.2443706403E12</v>
      </c>
      <c r="H28" s="10"/>
      <c r="I28" s="2" t="n">
        <f>5486</f>
        <v>5486.0</v>
      </c>
      <c r="J28" s="10"/>
      <c r="K28" s="2" t="n">
        <f>406171</f>
        <v>406171.0</v>
      </c>
    </row>
    <row r="29">
      <c r="A29" s="8" t="s">
        <v>43</v>
      </c>
      <c r="B29" s="9" t="s">
        <v>17</v>
      </c>
      <c r="C29" s="9" t="s">
        <v>18</v>
      </c>
      <c r="D29" s="10" t="s">
        <v>37</v>
      </c>
      <c r="E29" s="2" t="n">
        <f>61778</f>
        <v>61778.0</v>
      </c>
      <c r="F29" s="10" t="s">
        <v>37</v>
      </c>
      <c r="G29" s="2" t="n">
        <f>1393035180275</f>
        <v>1.393035180275E12</v>
      </c>
      <c r="H29" s="10" t="s">
        <v>37</v>
      </c>
      <c r="I29" s="2" t="n">
        <f>3274</f>
        <v>3274.0</v>
      </c>
      <c r="J29" s="10"/>
      <c r="K29" s="2" t="n">
        <f>403286</f>
        <v>403286.0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89070</f>
        <v>89070.0</v>
      </c>
      <c r="F30" s="10"/>
      <c r="G30" s="2" t="n">
        <f>1979520576060</f>
        <v>1.97952057606E12</v>
      </c>
      <c r="H30" s="10"/>
      <c r="I30" s="2" t="n">
        <f>5731</f>
        <v>5731.0</v>
      </c>
      <c r="J30" s="10"/>
      <c r="K30" s="2" t="n">
        <f>407444</f>
        <v>407444.0</v>
      </c>
    </row>
    <row r="31">
      <c r="A31" s="8" t="s">
        <v>45</v>
      </c>
      <c r="B31" s="9" t="s">
        <v>17</v>
      </c>
      <c r="C31" s="9" t="s">
        <v>18</v>
      </c>
      <c r="D31" s="10"/>
      <c r="E31" s="2" t="n">
        <f>71263</f>
        <v>71263.0</v>
      </c>
      <c r="F31" s="10"/>
      <c r="G31" s="2" t="n">
        <f>1593176327860</f>
        <v>1.59317632786E12</v>
      </c>
      <c r="H31" s="10"/>
      <c r="I31" s="2" t="n">
        <f>4543</f>
        <v>4543.0</v>
      </c>
      <c r="J31" s="10"/>
      <c r="K31" s="2" t="n">
        <f>409816</f>
        <v>409816.0</v>
      </c>
    </row>
    <row r="32">
      <c r="A32" s="8" t="s">
        <v>46</v>
      </c>
      <c r="B32" s="9" t="s">
        <v>17</v>
      </c>
      <c r="C32" s="9" t="s">
        <v>18</v>
      </c>
      <c r="D32" s="10"/>
      <c r="E32" s="2"/>
      <c r="F32" s="10"/>
      <c r="G32" s="2"/>
      <c r="H32" s="10"/>
      <c r="I32" s="2"/>
      <c r="J32" s="10"/>
      <c r="K32" s="2"/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48</v>
      </c>
      <c r="B34" s="9" t="s">
        <v>17</v>
      </c>
      <c r="C34" s="9" t="s">
        <v>18</v>
      </c>
      <c r="D34" s="10"/>
      <c r="E34" s="2" t="n">
        <f>83142</f>
        <v>83142.0</v>
      </c>
      <c r="F34" s="10"/>
      <c r="G34" s="2" t="n">
        <f>1839364837770</f>
        <v>1.83936483777E12</v>
      </c>
      <c r="H34" s="10"/>
      <c r="I34" s="2" t="n">
        <f>6181</f>
        <v>6181.0</v>
      </c>
      <c r="J34" s="10"/>
      <c r="K34" s="2" t="n">
        <f>411455</f>
        <v>411455.0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81435</f>
        <v>81435.0</v>
      </c>
      <c r="F35" s="10"/>
      <c r="G35" s="2" t="n">
        <f>1813823201284</f>
        <v>1.813823201284E12</v>
      </c>
      <c r="H35" s="10"/>
      <c r="I35" s="2" t="n">
        <f>9885</f>
        <v>9885.0</v>
      </c>
      <c r="J35" s="10"/>
      <c r="K35" s="2" t="n">
        <f>415482</f>
        <v>415482.0</v>
      </c>
    </row>
    <row r="36">
      <c r="A36" s="8" t="s">
        <v>16</v>
      </c>
      <c r="B36" s="9" t="s">
        <v>50</v>
      </c>
      <c r="C36" s="9" t="s">
        <v>51</v>
      </c>
      <c r="D36" s="10"/>
      <c r="E36" s="2" t="n">
        <f>1552420</f>
        <v>1552420.0</v>
      </c>
      <c r="F36" s="10"/>
      <c r="G36" s="2" t="n">
        <f>3402012030650</f>
        <v>3.40201203065E12</v>
      </c>
      <c r="H36" s="10"/>
      <c r="I36" s="2" t="n">
        <f>149596</f>
        <v>149596.0</v>
      </c>
      <c r="J36" s="10"/>
      <c r="K36" s="2" t="n">
        <f>792380</f>
        <v>792380.0</v>
      </c>
    </row>
    <row r="37">
      <c r="A37" s="8" t="s">
        <v>19</v>
      </c>
      <c r="B37" s="9" t="s">
        <v>50</v>
      </c>
      <c r="C37" s="9" t="s">
        <v>51</v>
      </c>
      <c r="D37" s="10"/>
      <c r="E37" s="2" t="n">
        <f>1517878</f>
        <v>1517878.0</v>
      </c>
      <c r="F37" s="10"/>
      <c r="G37" s="2" t="n">
        <f>3366428784955</f>
        <v>3.366428784955E12</v>
      </c>
      <c r="H37" s="10"/>
      <c r="I37" s="2" t="n">
        <f>151124</f>
        <v>151124.0</v>
      </c>
      <c r="J37" s="10"/>
      <c r="K37" s="2" t="n">
        <f>808925</f>
        <v>808925.0</v>
      </c>
    </row>
    <row r="38">
      <c r="A38" s="8" t="s">
        <v>20</v>
      </c>
      <c r="B38" s="9" t="s">
        <v>50</v>
      </c>
      <c r="C38" s="9" t="s">
        <v>51</v>
      </c>
      <c r="D38" s="10"/>
      <c r="E38" s="2" t="n">
        <f>1756329</f>
        <v>1756329.0</v>
      </c>
      <c r="F38" s="10"/>
      <c r="G38" s="2" t="n">
        <f>3971146998550</f>
        <v>3.97114699855E12</v>
      </c>
      <c r="H38" s="10"/>
      <c r="I38" s="2" t="n">
        <f>165603</f>
        <v>165603.0</v>
      </c>
      <c r="J38" s="10"/>
      <c r="K38" s="2" t="n">
        <f>801257</f>
        <v>801257.0</v>
      </c>
    </row>
    <row r="39">
      <c r="A39" s="8" t="s">
        <v>21</v>
      </c>
      <c r="B39" s="9" t="s">
        <v>50</v>
      </c>
      <c r="C39" s="9" t="s">
        <v>51</v>
      </c>
      <c r="D39" s="10"/>
      <c r="E39" s="2" t="n">
        <f>1718489</f>
        <v>1718489.0</v>
      </c>
      <c r="F39" s="10"/>
      <c r="G39" s="2" t="n">
        <f>3905246963800</f>
        <v>3.9052469638E12</v>
      </c>
      <c r="H39" s="10"/>
      <c r="I39" s="2" t="n">
        <f>163806</f>
        <v>163806.0</v>
      </c>
      <c r="J39" s="10"/>
      <c r="K39" s="2" t="n">
        <f>817054</f>
        <v>817054.0</v>
      </c>
    </row>
    <row r="40">
      <c r="A40" s="8" t="s">
        <v>22</v>
      </c>
      <c r="B40" s="9" t="s">
        <v>50</v>
      </c>
      <c r="C40" s="9" t="s">
        <v>51</v>
      </c>
      <c r="D40" s="10"/>
      <c r="E40" s="2" t="n">
        <f>1531071</f>
        <v>1531071.0</v>
      </c>
      <c r="F40" s="10"/>
      <c r="G40" s="2" t="n">
        <f>3476994163000</f>
        <v>3.476994163E12</v>
      </c>
      <c r="H40" s="10"/>
      <c r="I40" s="2" t="n">
        <f>158864</f>
        <v>158864.0</v>
      </c>
      <c r="J40" s="10"/>
      <c r="K40" s="2" t="n">
        <f>808655</f>
        <v>808655.0</v>
      </c>
    </row>
    <row r="41">
      <c r="A41" s="8" t="s">
        <v>23</v>
      </c>
      <c r="B41" s="9" t="s">
        <v>50</v>
      </c>
      <c r="C41" s="9" t="s">
        <v>51</v>
      </c>
      <c r="D41" s="10"/>
      <c r="E41" s="2"/>
      <c r="F41" s="10"/>
      <c r="G41" s="2"/>
      <c r="H41" s="10"/>
      <c r="I41" s="2"/>
      <c r="J41" s="10"/>
      <c r="K41" s="2"/>
    </row>
    <row r="42">
      <c r="A42" s="8" t="s">
        <v>24</v>
      </c>
      <c r="B42" s="9" t="s">
        <v>50</v>
      </c>
      <c r="C42" s="9" t="s">
        <v>51</v>
      </c>
      <c r="D42" s="10"/>
      <c r="E42" s="2"/>
      <c r="F42" s="10"/>
      <c r="G42" s="2"/>
      <c r="H42" s="10"/>
      <c r="I42" s="2"/>
      <c r="J42" s="10"/>
      <c r="K42" s="2"/>
    </row>
    <row r="43">
      <c r="A43" s="8" t="s">
        <v>25</v>
      </c>
      <c r="B43" s="9" t="s">
        <v>50</v>
      </c>
      <c r="C43" s="9" t="s">
        <v>51</v>
      </c>
      <c r="D43" s="10"/>
      <c r="E43" s="2" t="n">
        <f>1782899</f>
        <v>1782899.0</v>
      </c>
      <c r="F43" s="10"/>
      <c r="G43" s="2" t="n">
        <f>4119043734689</f>
        <v>4.119043734689E12</v>
      </c>
      <c r="H43" s="10"/>
      <c r="I43" s="2" t="n">
        <f>203419</f>
        <v>203419.0</v>
      </c>
      <c r="J43" s="10"/>
      <c r="K43" s="2" t="n">
        <f>833454</f>
        <v>833454.0</v>
      </c>
    </row>
    <row r="44">
      <c r="A44" s="8" t="s">
        <v>27</v>
      </c>
      <c r="B44" s="9" t="s">
        <v>50</v>
      </c>
      <c r="C44" s="9" t="s">
        <v>51</v>
      </c>
      <c r="D44" s="10"/>
      <c r="E44" s="2" t="n">
        <f>1567505</f>
        <v>1567505.0</v>
      </c>
      <c r="F44" s="10"/>
      <c r="G44" s="2" t="n">
        <f>3617871742937</f>
        <v>3.617871742937E12</v>
      </c>
      <c r="H44" s="10" t="s">
        <v>26</v>
      </c>
      <c r="I44" s="2" t="n">
        <f>286949</f>
        <v>286949.0</v>
      </c>
      <c r="J44" s="10"/>
      <c r="K44" s="2" t="n">
        <f>895442</f>
        <v>895442.0</v>
      </c>
    </row>
    <row r="45">
      <c r="A45" s="8" t="s">
        <v>28</v>
      </c>
      <c r="B45" s="9" t="s">
        <v>50</v>
      </c>
      <c r="C45" s="9" t="s">
        <v>51</v>
      </c>
      <c r="D45" s="10"/>
      <c r="E45" s="2" t="n">
        <f>1525690</f>
        <v>1525690.0</v>
      </c>
      <c r="F45" s="10"/>
      <c r="G45" s="2" t="n">
        <f>3497249607121</f>
        <v>3.497249607121E12</v>
      </c>
      <c r="H45" s="10"/>
      <c r="I45" s="2" t="n">
        <f>151010</f>
        <v>151010.0</v>
      </c>
      <c r="J45" s="10"/>
      <c r="K45" s="2" t="n">
        <f>919852</f>
        <v>919852.0</v>
      </c>
    </row>
    <row r="46">
      <c r="A46" s="8" t="s">
        <v>29</v>
      </c>
      <c r="B46" s="9" t="s">
        <v>50</v>
      </c>
      <c r="C46" s="9" t="s">
        <v>51</v>
      </c>
      <c r="D46" s="10"/>
      <c r="E46" s="2" t="n">
        <f>1982540</f>
        <v>1982540.0</v>
      </c>
      <c r="F46" s="10"/>
      <c r="G46" s="2" t="n">
        <f>4513077946460</f>
        <v>4.51307794646E12</v>
      </c>
      <c r="H46" s="10"/>
      <c r="I46" s="2" t="n">
        <f>162158</f>
        <v>162158.0</v>
      </c>
      <c r="J46" s="10"/>
      <c r="K46" s="2" t="n">
        <f>833696</f>
        <v>833696.0</v>
      </c>
    </row>
    <row r="47">
      <c r="A47" s="8" t="s">
        <v>30</v>
      </c>
      <c r="B47" s="9" t="s">
        <v>50</v>
      </c>
      <c r="C47" s="9" t="s">
        <v>51</v>
      </c>
      <c r="D47" s="10"/>
      <c r="E47" s="2" t="n">
        <f>2371299</f>
        <v>2371299.0</v>
      </c>
      <c r="F47" s="10"/>
      <c r="G47" s="2" t="n">
        <f>5220022256626</f>
        <v>5.220022256626E12</v>
      </c>
      <c r="H47" s="10"/>
      <c r="I47" s="2" t="n">
        <f>222333</f>
        <v>222333.0</v>
      </c>
      <c r="J47" s="10" t="s">
        <v>26</v>
      </c>
      <c r="K47" s="2" t="n">
        <f>1894294</f>
        <v>1894294.0</v>
      </c>
    </row>
    <row r="48">
      <c r="A48" s="8" t="s">
        <v>31</v>
      </c>
      <c r="B48" s="9" t="s">
        <v>50</v>
      </c>
      <c r="C48" s="9" t="s">
        <v>51</v>
      </c>
      <c r="D48" s="10"/>
      <c r="E48" s="2"/>
      <c r="F48" s="10"/>
      <c r="G48" s="2"/>
      <c r="H48" s="10"/>
      <c r="I48" s="2"/>
      <c r="J48" s="10"/>
      <c r="K48" s="2"/>
    </row>
    <row r="49">
      <c r="A49" s="8" t="s">
        <v>32</v>
      </c>
      <c r="B49" s="9" t="s">
        <v>50</v>
      </c>
      <c r="C49" s="9" t="s">
        <v>51</v>
      </c>
      <c r="D49" s="10"/>
      <c r="E49" s="2"/>
      <c r="F49" s="10"/>
      <c r="G49" s="2"/>
      <c r="H49" s="10"/>
      <c r="I49" s="2"/>
      <c r="J49" s="10"/>
      <c r="K49" s="2"/>
    </row>
    <row r="50">
      <c r="A50" s="8" t="s">
        <v>33</v>
      </c>
      <c r="B50" s="9" t="s">
        <v>50</v>
      </c>
      <c r="C50" s="9" t="s">
        <v>51</v>
      </c>
      <c r="D50" s="10" t="s">
        <v>26</v>
      </c>
      <c r="E50" s="2" t="n">
        <f>2460721</f>
        <v>2460721.0</v>
      </c>
      <c r="F50" s="10" t="s">
        <v>26</v>
      </c>
      <c r="G50" s="2" t="n">
        <f>5426800471150</f>
        <v>5.42680047115E12</v>
      </c>
      <c r="H50" s="10"/>
      <c r="I50" s="2" t="n">
        <f>208687</f>
        <v>208687.0</v>
      </c>
      <c r="J50" s="10"/>
      <c r="K50" s="2" t="n">
        <f>380241</f>
        <v>380241.0</v>
      </c>
    </row>
    <row r="51">
      <c r="A51" s="8" t="s">
        <v>34</v>
      </c>
      <c r="B51" s="9" t="s">
        <v>50</v>
      </c>
      <c r="C51" s="9" t="s">
        <v>51</v>
      </c>
      <c r="D51" s="10"/>
      <c r="E51" s="2" t="n">
        <f>2269230</f>
        <v>2269230.0</v>
      </c>
      <c r="F51" s="10"/>
      <c r="G51" s="2" t="n">
        <f>4971925236800</f>
        <v>4.9719252368E12</v>
      </c>
      <c r="H51" s="10"/>
      <c r="I51" s="2" t="n">
        <f>183635</f>
        <v>183635.0</v>
      </c>
      <c r="J51" s="10"/>
      <c r="K51" s="2" t="n">
        <f>379934</f>
        <v>379934.0</v>
      </c>
    </row>
    <row r="52">
      <c r="A52" s="8" t="s">
        <v>35</v>
      </c>
      <c r="B52" s="9" t="s">
        <v>50</v>
      </c>
      <c r="C52" s="9" t="s">
        <v>51</v>
      </c>
      <c r="D52" s="10"/>
      <c r="E52" s="2" t="n">
        <f>1747132</f>
        <v>1747132.0</v>
      </c>
      <c r="F52" s="10"/>
      <c r="G52" s="2" t="n">
        <f>3906913209200</f>
        <v>3.9069132092E12</v>
      </c>
      <c r="H52" s="10"/>
      <c r="I52" s="2" t="n">
        <f>139366</f>
        <v>139366.0</v>
      </c>
      <c r="J52" s="10" t="s">
        <v>37</v>
      </c>
      <c r="K52" s="2" t="n">
        <f>377605</f>
        <v>377605.0</v>
      </c>
    </row>
    <row r="53">
      <c r="A53" s="8" t="s">
        <v>36</v>
      </c>
      <c r="B53" s="9" t="s">
        <v>50</v>
      </c>
      <c r="C53" s="9" t="s">
        <v>51</v>
      </c>
      <c r="D53" s="10"/>
      <c r="E53" s="2" t="n">
        <f>1446773</f>
        <v>1446773.0</v>
      </c>
      <c r="F53" s="10"/>
      <c r="G53" s="2" t="n">
        <f>3239847939700</f>
        <v>3.2398479397E12</v>
      </c>
      <c r="H53" s="10"/>
      <c r="I53" s="2" t="n">
        <f>116528</f>
        <v>116528.0</v>
      </c>
      <c r="J53" s="10"/>
      <c r="K53" s="2" t="n">
        <f>397011</f>
        <v>397011.0</v>
      </c>
    </row>
    <row r="54">
      <c r="A54" s="8" t="s">
        <v>38</v>
      </c>
      <c r="B54" s="9" t="s">
        <v>50</v>
      </c>
      <c r="C54" s="9" t="s">
        <v>51</v>
      </c>
      <c r="D54" s="10"/>
      <c r="E54" s="2" t="n">
        <f>1115845</f>
        <v>1115845.0</v>
      </c>
      <c r="F54" s="10"/>
      <c r="G54" s="2" t="n">
        <f>2495500293300</f>
        <v>2.4955002933E12</v>
      </c>
      <c r="H54" s="10"/>
      <c r="I54" s="2" t="n">
        <f>93768</f>
        <v>93768.0</v>
      </c>
      <c r="J54" s="10"/>
      <c r="K54" s="2" t="n">
        <f>399842</f>
        <v>399842.0</v>
      </c>
    </row>
    <row r="55">
      <c r="A55" s="8" t="s">
        <v>39</v>
      </c>
      <c r="B55" s="9" t="s">
        <v>50</v>
      </c>
      <c r="C55" s="9" t="s">
        <v>51</v>
      </c>
      <c r="D55" s="10"/>
      <c r="E55" s="2"/>
      <c r="F55" s="10"/>
      <c r="G55" s="2"/>
      <c r="H55" s="10"/>
      <c r="I55" s="2"/>
      <c r="J55" s="10"/>
      <c r="K55" s="2"/>
    </row>
    <row r="56">
      <c r="A56" s="8" t="s">
        <v>40</v>
      </c>
      <c r="B56" s="9" t="s">
        <v>50</v>
      </c>
      <c r="C56" s="9" t="s">
        <v>51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41</v>
      </c>
      <c r="B57" s="9" t="s">
        <v>50</v>
      </c>
      <c r="C57" s="9" t="s">
        <v>51</v>
      </c>
      <c r="D57" s="10"/>
      <c r="E57" s="2" t="n">
        <f>1109798</f>
        <v>1109798.0</v>
      </c>
      <c r="F57" s="10"/>
      <c r="G57" s="2" t="n">
        <f>2493247890950</f>
        <v>2.49324789095E12</v>
      </c>
      <c r="H57" s="10"/>
      <c r="I57" s="2" t="n">
        <f>93768</f>
        <v>93768.0</v>
      </c>
      <c r="J57" s="10"/>
      <c r="K57" s="2" t="n">
        <f>409358</f>
        <v>409358.0</v>
      </c>
    </row>
    <row r="58">
      <c r="A58" s="8" t="s">
        <v>42</v>
      </c>
      <c r="B58" s="9" t="s">
        <v>50</v>
      </c>
      <c r="C58" s="9" t="s">
        <v>51</v>
      </c>
      <c r="D58" s="10"/>
      <c r="E58" s="2" t="n">
        <f>1524077</f>
        <v>1524077.0</v>
      </c>
      <c r="F58" s="10"/>
      <c r="G58" s="2" t="n">
        <f>3422899496500</f>
        <v>3.4228994965E12</v>
      </c>
      <c r="H58" s="10"/>
      <c r="I58" s="2" t="n">
        <f>135756</f>
        <v>135756.0</v>
      </c>
      <c r="J58" s="10"/>
      <c r="K58" s="2" t="n">
        <f>419250</f>
        <v>419250.0</v>
      </c>
    </row>
    <row r="59">
      <c r="A59" s="8" t="s">
        <v>43</v>
      </c>
      <c r="B59" s="9" t="s">
        <v>50</v>
      </c>
      <c r="C59" s="9" t="s">
        <v>51</v>
      </c>
      <c r="D59" s="10"/>
      <c r="E59" s="2" t="n">
        <f>1013186</f>
        <v>1013186.0</v>
      </c>
      <c r="F59" s="10"/>
      <c r="G59" s="2" t="n">
        <f>2288353834500</f>
        <v>2.2883538345E12</v>
      </c>
      <c r="H59" s="10"/>
      <c r="I59" s="2" t="n">
        <f>80264</f>
        <v>80264.0</v>
      </c>
      <c r="J59" s="10"/>
      <c r="K59" s="2" t="n">
        <f>416008</f>
        <v>416008.0</v>
      </c>
    </row>
    <row r="60">
      <c r="A60" s="8" t="s">
        <v>44</v>
      </c>
      <c r="B60" s="9" t="s">
        <v>50</v>
      </c>
      <c r="C60" s="9" t="s">
        <v>51</v>
      </c>
      <c r="D60" s="10"/>
      <c r="E60" s="2" t="n">
        <f>1444478</f>
        <v>1444478.0</v>
      </c>
      <c r="F60" s="10"/>
      <c r="G60" s="2" t="n">
        <f>3211523252200</f>
        <v>3.2115232522E12</v>
      </c>
      <c r="H60" s="10"/>
      <c r="I60" s="2" t="n">
        <f>109156</f>
        <v>109156.0</v>
      </c>
      <c r="J60" s="10"/>
      <c r="K60" s="2" t="n">
        <f>433785</f>
        <v>433785.0</v>
      </c>
    </row>
    <row r="61">
      <c r="A61" s="8" t="s">
        <v>45</v>
      </c>
      <c r="B61" s="9" t="s">
        <v>50</v>
      </c>
      <c r="C61" s="9" t="s">
        <v>51</v>
      </c>
      <c r="D61" s="10"/>
      <c r="E61" s="2" t="n">
        <f>1175031</f>
        <v>1175031.0</v>
      </c>
      <c r="F61" s="10"/>
      <c r="G61" s="2" t="n">
        <f>2625318674850</f>
        <v>2.62531867485E12</v>
      </c>
      <c r="H61" s="10"/>
      <c r="I61" s="2" t="n">
        <f>97619</f>
        <v>97619.0</v>
      </c>
      <c r="J61" s="10"/>
      <c r="K61" s="2" t="n">
        <f>443446</f>
        <v>443446.0</v>
      </c>
    </row>
    <row r="62">
      <c r="A62" s="8" t="s">
        <v>46</v>
      </c>
      <c r="B62" s="9" t="s">
        <v>50</v>
      </c>
      <c r="C62" s="9" t="s">
        <v>51</v>
      </c>
      <c r="D62" s="10"/>
      <c r="E62" s="2"/>
      <c r="F62" s="10"/>
      <c r="G62" s="2"/>
      <c r="H62" s="10"/>
      <c r="I62" s="2"/>
      <c r="J62" s="10"/>
      <c r="K62" s="2"/>
    </row>
    <row r="63">
      <c r="A63" s="8" t="s">
        <v>47</v>
      </c>
      <c r="B63" s="9" t="s">
        <v>50</v>
      </c>
      <c r="C63" s="9" t="s">
        <v>51</v>
      </c>
      <c r="D63" s="10"/>
      <c r="E63" s="2"/>
      <c r="F63" s="10"/>
      <c r="G63" s="2"/>
      <c r="H63" s="10"/>
      <c r="I63" s="2"/>
      <c r="J63" s="10"/>
      <c r="K63" s="2"/>
    </row>
    <row r="64">
      <c r="A64" s="8" t="s">
        <v>48</v>
      </c>
      <c r="B64" s="9" t="s">
        <v>50</v>
      </c>
      <c r="C64" s="9" t="s">
        <v>51</v>
      </c>
      <c r="D64" s="10"/>
      <c r="E64" s="2" t="n">
        <f>1310809</f>
        <v>1310809.0</v>
      </c>
      <c r="F64" s="10"/>
      <c r="G64" s="2" t="n">
        <f>2908147511732</f>
        <v>2.908147511732E12</v>
      </c>
      <c r="H64" s="10"/>
      <c r="I64" s="2" t="n">
        <f>106207</f>
        <v>106207.0</v>
      </c>
      <c r="J64" s="10"/>
      <c r="K64" s="2" t="n">
        <f>467267</f>
        <v>467267.0</v>
      </c>
    </row>
    <row r="65">
      <c r="A65" s="8" t="s">
        <v>49</v>
      </c>
      <c r="B65" s="9" t="s">
        <v>50</v>
      </c>
      <c r="C65" s="9" t="s">
        <v>51</v>
      </c>
      <c r="D65" s="10" t="s">
        <v>37</v>
      </c>
      <c r="E65" s="2" t="n">
        <f>982894</f>
        <v>982894.0</v>
      </c>
      <c r="F65" s="10" t="s">
        <v>37</v>
      </c>
      <c r="G65" s="2" t="n">
        <f>2188817696700</f>
        <v>2.1888176967E12</v>
      </c>
      <c r="H65" s="10" t="s">
        <v>37</v>
      </c>
      <c r="I65" s="2" t="n">
        <f>76809</f>
        <v>76809.0</v>
      </c>
      <c r="J65" s="10"/>
      <c r="K65" s="2" t="n">
        <f>471176</f>
        <v>471176.0</v>
      </c>
    </row>
    <row r="66">
      <c r="A66" s="8" t="s">
        <v>16</v>
      </c>
      <c r="B66" s="9" t="s">
        <v>52</v>
      </c>
      <c r="C66" s="9" t="s">
        <v>53</v>
      </c>
      <c r="D66" s="10"/>
      <c r="E66" s="2" t="n">
        <f>70064</f>
        <v>70064.0</v>
      </c>
      <c r="F66" s="10"/>
      <c r="G66" s="2" t="n">
        <f>1095540141606</f>
        <v>1.095540141606E12</v>
      </c>
      <c r="H66" s="10"/>
      <c r="I66" s="2" t="n">
        <f>14738</f>
        <v>14738.0</v>
      </c>
      <c r="J66" s="10"/>
      <c r="K66" s="2" t="n">
        <f>610431</f>
        <v>610431.0</v>
      </c>
    </row>
    <row r="67">
      <c r="A67" s="8" t="s">
        <v>19</v>
      </c>
      <c r="B67" s="9" t="s">
        <v>52</v>
      </c>
      <c r="C67" s="9" t="s">
        <v>53</v>
      </c>
      <c r="D67" s="10"/>
      <c r="E67" s="2" t="n">
        <f>78850</f>
        <v>78850.0</v>
      </c>
      <c r="F67" s="10"/>
      <c r="G67" s="2" t="n">
        <f>1248142334122</f>
        <v>1.248142334122E12</v>
      </c>
      <c r="H67" s="10"/>
      <c r="I67" s="2" t="n">
        <f>15420</f>
        <v>15420.0</v>
      </c>
      <c r="J67" s="10"/>
      <c r="K67" s="2" t="n">
        <f>612973</f>
        <v>612973.0</v>
      </c>
    </row>
    <row r="68">
      <c r="A68" s="8" t="s">
        <v>20</v>
      </c>
      <c r="B68" s="9" t="s">
        <v>52</v>
      </c>
      <c r="C68" s="9" t="s">
        <v>53</v>
      </c>
      <c r="D68" s="10"/>
      <c r="E68" s="2" t="n">
        <f>93726</f>
        <v>93726.0</v>
      </c>
      <c r="F68" s="10"/>
      <c r="G68" s="2" t="n">
        <f>1500028822050</f>
        <v>1.50002882205E12</v>
      </c>
      <c r="H68" s="10"/>
      <c r="I68" s="2" t="n">
        <f>17804</f>
        <v>17804.0</v>
      </c>
      <c r="J68" s="10"/>
      <c r="K68" s="2" t="n">
        <f>616558</f>
        <v>616558.0</v>
      </c>
    </row>
    <row r="69">
      <c r="A69" s="8" t="s">
        <v>21</v>
      </c>
      <c r="B69" s="9" t="s">
        <v>52</v>
      </c>
      <c r="C69" s="9" t="s">
        <v>53</v>
      </c>
      <c r="D69" s="10"/>
      <c r="E69" s="2" t="n">
        <f>98916</f>
        <v>98916.0</v>
      </c>
      <c r="F69" s="10"/>
      <c r="G69" s="2" t="n">
        <f>1587766380650</f>
        <v>1.58776638065E12</v>
      </c>
      <c r="H69" s="10"/>
      <c r="I69" s="2" t="n">
        <f>19034</f>
        <v>19034.0</v>
      </c>
      <c r="J69" s="10"/>
      <c r="K69" s="2" t="n">
        <f>619809</f>
        <v>619809.0</v>
      </c>
    </row>
    <row r="70">
      <c r="A70" s="8" t="s">
        <v>22</v>
      </c>
      <c r="B70" s="9" t="s">
        <v>52</v>
      </c>
      <c r="C70" s="9" t="s">
        <v>53</v>
      </c>
      <c r="D70" s="10"/>
      <c r="E70" s="2" t="n">
        <f>140087</f>
        <v>140087.0</v>
      </c>
      <c r="F70" s="10"/>
      <c r="G70" s="2" t="n">
        <f>2248343042435</f>
        <v>2.248343042435E12</v>
      </c>
      <c r="H70" s="10"/>
      <c r="I70" s="2" t="n">
        <f>26554</f>
        <v>26554.0</v>
      </c>
      <c r="J70" s="10"/>
      <c r="K70" s="2" t="n">
        <f>635276</f>
        <v>635276.0</v>
      </c>
    </row>
    <row r="71">
      <c r="A71" s="8" t="s">
        <v>23</v>
      </c>
      <c r="B71" s="9" t="s">
        <v>52</v>
      </c>
      <c r="C71" s="9" t="s">
        <v>53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24</v>
      </c>
      <c r="B72" s="9" t="s">
        <v>52</v>
      </c>
      <c r="C72" s="9" t="s">
        <v>53</v>
      </c>
      <c r="D72" s="10"/>
      <c r="E72" s="2"/>
      <c r="F72" s="10"/>
      <c r="G72" s="2"/>
      <c r="H72" s="10"/>
      <c r="I72" s="2"/>
      <c r="J72" s="10"/>
      <c r="K72" s="2"/>
    </row>
    <row r="73">
      <c r="A73" s="8" t="s">
        <v>25</v>
      </c>
      <c r="B73" s="9" t="s">
        <v>52</v>
      </c>
      <c r="C73" s="9" t="s">
        <v>53</v>
      </c>
      <c r="D73" s="10"/>
      <c r="E73" s="2" t="n">
        <f>572614</f>
        <v>572614.0</v>
      </c>
      <c r="F73" s="10"/>
      <c r="G73" s="2" t="n">
        <f>9306980830537</f>
        <v>9.306980830537E12</v>
      </c>
      <c r="H73" s="10"/>
      <c r="I73" s="2" t="n">
        <f>141387</f>
        <v>141387.0</v>
      </c>
      <c r="J73" s="10"/>
      <c r="K73" s="2" t="n">
        <f>673037</f>
        <v>673037.0</v>
      </c>
    </row>
    <row r="74">
      <c r="A74" s="8" t="s">
        <v>27</v>
      </c>
      <c r="B74" s="9" t="s">
        <v>52</v>
      </c>
      <c r="C74" s="9" t="s">
        <v>53</v>
      </c>
      <c r="D74" s="10" t="s">
        <v>26</v>
      </c>
      <c r="E74" s="2" t="n">
        <f>980657</f>
        <v>980657.0</v>
      </c>
      <c r="F74" s="10" t="s">
        <v>26</v>
      </c>
      <c r="G74" s="2" t="n">
        <f>15945164168921</f>
        <v>1.5945164168921E13</v>
      </c>
      <c r="H74" s="10" t="s">
        <v>26</v>
      </c>
      <c r="I74" s="2" t="n">
        <f>262489</f>
        <v>262489.0</v>
      </c>
      <c r="J74" s="10" t="s">
        <v>26</v>
      </c>
      <c r="K74" s="2" t="n">
        <f>808602</f>
        <v>808602.0</v>
      </c>
    </row>
    <row r="75">
      <c r="A75" s="8" t="s">
        <v>28</v>
      </c>
      <c r="B75" s="9" t="s">
        <v>52</v>
      </c>
      <c r="C75" s="9" t="s">
        <v>53</v>
      </c>
      <c r="D75" s="10"/>
      <c r="E75" s="2" t="n">
        <f>380955</f>
        <v>380955.0</v>
      </c>
      <c r="F75" s="10"/>
      <c r="G75" s="2" t="n">
        <f>6171878563696</f>
        <v>6.171878563696E12</v>
      </c>
      <c r="H75" s="10"/>
      <c r="I75" s="2" t="n">
        <f>62931</f>
        <v>62931.0</v>
      </c>
      <c r="J75" s="10"/>
      <c r="K75" s="2" t="n">
        <f>708150</f>
        <v>708150.0</v>
      </c>
    </row>
    <row r="76">
      <c r="A76" s="8" t="s">
        <v>29</v>
      </c>
      <c r="B76" s="9" t="s">
        <v>52</v>
      </c>
      <c r="C76" s="9" t="s">
        <v>53</v>
      </c>
      <c r="D76" s="10"/>
      <c r="E76" s="2" t="n">
        <f>186964</f>
        <v>186964.0</v>
      </c>
      <c r="F76" s="10"/>
      <c r="G76" s="2" t="n">
        <f>2993647444950</f>
        <v>2.99364744495E12</v>
      </c>
      <c r="H76" s="10"/>
      <c r="I76" s="2" t="n">
        <f>17451</f>
        <v>17451.0</v>
      </c>
      <c r="J76" s="10"/>
      <c r="K76" s="2" t="n">
        <f>666662</f>
        <v>666662.0</v>
      </c>
    </row>
    <row r="77">
      <c r="A77" s="8" t="s">
        <v>30</v>
      </c>
      <c r="B77" s="9" t="s">
        <v>52</v>
      </c>
      <c r="C77" s="9" t="s">
        <v>53</v>
      </c>
      <c r="D77" s="10"/>
      <c r="E77" s="2" t="n">
        <f>99712</f>
        <v>99712.0</v>
      </c>
      <c r="F77" s="10"/>
      <c r="G77" s="2" t="n">
        <f>1551280149660</f>
        <v>1.55128014966E12</v>
      </c>
      <c r="H77" s="10"/>
      <c r="I77" s="2" t="n">
        <f>20544</f>
        <v>20544.0</v>
      </c>
      <c r="J77" s="10"/>
      <c r="K77" s="2" t="n">
        <f>702225</f>
        <v>702225.0</v>
      </c>
    </row>
    <row r="78">
      <c r="A78" s="8" t="s">
        <v>31</v>
      </c>
      <c r="B78" s="9" t="s">
        <v>52</v>
      </c>
      <c r="C78" s="9" t="s">
        <v>53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32</v>
      </c>
      <c r="B79" s="9" t="s">
        <v>52</v>
      </c>
      <c r="C79" s="9" t="s">
        <v>53</v>
      </c>
      <c r="D79" s="10"/>
      <c r="E79" s="2"/>
      <c r="F79" s="10"/>
      <c r="G79" s="2"/>
      <c r="H79" s="10"/>
      <c r="I79" s="2"/>
      <c r="J79" s="10"/>
      <c r="K79" s="2"/>
    </row>
    <row r="80">
      <c r="A80" s="8" t="s">
        <v>33</v>
      </c>
      <c r="B80" s="9" t="s">
        <v>52</v>
      </c>
      <c r="C80" s="9" t="s">
        <v>53</v>
      </c>
      <c r="D80" s="10"/>
      <c r="E80" s="2" t="n">
        <f>94989</f>
        <v>94989.0</v>
      </c>
      <c r="F80" s="10"/>
      <c r="G80" s="2" t="n">
        <f>1474686905397</f>
        <v>1.474686905397E12</v>
      </c>
      <c r="H80" s="10"/>
      <c r="I80" s="2" t="n">
        <f>21260</f>
        <v>21260.0</v>
      </c>
      <c r="J80" s="10" t="s">
        <v>37</v>
      </c>
      <c r="K80" s="2" t="n">
        <f>524919</f>
        <v>524919.0</v>
      </c>
    </row>
    <row r="81">
      <c r="A81" s="8" t="s">
        <v>34</v>
      </c>
      <c r="B81" s="9" t="s">
        <v>52</v>
      </c>
      <c r="C81" s="9" t="s">
        <v>53</v>
      </c>
      <c r="D81" s="10"/>
      <c r="E81" s="2" t="n">
        <f>106255</f>
        <v>106255.0</v>
      </c>
      <c r="F81" s="10"/>
      <c r="G81" s="2" t="n">
        <f>1669491495100</f>
        <v>1.6694914951E12</v>
      </c>
      <c r="H81" s="10"/>
      <c r="I81" s="2" t="n">
        <f>24340</f>
        <v>24340.0</v>
      </c>
      <c r="J81" s="10"/>
      <c r="K81" s="2" t="n">
        <f>527757</f>
        <v>527757.0</v>
      </c>
    </row>
    <row r="82">
      <c r="A82" s="8" t="s">
        <v>35</v>
      </c>
      <c r="B82" s="9" t="s">
        <v>52</v>
      </c>
      <c r="C82" s="9" t="s">
        <v>53</v>
      </c>
      <c r="D82" s="10"/>
      <c r="E82" s="2" t="n">
        <f>77205</f>
        <v>77205.0</v>
      </c>
      <c r="F82" s="10"/>
      <c r="G82" s="2" t="n">
        <f>1222270178104</f>
        <v>1.222270178104E12</v>
      </c>
      <c r="H82" s="10"/>
      <c r="I82" s="2" t="n">
        <f>14847</f>
        <v>14847.0</v>
      </c>
      <c r="J82" s="10"/>
      <c r="K82" s="2" t="n">
        <f>527565</f>
        <v>527565.0</v>
      </c>
    </row>
    <row r="83">
      <c r="A83" s="8" t="s">
        <v>36</v>
      </c>
      <c r="B83" s="9" t="s">
        <v>52</v>
      </c>
      <c r="C83" s="9" t="s">
        <v>53</v>
      </c>
      <c r="D83" s="10"/>
      <c r="E83" s="2" t="n">
        <f>72054</f>
        <v>72054.0</v>
      </c>
      <c r="F83" s="10"/>
      <c r="G83" s="2" t="n">
        <f>1138703634583</f>
        <v>1.138703634583E12</v>
      </c>
      <c r="H83" s="10"/>
      <c r="I83" s="2" t="n">
        <f>14015</f>
        <v>14015.0</v>
      </c>
      <c r="J83" s="10"/>
      <c r="K83" s="2" t="n">
        <f>529871</f>
        <v>529871.0</v>
      </c>
    </row>
    <row r="84">
      <c r="A84" s="8" t="s">
        <v>38</v>
      </c>
      <c r="B84" s="9" t="s">
        <v>52</v>
      </c>
      <c r="C84" s="9" t="s">
        <v>53</v>
      </c>
      <c r="D84" s="10"/>
      <c r="E84" s="2" t="n">
        <f>71320</f>
        <v>71320.0</v>
      </c>
      <c r="F84" s="10"/>
      <c r="G84" s="2" t="n">
        <f>1126456471390</f>
        <v>1.12645647139E12</v>
      </c>
      <c r="H84" s="10"/>
      <c r="I84" s="2" t="n">
        <f>11869</f>
        <v>11869.0</v>
      </c>
      <c r="J84" s="10"/>
      <c r="K84" s="2" t="n">
        <f>536432</f>
        <v>536432.0</v>
      </c>
    </row>
    <row r="85">
      <c r="A85" s="8" t="s">
        <v>39</v>
      </c>
      <c r="B85" s="9" t="s">
        <v>52</v>
      </c>
      <c r="C85" s="9" t="s">
        <v>53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40</v>
      </c>
      <c r="B86" s="9" t="s">
        <v>52</v>
      </c>
      <c r="C86" s="9" t="s">
        <v>53</v>
      </c>
      <c r="D86" s="10"/>
      <c r="E86" s="2"/>
      <c r="F86" s="10"/>
      <c r="G86" s="2"/>
      <c r="H86" s="10"/>
      <c r="I86" s="2"/>
      <c r="J86" s="10"/>
      <c r="K86" s="2"/>
    </row>
    <row r="87">
      <c r="A87" s="8" t="s">
        <v>41</v>
      </c>
      <c r="B87" s="9" t="s">
        <v>52</v>
      </c>
      <c r="C87" s="9" t="s">
        <v>53</v>
      </c>
      <c r="D87" s="10" t="s">
        <v>37</v>
      </c>
      <c r="E87" s="2" t="n">
        <f>48536</f>
        <v>48536.0</v>
      </c>
      <c r="F87" s="10" t="s">
        <v>37</v>
      </c>
      <c r="G87" s="2" t="n">
        <f>766427109800</f>
        <v>7.664271098E11</v>
      </c>
      <c r="H87" s="10" t="s">
        <v>37</v>
      </c>
      <c r="I87" s="2" t="n">
        <f>9966</f>
        <v>9966.0</v>
      </c>
      <c r="J87" s="10"/>
      <c r="K87" s="2" t="n">
        <f>537345</f>
        <v>537345.0</v>
      </c>
    </row>
    <row r="88">
      <c r="A88" s="8" t="s">
        <v>42</v>
      </c>
      <c r="B88" s="9" t="s">
        <v>52</v>
      </c>
      <c r="C88" s="9" t="s">
        <v>53</v>
      </c>
      <c r="D88" s="10"/>
      <c r="E88" s="2" t="n">
        <f>72763</f>
        <v>72763.0</v>
      </c>
      <c r="F88" s="10"/>
      <c r="G88" s="2" t="n">
        <f>1151794116280</f>
        <v>1.15179411628E12</v>
      </c>
      <c r="H88" s="10"/>
      <c r="I88" s="2" t="n">
        <f>12088</f>
        <v>12088.0</v>
      </c>
      <c r="J88" s="10"/>
      <c r="K88" s="2" t="n">
        <f>537045</f>
        <v>537045.0</v>
      </c>
    </row>
    <row r="89">
      <c r="A89" s="8" t="s">
        <v>43</v>
      </c>
      <c r="B89" s="9" t="s">
        <v>52</v>
      </c>
      <c r="C89" s="9" t="s">
        <v>53</v>
      </c>
      <c r="D89" s="10"/>
      <c r="E89" s="2" t="n">
        <f>57436</f>
        <v>57436.0</v>
      </c>
      <c r="F89" s="10"/>
      <c r="G89" s="2" t="n">
        <f>908333050200</f>
        <v>9.083330502E11</v>
      </c>
      <c r="H89" s="10"/>
      <c r="I89" s="2" t="n">
        <f>11963</f>
        <v>11963.0</v>
      </c>
      <c r="J89" s="10"/>
      <c r="K89" s="2" t="n">
        <f>530468</f>
        <v>530468.0</v>
      </c>
    </row>
    <row r="90">
      <c r="A90" s="8" t="s">
        <v>44</v>
      </c>
      <c r="B90" s="9" t="s">
        <v>52</v>
      </c>
      <c r="C90" s="9" t="s">
        <v>53</v>
      </c>
      <c r="D90" s="10"/>
      <c r="E90" s="2" t="n">
        <f>76244</f>
        <v>76244.0</v>
      </c>
      <c r="F90" s="10"/>
      <c r="G90" s="2" t="n">
        <f>1189271404432</f>
        <v>1.189271404432E12</v>
      </c>
      <c r="H90" s="10"/>
      <c r="I90" s="2" t="n">
        <f>13152</f>
        <v>13152.0</v>
      </c>
      <c r="J90" s="10"/>
      <c r="K90" s="2" t="n">
        <f>529521</f>
        <v>529521.0</v>
      </c>
    </row>
    <row r="91">
      <c r="A91" s="8" t="s">
        <v>45</v>
      </c>
      <c r="B91" s="9" t="s">
        <v>52</v>
      </c>
      <c r="C91" s="9" t="s">
        <v>53</v>
      </c>
      <c r="D91" s="10"/>
      <c r="E91" s="2" t="n">
        <f>72178</f>
        <v>72178.0</v>
      </c>
      <c r="F91" s="10"/>
      <c r="G91" s="2" t="n">
        <f>1133615212655</f>
        <v>1.133615212655E12</v>
      </c>
      <c r="H91" s="10"/>
      <c r="I91" s="2" t="n">
        <f>14737</f>
        <v>14737.0</v>
      </c>
      <c r="J91" s="10"/>
      <c r="K91" s="2" t="n">
        <f>531066</f>
        <v>531066.0</v>
      </c>
    </row>
    <row r="92">
      <c r="A92" s="8" t="s">
        <v>46</v>
      </c>
      <c r="B92" s="9" t="s">
        <v>52</v>
      </c>
      <c r="C92" s="9" t="s">
        <v>53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47</v>
      </c>
      <c r="B93" s="9" t="s">
        <v>52</v>
      </c>
      <c r="C93" s="9" t="s">
        <v>53</v>
      </c>
      <c r="D93" s="10"/>
      <c r="E93" s="2"/>
      <c r="F93" s="10"/>
      <c r="G93" s="2"/>
      <c r="H93" s="10"/>
      <c r="I93" s="2"/>
      <c r="J93" s="10"/>
      <c r="K93" s="2"/>
    </row>
    <row r="94">
      <c r="A94" s="8" t="s">
        <v>48</v>
      </c>
      <c r="B94" s="9" t="s">
        <v>52</v>
      </c>
      <c r="C94" s="9" t="s">
        <v>53</v>
      </c>
      <c r="D94" s="10"/>
      <c r="E94" s="2" t="n">
        <f>74502</f>
        <v>74502.0</v>
      </c>
      <c r="F94" s="10"/>
      <c r="G94" s="2" t="n">
        <f>1158542520935</f>
        <v>1.158542520935E12</v>
      </c>
      <c r="H94" s="10"/>
      <c r="I94" s="2" t="n">
        <f>10623</f>
        <v>10623.0</v>
      </c>
      <c r="J94" s="10"/>
      <c r="K94" s="2" t="n">
        <f>534858</f>
        <v>534858.0</v>
      </c>
    </row>
    <row r="95">
      <c r="A95" s="8" t="s">
        <v>49</v>
      </c>
      <c r="B95" s="9" t="s">
        <v>52</v>
      </c>
      <c r="C95" s="9" t="s">
        <v>53</v>
      </c>
      <c r="D95" s="10"/>
      <c r="E95" s="2" t="n">
        <f>68490</f>
        <v>68490.0</v>
      </c>
      <c r="F95" s="10"/>
      <c r="G95" s="2" t="n">
        <f>1070417051661</f>
        <v>1.070417051661E12</v>
      </c>
      <c r="H95" s="10"/>
      <c r="I95" s="2" t="n">
        <f>14670</f>
        <v>14670.0</v>
      </c>
      <c r="J95" s="10"/>
      <c r="K95" s="2" t="n">
        <f>537363</f>
        <v>537363.0</v>
      </c>
    </row>
    <row r="96">
      <c r="A96" s="8" t="s">
        <v>16</v>
      </c>
      <c r="B96" s="9" t="s">
        <v>54</v>
      </c>
      <c r="C96" s="9" t="s">
        <v>55</v>
      </c>
      <c r="D96" s="10" t="s">
        <v>37</v>
      </c>
      <c r="E96" s="2" t="n">
        <f>32521</f>
        <v>32521.0</v>
      </c>
      <c r="F96" s="10" t="s">
        <v>37</v>
      </c>
      <c r="G96" s="2" t="n">
        <f>50852937340</f>
        <v>5.085293734E10</v>
      </c>
      <c r="H96" s="10"/>
      <c r="I96" s="2" t="n">
        <f>1399</f>
        <v>1399.0</v>
      </c>
      <c r="J96" s="10"/>
      <c r="K96" s="2" t="n">
        <f>115769</f>
        <v>115769.0</v>
      </c>
    </row>
    <row r="97">
      <c r="A97" s="8" t="s">
        <v>19</v>
      </c>
      <c r="B97" s="9" t="s">
        <v>54</v>
      </c>
      <c r="C97" s="9" t="s">
        <v>55</v>
      </c>
      <c r="D97" s="10"/>
      <c r="E97" s="2" t="n">
        <f>34073</f>
        <v>34073.0</v>
      </c>
      <c r="F97" s="10"/>
      <c r="G97" s="2" t="n">
        <f>53876081760</f>
        <v>5.387608176E10</v>
      </c>
      <c r="H97" s="10"/>
      <c r="I97" s="2" t="n">
        <f>951</f>
        <v>951.0</v>
      </c>
      <c r="J97" s="10"/>
      <c r="K97" s="2" t="n">
        <f>122300</f>
        <v>122300.0</v>
      </c>
    </row>
    <row r="98">
      <c r="A98" s="8" t="s">
        <v>20</v>
      </c>
      <c r="B98" s="9" t="s">
        <v>54</v>
      </c>
      <c r="C98" s="9" t="s">
        <v>55</v>
      </c>
      <c r="D98" s="10"/>
      <c r="E98" s="2" t="n">
        <f>49483</f>
        <v>49483.0</v>
      </c>
      <c r="F98" s="10"/>
      <c r="G98" s="2" t="n">
        <f>79240726500</f>
        <v>7.92407265E10</v>
      </c>
      <c r="H98" s="10"/>
      <c r="I98" s="2" t="n">
        <f>1173</f>
        <v>1173.0</v>
      </c>
      <c r="J98" s="10"/>
      <c r="K98" s="2" t="n">
        <f>126080</f>
        <v>126080.0</v>
      </c>
    </row>
    <row r="99">
      <c r="A99" s="8" t="s">
        <v>21</v>
      </c>
      <c r="B99" s="9" t="s">
        <v>54</v>
      </c>
      <c r="C99" s="9" t="s">
        <v>55</v>
      </c>
      <c r="D99" s="10"/>
      <c r="E99" s="2" t="n">
        <f>42432</f>
        <v>42432.0</v>
      </c>
      <c r="F99" s="10"/>
      <c r="G99" s="2" t="n">
        <f>68123642850</f>
        <v>6.812364285E10</v>
      </c>
      <c r="H99" s="10"/>
      <c r="I99" s="2" t="n">
        <f>915</f>
        <v>915.0</v>
      </c>
      <c r="J99" s="10"/>
      <c r="K99" s="2" t="n">
        <f>132245</f>
        <v>132245.0</v>
      </c>
    </row>
    <row r="100">
      <c r="A100" s="8" t="s">
        <v>22</v>
      </c>
      <c r="B100" s="9" t="s">
        <v>54</v>
      </c>
      <c r="C100" s="9" t="s">
        <v>55</v>
      </c>
      <c r="D100" s="10"/>
      <c r="E100" s="2" t="n">
        <f>36547</f>
        <v>36547.0</v>
      </c>
      <c r="F100" s="10"/>
      <c r="G100" s="2" t="n">
        <f>58677547250</f>
        <v>5.867754725E10</v>
      </c>
      <c r="H100" s="10"/>
      <c r="I100" s="2" t="n">
        <f>1288</f>
        <v>1288.0</v>
      </c>
      <c r="J100" s="10"/>
      <c r="K100" s="2" t="n">
        <f>136689</f>
        <v>136689.0</v>
      </c>
    </row>
    <row r="101">
      <c r="A101" s="8" t="s">
        <v>23</v>
      </c>
      <c r="B101" s="9" t="s">
        <v>54</v>
      </c>
      <c r="C101" s="9" t="s">
        <v>55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24</v>
      </c>
      <c r="B102" s="9" t="s">
        <v>54</v>
      </c>
      <c r="C102" s="9" t="s">
        <v>55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25</v>
      </c>
      <c r="B103" s="9" t="s">
        <v>54</v>
      </c>
      <c r="C103" s="9" t="s">
        <v>55</v>
      </c>
      <c r="D103" s="10"/>
      <c r="E103" s="2" t="n">
        <f>54470</f>
        <v>54470.0</v>
      </c>
      <c r="F103" s="10"/>
      <c r="G103" s="2" t="n">
        <f>88638559029</f>
        <v>8.8638559029E10</v>
      </c>
      <c r="H103" s="10" t="s">
        <v>26</v>
      </c>
      <c r="I103" s="2" t="n">
        <f>10956</f>
        <v>10956.0</v>
      </c>
      <c r="J103" s="10"/>
      <c r="K103" s="2" t="n">
        <f>145598</f>
        <v>145598.0</v>
      </c>
    </row>
    <row r="104">
      <c r="A104" s="8" t="s">
        <v>27</v>
      </c>
      <c r="B104" s="9" t="s">
        <v>54</v>
      </c>
      <c r="C104" s="9" t="s">
        <v>55</v>
      </c>
      <c r="D104" s="10" t="s">
        <v>26</v>
      </c>
      <c r="E104" s="2" t="n">
        <f>67552</f>
        <v>67552.0</v>
      </c>
      <c r="F104" s="10" t="s">
        <v>26</v>
      </c>
      <c r="G104" s="2" t="n">
        <f>109780715680</f>
        <v>1.0978071568E11</v>
      </c>
      <c r="H104" s="10"/>
      <c r="I104" s="2" t="n">
        <f>2865</f>
        <v>2865.0</v>
      </c>
      <c r="J104" s="10"/>
      <c r="K104" s="2" t="n">
        <f>158366</f>
        <v>158366.0</v>
      </c>
    </row>
    <row r="105">
      <c r="A105" s="8" t="s">
        <v>28</v>
      </c>
      <c r="B105" s="9" t="s">
        <v>54</v>
      </c>
      <c r="C105" s="9" t="s">
        <v>55</v>
      </c>
      <c r="D105" s="10"/>
      <c r="E105" s="2" t="n">
        <f>66106</f>
        <v>66106.0</v>
      </c>
      <c r="F105" s="10"/>
      <c r="G105" s="2" t="n">
        <f>107071291375</f>
        <v>1.07071291375E11</v>
      </c>
      <c r="H105" s="10"/>
      <c r="I105" s="2" t="n">
        <f>9631</f>
        <v>9631.0</v>
      </c>
      <c r="J105" s="10"/>
      <c r="K105" s="2" t="n">
        <f>153624</f>
        <v>153624.0</v>
      </c>
    </row>
    <row r="106">
      <c r="A106" s="8" t="s">
        <v>29</v>
      </c>
      <c r="B106" s="9" t="s">
        <v>54</v>
      </c>
      <c r="C106" s="9" t="s">
        <v>55</v>
      </c>
      <c r="D106" s="10"/>
      <c r="E106" s="2" t="n">
        <f>52251</f>
        <v>52251.0</v>
      </c>
      <c r="F106" s="10"/>
      <c r="G106" s="2" t="n">
        <f>83708178300</f>
        <v>8.37081783E10</v>
      </c>
      <c r="H106" s="10"/>
      <c r="I106" s="2" t="n">
        <f>976</f>
        <v>976.0</v>
      </c>
      <c r="J106" s="10"/>
      <c r="K106" s="2" t="n">
        <f>148911</f>
        <v>148911.0</v>
      </c>
    </row>
    <row r="107">
      <c r="A107" s="8" t="s">
        <v>30</v>
      </c>
      <c r="B107" s="9" t="s">
        <v>54</v>
      </c>
      <c r="C107" s="9" t="s">
        <v>55</v>
      </c>
      <c r="D107" s="10"/>
      <c r="E107" s="2" t="n">
        <f>58202</f>
        <v>58202.0</v>
      </c>
      <c r="F107" s="10"/>
      <c r="G107" s="2" t="n">
        <f>90567203050</f>
        <v>9.056720305E10</v>
      </c>
      <c r="H107" s="10"/>
      <c r="I107" s="2" t="n">
        <f>1344</f>
        <v>1344.0</v>
      </c>
      <c r="J107" s="10" t="s">
        <v>26</v>
      </c>
      <c r="K107" s="2" t="n">
        <f>171383</f>
        <v>171383.0</v>
      </c>
    </row>
    <row r="108">
      <c r="A108" s="8" t="s">
        <v>31</v>
      </c>
      <c r="B108" s="9" t="s">
        <v>54</v>
      </c>
      <c r="C108" s="9" t="s">
        <v>55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32</v>
      </c>
      <c r="B109" s="9" t="s">
        <v>54</v>
      </c>
      <c r="C109" s="9" t="s">
        <v>55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33</v>
      </c>
      <c r="B110" s="9" t="s">
        <v>54</v>
      </c>
      <c r="C110" s="9" t="s">
        <v>55</v>
      </c>
      <c r="D110" s="10"/>
      <c r="E110" s="2" t="n">
        <f>58593</f>
        <v>58593.0</v>
      </c>
      <c r="F110" s="10"/>
      <c r="G110" s="2" t="n">
        <f>91110220800</f>
        <v>9.11102208E10</v>
      </c>
      <c r="H110" s="10"/>
      <c r="I110" s="2" t="n">
        <f>1700</f>
        <v>1700.0</v>
      </c>
      <c r="J110" s="10" t="s">
        <v>37</v>
      </c>
      <c r="K110" s="2" t="n">
        <f>26981</f>
        <v>26981.0</v>
      </c>
    </row>
    <row r="111">
      <c r="A111" s="8" t="s">
        <v>34</v>
      </c>
      <c r="B111" s="9" t="s">
        <v>54</v>
      </c>
      <c r="C111" s="9" t="s">
        <v>55</v>
      </c>
      <c r="D111" s="10"/>
      <c r="E111" s="2" t="n">
        <f>63224</f>
        <v>63224.0</v>
      </c>
      <c r="F111" s="10"/>
      <c r="G111" s="2" t="n">
        <f>98888643600</f>
        <v>9.88886436E10</v>
      </c>
      <c r="H111" s="10"/>
      <c r="I111" s="2" t="n">
        <f>1346</f>
        <v>1346.0</v>
      </c>
      <c r="J111" s="10"/>
      <c r="K111" s="2" t="n">
        <f>34596</f>
        <v>34596.0</v>
      </c>
    </row>
    <row r="112">
      <c r="A112" s="8" t="s">
        <v>35</v>
      </c>
      <c r="B112" s="9" t="s">
        <v>54</v>
      </c>
      <c r="C112" s="9" t="s">
        <v>55</v>
      </c>
      <c r="D112" s="10"/>
      <c r="E112" s="2" t="n">
        <f>47144</f>
        <v>47144.0</v>
      </c>
      <c r="F112" s="10"/>
      <c r="G112" s="2" t="n">
        <f>74621759850</f>
        <v>7.462175985E10</v>
      </c>
      <c r="H112" s="10"/>
      <c r="I112" s="2" t="n">
        <f>1428</f>
        <v>1428.0</v>
      </c>
      <c r="J112" s="10"/>
      <c r="K112" s="2" t="n">
        <f>36338</f>
        <v>36338.0</v>
      </c>
    </row>
    <row r="113">
      <c r="A113" s="8" t="s">
        <v>36</v>
      </c>
      <c r="B113" s="9" t="s">
        <v>54</v>
      </c>
      <c r="C113" s="9" t="s">
        <v>55</v>
      </c>
      <c r="D113" s="10"/>
      <c r="E113" s="2" t="n">
        <f>43753</f>
        <v>43753.0</v>
      </c>
      <c r="F113" s="10"/>
      <c r="G113" s="2" t="n">
        <f>69175756060</f>
        <v>6.917575606E10</v>
      </c>
      <c r="H113" s="10"/>
      <c r="I113" s="2" t="n">
        <f>1366</f>
        <v>1366.0</v>
      </c>
      <c r="J113" s="10"/>
      <c r="K113" s="2" t="n">
        <f>37050</f>
        <v>37050.0</v>
      </c>
    </row>
    <row r="114">
      <c r="A114" s="8" t="s">
        <v>38</v>
      </c>
      <c r="B114" s="9" t="s">
        <v>54</v>
      </c>
      <c r="C114" s="9" t="s">
        <v>55</v>
      </c>
      <c r="D114" s="10"/>
      <c r="E114" s="2" t="n">
        <f>43519</f>
        <v>43519.0</v>
      </c>
      <c r="F114" s="10"/>
      <c r="G114" s="2" t="n">
        <f>68721222200</f>
        <v>6.87212222E10</v>
      </c>
      <c r="H114" s="10"/>
      <c r="I114" s="2" t="n">
        <f>1248</f>
        <v>1248.0</v>
      </c>
      <c r="J114" s="10"/>
      <c r="K114" s="2" t="n">
        <f>41686</f>
        <v>41686.0</v>
      </c>
    </row>
    <row r="115">
      <c r="A115" s="8" t="s">
        <v>39</v>
      </c>
      <c r="B115" s="9" t="s">
        <v>54</v>
      </c>
      <c r="C115" s="9" t="s">
        <v>55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40</v>
      </c>
      <c r="B116" s="9" t="s">
        <v>54</v>
      </c>
      <c r="C116" s="9" t="s">
        <v>55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41</v>
      </c>
      <c r="B117" s="9" t="s">
        <v>54</v>
      </c>
      <c r="C117" s="9" t="s">
        <v>55</v>
      </c>
      <c r="D117" s="10"/>
      <c r="E117" s="2" t="n">
        <f>34346</f>
        <v>34346.0</v>
      </c>
      <c r="F117" s="10"/>
      <c r="G117" s="2" t="n">
        <f>54277532650</f>
        <v>5.427753265E10</v>
      </c>
      <c r="H117" s="10"/>
      <c r="I117" s="2" t="n">
        <f>805</f>
        <v>805.0</v>
      </c>
      <c r="J117" s="10"/>
      <c r="K117" s="2" t="n">
        <f>43743</f>
        <v>43743.0</v>
      </c>
    </row>
    <row r="118">
      <c r="A118" s="8" t="s">
        <v>42</v>
      </c>
      <c r="B118" s="9" t="s">
        <v>54</v>
      </c>
      <c r="C118" s="9" t="s">
        <v>55</v>
      </c>
      <c r="D118" s="10"/>
      <c r="E118" s="2" t="n">
        <f>44533</f>
        <v>44533.0</v>
      </c>
      <c r="F118" s="10"/>
      <c r="G118" s="2" t="n">
        <f>70471872150</f>
        <v>7.047187215E10</v>
      </c>
      <c r="H118" s="10"/>
      <c r="I118" s="2" t="n">
        <f>1026</f>
        <v>1026.0</v>
      </c>
      <c r="J118" s="10"/>
      <c r="K118" s="2" t="n">
        <f>47798</f>
        <v>47798.0</v>
      </c>
    </row>
    <row r="119">
      <c r="A119" s="8" t="s">
        <v>43</v>
      </c>
      <c r="B119" s="9" t="s">
        <v>54</v>
      </c>
      <c r="C119" s="9" t="s">
        <v>55</v>
      </c>
      <c r="D119" s="10"/>
      <c r="E119" s="2" t="n">
        <f>35250</f>
        <v>35250.0</v>
      </c>
      <c r="F119" s="10"/>
      <c r="G119" s="2" t="n">
        <f>55789073150</f>
        <v>5.578907315E10</v>
      </c>
      <c r="H119" s="10" t="s">
        <v>37</v>
      </c>
      <c r="I119" s="2" t="n">
        <f>747</f>
        <v>747.0</v>
      </c>
      <c r="J119" s="10"/>
      <c r="K119" s="2" t="n">
        <f>47981</f>
        <v>47981.0</v>
      </c>
    </row>
    <row r="120">
      <c r="A120" s="8" t="s">
        <v>44</v>
      </c>
      <c r="B120" s="9" t="s">
        <v>54</v>
      </c>
      <c r="C120" s="9" t="s">
        <v>55</v>
      </c>
      <c r="D120" s="10"/>
      <c r="E120" s="2" t="n">
        <f>41258</f>
        <v>41258.0</v>
      </c>
      <c r="F120" s="10"/>
      <c r="G120" s="2" t="n">
        <f>64378445100</f>
        <v>6.43784451E10</v>
      </c>
      <c r="H120" s="10"/>
      <c r="I120" s="2" t="n">
        <f>1160</f>
        <v>1160.0</v>
      </c>
      <c r="J120" s="10"/>
      <c r="K120" s="2" t="n">
        <f>46654</f>
        <v>46654.0</v>
      </c>
    </row>
    <row r="121">
      <c r="A121" s="8" t="s">
        <v>45</v>
      </c>
      <c r="B121" s="9" t="s">
        <v>54</v>
      </c>
      <c r="C121" s="9" t="s">
        <v>55</v>
      </c>
      <c r="D121" s="10"/>
      <c r="E121" s="2" t="n">
        <f>38013</f>
        <v>38013.0</v>
      </c>
      <c r="F121" s="10"/>
      <c r="G121" s="2" t="n">
        <f>59650106650</f>
        <v>5.965010665E10</v>
      </c>
      <c r="H121" s="10"/>
      <c r="I121" s="2" t="n">
        <f>1133</f>
        <v>1133.0</v>
      </c>
      <c r="J121" s="10"/>
      <c r="K121" s="2" t="n">
        <f>51692</f>
        <v>51692.0</v>
      </c>
    </row>
    <row r="122">
      <c r="A122" s="8" t="s">
        <v>46</v>
      </c>
      <c r="B122" s="9" t="s">
        <v>54</v>
      </c>
      <c r="C122" s="9" t="s">
        <v>55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47</v>
      </c>
      <c r="B123" s="9" t="s">
        <v>54</v>
      </c>
      <c r="C123" s="9" t="s">
        <v>55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48</v>
      </c>
      <c r="B124" s="9" t="s">
        <v>54</v>
      </c>
      <c r="C124" s="9" t="s">
        <v>55</v>
      </c>
      <c r="D124" s="10"/>
      <c r="E124" s="2" t="n">
        <f>42432</f>
        <v>42432.0</v>
      </c>
      <c r="F124" s="10"/>
      <c r="G124" s="2" t="n">
        <f>66021783870</f>
        <v>6.602178387E10</v>
      </c>
      <c r="H124" s="10"/>
      <c r="I124" s="2" t="n">
        <f>1077</f>
        <v>1077.0</v>
      </c>
      <c r="J124" s="10"/>
      <c r="K124" s="2" t="n">
        <f>53245</f>
        <v>53245.0</v>
      </c>
    </row>
    <row r="125">
      <c r="A125" s="8" t="s">
        <v>49</v>
      </c>
      <c r="B125" s="9" t="s">
        <v>54</v>
      </c>
      <c r="C125" s="9" t="s">
        <v>55</v>
      </c>
      <c r="D125" s="10"/>
      <c r="E125" s="2" t="n">
        <f>36235</f>
        <v>36235.0</v>
      </c>
      <c r="F125" s="10"/>
      <c r="G125" s="2" t="n">
        <f>56693551360</f>
        <v>5.669355136E10</v>
      </c>
      <c r="H125" s="10"/>
      <c r="I125" s="2" t="n">
        <f>1003</f>
        <v>1003.0</v>
      </c>
      <c r="J125" s="10"/>
      <c r="K125" s="2" t="n">
        <f>54046</f>
        <v>54046.0</v>
      </c>
    </row>
    <row r="126">
      <c r="A126" s="8" t="s">
        <v>16</v>
      </c>
      <c r="B126" s="9" t="s">
        <v>56</v>
      </c>
      <c r="C126" s="9" t="s">
        <v>57</v>
      </c>
      <c r="D126" s="10"/>
      <c r="E126" s="2" t="n">
        <f>22532</f>
        <v>22532.0</v>
      </c>
      <c r="F126" s="10"/>
      <c r="G126" s="2" t="n">
        <f>31742794700</f>
        <v>3.17427947E10</v>
      </c>
      <c r="H126" s="10"/>
      <c r="I126" s="2" t="n">
        <f>1224</f>
        <v>1224.0</v>
      </c>
      <c r="J126" s="10"/>
      <c r="K126" s="2" t="n">
        <f>159724</f>
        <v>159724.0</v>
      </c>
    </row>
    <row r="127">
      <c r="A127" s="8" t="s">
        <v>19</v>
      </c>
      <c r="B127" s="9" t="s">
        <v>56</v>
      </c>
      <c r="C127" s="9" t="s">
        <v>57</v>
      </c>
      <c r="D127" s="10"/>
      <c r="E127" s="2" t="n">
        <f>19684</f>
        <v>19684.0</v>
      </c>
      <c r="F127" s="10"/>
      <c r="G127" s="2" t="n">
        <f>28043432921</f>
        <v>2.8043432921E10</v>
      </c>
      <c r="H127" s="10"/>
      <c r="I127" s="2" t="n">
        <f>1239</f>
        <v>1239.0</v>
      </c>
      <c r="J127" s="10"/>
      <c r="K127" s="2" t="n">
        <f>161985</f>
        <v>161985.0</v>
      </c>
    </row>
    <row r="128">
      <c r="A128" s="8" t="s">
        <v>20</v>
      </c>
      <c r="B128" s="9" t="s">
        <v>56</v>
      </c>
      <c r="C128" s="9" t="s">
        <v>57</v>
      </c>
      <c r="D128" s="10"/>
      <c r="E128" s="2" t="n">
        <f>18053</f>
        <v>18053.0</v>
      </c>
      <c r="F128" s="10"/>
      <c r="G128" s="2" t="n">
        <f>26056567816</f>
        <v>2.6056567816E10</v>
      </c>
      <c r="H128" s="10"/>
      <c r="I128" s="2" t="n">
        <f>784</f>
        <v>784.0</v>
      </c>
      <c r="J128" s="10"/>
      <c r="K128" s="2" t="n">
        <f>160389</f>
        <v>160389.0</v>
      </c>
    </row>
    <row r="129">
      <c r="A129" s="8" t="s">
        <v>21</v>
      </c>
      <c r="B129" s="9" t="s">
        <v>56</v>
      </c>
      <c r="C129" s="9" t="s">
        <v>57</v>
      </c>
      <c r="D129" s="10"/>
      <c r="E129" s="2" t="n">
        <f>19309</f>
        <v>19309.0</v>
      </c>
      <c r="F129" s="10"/>
      <c r="G129" s="2" t="n">
        <f>27938925500</f>
        <v>2.79389255E10</v>
      </c>
      <c r="H129" s="10"/>
      <c r="I129" s="2" t="n">
        <f>983</f>
        <v>983.0</v>
      </c>
      <c r="J129" s="10"/>
      <c r="K129" s="2" t="n">
        <f>159178</f>
        <v>159178.0</v>
      </c>
    </row>
    <row r="130">
      <c r="A130" s="8" t="s">
        <v>22</v>
      </c>
      <c r="B130" s="9" t="s">
        <v>56</v>
      </c>
      <c r="C130" s="9" t="s">
        <v>57</v>
      </c>
      <c r="D130" s="10"/>
      <c r="E130" s="2" t="n">
        <f>19544</f>
        <v>19544.0</v>
      </c>
      <c r="F130" s="10"/>
      <c r="G130" s="2" t="n">
        <f>28272699500</f>
        <v>2.82726995E10</v>
      </c>
      <c r="H130" s="10"/>
      <c r="I130" s="2" t="n">
        <f>688</f>
        <v>688.0</v>
      </c>
      <c r="J130" s="10"/>
      <c r="K130" s="2" t="n">
        <f>159141</f>
        <v>159141.0</v>
      </c>
    </row>
    <row r="131">
      <c r="A131" s="8" t="s">
        <v>23</v>
      </c>
      <c r="B131" s="9" t="s">
        <v>56</v>
      </c>
      <c r="C131" s="9" t="s">
        <v>57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24</v>
      </c>
      <c r="B132" s="9" t="s">
        <v>56</v>
      </c>
      <c r="C132" s="9" t="s">
        <v>57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25</v>
      </c>
      <c r="B133" s="9" t="s">
        <v>56</v>
      </c>
      <c r="C133" s="9" t="s">
        <v>57</v>
      </c>
      <c r="D133" s="10"/>
      <c r="E133" s="2" t="n">
        <f>46016</f>
        <v>46016.0</v>
      </c>
      <c r="F133" s="10"/>
      <c r="G133" s="2" t="n">
        <f>67400226008</f>
        <v>6.7400226008E10</v>
      </c>
      <c r="H133" s="10"/>
      <c r="I133" s="2" t="n">
        <f>5079</f>
        <v>5079.0</v>
      </c>
      <c r="J133" s="10"/>
      <c r="K133" s="2" t="n">
        <f>169100</f>
        <v>169100.0</v>
      </c>
    </row>
    <row r="134">
      <c r="A134" s="8" t="s">
        <v>27</v>
      </c>
      <c r="B134" s="9" t="s">
        <v>56</v>
      </c>
      <c r="C134" s="9" t="s">
        <v>57</v>
      </c>
      <c r="D134" s="10" t="s">
        <v>26</v>
      </c>
      <c r="E134" s="2" t="n">
        <f>151966</f>
        <v>151966.0</v>
      </c>
      <c r="F134" s="10" t="s">
        <v>26</v>
      </c>
      <c r="G134" s="2" t="n">
        <f>222331074392</f>
        <v>2.22331074392E11</v>
      </c>
      <c r="H134" s="10" t="s">
        <v>26</v>
      </c>
      <c r="I134" s="2" t="n">
        <f>8677</f>
        <v>8677.0</v>
      </c>
      <c r="J134" s="10" t="s">
        <v>26</v>
      </c>
      <c r="K134" s="2" t="n">
        <f>203880</f>
        <v>203880.0</v>
      </c>
    </row>
    <row r="135">
      <c r="A135" s="8" t="s">
        <v>28</v>
      </c>
      <c r="B135" s="9" t="s">
        <v>56</v>
      </c>
      <c r="C135" s="9" t="s">
        <v>57</v>
      </c>
      <c r="D135" s="10"/>
      <c r="E135" s="2" t="n">
        <f>75056</f>
        <v>75056.0</v>
      </c>
      <c r="F135" s="10"/>
      <c r="G135" s="2" t="n">
        <f>109689584878</f>
        <v>1.09689584878E11</v>
      </c>
      <c r="H135" s="10"/>
      <c r="I135" s="2" t="n">
        <f>645</f>
        <v>645.0</v>
      </c>
      <c r="J135" s="10"/>
      <c r="K135" s="2" t="n">
        <f>183446</f>
        <v>183446.0</v>
      </c>
    </row>
    <row r="136">
      <c r="A136" s="8" t="s">
        <v>29</v>
      </c>
      <c r="B136" s="9" t="s">
        <v>56</v>
      </c>
      <c r="C136" s="9" t="s">
        <v>57</v>
      </c>
      <c r="D136" s="10"/>
      <c r="E136" s="2" t="n">
        <f>58907</f>
        <v>58907.0</v>
      </c>
      <c r="F136" s="10"/>
      <c r="G136" s="2" t="n">
        <f>84955228997</f>
        <v>8.4955228997E10</v>
      </c>
      <c r="H136" s="10"/>
      <c r="I136" s="2" t="n">
        <f>5399</f>
        <v>5399.0</v>
      </c>
      <c r="J136" s="10"/>
      <c r="K136" s="2" t="n">
        <f>177394</f>
        <v>177394.0</v>
      </c>
    </row>
    <row r="137">
      <c r="A137" s="8" t="s">
        <v>30</v>
      </c>
      <c r="B137" s="9" t="s">
        <v>56</v>
      </c>
      <c r="C137" s="9" t="s">
        <v>57</v>
      </c>
      <c r="D137" s="10"/>
      <c r="E137" s="2" t="n">
        <f>22413</f>
        <v>22413.0</v>
      </c>
      <c r="F137" s="10"/>
      <c r="G137" s="2" t="n">
        <f>31463624564</f>
        <v>3.1463624564E10</v>
      </c>
      <c r="H137" s="10"/>
      <c r="I137" s="2" t="n">
        <f>753</f>
        <v>753.0</v>
      </c>
      <c r="J137" s="10"/>
      <c r="K137" s="2" t="n">
        <f>187206</f>
        <v>187206.0</v>
      </c>
    </row>
    <row r="138">
      <c r="A138" s="8" t="s">
        <v>31</v>
      </c>
      <c r="B138" s="9" t="s">
        <v>56</v>
      </c>
      <c r="C138" s="9" t="s">
        <v>57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32</v>
      </c>
      <c r="B139" s="9" t="s">
        <v>56</v>
      </c>
      <c r="C139" s="9" t="s">
        <v>57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33</v>
      </c>
      <c r="B140" s="9" t="s">
        <v>56</v>
      </c>
      <c r="C140" s="9" t="s">
        <v>57</v>
      </c>
      <c r="D140" s="10"/>
      <c r="E140" s="2" t="n">
        <f>31528</f>
        <v>31528.0</v>
      </c>
      <c r="F140" s="10"/>
      <c r="G140" s="2" t="n">
        <f>44030115580</f>
        <v>4.403011558E10</v>
      </c>
      <c r="H140" s="10"/>
      <c r="I140" s="2" t="n">
        <f>1455</f>
        <v>1455.0</v>
      </c>
      <c r="J140" s="10"/>
      <c r="K140" s="2" t="n">
        <f>94590</f>
        <v>94590.0</v>
      </c>
    </row>
    <row r="141">
      <c r="A141" s="8" t="s">
        <v>34</v>
      </c>
      <c r="B141" s="9" t="s">
        <v>56</v>
      </c>
      <c r="C141" s="9" t="s">
        <v>57</v>
      </c>
      <c r="D141" s="10"/>
      <c r="E141" s="2" t="n">
        <f>25872</f>
        <v>25872.0</v>
      </c>
      <c r="F141" s="10"/>
      <c r="G141" s="2" t="n">
        <f>36507265591</f>
        <v>3.6507265591E10</v>
      </c>
      <c r="H141" s="10"/>
      <c r="I141" s="2" t="n">
        <f>819</f>
        <v>819.0</v>
      </c>
      <c r="J141" s="10"/>
      <c r="K141" s="2" t="n">
        <f>96310</f>
        <v>96310.0</v>
      </c>
    </row>
    <row r="142">
      <c r="A142" s="8" t="s">
        <v>35</v>
      </c>
      <c r="B142" s="9" t="s">
        <v>56</v>
      </c>
      <c r="C142" s="9" t="s">
        <v>57</v>
      </c>
      <c r="D142" s="10"/>
      <c r="E142" s="2" t="n">
        <f>22297</f>
        <v>22297.0</v>
      </c>
      <c r="F142" s="10"/>
      <c r="G142" s="2" t="n">
        <f>31819744628</f>
        <v>3.1819744628E10</v>
      </c>
      <c r="H142" s="10"/>
      <c r="I142" s="2" t="n">
        <f>679</f>
        <v>679.0</v>
      </c>
      <c r="J142" s="10"/>
      <c r="K142" s="2" t="n">
        <f>91256</f>
        <v>91256.0</v>
      </c>
    </row>
    <row r="143">
      <c r="A143" s="8" t="s">
        <v>36</v>
      </c>
      <c r="B143" s="9" t="s">
        <v>56</v>
      </c>
      <c r="C143" s="9" t="s">
        <v>57</v>
      </c>
      <c r="D143" s="10"/>
      <c r="E143" s="2" t="n">
        <f>21014</f>
        <v>21014.0</v>
      </c>
      <c r="F143" s="10"/>
      <c r="G143" s="2" t="n">
        <f>29939610314</f>
        <v>2.9939610314E10</v>
      </c>
      <c r="H143" s="10"/>
      <c r="I143" s="2" t="n">
        <f>1748</f>
        <v>1748.0</v>
      </c>
      <c r="J143" s="10"/>
      <c r="K143" s="2" t="n">
        <f>90543</f>
        <v>90543.0</v>
      </c>
    </row>
    <row r="144">
      <c r="A144" s="8" t="s">
        <v>38</v>
      </c>
      <c r="B144" s="9" t="s">
        <v>56</v>
      </c>
      <c r="C144" s="9" t="s">
        <v>57</v>
      </c>
      <c r="D144" s="10"/>
      <c r="E144" s="2" t="n">
        <f>17862</f>
        <v>17862.0</v>
      </c>
      <c r="F144" s="10"/>
      <c r="G144" s="2" t="n">
        <f>25412383500</f>
        <v>2.54123835E10</v>
      </c>
      <c r="H144" s="10" t="s">
        <v>37</v>
      </c>
      <c r="I144" s="2" t="n">
        <f>504</f>
        <v>504.0</v>
      </c>
      <c r="J144" s="10"/>
      <c r="K144" s="2" t="n">
        <f>91525</f>
        <v>91525.0</v>
      </c>
    </row>
    <row r="145">
      <c r="A145" s="8" t="s">
        <v>39</v>
      </c>
      <c r="B145" s="9" t="s">
        <v>56</v>
      </c>
      <c r="C145" s="9" t="s">
        <v>57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40</v>
      </c>
      <c r="B146" s="9" t="s">
        <v>56</v>
      </c>
      <c r="C146" s="9" t="s">
        <v>57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41</v>
      </c>
      <c r="B147" s="9" t="s">
        <v>56</v>
      </c>
      <c r="C147" s="9" t="s">
        <v>57</v>
      </c>
      <c r="D147" s="10"/>
      <c r="E147" s="2" t="n">
        <f>17859</f>
        <v>17859.0</v>
      </c>
      <c r="F147" s="10"/>
      <c r="G147" s="2" t="n">
        <f>25417283212</f>
        <v>2.5417283212E10</v>
      </c>
      <c r="H147" s="10"/>
      <c r="I147" s="2" t="n">
        <f>750</f>
        <v>750.0</v>
      </c>
      <c r="J147" s="10"/>
      <c r="K147" s="2" t="n">
        <f>89743</f>
        <v>89743.0</v>
      </c>
    </row>
    <row r="148">
      <c r="A148" s="8" t="s">
        <v>42</v>
      </c>
      <c r="B148" s="9" t="s">
        <v>56</v>
      </c>
      <c r="C148" s="9" t="s">
        <v>57</v>
      </c>
      <c r="D148" s="10"/>
      <c r="E148" s="2" t="n">
        <f>16004</f>
        <v>16004.0</v>
      </c>
      <c r="F148" s="10"/>
      <c r="G148" s="2" t="n">
        <f>22812411960</f>
        <v>2.281241196E10</v>
      </c>
      <c r="H148" s="10"/>
      <c r="I148" s="2" t="n">
        <f>1156</f>
        <v>1156.0</v>
      </c>
      <c r="J148" s="10"/>
      <c r="K148" s="2" t="n">
        <f>89679</f>
        <v>89679.0</v>
      </c>
    </row>
    <row r="149">
      <c r="A149" s="8" t="s">
        <v>43</v>
      </c>
      <c r="B149" s="9" t="s">
        <v>56</v>
      </c>
      <c r="C149" s="9" t="s">
        <v>57</v>
      </c>
      <c r="D149" s="10" t="s">
        <v>37</v>
      </c>
      <c r="E149" s="2" t="n">
        <f>14880</f>
        <v>14880.0</v>
      </c>
      <c r="F149" s="10" t="s">
        <v>37</v>
      </c>
      <c r="G149" s="2" t="n">
        <f>21222350515</f>
        <v>2.1222350515E10</v>
      </c>
      <c r="H149" s="10"/>
      <c r="I149" s="2" t="n">
        <f>727</f>
        <v>727.0</v>
      </c>
      <c r="J149" s="10" t="s">
        <v>37</v>
      </c>
      <c r="K149" s="2" t="n">
        <f>89556</f>
        <v>89556.0</v>
      </c>
    </row>
    <row r="150">
      <c r="A150" s="8" t="s">
        <v>44</v>
      </c>
      <c r="B150" s="9" t="s">
        <v>56</v>
      </c>
      <c r="C150" s="9" t="s">
        <v>57</v>
      </c>
      <c r="D150" s="10"/>
      <c r="E150" s="2" t="n">
        <f>19757</f>
        <v>19757.0</v>
      </c>
      <c r="F150" s="10"/>
      <c r="G150" s="2" t="n">
        <f>27775190314</f>
        <v>2.7775190314E10</v>
      </c>
      <c r="H150" s="10"/>
      <c r="I150" s="2" t="n">
        <f>1417</f>
        <v>1417.0</v>
      </c>
      <c r="J150" s="10"/>
      <c r="K150" s="2" t="n">
        <f>89992</f>
        <v>89992.0</v>
      </c>
    </row>
    <row r="151">
      <c r="A151" s="8" t="s">
        <v>45</v>
      </c>
      <c r="B151" s="9" t="s">
        <v>56</v>
      </c>
      <c r="C151" s="9" t="s">
        <v>57</v>
      </c>
      <c r="D151" s="10"/>
      <c r="E151" s="2" t="n">
        <f>18138</f>
        <v>18138.0</v>
      </c>
      <c r="F151" s="10"/>
      <c r="G151" s="2" t="n">
        <f>25664068790</f>
        <v>2.566406879E10</v>
      </c>
      <c r="H151" s="10"/>
      <c r="I151" s="2" t="n">
        <f>962</f>
        <v>962.0</v>
      </c>
      <c r="J151" s="10"/>
      <c r="K151" s="2" t="n">
        <f>89583</f>
        <v>89583.0</v>
      </c>
    </row>
    <row r="152">
      <c r="A152" s="8" t="s">
        <v>46</v>
      </c>
      <c r="B152" s="9" t="s">
        <v>56</v>
      </c>
      <c r="C152" s="9" t="s">
        <v>57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47</v>
      </c>
      <c r="B153" s="9" t="s">
        <v>56</v>
      </c>
      <c r="C153" s="9" t="s">
        <v>57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48</v>
      </c>
      <c r="B154" s="9" t="s">
        <v>56</v>
      </c>
      <c r="C154" s="9" t="s">
        <v>57</v>
      </c>
      <c r="D154" s="10"/>
      <c r="E154" s="2" t="n">
        <f>25892</f>
        <v>25892.0</v>
      </c>
      <c r="F154" s="10"/>
      <c r="G154" s="2" t="n">
        <f>36296958376</f>
        <v>3.6296958376E10</v>
      </c>
      <c r="H154" s="10"/>
      <c r="I154" s="2" t="n">
        <f>1201</f>
        <v>1201.0</v>
      </c>
      <c r="J154" s="10"/>
      <c r="K154" s="2" t="n">
        <f>95032</f>
        <v>95032.0</v>
      </c>
    </row>
    <row r="155">
      <c r="A155" s="8" t="s">
        <v>49</v>
      </c>
      <c r="B155" s="9" t="s">
        <v>56</v>
      </c>
      <c r="C155" s="9" t="s">
        <v>57</v>
      </c>
      <c r="D155" s="10"/>
      <c r="E155" s="2" t="n">
        <f>28581</f>
        <v>28581.0</v>
      </c>
      <c r="F155" s="10"/>
      <c r="G155" s="2" t="n">
        <f>40228421946</f>
        <v>4.0228421946E10</v>
      </c>
      <c r="H155" s="10"/>
      <c r="I155" s="2" t="n">
        <f>759</f>
        <v>759.0</v>
      </c>
      <c r="J155" s="10"/>
      <c r="K155" s="2" t="n">
        <f>98936</f>
        <v>98936.0</v>
      </c>
    </row>
    <row r="156">
      <c r="A156" s="8" t="s">
        <v>16</v>
      </c>
      <c r="B156" s="9" t="s">
        <v>58</v>
      </c>
      <c r="C156" s="9" t="s">
        <v>59</v>
      </c>
      <c r="D156" s="10" t="s">
        <v>37</v>
      </c>
      <c r="E156" s="2" t="str">
        <f>"－"</f>
        <v>－</v>
      </c>
      <c r="F156" s="10" t="s">
        <v>37</v>
      </c>
      <c r="G156" s="2" t="str">
        <f>"－"</f>
        <v>－</v>
      </c>
      <c r="H156" s="10" t="s">
        <v>60</v>
      </c>
      <c r="I156" s="2" t="str">
        <f>"－"</f>
        <v>－</v>
      </c>
      <c r="J156" s="10"/>
      <c r="K156" s="2" t="n">
        <f>162</f>
        <v>162.0</v>
      </c>
    </row>
    <row r="157">
      <c r="A157" s="8" t="s">
        <v>19</v>
      </c>
      <c r="B157" s="9" t="s">
        <v>58</v>
      </c>
      <c r="C157" s="9" t="s">
        <v>59</v>
      </c>
      <c r="D157" s="10"/>
      <c r="E157" s="2" t="n">
        <f>1</f>
        <v>1.0</v>
      </c>
      <c r="F157" s="10"/>
      <c r="G157" s="2" t="n">
        <f>735000</f>
        <v>735000.0</v>
      </c>
      <c r="H157" s="10"/>
      <c r="I157" s="2" t="str">
        <f>"－"</f>
        <v>－</v>
      </c>
      <c r="J157" s="10"/>
      <c r="K157" s="2" t="n">
        <f>163</f>
        <v>163.0</v>
      </c>
    </row>
    <row r="158">
      <c r="A158" s="8" t="s">
        <v>20</v>
      </c>
      <c r="B158" s="9" t="s">
        <v>58</v>
      </c>
      <c r="C158" s="9" t="s">
        <v>59</v>
      </c>
      <c r="D158" s="10"/>
      <c r="E158" s="2" t="str">
        <f>"－"</f>
        <v>－</v>
      </c>
      <c r="F158" s="10"/>
      <c r="G158" s="2" t="str">
        <f>"－"</f>
        <v>－</v>
      </c>
      <c r="H158" s="10"/>
      <c r="I158" s="2" t="str">
        <f>"－"</f>
        <v>－</v>
      </c>
      <c r="J158" s="10"/>
      <c r="K158" s="2" t="n">
        <f>163</f>
        <v>163.0</v>
      </c>
    </row>
    <row r="159">
      <c r="A159" s="8" t="s">
        <v>21</v>
      </c>
      <c r="B159" s="9" t="s">
        <v>58</v>
      </c>
      <c r="C159" s="9" t="s">
        <v>59</v>
      </c>
      <c r="D159" s="10"/>
      <c r="E159" s="2" t="str">
        <f>"－"</f>
        <v>－</v>
      </c>
      <c r="F159" s="10"/>
      <c r="G159" s="2" t="str">
        <f>"－"</f>
        <v>－</v>
      </c>
      <c r="H159" s="10"/>
      <c r="I159" s="2" t="str">
        <f>"－"</f>
        <v>－</v>
      </c>
      <c r="J159" s="10"/>
      <c r="K159" s="2" t="n">
        <f>163</f>
        <v>163.0</v>
      </c>
    </row>
    <row r="160">
      <c r="A160" s="8" t="s">
        <v>22</v>
      </c>
      <c r="B160" s="9" t="s">
        <v>58</v>
      </c>
      <c r="C160" s="9" t="s">
        <v>59</v>
      </c>
      <c r="D160" s="10"/>
      <c r="E160" s="2" t="str">
        <f>"－"</f>
        <v>－</v>
      </c>
      <c r="F160" s="10"/>
      <c r="G160" s="2" t="str">
        <f>"－"</f>
        <v>－</v>
      </c>
      <c r="H160" s="10"/>
      <c r="I160" s="2" t="str">
        <f>"－"</f>
        <v>－</v>
      </c>
      <c r="J160" s="10"/>
      <c r="K160" s="2" t="n">
        <f>163</f>
        <v>163.0</v>
      </c>
    </row>
    <row r="161">
      <c r="A161" s="8" t="s">
        <v>23</v>
      </c>
      <c r="B161" s="9" t="s">
        <v>58</v>
      </c>
      <c r="C161" s="9" t="s">
        <v>59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24</v>
      </c>
      <c r="B162" s="9" t="s">
        <v>58</v>
      </c>
      <c r="C162" s="9" t="s">
        <v>59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25</v>
      </c>
      <c r="B163" s="9" t="s">
        <v>58</v>
      </c>
      <c r="C163" s="9" t="s">
        <v>59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163</f>
        <v>163.0</v>
      </c>
    </row>
    <row r="164">
      <c r="A164" s="8" t="s">
        <v>27</v>
      </c>
      <c r="B164" s="9" t="s">
        <v>58</v>
      </c>
      <c r="C164" s="9" t="s">
        <v>59</v>
      </c>
      <c r="D164" s="10" t="s">
        <v>26</v>
      </c>
      <c r="E164" s="2" t="n">
        <f>323</f>
        <v>323.0</v>
      </c>
      <c r="F164" s="10" t="s">
        <v>26</v>
      </c>
      <c r="G164" s="2" t="n">
        <f>244142300</f>
        <v>2.441423E8</v>
      </c>
      <c r="H164" s="10"/>
      <c r="I164" s="2" t="str">
        <f>"－"</f>
        <v>－</v>
      </c>
      <c r="J164" s="10" t="s">
        <v>26</v>
      </c>
      <c r="K164" s="2" t="n">
        <f>323</f>
        <v>323.0</v>
      </c>
    </row>
    <row r="165">
      <c r="A165" s="8" t="s">
        <v>28</v>
      </c>
      <c r="B165" s="9" t="s">
        <v>58</v>
      </c>
      <c r="C165" s="9" t="s">
        <v>59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323</f>
        <v>323.0</v>
      </c>
    </row>
    <row r="166">
      <c r="A166" s="8" t="s">
        <v>29</v>
      </c>
      <c r="B166" s="9" t="s">
        <v>58</v>
      </c>
      <c r="C166" s="9" t="s">
        <v>59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323</f>
        <v>323.0</v>
      </c>
    </row>
    <row r="167">
      <c r="A167" s="8" t="s">
        <v>30</v>
      </c>
      <c r="B167" s="9" t="s">
        <v>58</v>
      </c>
      <c r="C167" s="9" t="s">
        <v>59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323</f>
        <v>323.0</v>
      </c>
    </row>
    <row r="168">
      <c r="A168" s="8" t="s">
        <v>31</v>
      </c>
      <c r="B168" s="9" t="s">
        <v>58</v>
      </c>
      <c r="C168" s="9" t="s">
        <v>59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32</v>
      </c>
      <c r="B169" s="9" t="s">
        <v>58</v>
      </c>
      <c r="C169" s="9" t="s">
        <v>59</v>
      </c>
      <c r="D169" s="10"/>
      <c r="E169" s="2"/>
      <c r="F169" s="10"/>
      <c r="G169" s="2"/>
      <c r="H169" s="10"/>
      <c r="I169" s="2"/>
      <c r="J169" s="10"/>
      <c r="K169" s="2"/>
    </row>
    <row r="170">
      <c r="A170" s="8" t="s">
        <v>33</v>
      </c>
      <c r="B170" s="9" t="s">
        <v>58</v>
      </c>
      <c r="C170" s="9" t="s">
        <v>59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 t="s">
        <v>37</v>
      </c>
      <c r="K170" s="2" t="n">
        <f>161</f>
        <v>161.0</v>
      </c>
    </row>
    <row r="171">
      <c r="A171" s="8" t="s">
        <v>34</v>
      </c>
      <c r="B171" s="9" t="s">
        <v>58</v>
      </c>
      <c r="C171" s="9" t="s">
        <v>59</v>
      </c>
      <c r="D171" s="10"/>
      <c r="E171" s="2" t="n">
        <f>3</f>
        <v>3.0</v>
      </c>
      <c r="F171" s="10"/>
      <c r="G171" s="2" t="n">
        <f>2140000</f>
        <v>2140000.0</v>
      </c>
      <c r="H171" s="10"/>
      <c r="I171" s="2" t="str">
        <f>"－"</f>
        <v>－</v>
      </c>
      <c r="J171" s="10"/>
      <c r="K171" s="2" t="n">
        <f>162</f>
        <v>162.0</v>
      </c>
    </row>
    <row r="172">
      <c r="A172" s="8" t="s">
        <v>35</v>
      </c>
      <c r="B172" s="9" t="s">
        <v>58</v>
      </c>
      <c r="C172" s="9" t="s">
        <v>59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162</f>
        <v>162.0</v>
      </c>
    </row>
    <row r="173">
      <c r="A173" s="8" t="s">
        <v>36</v>
      </c>
      <c r="B173" s="9" t="s">
        <v>58</v>
      </c>
      <c r="C173" s="9" t="s">
        <v>59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162</f>
        <v>162.0</v>
      </c>
    </row>
    <row r="174">
      <c r="A174" s="8" t="s">
        <v>38</v>
      </c>
      <c r="B174" s="9" t="s">
        <v>58</v>
      </c>
      <c r="C174" s="9" t="s">
        <v>59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162</f>
        <v>162.0</v>
      </c>
    </row>
    <row r="175">
      <c r="A175" s="8" t="s">
        <v>39</v>
      </c>
      <c r="B175" s="9" t="s">
        <v>58</v>
      </c>
      <c r="C175" s="9" t="s">
        <v>59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40</v>
      </c>
      <c r="B176" s="9" t="s">
        <v>58</v>
      </c>
      <c r="C176" s="9" t="s">
        <v>59</v>
      </c>
      <c r="D176" s="10"/>
      <c r="E176" s="2"/>
      <c r="F176" s="10"/>
      <c r="G176" s="2"/>
      <c r="H176" s="10"/>
      <c r="I176" s="2"/>
      <c r="J176" s="10"/>
      <c r="K176" s="2"/>
    </row>
    <row r="177">
      <c r="A177" s="8" t="s">
        <v>41</v>
      </c>
      <c r="B177" s="9" t="s">
        <v>58</v>
      </c>
      <c r="C177" s="9" t="s">
        <v>59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162</f>
        <v>162.0</v>
      </c>
    </row>
    <row r="178">
      <c r="A178" s="8" t="s">
        <v>42</v>
      </c>
      <c r="B178" s="9" t="s">
        <v>58</v>
      </c>
      <c r="C178" s="9" t="s">
        <v>59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162</f>
        <v>162.0</v>
      </c>
    </row>
    <row r="179">
      <c r="A179" s="8" t="s">
        <v>43</v>
      </c>
      <c r="B179" s="9" t="s">
        <v>58</v>
      </c>
      <c r="C179" s="9" t="s">
        <v>59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162</f>
        <v>162.0</v>
      </c>
    </row>
    <row r="180">
      <c r="A180" s="8" t="s">
        <v>44</v>
      </c>
      <c r="B180" s="9" t="s">
        <v>58</v>
      </c>
      <c r="C180" s="9" t="s">
        <v>59</v>
      </c>
      <c r="D180" s="10"/>
      <c r="E180" s="2" t="n">
        <f>5</f>
        <v>5.0</v>
      </c>
      <c r="F180" s="10"/>
      <c r="G180" s="2" t="n">
        <f>3620000</f>
        <v>3620000.0</v>
      </c>
      <c r="H180" s="10"/>
      <c r="I180" s="2" t="str">
        <f>"－"</f>
        <v>－</v>
      </c>
      <c r="J180" s="10"/>
      <c r="K180" s="2" t="n">
        <f>167</f>
        <v>167.0</v>
      </c>
    </row>
    <row r="181">
      <c r="A181" s="8" t="s">
        <v>45</v>
      </c>
      <c r="B181" s="9" t="s">
        <v>58</v>
      </c>
      <c r="C181" s="9" t="s">
        <v>59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167</f>
        <v>167.0</v>
      </c>
    </row>
    <row r="182">
      <c r="A182" s="8" t="s">
        <v>46</v>
      </c>
      <c r="B182" s="9" t="s">
        <v>58</v>
      </c>
      <c r="C182" s="9" t="s">
        <v>59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47</v>
      </c>
      <c r="B183" s="9" t="s">
        <v>58</v>
      </c>
      <c r="C183" s="9" t="s">
        <v>59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48</v>
      </c>
      <c r="B184" s="9" t="s">
        <v>58</v>
      </c>
      <c r="C184" s="9" t="s">
        <v>59</v>
      </c>
      <c r="D184" s="10"/>
      <c r="E184" s="2" t="n">
        <f>4</f>
        <v>4.0</v>
      </c>
      <c r="F184" s="10"/>
      <c r="G184" s="2" t="n">
        <f>2890960</f>
        <v>2890960.0</v>
      </c>
      <c r="H184" s="10"/>
      <c r="I184" s="2" t="str">
        <f>"－"</f>
        <v>－</v>
      </c>
      <c r="J184" s="10"/>
      <c r="K184" s="2" t="n">
        <f>171</f>
        <v>171.0</v>
      </c>
    </row>
    <row r="185">
      <c r="A185" s="8" t="s">
        <v>49</v>
      </c>
      <c r="B185" s="9" t="s">
        <v>58</v>
      </c>
      <c r="C185" s="9" t="s">
        <v>59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171</f>
        <v>171.0</v>
      </c>
    </row>
    <row r="186">
      <c r="A186" s="8" t="s">
        <v>16</v>
      </c>
      <c r="B186" s="9" t="s">
        <v>61</v>
      </c>
      <c r="C186" s="9" t="s">
        <v>62</v>
      </c>
      <c r="D186" s="10" t="s">
        <v>37</v>
      </c>
      <c r="E186" s="2" t="str">
        <f>"－"</f>
        <v>－</v>
      </c>
      <c r="F186" s="10" t="s">
        <v>37</v>
      </c>
      <c r="G186" s="2" t="str">
        <f>"－"</f>
        <v>－</v>
      </c>
      <c r="H186" s="10" t="s">
        <v>37</v>
      </c>
      <c r="I186" s="2" t="str">
        <f>"－"</f>
        <v>－</v>
      </c>
      <c r="J186" s="10"/>
      <c r="K186" s="2" t="n">
        <f>34299</f>
        <v>34299.0</v>
      </c>
    </row>
    <row r="187">
      <c r="A187" s="8" t="s">
        <v>19</v>
      </c>
      <c r="B187" s="9" t="s">
        <v>61</v>
      </c>
      <c r="C187" s="9" t="s">
        <v>62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34299</f>
        <v>34299.0</v>
      </c>
    </row>
    <row r="188">
      <c r="A188" s="8" t="s">
        <v>20</v>
      </c>
      <c r="B188" s="9" t="s">
        <v>61</v>
      </c>
      <c r="C188" s="9" t="s">
        <v>62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34299</f>
        <v>34299.0</v>
      </c>
    </row>
    <row r="189">
      <c r="A189" s="8" t="s">
        <v>21</v>
      </c>
      <c r="B189" s="9" t="s">
        <v>61</v>
      </c>
      <c r="C189" s="9" t="s">
        <v>62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34299</f>
        <v>34299.0</v>
      </c>
    </row>
    <row r="190">
      <c r="A190" s="8" t="s">
        <v>22</v>
      </c>
      <c r="B190" s="9" t="s">
        <v>61</v>
      </c>
      <c r="C190" s="9" t="s">
        <v>62</v>
      </c>
      <c r="D190" s="10"/>
      <c r="E190" s="2" t="str">
        <f>"－"</f>
        <v>－</v>
      </c>
      <c r="F190" s="10"/>
      <c r="G190" s="2" t="str">
        <f>"－"</f>
        <v>－</v>
      </c>
      <c r="H190" s="10"/>
      <c r="I190" s="2" t="str">
        <f>"－"</f>
        <v>－</v>
      </c>
      <c r="J190" s="10"/>
      <c r="K190" s="2" t="n">
        <f>34299</f>
        <v>34299.0</v>
      </c>
    </row>
    <row r="191">
      <c r="A191" s="8" t="s">
        <v>23</v>
      </c>
      <c r="B191" s="9" t="s">
        <v>61</v>
      </c>
      <c r="C191" s="9" t="s">
        <v>62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24</v>
      </c>
      <c r="B192" s="9" t="s">
        <v>61</v>
      </c>
      <c r="C192" s="9" t="s">
        <v>62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25</v>
      </c>
      <c r="B193" s="9" t="s">
        <v>61</v>
      </c>
      <c r="C193" s="9" t="s">
        <v>62</v>
      </c>
      <c r="D193" s="10"/>
      <c r="E193" s="2" t="n">
        <f>8700</f>
        <v>8700.0</v>
      </c>
      <c r="F193" s="10"/>
      <c r="G193" s="2" t="n">
        <f>11137740000</f>
        <v>1.113774E10</v>
      </c>
      <c r="H193" s="10" t="s">
        <v>26</v>
      </c>
      <c r="I193" s="2" t="n">
        <f>8700</f>
        <v>8700.0</v>
      </c>
      <c r="J193" s="10" t="s">
        <v>26</v>
      </c>
      <c r="K193" s="2" t="n">
        <f>38649</f>
        <v>38649.0</v>
      </c>
    </row>
    <row r="194">
      <c r="A194" s="8" t="s">
        <v>27</v>
      </c>
      <c r="B194" s="9" t="s">
        <v>61</v>
      </c>
      <c r="C194" s="9" t="s">
        <v>62</v>
      </c>
      <c r="D194" s="10"/>
      <c r="E194" s="2" t="n">
        <f>10326</f>
        <v>10326.0</v>
      </c>
      <c r="F194" s="10"/>
      <c r="G194" s="2" t="n">
        <f>13259806500</f>
        <v>1.32598065E10</v>
      </c>
      <c r="H194" s="10"/>
      <c r="I194" s="2" t="str">
        <f>"－"</f>
        <v>－</v>
      </c>
      <c r="J194" s="10"/>
      <c r="K194" s="2" t="n">
        <f>27812</f>
        <v>27812.0</v>
      </c>
    </row>
    <row r="195">
      <c r="A195" s="8" t="s">
        <v>28</v>
      </c>
      <c r="B195" s="9" t="s">
        <v>61</v>
      </c>
      <c r="C195" s="9" t="s">
        <v>62</v>
      </c>
      <c r="D195" s="10" t="s">
        <v>26</v>
      </c>
      <c r="E195" s="2" t="n">
        <f>32544</f>
        <v>32544.0</v>
      </c>
      <c r="F195" s="10" t="s">
        <v>26</v>
      </c>
      <c r="G195" s="2" t="n">
        <f>41253089600</f>
        <v>4.12530896E10</v>
      </c>
      <c r="H195" s="10"/>
      <c r="I195" s="2" t="str">
        <f>"－"</f>
        <v>－</v>
      </c>
      <c r="J195" s="10"/>
      <c r="K195" s="2" t="n">
        <f>34499</f>
        <v>34499.0</v>
      </c>
    </row>
    <row r="196">
      <c r="A196" s="8" t="s">
        <v>29</v>
      </c>
      <c r="B196" s="9" t="s">
        <v>61</v>
      </c>
      <c r="C196" s="9" t="s">
        <v>62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24499</f>
        <v>24499.0</v>
      </c>
    </row>
    <row r="197">
      <c r="A197" s="8" t="s">
        <v>30</v>
      </c>
      <c r="B197" s="9" t="s">
        <v>61</v>
      </c>
      <c r="C197" s="9" t="s">
        <v>62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24499</f>
        <v>24499.0</v>
      </c>
    </row>
    <row r="198">
      <c r="A198" s="8" t="s">
        <v>31</v>
      </c>
      <c r="B198" s="9" t="s">
        <v>61</v>
      </c>
      <c r="C198" s="9" t="s">
        <v>62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32</v>
      </c>
      <c r="B199" s="9" t="s">
        <v>61</v>
      </c>
      <c r="C199" s="9" t="s">
        <v>62</v>
      </c>
      <c r="D199" s="10"/>
      <c r="E199" s="2"/>
      <c r="F199" s="10"/>
      <c r="G199" s="2"/>
      <c r="H199" s="10"/>
      <c r="I199" s="2"/>
      <c r="J199" s="10"/>
      <c r="K199" s="2"/>
    </row>
    <row r="200">
      <c r="A200" s="8" t="s">
        <v>33</v>
      </c>
      <c r="B200" s="9" t="s">
        <v>61</v>
      </c>
      <c r="C200" s="9" t="s">
        <v>62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 t="s">
        <v>37</v>
      </c>
      <c r="K200" s="2" t="n">
        <f>20485</f>
        <v>20485.0</v>
      </c>
    </row>
    <row r="201">
      <c r="A201" s="8" t="s">
        <v>34</v>
      </c>
      <c r="B201" s="9" t="s">
        <v>61</v>
      </c>
      <c r="C201" s="9" t="s">
        <v>62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20485</f>
        <v>20485.0</v>
      </c>
    </row>
    <row r="202">
      <c r="A202" s="8" t="s">
        <v>35</v>
      </c>
      <c r="B202" s="9" t="s">
        <v>61</v>
      </c>
      <c r="C202" s="9" t="s">
        <v>62</v>
      </c>
      <c r="D202" s="10"/>
      <c r="E202" s="2" t="str">
        <f>"－"</f>
        <v>－</v>
      </c>
      <c r="F202" s="10"/>
      <c r="G202" s="2" t="str">
        <f>"－"</f>
        <v>－</v>
      </c>
      <c r="H202" s="10"/>
      <c r="I202" s="2" t="str">
        <f>"－"</f>
        <v>－</v>
      </c>
      <c r="J202" s="10"/>
      <c r="K202" s="2" t="n">
        <f>20485</f>
        <v>20485.0</v>
      </c>
    </row>
    <row r="203">
      <c r="A203" s="8" t="s">
        <v>36</v>
      </c>
      <c r="B203" s="9" t="s">
        <v>61</v>
      </c>
      <c r="C203" s="9" t="s">
        <v>62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20485</f>
        <v>20485.0</v>
      </c>
    </row>
    <row r="204">
      <c r="A204" s="8" t="s">
        <v>38</v>
      </c>
      <c r="B204" s="9" t="s">
        <v>61</v>
      </c>
      <c r="C204" s="9" t="s">
        <v>62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20485</f>
        <v>20485.0</v>
      </c>
    </row>
    <row r="205">
      <c r="A205" s="8" t="s">
        <v>39</v>
      </c>
      <c r="B205" s="9" t="s">
        <v>61</v>
      </c>
      <c r="C205" s="9" t="s">
        <v>62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40</v>
      </c>
      <c r="B206" s="9" t="s">
        <v>61</v>
      </c>
      <c r="C206" s="9" t="s">
        <v>62</v>
      </c>
      <c r="D206" s="10"/>
      <c r="E206" s="2"/>
      <c r="F206" s="10"/>
      <c r="G206" s="2"/>
      <c r="H206" s="10"/>
      <c r="I206" s="2"/>
      <c r="J206" s="10"/>
      <c r="K206" s="2"/>
    </row>
    <row r="207">
      <c r="A207" s="8" t="s">
        <v>41</v>
      </c>
      <c r="B207" s="9" t="s">
        <v>61</v>
      </c>
      <c r="C207" s="9" t="s">
        <v>62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20485</f>
        <v>20485.0</v>
      </c>
    </row>
    <row r="208">
      <c r="A208" s="8" t="s">
        <v>42</v>
      </c>
      <c r="B208" s="9" t="s">
        <v>61</v>
      </c>
      <c r="C208" s="9" t="s">
        <v>62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20485</f>
        <v>20485.0</v>
      </c>
    </row>
    <row r="209">
      <c r="A209" s="8" t="s">
        <v>43</v>
      </c>
      <c r="B209" s="9" t="s">
        <v>61</v>
      </c>
      <c r="C209" s="9" t="s">
        <v>62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20485</f>
        <v>20485.0</v>
      </c>
    </row>
    <row r="210">
      <c r="A210" s="8" t="s">
        <v>44</v>
      </c>
      <c r="B210" s="9" t="s">
        <v>61</v>
      </c>
      <c r="C210" s="9" t="s">
        <v>62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20485</f>
        <v>20485.0</v>
      </c>
    </row>
    <row r="211">
      <c r="A211" s="8" t="s">
        <v>45</v>
      </c>
      <c r="B211" s="9" t="s">
        <v>61</v>
      </c>
      <c r="C211" s="9" t="s">
        <v>62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20485</f>
        <v>20485.0</v>
      </c>
    </row>
    <row r="212">
      <c r="A212" s="8" t="s">
        <v>46</v>
      </c>
      <c r="B212" s="9" t="s">
        <v>61</v>
      </c>
      <c r="C212" s="9" t="s">
        <v>62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47</v>
      </c>
      <c r="B213" s="9" t="s">
        <v>61</v>
      </c>
      <c r="C213" s="9" t="s">
        <v>62</v>
      </c>
      <c r="D213" s="10"/>
      <c r="E213" s="2"/>
      <c r="F213" s="10"/>
      <c r="G213" s="2"/>
      <c r="H213" s="10"/>
      <c r="I213" s="2"/>
      <c r="J213" s="10"/>
      <c r="K213" s="2"/>
    </row>
    <row r="214">
      <c r="A214" s="8" t="s">
        <v>48</v>
      </c>
      <c r="B214" s="9" t="s">
        <v>61</v>
      </c>
      <c r="C214" s="9" t="s">
        <v>62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20485</f>
        <v>20485.0</v>
      </c>
    </row>
    <row r="215">
      <c r="A215" s="8" t="s">
        <v>49</v>
      </c>
      <c r="B215" s="9" t="s">
        <v>61</v>
      </c>
      <c r="C215" s="9" t="s">
        <v>62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20485</f>
        <v>20485.0</v>
      </c>
    </row>
    <row r="216">
      <c r="A216" s="8" t="s">
        <v>16</v>
      </c>
      <c r="B216" s="9" t="s">
        <v>63</v>
      </c>
      <c r="C216" s="9" t="s">
        <v>64</v>
      </c>
      <c r="D216" s="10"/>
      <c r="E216" s="2" t="n">
        <f>607</f>
        <v>607.0</v>
      </c>
      <c r="F216" s="10"/>
      <c r="G216" s="2" t="n">
        <f>1016707270</f>
        <v>1.01670727E9</v>
      </c>
      <c r="H216" s="10" t="s">
        <v>37</v>
      </c>
      <c r="I216" s="2" t="str">
        <f>"－"</f>
        <v>－</v>
      </c>
      <c r="J216" s="10"/>
      <c r="K216" s="2" t="n">
        <f>70896</f>
        <v>70896.0</v>
      </c>
    </row>
    <row r="217">
      <c r="A217" s="8" t="s">
        <v>19</v>
      </c>
      <c r="B217" s="9" t="s">
        <v>63</v>
      </c>
      <c r="C217" s="9" t="s">
        <v>64</v>
      </c>
      <c r="D217" s="10"/>
      <c r="E217" s="2" t="n">
        <f>920</f>
        <v>920.0</v>
      </c>
      <c r="F217" s="10"/>
      <c r="G217" s="2" t="n">
        <f>1562174400</f>
        <v>1.5621744E9</v>
      </c>
      <c r="H217" s="10"/>
      <c r="I217" s="2" t="str">
        <f>"－"</f>
        <v>－</v>
      </c>
      <c r="J217" s="10"/>
      <c r="K217" s="2" t="n">
        <f>70978</f>
        <v>70978.0</v>
      </c>
    </row>
    <row r="218">
      <c r="A218" s="8" t="s">
        <v>20</v>
      </c>
      <c r="B218" s="9" t="s">
        <v>63</v>
      </c>
      <c r="C218" s="9" t="s">
        <v>64</v>
      </c>
      <c r="D218" s="10"/>
      <c r="E218" s="2" t="n">
        <f>2564</f>
        <v>2564.0</v>
      </c>
      <c r="F218" s="10"/>
      <c r="G218" s="2" t="n">
        <f>4440619500</f>
        <v>4.4406195E9</v>
      </c>
      <c r="H218" s="10"/>
      <c r="I218" s="2" t="str">
        <f>"－"</f>
        <v>－</v>
      </c>
      <c r="J218" s="10"/>
      <c r="K218" s="2" t="n">
        <f>69650</f>
        <v>69650.0</v>
      </c>
    </row>
    <row r="219">
      <c r="A219" s="8" t="s">
        <v>21</v>
      </c>
      <c r="B219" s="9" t="s">
        <v>63</v>
      </c>
      <c r="C219" s="9" t="s">
        <v>64</v>
      </c>
      <c r="D219" s="10"/>
      <c r="E219" s="2" t="n">
        <f>21809</f>
        <v>21809.0</v>
      </c>
      <c r="F219" s="10"/>
      <c r="G219" s="2" t="n">
        <f>37231612400</f>
        <v>3.72316124E10</v>
      </c>
      <c r="H219" s="10"/>
      <c r="I219" s="2" t="str">
        <f>"－"</f>
        <v>－</v>
      </c>
      <c r="J219" s="10"/>
      <c r="K219" s="2" t="n">
        <f>80668</f>
        <v>80668.0</v>
      </c>
    </row>
    <row r="220">
      <c r="A220" s="8" t="s">
        <v>22</v>
      </c>
      <c r="B220" s="9" t="s">
        <v>63</v>
      </c>
      <c r="C220" s="9" t="s">
        <v>64</v>
      </c>
      <c r="D220" s="10" t="s">
        <v>26</v>
      </c>
      <c r="E220" s="2" t="n">
        <f>53028</f>
        <v>53028.0</v>
      </c>
      <c r="F220" s="10" t="s">
        <v>26</v>
      </c>
      <c r="G220" s="2" t="n">
        <f>90353836410</f>
        <v>9.035383641E10</v>
      </c>
      <c r="H220" s="10"/>
      <c r="I220" s="2" t="str">
        <f>"－"</f>
        <v>－</v>
      </c>
      <c r="J220" s="10"/>
      <c r="K220" s="2" t="n">
        <f>89333</f>
        <v>89333.0</v>
      </c>
    </row>
    <row r="221">
      <c r="A221" s="8" t="s">
        <v>23</v>
      </c>
      <c r="B221" s="9" t="s">
        <v>63</v>
      </c>
      <c r="C221" s="9" t="s">
        <v>64</v>
      </c>
      <c r="D221" s="10"/>
      <c r="E221" s="2"/>
      <c r="F221" s="10"/>
      <c r="G221" s="2"/>
      <c r="H221" s="10"/>
      <c r="I221" s="2"/>
      <c r="J221" s="10"/>
      <c r="K221" s="2"/>
    </row>
    <row r="222">
      <c r="A222" s="8" t="s">
        <v>24</v>
      </c>
      <c r="B222" s="9" t="s">
        <v>63</v>
      </c>
      <c r="C222" s="9" t="s">
        <v>64</v>
      </c>
      <c r="D222" s="10"/>
      <c r="E222" s="2"/>
      <c r="F222" s="10"/>
      <c r="G222" s="2"/>
      <c r="H222" s="10"/>
      <c r="I222" s="2"/>
      <c r="J222" s="10"/>
      <c r="K222" s="2"/>
    </row>
    <row r="223">
      <c r="A223" s="8" t="s">
        <v>25</v>
      </c>
      <c r="B223" s="9" t="s">
        <v>63</v>
      </c>
      <c r="C223" s="9" t="s">
        <v>64</v>
      </c>
      <c r="D223" s="10"/>
      <c r="E223" s="2" t="n">
        <f>41125</f>
        <v>41125.0</v>
      </c>
      <c r="F223" s="10"/>
      <c r="G223" s="2" t="n">
        <f>71500537910</f>
        <v>7.150053791E10</v>
      </c>
      <c r="H223" s="10"/>
      <c r="I223" s="2" t="n">
        <f>70</f>
        <v>70.0</v>
      </c>
      <c r="J223" s="10"/>
      <c r="K223" s="2" t="n">
        <f>107487</f>
        <v>107487.0</v>
      </c>
    </row>
    <row r="224">
      <c r="A224" s="8" t="s">
        <v>27</v>
      </c>
      <c r="B224" s="9" t="s">
        <v>63</v>
      </c>
      <c r="C224" s="9" t="s">
        <v>64</v>
      </c>
      <c r="D224" s="10"/>
      <c r="E224" s="2" t="n">
        <f>47317</f>
        <v>47317.0</v>
      </c>
      <c r="F224" s="10"/>
      <c r="G224" s="2" t="n">
        <f>82347485650</f>
        <v>8.234748565E10</v>
      </c>
      <c r="H224" s="10"/>
      <c r="I224" s="2" t="n">
        <f>2</f>
        <v>2.0</v>
      </c>
      <c r="J224" s="10" t="s">
        <v>26</v>
      </c>
      <c r="K224" s="2" t="n">
        <f>110019</f>
        <v>110019.0</v>
      </c>
    </row>
    <row r="225">
      <c r="A225" s="8" t="s">
        <v>28</v>
      </c>
      <c r="B225" s="9" t="s">
        <v>63</v>
      </c>
      <c r="C225" s="9" t="s">
        <v>64</v>
      </c>
      <c r="D225" s="10"/>
      <c r="E225" s="2" t="n">
        <f>19495</f>
        <v>19495.0</v>
      </c>
      <c r="F225" s="10"/>
      <c r="G225" s="2" t="n">
        <f>33859630000</f>
        <v>3.385963E10</v>
      </c>
      <c r="H225" s="10"/>
      <c r="I225" s="2" t="n">
        <f>14</f>
        <v>14.0</v>
      </c>
      <c r="J225" s="10"/>
      <c r="K225" s="2" t="n">
        <f>107410</f>
        <v>107410.0</v>
      </c>
    </row>
    <row r="226">
      <c r="A226" s="8" t="s">
        <v>29</v>
      </c>
      <c r="B226" s="9" t="s">
        <v>63</v>
      </c>
      <c r="C226" s="9" t="s">
        <v>64</v>
      </c>
      <c r="D226" s="10"/>
      <c r="E226" s="2" t="n">
        <f>3075</f>
        <v>3075.0</v>
      </c>
      <c r="F226" s="10"/>
      <c r="G226" s="2" t="n">
        <f>5260557410</f>
        <v>5.26055741E9</v>
      </c>
      <c r="H226" s="10"/>
      <c r="I226" s="2" t="str">
        <f>"－"</f>
        <v>－</v>
      </c>
      <c r="J226" s="10"/>
      <c r="K226" s="2" t="n">
        <f>105428</f>
        <v>105428.0</v>
      </c>
    </row>
    <row r="227">
      <c r="A227" s="8" t="s">
        <v>30</v>
      </c>
      <c r="B227" s="9" t="s">
        <v>63</v>
      </c>
      <c r="C227" s="9" t="s">
        <v>64</v>
      </c>
      <c r="D227" s="10"/>
      <c r="E227" s="2" t="n">
        <f>645</f>
        <v>645.0</v>
      </c>
      <c r="F227" s="10"/>
      <c r="G227" s="2" t="n">
        <f>1073077030</f>
        <v>1.07307703E9</v>
      </c>
      <c r="H227" s="10"/>
      <c r="I227" s="2" t="str">
        <f>"－"</f>
        <v>－</v>
      </c>
      <c r="J227" s="10"/>
      <c r="K227" s="2" t="n">
        <f>105510</f>
        <v>105510.0</v>
      </c>
    </row>
    <row r="228">
      <c r="A228" s="8" t="s">
        <v>31</v>
      </c>
      <c r="B228" s="9" t="s">
        <v>63</v>
      </c>
      <c r="C228" s="9" t="s">
        <v>64</v>
      </c>
      <c r="D228" s="10"/>
      <c r="E228" s="2"/>
      <c r="F228" s="10"/>
      <c r="G228" s="2"/>
      <c r="H228" s="10"/>
      <c r="I228" s="2"/>
      <c r="J228" s="10"/>
      <c r="K228" s="2"/>
    </row>
    <row r="229">
      <c r="A229" s="8" t="s">
        <v>32</v>
      </c>
      <c r="B229" s="9" t="s">
        <v>63</v>
      </c>
      <c r="C229" s="9" t="s">
        <v>64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33</v>
      </c>
      <c r="B230" s="9" t="s">
        <v>63</v>
      </c>
      <c r="C230" s="9" t="s">
        <v>64</v>
      </c>
      <c r="D230" s="10"/>
      <c r="E230" s="2" t="n">
        <f>1234</f>
        <v>1234.0</v>
      </c>
      <c r="F230" s="10"/>
      <c r="G230" s="2" t="n">
        <f>2015802500</f>
        <v>2.0158025E9</v>
      </c>
      <c r="H230" s="10"/>
      <c r="I230" s="2" t="str">
        <f>"－"</f>
        <v>－</v>
      </c>
      <c r="J230" s="10"/>
      <c r="K230" s="2" t="n">
        <f>66094</f>
        <v>66094.0</v>
      </c>
    </row>
    <row r="231">
      <c r="A231" s="8" t="s">
        <v>34</v>
      </c>
      <c r="B231" s="9" t="s">
        <v>63</v>
      </c>
      <c r="C231" s="9" t="s">
        <v>64</v>
      </c>
      <c r="D231" s="10"/>
      <c r="E231" s="2" t="n">
        <f>430</f>
        <v>430.0</v>
      </c>
      <c r="F231" s="10"/>
      <c r="G231" s="2" t="n">
        <f>720313720</f>
        <v>7.2031372E8</v>
      </c>
      <c r="H231" s="10"/>
      <c r="I231" s="2" t="n">
        <f>2</f>
        <v>2.0</v>
      </c>
      <c r="J231" s="10"/>
      <c r="K231" s="2" t="n">
        <f>66117</f>
        <v>66117.0</v>
      </c>
    </row>
    <row r="232">
      <c r="A232" s="8" t="s">
        <v>35</v>
      </c>
      <c r="B232" s="9" t="s">
        <v>63</v>
      </c>
      <c r="C232" s="9" t="s">
        <v>64</v>
      </c>
      <c r="D232" s="10"/>
      <c r="E232" s="2" t="n">
        <f>343</f>
        <v>343.0</v>
      </c>
      <c r="F232" s="10"/>
      <c r="G232" s="2" t="n">
        <f>579961660</f>
        <v>5.7996166E8</v>
      </c>
      <c r="H232" s="10"/>
      <c r="I232" s="2" t="str">
        <f>"－"</f>
        <v>－</v>
      </c>
      <c r="J232" s="10" t="s">
        <v>37</v>
      </c>
      <c r="K232" s="2" t="n">
        <f>66013</f>
        <v>66013.0</v>
      </c>
    </row>
    <row r="233">
      <c r="A233" s="8" t="s">
        <v>36</v>
      </c>
      <c r="B233" s="9" t="s">
        <v>63</v>
      </c>
      <c r="C233" s="9" t="s">
        <v>64</v>
      </c>
      <c r="D233" s="10"/>
      <c r="E233" s="2" t="n">
        <f>634</f>
        <v>634.0</v>
      </c>
      <c r="F233" s="10"/>
      <c r="G233" s="2" t="n">
        <f>1071282960</f>
        <v>1.07128296E9</v>
      </c>
      <c r="H233" s="10"/>
      <c r="I233" s="2" t="str">
        <f>"－"</f>
        <v>－</v>
      </c>
      <c r="J233" s="10"/>
      <c r="K233" s="2" t="n">
        <f>66024</f>
        <v>66024.0</v>
      </c>
    </row>
    <row r="234">
      <c r="A234" s="8" t="s">
        <v>38</v>
      </c>
      <c r="B234" s="9" t="s">
        <v>63</v>
      </c>
      <c r="C234" s="9" t="s">
        <v>64</v>
      </c>
      <c r="D234" s="10"/>
      <c r="E234" s="2" t="n">
        <f>465</f>
        <v>465.0</v>
      </c>
      <c r="F234" s="10"/>
      <c r="G234" s="2" t="n">
        <f>784718900</f>
        <v>7.847189E8</v>
      </c>
      <c r="H234" s="10"/>
      <c r="I234" s="2" t="str">
        <f>"－"</f>
        <v>－</v>
      </c>
      <c r="J234" s="10"/>
      <c r="K234" s="2" t="n">
        <f>66051</f>
        <v>66051.0</v>
      </c>
    </row>
    <row r="235">
      <c r="A235" s="8" t="s">
        <v>39</v>
      </c>
      <c r="B235" s="9" t="s">
        <v>63</v>
      </c>
      <c r="C235" s="9" t="s">
        <v>64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40</v>
      </c>
      <c r="B236" s="9" t="s">
        <v>63</v>
      </c>
      <c r="C236" s="9" t="s">
        <v>64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41</v>
      </c>
      <c r="B237" s="9" t="s">
        <v>63</v>
      </c>
      <c r="C237" s="9" t="s">
        <v>64</v>
      </c>
      <c r="D237" s="10"/>
      <c r="E237" s="2" t="n">
        <f>282</f>
        <v>282.0</v>
      </c>
      <c r="F237" s="10"/>
      <c r="G237" s="2" t="n">
        <f>471545680</f>
        <v>4.7154568E8</v>
      </c>
      <c r="H237" s="10"/>
      <c r="I237" s="2" t="str">
        <f>"－"</f>
        <v>－</v>
      </c>
      <c r="J237" s="10"/>
      <c r="K237" s="2" t="n">
        <f>66158</f>
        <v>66158.0</v>
      </c>
    </row>
    <row r="238">
      <c r="A238" s="8" t="s">
        <v>42</v>
      </c>
      <c r="B238" s="9" t="s">
        <v>63</v>
      </c>
      <c r="C238" s="9" t="s">
        <v>64</v>
      </c>
      <c r="D238" s="10"/>
      <c r="E238" s="2" t="n">
        <f>294</f>
        <v>294.0</v>
      </c>
      <c r="F238" s="10"/>
      <c r="G238" s="2" t="n">
        <f>491037420</f>
        <v>4.9103742E8</v>
      </c>
      <c r="H238" s="10"/>
      <c r="I238" s="2" t="n">
        <f>4</f>
        <v>4.0</v>
      </c>
      <c r="J238" s="10"/>
      <c r="K238" s="2" t="n">
        <f>66183</f>
        <v>66183.0</v>
      </c>
    </row>
    <row r="239">
      <c r="A239" s="8" t="s">
        <v>43</v>
      </c>
      <c r="B239" s="9" t="s">
        <v>63</v>
      </c>
      <c r="C239" s="9" t="s">
        <v>64</v>
      </c>
      <c r="D239" s="10"/>
      <c r="E239" s="2" t="n">
        <f>560</f>
        <v>560.0</v>
      </c>
      <c r="F239" s="10"/>
      <c r="G239" s="2" t="n">
        <f>939513150</f>
        <v>9.3951315E8</v>
      </c>
      <c r="H239" s="10"/>
      <c r="I239" s="2" t="str">
        <f>"－"</f>
        <v>－</v>
      </c>
      <c r="J239" s="10"/>
      <c r="K239" s="2" t="n">
        <f>66507</f>
        <v>66507.0</v>
      </c>
    </row>
    <row r="240">
      <c r="A240" s="8" t="s">
        <v>44</v>
      </c>
      <c r="B240" s="9" t="s">
        <v>63</v>
      </c>
      <c r="C240" s="9" t="s">
        <v>64</v>
      </c>
      <c r="D240" s="10"/>
      <c r="E240" s="2" t="n">
        <f>969</f>
        <v>969.0</v>
      </c>
      <c r="F240" s="10"/>
      <c r="G240" s="2" t="n">
        <f>1609890340</f>
        <v>1.60989034E9</v>
      </c>
      <c r="H240" s="10" t="s">
        <v>26</v>
      </c>
      <c r="I240" s="2" t="n">
        <f>400</f>
        <v>400.0</v>
      </c>
      <c r="J240" s="10"/>
      <c r="K240" s="2" t="n">
        <f>66557</f>
        <v>66557.0</v>
      </c>
    </row>
    <row r="241">
      <c r="A241" s="8" t="s">
        <v>45</v>
      </c>
      <c r="B241" s="9" t="s">
        <v>63</v>
      </c>
      <c r="C241" s="9" t="s">
        <v>64</v>
      </c>
      <c r="D241" s="10" t="s">
        <v>37</v>
      </c>
      <c r="E241" s="2" t="n">
        <f>278</f>
        <v>278.0</v>
      </c>
      <c r="F241" s="10" t="s">
        <v>37</v>
      </c>
      <c r="G241" s="2" t="n">
        <f>466545240</f>
        <v>4.6654524E8</v>
      </c>
      <c r="H241" s="10"/>
      <c r="I241" s="2" t="str">
        <f>"－"</f>
        <v>－</v>
      </c>
      <c r="J241" s="10"/>
      <c r="K241" s="2" t="n">
        <f>66582</f>
        <v>66582.0</v>
      </c>
    </row>
    <row r="242">
      <c r="A242" s="8" t="s">
        <v>46</v>
      </c>
      <c r="B242" s="9" t="s">
        <v>63</v>
      </c>
      <c r="C242" s="9" t="s">
        <v>64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47</v>
      </c>
      <c r="B243" s="9" t="s">
        <v>63</v>
      </c>
      <c r="C243" s="9" t="s">
        <v>64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48</v>
      </c>
      <c r="B244" s="9" t="s">
        <v>63</v>
      </c>
      <c r="C244" s="9" t="s">
        <v>64</v>
      </c>
      <c r="D244" s="10"/>
      <c r="E244" s="2" t="n">
        <f>1557</f>
        <v>1557.0</v>
      </c>
      <c r="F244" s="10"/>
      <c r="G244" s="2" t="n">
        <f>2565550640</f>
        <v>2.56555064E9</v>
      </c>
      <c r="H244" s="10"/>
      <c r="I244" s="2" t="n">
        <f>3</f>
        <v>3.0</v>
      </c>
      <c r="J244" s="10"/>
      <c r="K244" s="2" t="n">
        <f>67531</f>
        <v>67531.0</v>
      </c>
    </row>
    <row r="245">
      <c r="A245" s="8" t="s">
        <v>49</v>
      </c>
      <c r="B245" s="9" t="s">
        <v>63</v>
      </c>
      <c r="C245" s="9" t="s">
        <v>64</v>
      </c>
      <c r="D245" s="10"/>
      <c r="E245" s="2" t="n">
        <f>445</f>
        <v>445.0</v>
      </c>
      <c r="F245" s="10"/>
      <c r="G245" s="2" t="n">
        <f>731756700</f>
        <v>7.317567E8</v>
      </c>
      <c r="H245" s="10"/>
      <c r="I245" s="2" t="n">
        <f>2</f>
        <v>2.0</v>
      </c>
      <c r="J245" s="10"/>
      <c r="K245" s="2" t="n">
        <f>67413</f>
        <v>67413.0</v>
      </c>
    </row>
    <row r="246">
      <c r="A246" s="8" t="s">
        <v>16</v>
      </c>
      <c r="B246" s="9" t="s">
        <v>65</v>
      </c>
      <c r="C246" s="9" t="s">
        <v>66</v>
      </c>
      <c r="D246" s="10" t="s">
        <v>60</v>
      </c>
      <c r="E246" s="2" t="str">
        <f>"－"</f>
        <v>－</v>
      </c>
      <c r="F246" s="10" t="s">
        <v>60</v>
      </c>
      <c r="G246" s="2" t="str">
        <f>"－"</f>
        <v>－</v>
      </c>
      <c r="H246" s="10" t="s">
        <v>60</v>
      </c>
      <c r="I246" s="2" t="str">
        <f>"－"</f>
        <v>－</v>
      </c>
      <c r="J246" s="10" t="s">
        <v>60</v>
      </c>
      <c r="K246" s="2" t="str">
        <f>"－"</f>
        <v>－</v>
      </c>
    </row>
    <row r="247">
      <c r="A247" s="8" t="s">
        <v>19</v>
      </c>
      <c r="B247" s="9" t="s">
        <v>65</v>
      </c>
      <c r="C247" s="9" t="s">
        <v>66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str">
        <f>"－"</f>
        <v>－</v>
      </c>
    </row>
    <row r="248">
      <c r="A248" s="8" t="s">
        <v>20</v>
      </c>
      <c r="B248" s="9" t="s">
        <v>65</v>
      </c>
      <c r="C248" s="9" t="s">
        <v>66</v>
      </c>
      <c r="D248" s="10"/>
      <c r="E248" s="2" t="str">
        <f>"－"</f>
        <v>－</v>
      </c>
      <c r="F248" s="10"/>
      <c r="G248" s="2" t="str">
        <f>"－"</f>
        <v>－</v>
      </c>
      <c r="H248" s="10"/>
      <c r="I248" s="2" t="str">
        <f>"－"</f>
        <v>－</v>
      </c>
      <c r="J248" s="10"/>
      <c r="K248" s="2" t="str">
        <f>"－"</f>
        <v>－</v>
      </c>
    </row>
    <row r="249">
      <c r="A249" s="8" t="s">
        <v>21</v>
      </c>
      <c r="B249" s="9" t="s">
        <v>65</v>
      </c>
      <c r="C249" s="9" t="s">
        <v>66</v>
      </c>
      <c r="D249" s="10"/>
      <c r="E249" s="2" t="str">
        <f>"－"</f>
        <v>－</v>
      </c>
      <c r="F249" s="10"/>
      <c r="G249" s="2" t="str">
        <f>"－"</f>
        <v>－</v>
      </c>
      <c r="H249" s="10"/>
      <c r="I249" s="2" t="str">
        <f>"－"</f>
        <v>－</v>
      </c>
      <c r="J249" s="10"/>
      <c r="K249" s="2" t="str">
        <f>"－"</f>
        <v>－</v>
      </c>
    </row>
    <row r="250">
      <c r="A250" s="8" t="s">
        <v>22</v>
      </c>
      <c r="B250" s="9" t="s">
        <v>65</v>
      </c>
      <c r="C250" s="9" t="s">
        <v>66</v>
      </c>
      <c r="D250" s="10"/>
      <c r="E250" s="2" t="str">
        <f>"－"</f>
        <v>－</v>
      </c>
      <c r="F250" s="10"/>
      <c r="G250" s="2" t="str">
        <f>"－"</f>
        <v>－</v>
      </c>
      <c r="H250" s="10"/>
      <c r="I250" s="2" t="str">
        <f>"－"</f>
        <v>－</v>
      </c>
      <c r="J250" s="10"/>
      <c r="K250" s="2" t="str">
        <f>"－"</f>
        <v>－</v>
      </c>
    </row>
    <row r="251">
      <c r="A251" s="8" t="s">
        <v>23</v>
      </c>
      <c r="B251" s="9" t="s">
        <v>65</v>
      </c>
      <c r="C251" s="9" t="s">
        <v>66</v>
      </c>
      <c r="D251" s="10"/>
      <c r="E251" s="2"/>
      <c r="F251" s="10"/>
      <c r="G251" s="2"/>
      <c r="H251" s="10"/>
      <c r="I251" s="2"/>
      <c r="J251" s="10"/>
      <c r="K251" s="2"/>
    </row>
    <row r="252">
      <c r="A252" s="8" t="s">
        <v>24</v>
      </c>
      <c r="B252" s="9" t="s">
        <v>65</v>
      </c>
      <c r="C252" s="9" t="s">
        <v>66</v>
      </c>
      <c r="D252" s="10"/>
      <c r="E252" s="2"/>
      <c r="F252" s="10"/>
      <c r="G252" s="2"/>
      <c r="H252" s="10"/>
      <c r="I252" s="2"/>
      <c r="J252" s="10"/>
      <c r="K252" s="2"/>
    </row>
    <row r="253">
      <c r="A253" s="8" t="s">
        <v>25</v>
      </c>
      <c r="B253" s="9" t="s">
        <v>65</v>
      </c>
      <c r="C253" s="9" t="s">
        <v>66</v>
      </c>
      <c r="D253" s="10"/>
      <c r="E253" s="2" t="str">
        <f>"－"</f>
        <v>－</v>
      </c>
      <c r="F253" s="10"/>
      <c r="G253" s="2" t="str">
        <f>"－"</f>
        <v>－</v>
      </c>
      <c r="H253" s="10"/>
      <c r="I253" s="2" t="str">
        <f>"－"</f>
        <v>－</v>
      </c>
      <c r="J253" s="10"/>
      <c r="K253" s="2" t="str">
        <f>"－"</f>
        <v>－</v>
      </c>
    </row>
    <row r="254">
      <c r="A254" s="8" t="s">
        <v>27</v>
      </c>
      <c r="B254" s="9" t="s">
        <v>65</v>
      </c>
      <c r="C254" s="9" t="s">
        <v>66</v>
      </c>
      <c r="D254" s="10"/>
      <c r="E254" s="2" t="str">
        <f>"－"</f>
        <v>－</v>
      </c>
      <c r="F254" s="10"/>
      <c r="G254" s="2" t="str">
        <f>"－"</f>
        <v>－</v>
      </c>
      <c r="H254" s="10"/>
      <c r="I254" s="2" t="str">
        <f>"－"</f>
        <v>－</v>
      </c>
      <c r="J254" s="10"/>
      <c r="K254" s="2" t="str">
        <f>"－"</f>
        <v>－</v>
      </c>
    </row>
    <row r="255">
      <c r="A255" s="8" t="s">
        <v>28</v>
      </c>
      <c r="B255" s="9" t="s">
        <v>65</v>
      </c>
      <c r="C255" s="9" t="s">
        <v>66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29</v>
      </c>
      <c r="B256" s="9" t="s">
        <v>65</v>
      </c>
      <c r="C256" s="9" t="s">
        <v>66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30</v>
      </c>
      <c r="B257" s="9" t="s">
        <v>65</v>
      </c>
      <c r="C257" s="9" t="s">
        <v>66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31</v>
      </c>
      <c r="B258" s="9" t="s">
        <v>65</v>
      </c>
      <c r="C258" s="9" t="s">
        <v>66</v>
      </c>
      <c r="D258" s="10"/>
      <c r="E258" s="2"/>
      <c r="F258" s="10"/>
      <c r="G258" s="2"/>
      <c r="H258" s="10"/>
      <c r="I258" s="2"/>
      <c r="J258" s="10"/>
      <c r="K258" s="2"/>
    </row>
    <row r="259">
      <c r="A259" s="8" t="s">
        <v>32</v>
      </c>
      <c r="B259" s="9" t="s">
        <v>65</v>
      </c>
      <c r="C259" s="9" t="s">
        <v>66</v>
      </c>
      <c r="D259" s="10"/>
      <c r="E259" s="2"/>
      <c r="F259" s="10"/>
      <c r="G259" s="2"/>
      <c r="H259" s="10"/>
      <c r="I259" s="2"/>
      <c r="J259" s="10"/>
      <c r="K259" s="2"/>
    </row>
    <row r="260">
      <c r="A260" s="8" t="s">
        <v>33</v>
      </c>
      <c r="B260" s="9" t="s">
        <v>65</v>
      </c>
      <c r="C260" s="9" t="s">
        <v>66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34</v>
      </c>
      <c r="B261" s="9" t="s">
        <v>65</v>
      </c>
      <c r="C261" s="9" t="s">
        <v>66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35</v>
      </c>
      <c r="B262" s="9" t="s">
        <v>65</v>
      </c>
      <c r="C262" s="9" t="s">
        <v>66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36</v>
      </c>
      <c r="B263" s="9" t="s">
        <v>65</v>
      </c>
      <c r="C263" s="9" t="s">
        <v>66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38</v>
      </c>
      <c r="B264" s="9" t="s">
        <v>65</v>
      </c>
      <c r="C264" s="9" t="s">
        <v>66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39</v>
      </c>
      <c r="B265" s="9" t="s">
        <v>65</v>
      </c>
      <c r="C265" s="9" t="s">
        <v>66</v>
      </c>
      <c r="D265" s="10"/>
      <c r="E265" s="2"/>
      <c r="F265" s="10"/>
      <c r="G265" s="2"/>
      <c r="H265" s="10"/>
      <c r="I265" s="2"/>
      <c r="J265" s="10"/>
      <c r="K265" s="2"/>
    </row>
    <row r="266">
      <c r="A266" s="8" t="s">
        <v>40</v>
      </c>
      <c r="B266" s="9" t="s">
        <v>65</v>
      </c>
      <c r="C266" s="9" t="s">
        <v>66</v>
      </c>
      <c r="D266" s="10"/>
      <c r="E266" s="2"/>
      <c r="F266" s="10"/>
      <c r="G266" s="2"/>
      <c r="H266" s="10"/>
      <c r="I266" s="2"/>
      <c r="J266" s="10"/>
      <c r="K266" s="2"/>
    </row>
    <row r="267">
      <c r="A267" s="8" t="s">
        <v>41</v>
      </c>
      <c r="B267" s="9" t="s">
        <v>65</v>
      </c>
      <c r="C267" s="9" t="s">
        <v>66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42</v>
      </c>
      <c r="B268" s="9" t="s">
        <v>65</v>
      </c>
      <c r="C268" s="9" t="s">
        <v>66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43</v>
      </c>
      <c r="B269" s="9" t="s">
        <v>65</v>
      </c>
      <c r="C269" s="9" t="s">
        <v>66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44</v>
      </c>
      <c r="B270" s="9" t="s">
        <v>65</v>
      </c>
      <c r="C270" s="9" t="s">
        <v>66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45</v>
      </c>
      <c r="B271" s="9" t="s">
        <v>65</v>
      </c>
      <c r="C271" s="9" t="s">
        <v>66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46</v>
      </c>
      <c r="B272" s="9" t="s">
        <v>65</v>
      </c>
      <c r="C272" s="9" t="s">
        <v>66</v>
      </c>
      <c r="D272" s="10"/>
      <c r="E272" s="2"/>
      <c r="F272" s="10"/>
      <c r="G272" s="2"/>
      <c r="H272" s="10"/>
      <c r="I272" s="2"/>
      <c r="J272" s="10"/>
      <c r="K272" s="2"/>
    </row>
    <row r="273">
      <c r="A273" s="8" t="s">
        <v>47</v>
      </c>
      <c r="B273" s="9" t="s">
        <v>65</v>
      </c>
      <c r="C273" s="9" t="s">
        <v>66</v>
      </c>
      <c r="D273" s="10"/>
      <c r="E273" s="2"/>
      <c r="F273" s="10"/>
      <c r="G273" s="2"/>
      <c r="H273" s="10"/>
      <c r="I273" s="2"/>
      <c r="J273" s="10"/>
      <c r="K273" s="2"/>
    </row>
    <row r="274">
      <c r="A274" s="8" t="s">
        <v>48</v>
      </c>
      <c r="B274" s="9" t="s">
        <v>65</v>
      </c>
      <c r="C274" s="9" t="s">
        <v>66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49</v>
      </c>
      <c r="B275" s="9" t="s">
        <v>65</v>
      </c>
      <c r="C275" s="9" t="s">
        <v>66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16</v>
      </c>
      <c r="B276" s="9" t="s">
        <v>67</v>
      </c>
      <c r="C276" s="9" t="s">
        <v>68</v>
      </c>
      <c r="D276" s="10"/>
      <c r="E276" s="2" t="n">
        <f>11609</f>
        <v>11609.0</v>
      </c>
      <c r="F276" s="10"/>
      <c r="G276" s="2" t="n">
        <f>11520294510</f>
        <v>1.152029451E10</v>
      </c>
      <c r="H276" s="10"/>
      <c r="I276" s="2" t="n">
        <f>189</f>
        <v>189.0</v>
      </c>
      <c r="J276" s="10"/>
      <c r="K276" s="2" t="n">
        <f>19621</f>
        <v>19621.0</v>
      </c>
    </row>
    <row r="277">
      <c r="A277" s="8" t="s">
        <v>19</v>
      </c>
      <c r="B277" s="9" t="s">
        <v>67</v>
      </c>
      <c r="C277" s="9" t="s">
        <v>68</v>
      </c>
      <c r="D277" s="10"/>
      <c r="E277" s="2" t="n">
        <f>7769</f>
        <v>7769.0</v>
      </c>
      <c r="F277" s="10"/>
      <c r="G277" s="2" t="n">
        <f>7821734640</f>
        <v>7.82173464E9</v>
      </c>
      <c r="H277" s="10"/>
      <c r="I277" s="2" t="n">
        <f>179</f>
        <v>179.0</v>
      </c>
      <c r="J277" s="10"/>
      <c r="K277" s="2" t="n">
        <f>19206</f>
        <v>19206.0</v>
      </c>
    </row>
    <row r="278">
      <c r="A278" s="8" t="s">
        <v>20</v>
      </c>
      <c r="B278" s="9" t="s">
        <v>67</v>
      </c>
      <c r="C278" s="9" t="s">
        <v>68</v>
      </c>
      <c r="D278" s="10"/>
      <c r="E278" s="2" t="n">
        <f>11035</f>
        <v>11035.0</v>
      </c>
      <c r="F278" s="10"/>
      <c r="G278" s="2" t="n">
        <f>11067646500</f>
        <v>1.10676465E10</v>
      </c>
      <c r="H278" s="10"/>
      <c r="I278" s="2" t="n">
        <f>231</f>
        <v>231.0</v>
      </c>
      <c r="J278" s="10"/>
      <c r="K278" s="2" t="n">
        <f>19703</f>
        <v>19703.0</v>
      </c>
    </row>
    <row r="279">
      <c r="A279" s="8" t="s">
        <v>21</v>
      </c>
      <c r="B279" s="9" t="s">
        <v>67</v>
      </c>
      <c r="C279" s="9" t="s">
        <v>68</v>
      </c>
      <c r="D279" s="10"/>
      <c r="E279" s="2" t="n">
        <f>8966</f>
        <v>8966.0</v>
      </c>
      <c r="F279" s="10"/>
      <c r="G279" s="2" t="n">
        <f>8855265460</f>
        <v>8.85526546E9</v>
      </c>
      <c r="H279" s="10"/>
      <c r="I279" s="2" t="n">
        <f>306</f>
        <v>306.0</v>
      </c>
      <c r="J279" s="10"/>
      <c r="K279" s="2" t="n">
        <f>19638</f>
        <v>19638.0</v>
      </c>
    </row>
    <row r="280">
      <c r="A280" s="8" t="s">
        <v>22</v>
      </c>
      <c r="B280" s="9" t="s">
        <v>67</v>
      </c>
      <c r="C280" s="9" t="s">
        <v>68</v>
      </c>
      <c r="D280" s="10"/>
      <c r="E280" s="2" t="n">
        <f>8632</f>
        <v>8632.0</v>
      </c>
      <c r="F280" s="10"/>
      <c r="G280" s="2" t="n">
        <f>8439333500</f>
        <v>8.4393335E9</v>
      </c>
      <c r="H280" s="10"/>
      <c r="I280" s="2" t="n">
        <f>154</f>
        <v>154.0</v>
      </c>
      <c r="J280" s="10"/>
      <c r="K280" s="2" t="n">
        <f>19830</f>
        <v>19830.0</v>
      </c>
    </row>
    <row r="281">
      <c r="A281" s="8" t="s">
        <v>23</v>
      </c>
      <c r="B281" s="9" t="s">
        <v>67</v>
      </c>
      <c r="C281" s="9" t="s">
        <v>68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24</v>
      </c>
      <c r="B282" s="9" t="s">
        <v>67</v>
      </c>
      <c r="C282" s="9" t="s">
        <v>68</v>
      </c>
      <c r="D282" s="10"/>
      <c r="E282" s="2"/>
      <c r="F282" s="10"/>
      <c r="G282" s="2"/>
      <c r="H282" s="10"/>
      <c r="I282" s="2"/>
      <c r="J282" s="10"/>
      <c r="K282" s="2"/>
    </row>
    <row r="283">
      <c r="A283" s="8" t="s">
        <v>25</v>
      </c>
      <c r="B283" s="9" t="s">
        <v>67</v>
      </c>
      <c r="C283" s="9" t="s">
        <v>68</v>
      </c>
      <c r="D283" s="10"/>
      <c r="E283" s="2" t="n">
        <f>12515</f>
        <v>12515.0</v>
      </c>
      <c r="F283" s="10"/>
      <c r="G283" s="2" t="n">
        <f>12536749340</f>
        <v>1.253674934E10</v>
      </c>
      <c r="H283" s="10"/>
      <c r="I283" s="2" t="n">
        <f>83</f>
        <v>83.0</v>
      </c>
      <c r="J283" s="10"/>
      <c r="K283" s="2" t="n">
        <f>21452</f>
        <v>21452.0</v>
      </c>
    </row>
    <row r="284">
      <c r="A284" s="8" t="s">
        <v>27</v>
      </c>
      <c r="B284" s="9" t="s">
        <v>67</v>
      </c>
      <c r="C284" s="9" t="s">
        <v>68</v>
      </c>
      <c r="D284" s="10"/>
      <c r="E284" s="2" t="n">
        <f>14535</f>
        <v>14535.0</v>
      </c>
      <c r="F284" s="10"/>
      <c r="G284" s="2" t="n">
        <f>14613700320</f>
        <v>1.461370032E10</v>
      </c>
      <c r="H284" s="10" t="s">
        <v>26</v>
      </c>
      <c r="I284" s="2" t="n">
        <f>3171</f>
        <v>3171.0</v>
      </c>
      <c r="J284" s="10"/>
      <c r="K284" s="2" t="n">
        <f>21972</f>
        <v>21972.0</v>
      </c>
    </row>
    <row r="285">
      <c r="A285" s="8" t="s">
        <v>28</v>
      </c>
      <c r="B285" s="9" t="s">
        <v>67</v>
      </c>
      <c r="C285" s="9" t="s">
        <v>68</v>
      </c>
      <c r="D285" s="10" t="s">
        <v>26</v>
      </c>
      <c r="E285" s="2" t="n">
        <f>29727</f>
        <v>29727.0</v>
      </c>
      <c r="F285" s="10" t="s">
        <v>26</v>
      </c>
      <c r="G285" s="2" t="n">
        <f>30109980850</f>
        <v>3.010998085E10</v>
      </c>
      <c r="H285" s="10"/>
      <c r="I285" s="2" t="n">
        <f>176</f>
        <v>176.0</v>
      </c>
      <c r="J285" s="10" t="s">
        <v>26</v>
      </c>
      <c r="K285" s="2" t="n">
        <f>27066</f>
        <v>27066.0</v>
      </c>
    </row>
    <row r="286">
      <c r="A286" s="8" t="s">
        <v>29</v>
      </c>
      <c r="B286" s="9" t="s">
        <v>67</v>
      </c>
      <c r="C286" s="9" t="s">
        <v>68</v>
      </c>
      <c r="D286" s="10"/>
      <c r="E286" s="2" t="n">
        <f>11056</f>
        <v>11056.0</v>
      </c>
      <c r="F286" s="10"/>
      <c r="G286" s="2" t="n">
        <f>11136284960</f>
        <v>1.113628496E10</v>
      </c>
      <c r="H286" s="10"/>
      <c r="I286" s="2" t="n">
        <f>549</f>
        <v>549.0</v>
      </c>
      <c r="J286" s="10"/>
      <c r="K286" s="2" t="n">
        <f>18969</f>
        <v>18969.0</v>
      </c>
    </row>
    <row r="287">
      <c r="A287" s="8" t="s">
        <v>30</v>
      </c>
      <c r="B287" s="9" t="s">
        <v>67</v>
      </c>
      <c r="C287" s="9" t="s">
        <v>68</v>
      </c>
      <c r="D287" s="10"/>
      <c r="E287" s="2" t="n">
        <f>14845</f>
        <v>14845.0</v>
      </c>
      <c r="F287" s="10"/>
      <c r="G287" s="2" t="n">
        <f>14048444500</f>
        <v>1.40484445E10</v>
      </c>
      <c r="H287" s="10"/>
      <c r="I287" s="2" t="n">
        <f>607</f>
        <v>607.0</v>
      </c>
      <c r="J287" s="10"/>
      <c r="K287" s="2" t="n">
        <f>21306</f>
        <v>21306.0</v>
      </c>
    </row>
    <row r="288">
      <c r="A288" s="8" t="s">
        <v>31</v>
      </c>
      <c r="B288" s="9" t="s">
        <v>67</v>
      </c>
      <c r="C288" s="9" t="s">
        <v>68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32</v>
      </c>
      <c r="B289" s="9" t="s">
        <v>67</v>
      </c>
      <c r="C289" s="9" t="s">
        <v>68</v>
      </c>
      <c r="D289" s="10"/>
      <c r="E289" s="2"/>
      <c r="F289" s="10"/>
      <c r="G289" s="2"/>
      <c r="H289" s="10"/>
      <c r="I289" s="2"/>
      <c r="J289" s="10"/>
      <c r="K289" s="2"/>
    </row>
    <row r="290">
      <c r="A290" s="8" t="s">
        <v>33</v>
      </c>
      <c r="B290" s="9" t="s">
        <v>67</v>
      </c>
      <c r="C290" s="9" t="s">
        <v>68</v>
      </c>
      <c r="D290" s="10"/>
      <c r="E290" s="2" t="n">
        <f>9862</f>
        <v>9862.0</v>
      </c>
      <c r="F290" s="10"/>
      <c r="G290" s="2" t="n">
        <f>9288206360</f>
        <v>9.28820636E9</v>
      </c>
      <c r="H290" s="10"/>
      <c r="I290" s="2" t="n">
        <f>584</f>
        <v>584.0</v>
      </c>
      <c r="J290" s="10"/>
      <c r="K290" s="2" t="n">
        <f>16248</f>
        <v>16248.0</v>
      </c>
    </row>
    <row r="291">
      <c r="A291" s="8" t="s">
        <v>34</v>
      </c>
      <c r="B291" s="9" t="s">
        <v>67</v>
      </c>
      <c r="C291" s="9" t="s">
        <v>68</v>
      </c>
      <c r="D291" s="10"/>
      <c r="E291" s="2" t="n">
        <f>10596</f>
        <v>10596.0</v>
      </c>
      <c r="F291" s="10"/>
      <c r="G291" s="2" t="n">
        <f>10016943000</f>
        <v>1.0016943E10</v>
      </c>
      <c r="H291" s="10"/>
      <c r="I291" s="2" t="n">
        <f>259</f>
        <v>259.0</v>
      </c>
      <c r="J291" s="10"/>
      <c r="K291" s="2" t="n">
        <f>16309</f>
        <v>16309.0</v>
      </c>
    </row>
    <row r="292">
      <c r="A292" s="8" t="s">
        <v>35</v>
      </c>
      <c r="B292" s="9" t="s">
        <v>67</v>
      </c>
      <c r="C292" s="9" t="s">
        <v>68</v>
      </c>
      <c r="D292" s="10"/>
      <c r="E292" s="2" t="n">
        <f>9114</f>
        <v>9114.0</v>
      </c>
      <c r="F292" s="10"/>
      <c r="G292" s="2" t="n">
        <f>8959740270</f>
        <v>8.95974027E9</v>
      </c>
      <c r="H292" s="10"/>
      <c r="I292" s="2" t="n">
        <f>183</f>
        <v>183.0</v>
      </c>
      <c r="J292" s="10"/>
      <c r="K292" s="2" t="n">
        <f>16744</f>
        <v>16744.0</v>
      </c>
    </row>
    <row r="293">
      <c r="A293" s="8" t="s">
        <v>36</v>
      </c>
      <c r="B293" s="9" t="s">
        <v>67</v>
      </c>
      <c r="C293" s="9" t="s">
        <v>68</v>
      </c>
      <c r="D293" s="10"/>
      <c r="E293" s="2" t="n">
        <f>8317</f>
        <v>8317.0</v>
      </c>
      <c r="F293" s="10"/>
      <c r="G293" s="2" t="n">
        <f>8245127048</f>
        <v>8.245127048E9</v>
      </c>
      <c r="H293" s="10"/>
      <c r="I293" s="2" t="n">
        <f>446</f>
        <v>446.0</v>
      </c>
      <c r="J293" s="10" t="s">
        <v>37</v>
      </c>
      <c r="K293" s="2" t="n">
        <f>16209</f>
        <v>16209.0</v>
      </c>
    </row>
    <row r="294">
      <c r="A294" s="8" t="s">
        <v>38</v>
      </c>
      <c r="B294" s="9" t="s">
        <v>67</v>
      </c>
      <c r="C294" s="9" t="s">
        <v>68</v>
      </c>
      <c r="D294" s="10"/>
      <c r="E294" s="2" t="n">
        <f>4532</f>
        <v>4532.0</v>
      </c>
      <c r="F294" s="10"/>
      <c r="G294" s="2" t="n">
        <f>4541706120</f>
        <v>4.54170612E9</v>
      </c>
      <c r="H294" s="10"/>
      <c r="I294" s="2" t="n">
        <f>77</f>
        <v>77.0</v>
      </c>
      <c r="J294" s="10"/>
      <c r="K294" s="2" t="n">
        <f>16344</f>
        <v>16344.0</v>
      </c>
    </row>
    <row r="295">
      <c r="A295" s="8" t="s">
        <v>39</v>
      </c>
      <c r="B295" s="9" t="s">
        <v>67</v>
      </c>
      <c r="C295" s="9" t="s">
        <v>68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40</v>
      </c>
      <c r="B296" s="9" t="s">
        <v>67</v>
      </c>
      <c r="C296" s="9" t="s">
        <v>68</v>
      </c>
      <c r="D296" s="10"/>
      <c r="E296" s="2"/>
      <c r="F296" s="10"/>
      <c r="G296" s="2"/>
      <c r="H296" s="10"/>
      <c r="I296" s="2"/>
      <c r="J296" s="10"/>
      <c r="K296" s="2"/>
    </row>
    <row r="297">
      <c r="A297" s="8" t="s">
        <v>41</v>
      </c>
      <c r="B297" s="9" t="s">
        <v>67</v>
      </c>
      <c r="C297" s="9" t="s">
        <v>68</v>
      </c>
      <c r="D297" s="10"/>
      <c r="E297" s="2" t="n">
        <f>4652</f>
        <v>4652.0</v>
      </c>
      <c r="F297" s="10"/>
      <c r="G297" s="2" t="n">
        <f>4706412180</f>
        <v>4.70641218E9</v>
      </c>
      <c r="H297" s="10"/>
      <c r="I297" s="2" t="n">
        <f>70</f>
        <v>70.0</v>
      </c>
      <c r="J297" s="10"/>
      <c r="K297" s="2" t="n">
        <f>16452</f>
        <v>16452.0</v>
      </c>
    </row>
    <row r="298">
      <c r="A298" s="8" t="s">
        <v>42</v>
      </c>
      <c r="B298" s="9" t="s">
        <v>67</v>
      </c>
      <c r="C298" s="9" t="s">
        <v>68</v>
      </c>
      <c r="D298" s="10"/>
      <c r="E298" s="2" t="n">
        <f>6943</f>
        <v>6943.0</v>
      </c>
      <c r="F298" s="10"/>
      <c r="G298" s="2" t="n">
        <f>7073017200</f>
        <v>7.0730172E9</v>
      </c>
      <c r="H298" s="10"/>
      <c r="I298" s="2" t="n">
        <f>189</f>
        <v>189.0</v>
      </c>
      <c r="J298" s="10"/>
      <c r="K298" s="2" t="n">
        <f>16430</f>
        <v>16430.0</v>
      </c>
    </row>
    <row r="299">
      <c r="A299" s="8" t="s">
        <v>43</v>
      </c>
      <c r="B299" s="9" t="s">
        <v>67</v>
      </c>
      <c r="C299" s="9" t="s">
        <v>68</v>
      </c>
      <c r="D299" s="10" t="s">
        <v>37</v>
      </c>
      <c r="E299" s="2" t="n">
        <f>3762</f>
        <v>3762.0</v>
      </c>
      <c r="F299" s="10" t="s">
        <v>37</v>
      </c>
      <c r="G299" s="2" t="n">
        <f>3837600440</f>
        <v>3.83760044E9</v>
      </c>
      <c r="H299" s="10" t="s">
        <v>37</v>
      </c>
      <c r="I299" s="2" t="n">
        <f>40</f>
        <v>40.0</v>
      </c>
      <c r="J299" s="10"/>
      <c r="K299" s="2" t="n">
        <f>16643</f>
        <v>16643.0</v>
      </c>
    </row>
    <row r="300">
      <c r="A300" s="8" t="s">
        <v>44</v>
      </c>
      <c r="B300" s="9" t="s">
        <v>67</v>
      </c>
      <c r="C300" s="9" t="s">
        <v>68</v>
      </c>
      <c r="D300" s="10"/>
      <c r="E300" s="2" t="n">
        <f>7405</f>
        <v>7405.0</v>
      </c>
      <c r="F300" s="10"/>
      <c r="G300" s="2" t="n">
        <f>7488898720</f>
        <v>7.48889872E9</v>
      </c>
      <c r="H300" s="10"/>
      <c r="I300" s="2" t="n">
        <f>69</f>
        <v>69.0</v>
      </c>
      <c r="J300" s="10"/>
      <c r="K300" s="2" t="n">
        <f>17699</f>
        <v>17699.0</v>
      </c>
    </row>
    <row r="301">
      <c r="A301" s="8" t="s">
        <v>45</v>
      </c>
      <c r="B301" s="9" t="s">
        <v>67</v>
      </c>
      <c r="C301" s="9" t="s">
        <v>68</v>
      </c>
      <c r="D301" s="10"/>
      <c r="E301" s="2" t="n">
        <f>7054</f>
        <v>7054.0</v>
      </c>
      <c r="F301" s="10"/>
      <c r="G301" s="2" t="n">
        <f>7094644180</f>
        <v>7.09464418E9</v>
      </c>
      <c r="H301" s="10"/>
      <c r="I301" s="2" t="n">
        <f>92</f>
        <v>92.0</v>
      </c>
      <c r="J301" s="10"/>
      <c r="K301" s="2" t="n">
        <f>18675</f>
        <v>18675.0</v>
      </c>
    </row>
    <row r="302">
      <c r="A302" s="8" t="s">
        <v>46</v>
      </c>
      <c r="B302" s="9" t="s">
        <v>67</v>
      </c>
      <c r="C302" s="9" t="s">
        <v>68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47</v>
      </c>
      <c r="B303" s="9" t="s">
        <v>67</v>
      </c>
      <c r="C303" s="9" t="s">
        <v>68</v>
      </c>
      <c r="D303" s="10"/>
      <c r="E303" s="2"/>
      <c r="F303" s="10"/>
      <c r="G303" s="2"/>
      <c r="H303" s="10"/>
      <c r="I303" s="2"/>
      <c r="J303" s="10"/>
      <c r="K303" s="2"/>
    </row>
    <row r="304">
      <c r="A304" s="8" t="s">
        <v>48</v>
      </c>
      <c r="B304" s="9" t="s">
        <v>67</v>
      </c>
      <c r="C304" s="9" t="s">
        <v>68</v>
      </c>
      <c r="D304" s="10"/>
      <c r="E304" s="2" t="n">
        <f>7872</f>
        <v>7872.0</v>
      </c>
      <c r="F304" s="10"/>
      <c r="G304" s="2" t="n">
        <f>7707003920</f>
        <v>7.70700392E9</v>
      </c>
      <c r="H304" s="10"/>
      <c r="I304" s="2" t="n">
        <f>253</f>
        <v>253.0</v>
      </c>
      <c r="J304" s="10"/>
      <c r="K304" s="2" t="n">
        <f>18951</f>
        <v>18951.0</v>
      </c>
    </row>
    <row r="305">
      <c r="A305" s="8" t="s">
        <v>49</v>
      </c>
      <c r="B305" s="9" t="s">
        <v>67</v>
      </c>
      <c r="C305" s="9" t="s">
        <v>68</v>
      </c>
      <c r="D305" s="10"/>
      <c r="E305" s="2" t="n">
        <f>11316</f>
        <v>11316.0</v>
      </c>
      <c r="F305" s="10"/>
      <c r="G305" s="2" t="n">
        <f>10861575880</f>
        <v>1.086157588E10</v>
      </c>
      <c r="H305" s="10"/>
      <c r="I305" s="2" t="n">
        <f>254</f>
        <v>254.0</v>
      </c>
      <c r="J305" s="10"/>
      <c r="K305" s="2" t="n">
        <f>19131</f>
        <v>19131.0</v>
      </c>
    </row>
    <row r="306">
      <c r="A306" s="8" t="s">
        <v>16</v>
      </c>
      <c r="B306" s="9" t="s">
        <v>69</v>
      </c>
      <c r="C306" s="9" t="s">
        <v>70</v>
      </c>
      <c r="D306" s="10"/>
      <c r="E306" s="2" t="n">
        <f>1146</f>
        <v>1146.0</v>
      </c>
      <c r="F306" s="10"/>
      <c r="G306" s="2" t="n">
        <f>2894930800</f>
        <v>2.8949308E9</v>
      </c>
      <c r="H306" s="10"/>
      <c r="I306" s="2" t="n">
        <f>64</f>
        <v>64.0</v>
      </c>
      <c r="J306" s="10"/>
      <c r="K306" s="2" t="n">
        <f>877</f>
        <v>877.0</v>
      </c>
    </row>
    <row r="307">
      <c r="A307" s="8" t="s">
        <v>19</v>
      </c>
      <c r="B307" s="9" t="s">
        <v>69</v>
      </c>
      <c r="C307" s="9" t="s">
        <v>70</v>
      </c>
      <c r="D307" s="10" t="s">
        <v>37</v>
      </c>
      <c r="E307" s="2" t="n">
        <f>525</f>
        <v>525.0</v>
      </c>
      <c r="F307" s="10" t="s">
        <v>37</v>
      </c>
      <c r="G307" s="2" t="n">
        <f>1331860600</f>
        <v>1.3318606E9</v>
      </c>
      <c r="H307" s="10"/>
      <c r="I307" s="2" t="n">
        <f>30</f>
        <v>30.0</v>
      </c>
      <c r="J307" s="10"/>
      <c r="K307" s="2" t="n">
        <f>894</f>
        <v>894.0</v>
      </c>
    </row>
    <row r="308">
      <c r="A308" s="8" t="s">
        <v>20</v>
      </c>
      <c r="B308" s="9" t="s">
        <v>69</v>
      </c>
      <c r="C308" s="9" t="s">
        <v>70</v>
      </c>
      <c r="D308" s="10"/>
      <c r="E308" s="2" t="n">
        <f>2110</f>
        <v>2110.0</v>
      </c>
      <c r="F308" s="10"/>
      <c r="G308" s="2" t="n">
        <f>5418650700</f>
        <v>5.4186507E9</v>
      </c>
      <c r="H308" s="10"/>
      <c r="I308" s="2" t="n">
        <f>217</f>
        <v>217.0</v>
      </c>
      <c r="J308" s="10"/>
      <c r="K308" s="2" t="n">
        <f>1084</f>
        <v>1084.0</v>
      </c>
    </row>
    <row r="309">
      <c r="A309" s="8" t="s">
        <v>21</v>
      </c>
      <c r="B309" s="9" t="s">
        <v>69</v>
      </c>
      <c r="C309" s="9" t="s">
        <v>70</v>
      </c>
      <c r="D309" s="10"/>
      <c r="E309" s="2" t="n">
        <f>1969</f>
        <v>1969.0</v>
      </c>
      <c r="F309" s="10"/>
      <c r="G309" s="2" t="n">
        <f>5130404100</f>
        <v>5.1304041E9</v>
      </c>
      <c r="H309" s="10"/>
      <c r="I309" s="2" t="n">
        <f>48</f>
        <v>48.0</v>
      </c>
      <c r="J309" s="10"/>
      <c r="K309" s="2" t="n">
        <f>1303</f>
        <v>1303.0</v>
      </c>
    </row>
    <row r="310">
      <c r="A310" s="8" t="s">
        <v>22</v>
      </c>
      <c r="B310" s="9" t="s">
        <v>69</v>
      </c>
      <c r="C310" s="9" t="s">
        <v>70</v>
      </c>
      <c r="D310" s="10"/>
      <c r="E310" s="2" t="n">
        <f>1700</f>
        <v>1700.0</v>
      </c>
      <c r="F310" s="10"/>
      <c r="G310" s="2" t="n">
        <f>4456235700</f>
        <v>4.4562357E9</v>
      </c>
      <c r="H310" s="10"/>
      <c r="I310" s="2" t="n">
        <f>164</f>
        <v>164.0</v>
      </c>
      <c r="J310" s="10"/>
      <c r="K310" s="2" t="n">
        <f>1341</f>
        <v>1341.0</v>
      </c>
    </row>
    <row r="311">
      <c r="A311" s="8" t="s">
        <v>23</v>
      </c>
      <c r="B311" s="9" t="s">
        <v>69</v>
      </c>
      <c r="C311" s="9" t="s">
        <v>70</v>
      </c>
      <c r="D311" s="10"/>
      <c r="E311" s="2"/>
      <c r="F311" s="10"/>
      <c r="G311" s="2"/>
      <c r="H311" s="10"/>
      <c r="I311" s="2"/>
      <c r="J311" s="10"/>
      <c r="K311" s="2"/>
    </row>
    <row r="312">
      <c r="A312" s="8" t="s">
        <v>24</v>
      </c>
      <c r="B312" s="9" t="s">
        <v>69</v>
      </c>
      <c r="C312" s="9" t="s">
        <v>70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25</v>
      </c>
      <c r="B313" s="9" t="s">
        <v>69</v>
      </c>
      <c r="C313" s="9" t="s">
        <v>70</v>
      </c>
      <c r="D313" s="10"/>
      <c r="E313" s="2" t="n">
        <f>3542</f>
        <v>3542.0</v>
      </c>
      <c r="F313" s="10"/>
      <c r="G313" s="2" t="n">
        <f>9572079600</f>
        <v>9.5720796E9</v>
      </c>
      <c r="H313" s="10"/>
      <c r="I313" s="2" t="n">
        <f>226</f>
        <v>226.0</v>
      </c>
      <c r="J313" s="10"/>
      <c r="K313" s="2" t="n">
        <f>1839</f>
        <v>1839.0</v>
      </c>
    </row>
    <row r="314">
      <c r="A314" s="8" t="s">
        <v>27</v>
      </c>
      <c r="B314" s="9" t="s">
        <v>69</v>
      </c>
      <c r="C314" s="9" t="s">
        <v>70</v>
      </c>
      <c r="D314" s="10"/>
      <c r="E314" s="2" t="n">
        <f>3467</f>
        <v>3467.0</v>
      </c>
      <c r="F314" s="10"/>
      <c r="G314" s="2" t="n">
        <f>9493425400</f>
        <v>9.4934254E9</v>
      </c>
      <c r="H314" s="10" t="s">
        <v>26</v>
      </c>
      <c r="I314" s="2" t="n">
        <f>247</f>
        <v>247.0</v>
      </c>
      <c r="J314" s="10"/>
      <c r="K314" s="2" t="n">
        <f>1932</f>
        <v>1932.0</v>
      </c>
    </row>
    <row r="315">
      <c r="A315" s="8" t="s">
        <v>28</v>
      </c>
      <c r="B315" s="9" t="s">
        <v>69</v>
      </c>
      <c r="C315" s="9" t="s">
        <v>70</v>
      </c>
      <c r="D315" s="10"/>
      <c r="E315" s="2" t="n">
        <f>1730</f>
        <v>1730.0</v>
      </c>
      <c r="F315" s="10"/>
      <c r="G315" s="2" t="n">
        <f>4720441200</f>
        <v>4.7204412E9</v>
      </c>
      <c r="H315" s="10"/>
      <c r="I315" s="2" t="n">
        <f>161</f>
        <v>161.0</v>
      </c>
      <c r="J315" s="10"/>
      <c r="K315" s="2" t="n">
        <f>1964</f>
        <v>1964.0</v>
      </c>
    </row>
    <row r="316">
      <c r="A316" s="8" t="s">
        <v>29</v>
      </c>
      <c r="B316" s="9" t="s">
        <v>69</v>
      </c>
      <c r="C316" s="9" t="s">
        <v>70</v>
      </c>
      <c r="D316" s="10"/>
      <c r="E316" s="2" t="n">
        <f>3099</f>
        <v>3099.0</v>
      </c>
      <c r="F316" s="10"/>
      <c r="G316" s="2" t="n">
        <f>8305273800</f>
        <v>8.3052738E9</v>
      </c>
      <c r="H316" s="10"/>
      <c r="I316" s="2" t="n">
        <f>144</f>
        <v>144.0</v>
      </c>
      <c r="J316" s="10"/>
      <c r="K316" s="2" t="n">
        <f>2133</f>
        <v>2133.0</v>
      </c>
    </row>
    <row r="317">
      <c r="A317" s="8" t="s">
        <v>30</v>
      </c>
      <c r="B317" s="9" t="s">
        <v>69</v>
      </c>
      <c r="C317" s="9" t="s">
        <v>70</v>
      </c>
      <c r="D317" s="10"/>
      <c r="E317" s="2" t="n">
        <f>3793</f>
        <v>3793.0</v>
      </c>
      <c r="F317" s="10"/>
      <c r="G317" s="2" t="n">
        <f>9774582100</f>
        <v>9.7745821E9</v>
      </c>
      <c r="H317" s="10"/>
      <c r="I317" s="2" t="n">
        <f>112</f>
        <v>112.0</v>
      </c>
      <c r="J317" s="10" t="s">
        <v>26</v>
      </c>
      <c r="K317" s="2" t="n">
        <f>4126</f>
        <v>4126.0</v>
      </c>
    </row>
    <row r="318">
      <c r="A318" s="8" t="s">
        <v>31</v>
      </c>
      <c r="B318" s="9" t="s">
        <v>69</v>
      </c>
      <c r="C318" s="9" t="s">
        <v>70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32</v>
      </c>
      <c r="B319" s="9" t="s">
        <v>69</v>
      </c>
      <c r="C319" s="9" t="s">
        <v>70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33</v>
      </c>
      <c r="B320" s="9" t="s">
        <v>69</v>
      </c>
      <c r="C320" s="9" t="s">
        <v>70</v>
      </c>
      <c r="D320" s="10" t="s">
        <v>26</v>
      </c>
      <c r="E320" s="2" t="n">
        <f>4130</f>
        <v>4130.0</v>
      </c>
      <c r="F320" s="10" t="s">
        <v>26</v>
      </c>
      <c r="G320" s="2" t="n">
        <f>10480939400</f>
        <v>1.04809394E10</v>
      </c>
      <c r="H320" s="10"/>
      <c r="I320" s="2" t="n">
        <f>158</f>
        <v>158.0</v>
      </c>
      <c r="J320" s="10"/>
      <c r="K320" s="2" t="n">
        <f>1165</f>
        <v>1165.0</v>
      </c>
    </row>
    <row r="321">
      <c r="A321" s="8" t="s">
        <v>34</v>
      </c>
      <c r="B321" s="9" t="s">
        <v>69</v>
      </c>
      <c r="C321" s="9" t="s">
        <v>70</v>
      </c>
      <c r="D321" s="10"/>
      <c r="E321" s="2" t="n">
        <f>2664</f>
        <v>2664.0</v>
      </c>
      <c r="F321" s="10"/>
      <c r="G321" s="2" t="n">
        <f>6760631800</f>
        <v>6.7606318E9</v>
      </c>
      <c r="H321" s="10"/>
      <c r="I321" s="2" t="n">
        <f>56</f>
        <v>56.0</v>
      </c>
      <c r="J321" s="10"/>
      <c r="K321" s="2" t="n">
        <f>1201</f>
        <v>1201.0</v>
      </c>
    </row>
    <row r="322">
      <c r="A322" s="8" t="s">
        <v>35</v>
      </c>
      <c r="B322" s="9" t="s">
        <v>69</v>
      </c>
      <c r="C322" s="9" t="s">
        <v>70</v>
      </c>
      <c r="D322" s="10"/>
      <c r="E322" s="2" t="n">
        <f>3154</f>
        <v>3154.0</v>
      </c>
      <c r="F322" s="10"/>
      <c r="G322" s="2" t="n">
        <f>8290239000</f>
        <v>8.290239E9</v>
      </c>
      <c r="H322" s="10"/>
      <c r="I322" s="2" t="n">
        <f>63</f>
        <v>63.0</v>
      </c>
      <c r="J322" s="10"/>
      <c r="K322" s="2" t="n">
        <f>1209</f>
        <v>1209.0</v>
      </c>
    </row>
    <row r="323">
      <c r="A323" s="8" t="s">
        <v>36</v>
      </c>
      <c r="B323" s="9" t="s">
        <v>69</v>
      </c>
      <c r="C323" s="9" t="s">
        <v>70</v>
      </c>
      <c r="D323" s="10"/>
      <c r="E323" s="2" t="n">
        <f>2055</f>
        <v>2055.0</v>
      </c>
      <c r="F323" s="10"/>
      <c r="G323" s="2" t="n">
        <f>5382397700</f>
        <v>5.3823977E9</v>
      </c>
      <c r="H323" s="10"/>
      <c r="I323" s="2" t="n">
        <f>59</f>
        <v>59.0</v>
      </c>
      <c r="J323" s="10"/>
      <c r="K323" s="2" t="n">
        <f>1140</f>
        <v>1140.0</v>
      </c>
    </row>
    <row r="324">
      <c r="A324" s="8" t="s">
        <v>38</v>
      </c>
      <c r="B324" s="9" t="s">
        <v>69</v>
      </c>
      <c r="C324" s="9" t="s">
        <v>70</v>
      </c>
      <c r="D324" s="10"/>
      <c r="E324" s="2" t="n">
        <f>1701</f>
        <v>1701.0</v>
      </c>
      <c r="F324" s="10"/>
      <c r="G324" s="2" t="n">
        <f>4418539700</f>
        <v>4.4185397E9</v>
      </c>
      <c r="H324" s="10"/>
      <c r="I324" s="2" t="n">
        <f>14</f>
        <v>14.0</v>
      </c>
      <c r="J324" s="10"/>
      <c r="K324" s="2" t="n">
        <f>1151</f>
        <v>1151.0</v>
      </c>
    </row>
    <row r="325">
      <c r="A325" s="8" t="s">
        <v>39</v>
      </c>
      <c r="B325" s="9" t="s">
        <v>69</v>
      </c>
      <c r="C325" s="9" t="s">
        <v>70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40</v>
      </c>
      <c r="B326" s="9" t="s">
        <v>69</v>
      </c>
      <c r="C326" s="9" t="s">
        <v>70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41</v>
      </c>
      <c r="B327" s="9" t="s">
        <v>69</v>
      </c>
      <c r="C327" s="9" t="s">
        <v>70</v>
      </c>
      <c r="D327" s="10"/>
      <c r="E327" s="2" t="n">
        <f>791</f>
        <v>791.0</v>
      </c>
      <c r="F327" s="10"/>
      <c r="G327" s="2" t="n">
        <f>2037918500</f>
        <v>2.0379185E9</v>
      </c>
      <c r="H327" s="10" t="s">
        <v>37</v>
      </c>
      <c r="I327" s="2" t="n">
        <f>8</f>
        <v>8.0</v>
      </c>
      <c r="J327" s="10"/>
      <c r="K327" s="2" t="n">
        <f>1293</f>
        <v>1293.0</v>
      </c>
    </row>
    <row r="328">
      <c r="A328" s="8" t="s">
        <v>42</v>
      </c>
      <c r="B328" s="9" t="s">
        <v>69</v>
      </c>
      <c r="C328" s="9" t="s">
        <v>70</v>
      </c>
      <c r="D328" s="10"/>
      <c r="E328" s="2" t="n">
        <f>728</f>
        <v>728.0</v>
      </c>
      <c r="F328" s="10"/>
      <c r="G328" s="2" t="n">
        <f>1876545700</f>
        <v>1.8765457E9</v>
      </c>
      <c r="H328" s="10"/>
      <c r="I328" s="2" t="n">
        <f>20</f>
        <v>20.0</v>
      </c>
      <c r="J328" s="10" t="s">
        <v>37</v>
      </c>
      <c r="K328" s="2" t="n">
        <f>595</f>
        <v>595.0</v>
      </c>
    </row>
    <row r="329">
      <c r="A329" s="8" t="s">
        <v>43</v>
      </c>
      <c r="B329" s="9" t="s">
        <v>69</v>
      </c>
      <c r="C329" s="9" t="s">
        <v>70</v>
      </c>
      <c r="D329" s="10"/>
      <c r="E329" s="2" t="n">
        <f>848</f>
        <v>848.0</v>
      </c>
      <c r="F329" s="10"/>
      <c r="G329" s="2" t="n">
        <f>2206642600</f>
        <v>2.2066426E9</v>
      </c>
      <c r="H329" s="10"/>
      <c r="I329" s="2" t="n">
        <f>41</f>
        <v>41.0</v>
      </c>
      <c r="J329" s="10"/>
      <c r="K329" s="2" t="n">
        <f>654</f>
        <v>654.0</v>
      </c>
    </row>
    <row r="330">
      <c r="A330" s="8" t="s">
        <v>44</v>
      </c>
      <c r="B330" s="9" t="s">
        <v>69</v>
      </c>
      <c r="C330" s="9" t="s">
        <v>70</v>
      </c>
      <c r="D330" s="10"/>
      <c r="E330" s="2" t="n">
        <f>1098</f>
        <v>1098.0</v>
      </c>
      <c r="F330" s="10"/>
      <c r="G330" s="2" t="n">
        <f>2798532400</f>
        <v>2.7985324E9</v>
      </c>
      <c r="H330" s="10"/>
      <c r="I330" s="2" t="n">
        <f>46</f>
        <v>46.0</v>
      </c>
      <c r="J330" s="10"/>
      <c r="K330" s="2" t="n">
        <f>771</f>
        <v>771.0</v>
      </c>
    </row>
    <row r="331">
      <c r="A331" s="8" t="s">
        <v>45</v>
      </c>
      <c r="B331" s="9" t="s">
        <v>69</v>
      </c>
      <c r="C331" s="9" t="s">
        <v>70</v>
      </c>
      <c r="D331" s="10"/>
      <c r="E331" s="2" t="n">
        <f>967</f>
        <v>967.0</v>
      </c>
      <c r="F331" s="10"/>
      <c r="G331" s="2" t="n">
        <f>2451159600</f>
        <v>2.4511596E9</v>
      </c>
      <c r="H331" s="10"/>
      <c r="I331" s="2" t="n">
        <f>42</f>
        <v>42.0</v>
      </c>
      <c r="J331" s="10"/>
      <c r="K331" s="2" t="n">
        <f>879</f>
        <v>879.0</v>
      </c>
    </row>
    <row r="332">
      <c r="A332" s="8" t="s">
        <v>46</v>
      </c>
      <c r="B332" s="9" t="s">
        <v>69</v>
      </c>
      <c r="C332" s="9" t="s">
        <v>70</v>
      </c>
      <c r="D332" s="10"/>
      <c r="E332" s="2"/>
      <c r="F332" s="10"/>
      <c r="G332" s="2"/>
      <c r="H332" s="10"/>
      <c r="I332" s="2"/>
      <c r="J332" s="10"/>
      <c r="K332" s="2"/>
    </row>
    <row r="333">
      <c r="A333" s="8" t="s">
        <v>47</v>
      </c>
      <c r="B333" s="9" t="s">
        <v>69</v>
      </c>
      <c r="C333" s="9" t="s">
        <v>70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48</v>
      </c>
      <c r="B334" s="9" t="s">
        <v>69</v>
      </c>
      <c r="C334" s="9" t="s">
        <v>70</v>
      </c>
      <c r="D334" s="10"/>
      <c r="E334" s="2" t="n">
        <f>1080</f>
        <v>1080.0</v>
      </c>
      <c r="F334" s="10"/>
      <c r="G334" s="2" t="n">
        <f>2702955300</f>
        <v>2.7029553E9</v>
      </c>
      <c r="H334" s="10"/>
      <c r="I334" s="2" t="n">
        <f>25</f>
        <v>25.0</v>
      </c>
      <c r="J334" s="10"/>
      <c r="K334" s="2" t="n">
        <f>946</f>
        <v>946.0</v>
      </c>
    </row>
    <row r="335">
      <c r="A335" s="8" t="s">
        <v>49</v>
      </c>
      <c r="B335" s="9" t="s">
        <v>69</v>
      </c>
      <c r="C335" s="9" t="s">
        <v>70</v>
      </c>
      <c r="D335" s="10"/>
      <c r="E335" s="2" t="n">
        <f>770</f>
        <v>770.0</v>
      </c>
      <c r="F335" s="10"/>
      <c r="G335" s="2" t="n">
        <f>1942511500</f>
        <v>1.9425115E9</v>
      </c>
      <c r="H335" s="10"/>
      <c r="I335" s="2" t="n">
        <f>46</f>
        <v>46.0</v>
      </c>
      <c r="J335" s="10"/>
      <c r="K335" s="2" t="n">
        <f>958</f>
        <v>958.0</v>
      </c>
    </row>
    <row r="336">
      <c r="A336" s="8" t="s">
        <v>16</v>
      </c>
      <c r="B336" s="9" t="s">
        <v>71</v>
      </c>
      <c r="C336" s="9" t="s">
        <v>72</v>
      </c>
      <c r="D336" s="10"/>
      <c r="E336" s="2" t="n">
        <f>15</f>
        <v>15.0</v>
      </c>
      <c r="F336" s="10"/>
      <c r="G336" s="2" t="n">
        <f>16635800</f>
        <v>1.66358E7</v>
      </c>
      <c r="H336" s="10" t="s">
        <v>60</v>
      </c>
      <c r="I336" s="2" t="str">
        <f>"－"</f>
        <v>－</v>
      </c>
      <c r="J336" s="10"/>
      <c r="K336" s="2" t="n">
        <f>3</f>
        <v>3.0</v>
      </c>
    </row>
    <row r="337">
      <c r="A337" s="8" t="s">
        <v>19</v>
      </c>
      <c r="B337" s="9" t="s">
        <v>71</v>
      </c>
      <c r="C337" s="9" t="s">
        <v>72</v>
      </c>
      <c r="D337" s="10" t="s">
        <v>37</v>
      </c>
      <c r="E337" s="2" t="str">
        <f>"－"</f>
        <v>－</v>
      </c>
      <c r="F337" s="10" t="s">
        <v>37</v>
      </c>
      <c r="G337" s="2" t="str">
        <f>"－"</f>
        <v>－</v>
      </c>
      <c r="H337" s="10"/>
      <c r="I337" s="2" t="str">
        <f>"－"</f>
        <v>－</v>
      </c>
      <c r="J337" s="10"/>
      <c r="K337" s="2" t="n">
        <f>3</f>
        <v>3.0</v>
      </c>
    </row>
    <row r="338">
      <c r="A338" s="8" t="s">
        <v>20</v>
      </c>
      <c r="B338" s="9" t="s">
        <v>71</v>
      </c>
      <c r="C338" s="9" t="s">
        <v>72</v>
      </c>
      <c r="D338" s="10"/>
      <c r="E338" s="2" t="n">
        <f>10</f>
        <v>10.0</v>
      </c>
      <c r="F338" s="10"/>
      <c r="G338" s="2" t="n">
        <f>11228000</f>
        <v>1.1228E7</v>
      </c>
      <c r="H338" s="10"/>
      <c r="I338" s="2" t="str">
        <f>"－"</f>
        <v>－</v>
      </c>
      <c r="J338" s="10"/>
      <c r="K338" s="2" t="n">
        <f>3</f>
        <v>3.0</v>
      </c>
    </row>
    <row r="339">
      <c r="A339" s="8" t="s">
        <v>21</v>
      </c>
      <c r="B339" s="9" t="s">
        <v>71</v>
      </c>
      <c r="C339" s="9" t="s">
        <v>72</v>
      </c>
      <c r="D339" s="10" t="s">
        <v>26</v>
      </c>
      <c r="E339" s="2" t="n">
        <f>20</f>
        <v>20.0</v>
      </c>
      <c r="F339" s="10" t="s">
        <v>26</v>
      </c>
      <c r="G339" s="2" t="n">
        <f>22717500</f>
        <v>2.27175E7</v>
      </c>
      <c r="H339" s="10"/>
      <c r="I339" s="2" t="str">
        <f>"－"</f>
        <v>－</v>
      </c>
      <c r="J339" s="10"/>
      <c r="K339" s="2" t="n">
        <f>3</f>
        <v>3.0</v>
      </c>
    </row>
    <row r="340">
      <c r="A340" s="8" t="s">
        <v>22</v>
      </c>
      <c r="B340" s="9" t="s">
        <v>71</v>
      </c>
      <c r="C340" s="9" t="s">
        <v>72</v>
      </c>
      <c r="D340" s="10"/>
      <c r="E340" s="2" t="str">
        <f>"－"</f>
        <v>－</v>
      </c>
      <c r="F340" s="10"/>
      <c r="G340" s="2" t="str">
        <f>"－"</f>
        <v>－</v>
      </c>
      <c r="H340" s="10"/>
      <c r="I340" s="2" t="str">
        <f>"－"</f>
        <v>－</v>
      </c>
      <c r="J340" s="10"/>
      <c r="K340" s="2" t="n">
        <f>3</f>
        <v>3.0</v>
      </c>
    </row>
    <row r="341">
      <c r="A341" s="8" t="s">
        <v>23</v>
      </c>
      <c r="B341" s="9" t="s">
        <v>71</v>
      </c>
      <c r="C341" s="9" t="s">
        <v>72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24</v>
      </c>
      <c r="B342" s="9" t="s">
        <v>71</v>
      </c>
      <c r="C342" s="9" t="s">
        <v>72</v>
      </c>
      <c r="D342" s="10"/>
      <c r="E342" s="2"/>
      <c r="F342" s="10"/>
      <c r="G342" s="2"/>
      <c r="H342" s="10"/>
      <c r="I342" s="2"/>
      <c r="J342" s="10"/>
      <c r="K342" s="2"/>
    </row>
    <row r="343">
      <c r="A343" s="8" t="s">
        <v>25</v>
      </c>
      <c r="B343" s="9" t="s">
        <v>71</v>
      </c>
      <c r="C343" s="9" t="s">
        <v>72</v>
      </c>
      <c r="D343" s="10"/>
      <c r="E343" s="2" t="n">
        <f>16</f>
        <v>16.0</v>
      </c>
      <c r="F343" s="10"/>
      <c r="G343" s="2" t="n">
        <f>18485000</f>
        <v>1.8485E7</v>
      </c>
      <c r="H343" s="10"/>
      <c r="I343" s="2" t="str">
        <f>"－"</f>
        <v>－</v>
      </c>
      <c r="J343" s="10"/>
      <c r="K343" s="2" t="n">
        <f>1</f>
        <v>1.0</v>
      </c>
    </row>
    <row r="344">
      <c r="A344" s="8" t="s">
        <v>27</v>
      </c>
      <c r="B344" s="9" t="s">
        <v>71</v>
      </c>
      <c r="C344" s="9" t="s">
        <v>72</v>
      </c>
      <c r="D344" s="10"/>
      <c r="E344" s="2" t="str">
        <f>"－"</f>
        <v>－</v>
      </c>
      <c r="F344" s="10"/>
      <c r="G344" s="2" t="str">
        <f>"－"</f>
        <v>－</v>
      </c>
      <c r="H344" s="10"/>
      <c r="I344" s="2" t="str">
        <f>"－"</f>
        <v>－</v>
      </c>
      <c r="J344" s="10"/>
      <c r="K344" s="2" t="n">
        <f>1</f>
        <v>1.0</v>
      </c>
    </row>
    <row r="345">
      <c r="A345" s="8" t="s">
        <v>28</v>
      </c>
      <c r="B345" s="9" t="s">
        <v>71</v>
      </c>
      <c r="C345" s="9" t="s">
        <v>72</v>
      </c>
      <c r="D345" s="10"/>
      <c r="E345" s="2" t="str">
        <f>"－"</f>
        <v>－</v>
      </c>
      <c r="F345" s="10"/>
      <c r="G345" s="2" t="str">
        <f>"－"</f>
        <v>－</v>
      </c>
      <c r="H345" s="10"/>
      <c r="I345" s="2" t="str">
        <f>"－"</f>
        <v>－</v>
      </c>
      <c r="J345" s="10"/>
      <c r="K345" s="2" t="n">
        <f>1</f>
        <v>1.0</v>
      </c>
    </row>
    <row r="346">
      <c r="A346" s="8" t="s">
        <v>29</v>
      </c>
      <c r="B346" s="9" t="s">
        <v>71</v>
      </c>
      <c r="C346" s="9" t="s">
        <v>72</v>
      </c>
      <c r="D346" s="10"/>
      <c r="E346" s="2" t="str">
        <f>"－"</f>
        <v>－</v>
      </c>
      <c r="F346" s="10"/>
      <c r="G346" s="2" t="str">
        <f>"－"</f>
        <v>－</v>
      </c>
      <c r="H346" s="10"/>
      <c r="I346" s="2" t="str">
        <f>"－"</f>
        <v>－</v>
      </c>
      <c r="J346" s="10"/>
      <c r="K346" s="2" t="n">
        <f>1</f>
        <v>1.0</v>
      </c>
    </row>
    <row r="347">
      <c r="A347" s="8" t="s">
        <v>30</v>
      </c>
      <c r="B347" s="9" t="s">
        <v>71</v>
      </c>
      <c r="C347" s="9" t="s">
        <v>72</v>
      </c>
      <c r="D347" s="10"/>
      <c r="E347" s="2" t="str">
        <f>"－"</f>
        <v>－</v>
      </c>
      <c r="F347" s="10"/>
      <c r="G347" s="2" t="str">
        <f>"－"</f>
        <v>－</v>
      </c>
      <c r="H347" s="10"/>
      <c r="I347" s="2" t="str">
        <f>"－"</f>
        <v>－</v>
      </c>
      <c r="J347" s="10"/>
      <c r="K347" s="2" t="n">
        <f>1</f>
        <v>1.0</v>
      </c>
    </row>
    <row r="348">
      <c r="A348" s="8" t="s">
        <v>31</v>
      </c>
      <c r="B348" s="9" t="s">
        <v>71</v>
      </c>
      <c r="C348" s="9" t="s">
        <v>72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32</v>
      </c>
      <c r="B349" s="9" t="s">
        <v>71</v>
      </c>
      <c r="C349" s="9" t="s">
        <v>72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33</v>
      </c>
      <c r="B350" s="9" t="s">
        <v>71</v>
      </c>
      <c r="C350" s="9" t="s">
        <v>72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n">
        <f>1</f>
        <v>1.0</v>
      </c>
    </row>
    <row r="351">
      <c r="A351" s="8" t="s">
        <v>34</v>
      </c>
      <c r="B351" s="9" t="s">
        <v>71</v>
      </c>
      <c r="C351" s="9" t="s">
        <v>72</v>
      </c>
      <c r="D351" s="10"/>
      <c r="E351" s="2" t="n">
        <f>10</f>
        <v>10.0</v>
      </c>
      <c r="F351" s="10"/>
      <c r="G351" s="2" t="n">
        <f>11459000</f>
        <v>1.1459E7</v>
      </c>
      <c r="H351" s="10"/>
      <c r="I351" s="2" t="str">
        <f>"－"</f>
        <v>－</v>
      </c>
      <c r="J351" s="10" t="s">
        <v>26</v>
      </c>
      <c r="K351" s="2" t="n">
        <f>6</f>
        <v>6.0</v>
      </c>
    </row>
    <row r="352">
      <c r="A352" s="8" t="s">
        <v>35</v>
      </c>
      <c r="B352" s="9" t="s">
        <v>71</v>
      </c>
      <c r="C352" s="9" t="s">
        <v>72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n">
        <f>6</f>
        <v>6.0</v>
      </c>
    </row>
    <row r="353">
      <c r="A353" s="8" t="s">
        <v>36</v>
      </c>
      <c r="B353" s="9" t="s">
        <v>71</v>
      </c>
      <c r="C353" s="9" t="s">
        <v>72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 t="s">
        <v>37</v>
      </c>
      <c r="K353" s="2" t="str">
        <f>"－"</f>
        <v>－</v>
      </c>
    </row>
    <row r="354">
      <c r="A354" s="8" t="s">
        <v>38</v>
      </c>
      <c r="B354" s="9" t="s">
        <v>71</v>
      </c>
      <c r="C354" s="9" t="s">
        <v>72</v>
      </c>
      <c r="D354" s="10"/>
      <c r="E354" s="2" t="n">
        <f>5</f>
        <v>5.0</v>
      </c>
      <c r="F354" s="10"/>
      <c r="G354" s="2" t="n">
        <f>5708000</f>
        <v>5708000.0</v>
      </c>
      <c r="H354" s="10"/>
      <c r="I354" s="2" t="str">
        <f>"－"</f>
        <v>－</v>
      </c>
      <c r="J354" s="10"/>
      <c r="K354" s="2" t="n">
        <f>5</f>
        <v>5.0</v>
      </c>
    </row>
    <row r="355">
      <c r="A355" s="8" t="s">
        <v>39</v>
      </c>
      <c r="B355" s="9" t="s">
        <v>71</v>
      </c>
      <c r="C355" s="9" t="s">
        <v>72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40</v>
      </c>
      <c r="B356" s="9" t="s">
        <v>71</v>
      </c>
      <c r="C356" s="9" t="s">
        <v>72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41</v>
      </c>
      <c r="B357" s="9" t="s">
        <v>71</v>
      </c>
      <c r="C357" s="9" t="s">
        <v>72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n">
        <f>5</f>
        <v>5.0</v>
      </c>
    </row>
    <row r="358">
      <c r="A358" s="8" t="s">
        <v>42</v>
      </c>
      <c r="B358" s="9" t="s">
        <v>71</v>
      </c>
      <c r="C358" s="9" t="s">
        <v>72</v>
      </c>
      <c r="D358" s="10"/>
      <c r="E358" s="2" t="n">
        <f>5</f>
        <v>5.0</v>
      </c>
      <c r="F358" s="10"/>
      <c r="G358" s="2" t="n">
        <f>5676500</f>
        <v>5676500.0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43</v>
      </c>
      <c r="B359" s="9" t="s">
        <v>71</v>
      </c>
      <c r="C359" s="9" t="s">
        <v>72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44</v>
      </c>
      <c r="B360" s="9" t="s">
        <v>71</v>
      </c>
      <c r="C360" s="9" t="s">
        <v>72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45</v>
      </c>
      <c r="B361" s="9" t="s">
        <v>71</v>
      </c>
      <c r="C361" s="9" t="s">
        <v>72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46</v>
      </c>
      <c r="B362" s="9" t="s">
        <v>71</v>
      </c>
      <c r="C362" s="9" t="s">
        <v>72</v>
      </c>
      <c r="D362" s="10"/>
      <c r="E362" s="2"/>
      <c r="F362" s="10"/>
      <c r="G362" s="2"/>
      <c r="H362" s="10"/>
      <c r="I362" s="2"/>
      <c r="J362" s="10"/>
      <c r="K362" s="2"/>
    </row>
    <row r="363">
      <c r="A363" s="8" t="s">
        <v>47</v>
      </c>
      <c r="B363" s="9" t="s">
        <v>71</v>
      </c>
      <c r="C363" s="9" t="s">
        <v>72</v>
      </c>
      <c r="D363" s="10"/>
      <c r="E363" s="2"/>
      <c r="F363" s="10"/>
      <c r="G363" s="2"/>
      <c r="H363" s="10"/>
      <c r="I363" s="2"/>
      <c r="J363" s="10"/>
      <c r="K363" s="2"/>
    </row>
    <row r="364">
      <c r="A364" s="8" t="s">
        <v>48</v>
      </c>
      <c r="B364" s="9" t="s">
        <v>71</v>
      </c>
      <c r="C364" s="9" t="s">
        <v>72</v>
      </c>
      <c r="D364" s="10"/>
      <c r="E364" s="2" t="n">
        <f>10</f>
        <v>10.0</v>
      </c>
      <c r="F364" s="10"/>
      <c r="G364" s="2" t="n">
        <f>11397500</f>
        <v>1.13975E7</v>
      </c>
      <c r="H364" s="10"/>
      <c r="I364" s="2" t="str">
        <f>"－"</f>
        <v>－</v>
      </c>
      <c r="J364" s="10"/>
      <c r="K364" s="2" t="str">
        <f>"－"</f>
        <v>－</v>
      </c>
    </row>
    <row r="365">
      <c r="A365" s="8" t="s">
        <v>49</v>
      </c>
      <c r="B365" s="9" t="s">
        <v>71</v>
      </c>
      <c r="C365" s="9" t="s">
        <v>72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60</v>
      </c>
      <c r="E366" s="2" t="str">
        <f>"－"</f>
        <v>－</v>
      </c>
      <c r="F366" s="10" t="s">
        <v>60</v>
      </c>
      <c r="G366" s="2" t="str">
        <f>"－"</f>
        <v>－</v>
      </c>
      <c r="H366" s="10" t="s">
        <v>60</v>
      </c>
      <c r="I366" s="2" t="str">
        <f>"－"</f>
        <v>－</v>
      </c>
      <c r="J366" s="10" t="s">
        <v>60</v>
      </c>
      <c r="K366" s="2" t="str">
        <f>"－"</f>
        <v>－</v>
      </c>
    </row>
    <row r="367">
      <c r="A367" s="8" t="s">
        <v>19</v>
      </c>
      <c r="B367" s="9" t="s">
        <v>73</v>
      </c>
      <c r="C367" s="9" t="s">
        <v>74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20</v>
      </c>
      <c r="B368" s="9" t="s">
        <v>73</v>
      </c>
      <c r="C368" s="9" t="s">
        <v>74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21</v>
      </c>
      <c r="B369" s="9" t="s">
        <v>73</v>
      </c>
      <c r="C369" s="9" t="s">
        <v>74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22</v>
      </c>
      <c r="B370" s="9" t="s">
        <v>73</v>
      </c>
      <c r="C370" s="9" t="s">
        <v>74</v>
      </c>
      <c r="D370" s="10"/>
      <c r="E370" s="2" t="str">
        <f>"－"</f>
        <v>－</v>
      </c>
      <c r="F370" s="10"/>
      <c r="G370" s="2" t="str">
        <f>"－"</f>
        <v>－</v>
      </c>
      <c r="H370" s="10"/>
      <c r="I370" s="2" t="str">
        <f>"－"</f>
        <v>－</v>
      </c>
      <c r="J370" s="10"/>
      <c r="K370" s="2" t="str">
        <f>"－"</f>
        <v>－</v>
      </c>
    </row>
    <row r="371">
      <c r="A371" s="8" t="s">
        <v>23</v>
      </c>
      <c r="B371" s="9" t="s">
        <v>73</v>
      </c>
      <c r="C371" s="9" t="s">
        <v>74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24</v>
      </c>
      <c r="B372" s="9" t="s">
        <v>73</v>
      </c>
      <c r="C372" s="9" t="s">
        <v>74</v>
      </c>
      <c r="D372" s="10"/>
      <c r="E372" s="2"/>
      <c r="F372" s="10"/>
      <c r="G372" s="2"/>
      <c r="H372" s="10"/>
      <c r="I372" s="2"/>
      <c r="J372" s="10"/>
      <c r="K372" s="2"/>
    </row>
    <row r="373">
      <c r="A373" s="8" t="s">
        <v>25</v>
      </c>
      <c r="B373" s="9" t="s">
        <v>73</v>
      </c>
      <c r="C373" s="9" t="s">
        <v>74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27</v>
      </c>
      <c r="B374" s="9" t="s">
        <v>73</v>
      </c>
      <c r="C374" s="9" t="s">
        <v>74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28</v>
      </c>
      <c r="B375" s="9" t="s">
        <v>73</v>
      </c>
      <c r="C375" s="9" t="s">
        <v>74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29</v>
      </c>
      <c r="B376" s="9" t="s">
        <v>73</v>
      </c>
      <c r="C376" s="9" t="s">
        <v>74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30</v>
      </c>
      <c r="B377" s="9" t="s">
        <v>73</v>
      </c>
      <c r="C377" s="9" t="s">
        <v>74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31</v>
      </c>
      <c r="B378" s="9" t="s">
        <v>73</v>
      </c>
      <c r="C378" s="9" t="s">
        <v>74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32</v>
      </c>
      <c r="B379" s="9" t="s">
        <v>73</v>
      </c>
      <c r="C379" s="9" t="s">
        <v>74</v>
      </c>
      <c r="D379" s="10"/>
      <c r="E379" s="2"/>
      <c r="F379" s="10"/>
      <c r="G379" s="2"/>
      <c r="H379" s="10"/>
      <c r="I379" s="2"/>
      <c r="J379" s="10"/>
      <c r="K379" s="2"/>
    </row>
    <row r="380">
      <c r="A380" s="8" t="s">
        <v>33</v>
      </c>
      <c r="B380" s="9" t="s">
        <v>73</v>
      </c>
      <c r="C380" s="9" t="s">
        <v>74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34</v>
      </c>
      <c r="B381" s="9" t="s">
        <v>73</v>
      </c>
      <c r="C381" s="9" t="s">
        <v>74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35</v>
      </c>
      <c r="B382" s="9" t="s">
        <v>73</v>
      </c>
      <c r="C382" s="9" t="s">
        <v>74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36</v>
      </c>
      <c r="B383" s="9" t="s">
        <v>73</v>
      </c>
      <c r="C383" s="9" t="s">
        <v>74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38</v>
      </c>
      <c r="B384" s="9" t="s">
        <v>73</v>
      </c>
      <c r="C384" s="9" t="s">
        <v>74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39</v>
      </c>
      <c r="B385" s="9" t="s">
        <v>73</v>
      </c>
      <c r="C385" s="9" t="s">
        <v>74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40</v>
      </c>
      <c r="B386" s="9" t="s">
        <v>73</v>
      </c>
      <c r="C386" s="9" t="s">
        <v>74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41</v>
      </c>
      <c r="B387" s="9" t="s">
        <v>73</v>
      </c>
      <c r="C387" s="9" t="s">
        <v>74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42</v>
      </c>
      <c r="B388" s="9" t="s">
        <v>73</v>
      </c>
      <c r="C388" s="9" t="s">
        <v>74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43</v>
      </c>
      <c r="B389" s="9" t="s">
        <v>73</v>
      </c>
      <c r="C389" s="9" t="s">
        <v>74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44</v>
      </c>
      <c r="B390" s="9" t="s">
        <v>73</v>
      </c>
      <c r="C390" s="9" t="s">
        <v>74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45</v>
      </c>
      <c r="B391" s="9" t="s">
        <v>73</v>
      </c>
      <c r="C391" s="9" t="s">
        <v>74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46</v>
      </c>
      <c r="B392" s="9" t="s">
        <v>73</v>
      </c>
      <c r="C392" s="9" t="s">
        <v>74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47</v>
      </c>
      <c r="B393" s="9" t="s">
        <v>73</v>
      </c>
      <c r="C393" s="9" t="s">
        <v>74</v>
      </c>
      <c r="D393" s="10"/>
      <c r="E393" s="2"/>
      <c r="F393" s="10"/>
      <c r="G393" s="2"/>
      <c r="H393" s="10"/>
      <c r="I393" s="2"/>
      <c r="J393" s="10"/>
      <c r="K393" s="2"/>
    </row>
    <row r="394">
      <c r="A394" s="8" t="s">
        <v>48</v>
      </c>
      <c r="B394" s="9" t="s">
        <v>73</v>
      </c>
      <c r="C394" s="9" t="s">
        <v>74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49</v>
      </c>
      <c r="B395" s="9" t="s">
        <v>73</v>
      </c>
      <c r="C395" s="9" t="s">
        <v>74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16</v>
      </c>
      <c r="B396" s="9" t="s">
        <v>75</v>
      </c>
      <c r="C396" s="9" t="s">
        <v>76</v>
      </c>
      <c r="D396" s="10" t="s">
        <v>37</v>
      </c>
      <c r="E396" s="2" t="str">
        <f>"－"</f>
        <v>－</v>
      </c>
      <c r="F396" s="10" t="s">
        <v>37</v>
      </c>
      <c r="G396" s="2" t="str">
        <f>"－"</f>
        <v>－</v>
      </c>
      <c r="H396" s="10" t="s">
        <v>60</v>
      </c>
      <c r="I396" s="2" t="str">
        <f>"－"</f>
        <v>－</v>
      </c>
      <c r="J396" s="10"/>
      <c r="K396" s="2" t="n">
        <f>33400</f>
        <v>33400.0</v>
      </c>
    </row>
    <row r="397">
      <c r="A397" s="8" t="s">
        <v>19</v>
      </c>
      <c r="B397" s="9" t="s">
        <v>75</v>
      </c>
      <c r="C397" s="9" t="s">
        <v>76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n">
        <f>33400</f>
        <v>33400.0</v>
      </c>
    </row>
    <row r="398">
      <c r="A398" s="8" t="s">
        <v>20</v>
      </c>
      <c r="B398" s="9" t="s">
        <v>75</v>
      </c>
      <c r="C398" s="9" t="s">
        <v>76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n">
        <f>33400</f>
        <v>33400.0</v>
      </c>
    </row>
    <row r="399">
      <c r="A399" s="8" t="s">
        <v>21</v>
      </c>
      <c r="B399" s="9" t="s">
        <v>75</v>
      </c>
      <c r="C399" s="9" t="s">
        <v>76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n">
        <f>33400</f>
        <v>33400.0</v>
      </c>
    </row>
    <row r="400">
      <c r="A400" s="8" t="s">
        <v>22</v>
      </c>
      <c r="B400" s="9" t="s">
        <v>75</v>
      </c>
      <c r="C400" s="9" t="s">
        <v>76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n">
        <f>33400</f>
        <v>33400.0</v>
      </c>
    </row>
    <row r="401">
      <c r="A401" s="8" t="s">
        <v>23</v>
      </c>
      <c r="B401" s="9" t="s">
        <v>75</v>
      </c>
      <c r="C401" s="9" t="s">
        <v>76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24</v>
      </c>
      <c r="B402" s="9" t="s">
        <v>75</v>
      </c>
      <c r="C402" s="9" t="s">
        <v>76</v>
      </c>
      <c r="D402" s="10"/>
      <c r="E402" s="2"/>
      <c r="F402" s="10"/>
      <c r="G402" s="2"/>
      <c r="H402" s="10"/>
      <c r="I402" s="2"/>
      <c r="J402" s="10"/>
      <c r="K402" s="2"/>
    </row>
    <row r="403">
      <c r="A403" s="8" t="s">
        <v>25</v>
      </c>
      <c r="B403" s="9" t="s">
        <v>75</v>
      </c>
      <c r="C403" s="9" t="s">
        <v>76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n">
        <f>33400</f>
        <v>33400.0</v>
      </c>
    </row>
    <row r="404">
      <c r="A404" s="8" t="s">
        <v>27</v>
      </c>
      <c r="B404" s="9" t="s">
        <v>75</v>
      </c>
      <c r="C404" s="9" t="s">
        <v>76</v>
      </c>
      <c r="D404" s="10"/>
      <c r="E404" s="2" t="n">
        <f>10</f>
        <v>10.0</v>
      </c>
      <c r="F404" s="10"/>
      <c r="G404" s="2" t="n">
        <f>3960000</f>
        <v>3960000.0</v>
      </c>
      <c r="H404" s="10"/>
      <c r="I404" s="2" t="str">
        <f>"－"</f>
        <v>－</v>
      </c>
      <c r="J404" s="10" t="s">
        <v>26</v>
      </c>
      <c r="K404" s="2" t="n">
        <f>33410</f>
        <v>33410.0</v>
      </c>
    </row>
    <row r="405">
      <c r="A405" s="8" t="s">
        <v>28</v>
      </c>
      <c r="B405" s="9" t="s">
        <v>75</v>
      </c>
      <c r="C405" s="9" t="s">
        <v>76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n">
        <f>33410</f>
        <v>33410.0</v>
      </c>
    </row>
    <row r="406">
      <c r="A406" s="8" t="s">
        <v>29</v>
      </c>
      <c r="B406" s="9" t="s">
        <v>75</v>
      </c>
      <c r="C406" s="9" t="s">
        <v>76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n">
        <f>33410</f>
        <v>33410.0</v>
      </c>
    </row>
    <row r="407">
      <c r="A407" s="8" t="s">
        <v>30</v>
      </c>
      <c r="B407" s="9" t="s">
        <v>75</v>
      </c>
      <c r="C407" s="9" t="s">
        <v>76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n">
        <f>33410</f>
        <v>33410.0</v>
      </c>
    </row>
    <row r="408">
      <c r="A408" s="8" t="s">
        <v>31</v>
      </c>
      <c r="B408" s="9" t="s">
        <v>75</v>
      </c>
      <c r="C408" s="9" t="s">
        <v>76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32</v>
      </c>
      <c r="B409" s="9" t="s">
        <v>75</v>
      </c>
      <c r="C409" s="9" t="s">
        <v>76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33</v>
      </c>
      <c r="B410" s="9" t="s">
        <v>75</v>
      </c>
      <c r="C410" s="9" t="s">
        <v>76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33410</f>
        <v>33410.0</v>
      </c>
    </row>
    <row r="411">
      <c r="A411" s="8" t="s">
        <v>34</v>
      </c>
      <c r="B411" s="9" t="s">
        <v>75</v>
      </c>
      <c r="C411" s="9" t="s">
        <v>76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33410</f>
        <v>33410.0</v>
      </c>
    </row>
    <row r="412">
      <c r="A412" s="8" t="s">
        <v>35</v>
      </c>
      <c r="B412" s="9" t="s">
        <v>75</v>
      </c>
      <c r="C412" s="9" t="s">
        <v>76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33410</f>
        <v>33410.0</v>
      </c>
    </row>
    <row r="413">
      <c r="A413" s="8" t="s">
        <v>36</v>
      </c>
      <c r="B413" s="9" t="s">
        <v>75</v>
      </c>
      <c r="C413" s="9" t="s">
        <v>76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33410</f>
        <v>33410.0</v>
      </c>
    </row>
    <row r="414">
      <c r="A414" s="8" t="s">
        <v>38</v>
      </c>
      <c r="B414" s="9" t="s">
        <v>75</v>
      </c>
      <c r="C414" s="9" t="s">
        <v>76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33410</f>
        <v>33410.0</v>
      </c>
    </row>
    <row r="415">
      <c r="A415" s="8" t="s">
        <v>39</v>
      </c>
      <c r="B415" s="9" t="s">
        <v>75</v>
      </c>
      <c r="C415" s="9" t="s">
        <v>76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40</v>
      </c>
      <c r="B416" s="9" t="s">
        <v>75</v>
      </c>
      <c r="C416" s="9" t="s">
        <v>76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41</v>
      </c>
      <c r="B417" s="9" t="s">
        <v>75</v>
      </c>
      <c r="C417" s="9" t="s">
        <v>76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33410</f>
        <v>33410.0</v>
      </c>
    </row>
    <row r="418">
      <c r="A418" s="8" t="s">
        <v>42</v>
      </c>
      <c r="B418" s="9" t="s">
        <v>75</v>
      </c>
      <c r="C418" s="9" t="s">
        <v>76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33410</f>
        <v>33410.0</v>
      </c>
    </row>
    <row r="419">
      <c r="A419" s="8" t="s">
        <v>43</v>
      </c>
      <c r="B419" s="9" t="s">
        <v>75</v>
      </c>
      <c r="C419" s="9" t="s">
        <v>76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33410</f>
        <v>33410.0</v>
      </c>
    </row>
    <row r="420">
      <c r="A420" s="8" t="s">
        <v>44</v>
      </c>
      <c r="B420" s="9" t="s">
        <v>75</v>
      </c>
      <c r="C420" s="9" t="s">
        <v>76</v>
      </c>
      <c r="D420" s="10" t="s">
        <v>26</v>
      </c>
      <c r="E420" s="2" t="n">
        <f>1030</f>
        <v>1030.0</v>
      </c>
      <c r="F420" s="10" t="s">
        <v>26</v>
      </c>
      <c r="G420" s="2" t="n">
        <f>388310000</f>
        <v>3.8831E8</v>
      </c>
      <c r="H420" s="10"/>
      <c r="I420" s="2" t="str">
        <f>"－"</f>
        <v>－</v>
      </c>
      <c r="J420" s="10" t="s">
        <v>37</v>
      </c>
      <c r="K420" s="2" t="n">
        <f>32380</f>
        <v>32380.0</v>
      </c>
    </row>
    <row r="421">
      <c r="A421" s="8" t="s">
        <v>45</v>
      </c>
      <c r="B421" s="9" t="s">
        <v>75</v>
      </c>
      <c r="C421" s="9" t="s">
        <v>76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32380</f>
        <v>32380.0</v>
      </c>
    </row>
    <row r="422">
      <c r="A422" s="8" t="s">
        <v>46</v>
      </c>
      <c r="B422" s="9" t="s">
        <v>75</v>
      </c>
      <c r="C422" s="9" t="s">
        <v>76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47</v>
      </c>
      <c r="B423" s="9" t="s">
        <v>75</v>
      </c>
      <c r="C423" s="9" t="s">
        <v>76</v>
      </c>
      <c r="D423" s="10"/>
      <c r="E423" s="2"/>
      <c r="F423" s="10"/>
      <c r="G423" s="2"/>
      <c r="H423" s="10"/>
      <c r="I423" s="2"/>
      <c r="J423" s="10"/>
      <c r="K423" s="2"/>
    </row>
    <row r="424">
      <c r="A424" s="8" t="s">
        <v>48</v>
      </c>
      <c r="B424" s="9" t="s">
        <v>75</v>
      </c>
      <c r="C424" s="9" t="s">
        <v>76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32380</f>
        <v>32380.0</v>
      </c>
    </row>
    <row r="425">
      <c r="A425" s="8" t="s">
        <v>49</v>
      </c>
      <c r="B425" s="9" t="s">
        <v>75</v>
      </c>
      <c r="C425" s="9" t="s">
        <v>76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32380</f>
        <v>32380.0</v>
      </c>
    </row>
    <row r="426">
      <c r="A426" s="8" t="s">
        <v>16</v>
      </c>
      <c r="B426" s="9" t="s">
        <v>77</v>
      </c>
      <c r="C426" s="9" t="s">
        <v>78</v>
      </c>
      <c r="D426" s="10" t="s">
        <v>60</v>
      </c>
      <c r="E426" s="2" t="str">
        <f>"－"</f>
        <v>－</v>
      </c>
      <c r="F426" s="10" t="s">
        <v>60</v>
      </c>
      <c r="G426" s="2" t="str">
        <f>"－"</f>
        <v>－</v>
      </c>
      <c r="H426" s="10" t="s">
        <v>60</v>
      </c>
      <c r="I426" s="2" t="str">
        <f>"－"</f>
        <v>－</v>
      </c>
      <c r="J426" s="10" t="s">
        <v>60</v>
      </c>
      <c r="K426" s="2" t="str">
        <f>"－"</f>
        <v>－</v>
      </c>
    </row>
    <row r="427">
      <c r="A427" s="8" t="s">
        <v>19</v>
      </c>
      <c r="B427" s="9" t="s">
        <v>77</v>
      </c>
      <c r="C427" s="9" t="s">
        <v>78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20</v>
      </c>
      <c r="B428" s="9" t="s">
        <v>77</v>
      </c>
      <c r="C428" s="9" t="s">
        <v>78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str">
        <f>"－"</f>
        <v>－</v>
      </c>
    </row>
    <row r="429">
      <c r="A429" s="8" t="s">
        <v>21</v>
      </c>
      <c r="B429" s="9" t="s">
        <v>77</v>
      </c>
      <c r="C429" s="9" t="s">
        <v>78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str">
        <f>"－"</f>
        <v>－</v>
      </c>
    </row>
    <row r="430">
      <c r="A430" s="8" t="s">
        <v>22</v>
      </c>
      <c r="B430" s="9" t="s">
        <v>77</v>
      </c>
      <c r="C430" s="9" t="s">
        <v>78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str">
        <f>"－"</f>
        <v>－</v>
      </c>
    </row>
    <row r="431">
      <c r="A431" s="8" t="s">
        <v>23</v>
      </c>
      <c r="B431" s="9" t="s">
        <v>77</v>
      </c>
      <c r="C431" s="9" t="s">
        <v>78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24</v>
      </c>
      <c r="B432" s="9" t="s">
        <v>77</v>
      </c>
      <c r="C432" s="9" t="s">
        <v>78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25</v>
      </c>
      <c r="B433" s="9" t="s">
        <v>77</v>
      </c>
      <c r="C433" s="9" t="s">
        <v>78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27</v>
      </c>
      <c r="B434" s="9" t="s">
        <v>77</v>
      </c>
      <c r="C434" s="9" t="s">
        <v>78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28</v>
      </c>
      <c r="B435" s="9" t="s">
        <v>77</v>
      </c>
      <c r="C435" s="9" t="s">
        <v>78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str">
        <f>"－"</f>
        <v>－</v>
      </c>
    </row>
    <row r="436">
      <c r="A436" s="8" t="s">
        <v>29</v>
      </c>
      <c r="B436" s="9" t="s">
        <v>77</v>
      </c>
      <c r="C436" s="9" t="s">
        <v>78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str">
        <f>"－"</f>
        <v>－</v>
      </c>
    </row>
    <row r="437">
      <c r="A437" s="8" t="s">
        <v>30</v>
      </c>
      <c r="B437" s="9" t="s">
        <v>77</v>
      </c>
      <c r="C437" s="9" t="s">
        <v>78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str">
        <f>"－"</f>
        <v>－</v>
      </c>
    </row>
    <row r="438">
      <c r="A438" s="8" t="s">
        <v>31</v>
      </c>
      <c r="B438" s="9" t="s">
        <v>77</v>
      </c>
      <c r="C438" s="9" t="s">
        <v>78</v>
      </c>
      <c r="D438" s="10"/>
      <c r="E438" s="2"/>
      <c r="F438" s="10"/>
      <c r="G438" s="2"/>
      <c r="H438" s="10"/>
      <c r="I438" s="2"/>
      <c r="J438" s="10"/>
      <c r="K438" s="2"/>
    </row>
    <row r="439">
      <c r="A439" s="8" t="s">
        <v>32</v>
      </c>
      <c r="B439" s="9" t="s">
        <v>77</v>
      </c>
      <c r="C439" s="9" t="s">
        <v>78</v>
      </c>
      <c r="D439" s="10"/>
      <c r="E439" s="2"/>
      <c r="F439" s="10"/>
      <c r="G439" s="2"/>
      <c r="H439" s="10"/>
      <c r="I439" s="2"/>
      <c r="J439" s="10"/>
      <c r="K439" s="2"/>
    </row>
    <row r="440">
      <c r="A440" s="8" t="s">
        <v>33</v>
      </c>
      <c r="B440" s="9" t="s">
        <v>77</v>
      </c>
      <c r="C440" s="9" t="s">
        <v>78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str">
        <f>"－"</f>
        <v>－</v>
      </c>
    </row>
    <row r="441">
      <c r="A441" s="8" t="s">
        <v>34</v>
      </c>
      <c r="B441" s="9" t="s">
        <v>77</v>
      </c>
      <c r="C441" s="9" t="s">
        <v>78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35</v>
      </c>
      <c r="B442" s="9" t="s">
        <v>77</v>
      </c>
      <c r="C442" s="9" t="s">
        <v>78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36</v>
      </c>
      <c r="B443" s="9" t="s">
        <v>77</v>
      </c>
      <c r="C443" s="9" t="s">
        <v>78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38</v>
      </c>
      <c r="B444" s="9" t="s">
        <v>77</v>
      </c>
      <c r="C444" s="9" t="s">
        <v>78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39</v>
      </c>
      <c r="B445" s="9" t="s">
        <v>77</v>
      </c>
      <c r="C445" s="9" t="s">
        <v>78</v>
      </c>
      <c r="D445" s="10"/>
      <c r="E445" s="2"/>
      <c r="F445" s="10"/>
      <c r="G445" s="2"/>
      <c r="H445" s="10"/>
      <c r="I445" s="2"/>
      <c r="J445" s="10"/>
      <c r="K445" s="2"/>
    </row>
    <row r="446">
      <c r="A446" s="8" t="s">
        <v>40</v>
      </c>
      <c r="B446" s="9" t="s">
        <v>77</v>
      </c>
      <c r="C446" s="9" t="s">
        <v>78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41</v>
      </c>
      <c r="B447" s="9" t="s">
        <v>77</v>
      </c>
      <c r="C447" s="9" t="s">
        <v>78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42</v>
      </c>
      <c r="B448" s="9" t="s">
        <v>77</v>
      </c>
      <c r="C448" s="9" t="s">
        <v>78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43</v>
      </c>
      <c r="B449" s="9" t="s">
        <v>77</v>
      </c>
      <c r="C449" s="9" t="s">
        <v>78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44</v>
      </c>
      <c r="B450" s="9" t="s">
        <v>77</v>
      </c>
      <c r="C450" s="9" t="s">
        <v>78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45</v>
      </c>
      <c r="B451" s="9" t="s">
        <v>77</v>
      </c>
      <c r="C451" s="9" t="s">
        <v>78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46</v>
      </c>
      <c r="B452" s="9" t="s">
        <v>77</v>
      </c>
      <c r="C452" s="9" t="s">
        <v>78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47</v>
      </c>
      <c r="B453" s="9" t="s">
        <v>77</v>
      </c>
      <c r="C453" s="9" t="s">
        <v>78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48</v>
      </c>
      <c r="B454" s="9" t="s">
        <v>77</v>
      </c>
      <c r="C454" s="9" t="s">
        <v>78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49</v>
      </c>
      <c r="B455" s="9" t="s">
        <v>77</v>
      </c>
      <c r="C455" s="9" t="s">
        <v>78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16</v>
      </c>
      <c r="B456" s="9" t="s">
        <v>79</v>
      </c>
      <c r="C456" s="9" t="s">
        <v>80</v>
      </c>
      <c r="D456" s="10" t="s">
        <v>60</v>
      </c>
      <c r="E456" s="2" t="str">
        <f>"－"</f>
        <v>－</v>
      </c>
      <c r="F456" s="10" t="s">
        <v>60</v>
      </c>
      <c r="G456" s="2" t="str">
        <f>"－"</f>
        <v>－</v>
      </c>
      <c r="H456" s="10" t="s">
        <v>60</v>
      </c>
      <c r="I456" s="2" t="str">
        <f>"－"</f>
        <v>－</v>
      </c>
      <c r="J456" s="10" t="s">
        <v>60</v>
      </c>
      <c r="K456" s="2" t="str">
        <f>"－"</f>
        <v>－</v>
      </c>
    </row>
    <row r="457">
      <c r="A457" s="8" t="s">
        <v>19</v>
      </c>
      <c r="B457" s="9" t="s">
        <v>79</v>
      </c>
      <c r="C457" s="9" t="s">
        <v>80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20</v>
      </c>
      <c r="B458" s="9" t="s">
        <v>79</v>
      </c>
      <c r="C458" s="9" t="s">
        <v>80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21</v>
      </c>
      <c r="B459" s="9" t="s">
        <v>79</v>
      </c>
      <c r="C459" s="9" t="s">
        <v>80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22</v>
      </c>
      <c r="B460" s="9" t="s">
        <v>79</v>
      </c>
      <c r="C460" s="9" t="s">
        <v>80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23</v>
      </c>
      <c r="B461" s="9" t="s">
        <v>79</v>
      </c>
      <c r="C461" s="9" t="s">
        <v>80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24</v>
      </c>
      <c r="B462" s="9" t="s">
        <v>79</v>
      </c>
      <c r="C462" s="9" t="s">
        <v>80</v>
      </c>
      <c r="D462" s="10"/>
      <c r="E462" s="2"/>
      <c r="F462" s="10"/>
      <c r="G462" s="2"/>
      <c r="H462" s="10"/>
      <c r="I462" s="2"/>
      <c r="J462" s="10"/>
      <c r="K462" s="2"/>
    </row>
    <row r="463">
      <c r="A463" s="8" t="s">
        <v>25</v>
      </c>
      <c r="B463" s="9" t="s">
        <v>79</v>
      </c>
      <c r="C463" s="9" t="s">
        <v>80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27</v>
      </c>
      <c r="B464" s="9" t="s">
        <v>79</v>
      </c>
      <c r="C464" s="9" t="s">
        <v>80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28</v>
      </c>
      <c r="B465" s="9" t="s">
        <v>79</v>
      </c>
      <c r="C465" s="9" t="s">
        <v>80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29</v>
      </c>
      <c r="B466" s="9" t="s">
        <v>79</v>
      </c>
      <c r="C466" s="9" t="s">
        <v>80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30</v>
      </c>
      <c r="B467" s="9" t="s">
        <v>79</v>
      </c>
      <c r="C467" s="9" t="s">
        <v>80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31</v>
      </c>
      <c r="B468" s="9" t="s">
        <v>79</v>
      </c>
      <c r="C468" s="9" t="s">
        <v>80</v>
      </c>
      <c r="D468" s="10"/>
      <c r="E468" s="2"/>
      <c r="F468" s="10"/>
      <c r="G468" s="2"/>
      <c r="H468" s="10"/>
      <c r="I468" s="2"/>
      <c r="J468" s="10"/>
      <c r="K468" s="2"/>
    </row>
    <row r="469">
      <c r="A469" s="8" t="s">
        <v>32</v>
      </c>
      <c r="B469" s="9" t="s">
        <v>79</v>
      </c>
      <c r="C469" s="9" t="s">
        <v>80</v>
      </c>
      <c r="D469" s="10"/>
      <c r="E469" s="2"/>
      <c r="F469" s="10"/>
      <c r="G469" s="2"/>
      <c r="H469" s="10"/>
      <c r="I469" s="2"/>
      <c r="J469" s="10"/>
      <c r="K469" s="2"/>
    </row>
    <row r="470">
      <c r="A470" s="8" t="s">
        <v>33</v>
      </c>
      <c r="B470" s="9" t="s">
        <v>79</v>
      </c>
      <c r="C470" s="9" t="s">
        <v>80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34</v>
      </c>
      <c r="B471" s="9" t="s">
        <v>79</v>
      </c>
      <c r="C471" s="9" t="s">
        <v>80</v>
      </c>
      <c r="D471" s="10"/>
      <c r="E471" s="2" t="str">
        <f>"－"</f>
        <v>－</v>
      </c>
      <c r="F471" s="10"/>
      <c r="G471" s="2" t="str">
        <f>"－"</f>
        <v>－</v>
      </c>
      <c r="H471" s="10"/>
      <c r="I471" s="2" t="str">
        <f>"－"</f>
        <v>－</v>
      </c>
      <c r="J471" s="10"/>
      <c r="K471" s="2" t="str">
        <f>"－"</f>
        <v>－</v>
      </c>
    </row>
    <row r="472">
      <c r="A472" s="8" t="s">
        <v>35</v>
      </c>
      <c r="B472" s="9" t="s">
        <v>79</v>
      </c>
      <c r="C472" s="9" t="s">
        <v>80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36</v>
      </c>
      <c r="B473" s="9" t="s">
        <v>79</v>
      </c>
      <c r="C473" s="9" t="s">
        <v>80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38</v>
      </c>
      <c r="B474" s="9" t="s">
        <v>79</v>
      </c>
      <c r="C474" s="9" t="s">
        <v>80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39</v>
      </c>
      <c r="B475" s="9" t="s">
        <v>79</v>
      </c>
      <c r="C475" s="9" t="s">
        <v>80</v>
      </c>
      <c r="D475" s="10"/>
      <c r="E475" s="2"/>
      <c r="F475" s="10"/>
      <c r="G475" s="2"/>
      <c r="H475" s="10"/>
      <c r="I475" s="2"/>
      <c r="J475" s="10"/>
      <c r="K475" s="2"/>
    </row>
    <row r="476">
      <c r="A476" s="8" t="s">
        <v>40</v>
      </c>
      <c r="B476" s="9" t="s">
        <v>79</v>
      </c>
      <c r="C476" s="9" t="s">
        <v>80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41</v>
      </c>
      <c r="B477" s="9" t="s">
        <v>79</v>
      </c>
      <c r="C477" s="9" t="s">
        <v>80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42</v>
      </c>
      <c r="B478" s="9" t="s">
        <v>79</v>
      </c>
      <c r="C478" s="9" t="s">
        <v>80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43</v>
      </c>
      <c r="B479" s="9" t="s">
        <v>79</v>
      </c>
      <c r="C479" s="9" t="s">
        <v>80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44</v>
      </c>
      <c r="B480" s="9" t="s">
        <v>79</v>
      </c>
      <c r="C480" s="9" t="s">
        <v>80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45</v>
      </c>
      <c r="B481" s="9" t="s">
        <v>79</v>
      </c>
      <c r="C481" s="9" t="s">
        <v>80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46</v>
      </c>
      <c r="B482" s="9" t="s">
        <v>79</v>
      </c>
      <c r="C482" s="9" t="s">
        <v>80</v>
      </c>
      <c r="D482" s="10"/>
      <c r="E482" s="2"/>
      <c r="F482" s="10"/>
      <c r="G482" s="2"/>
      <c r="H482" s="10"/>
      <c r="I482" s="2"/>
      <c r="J482" s="10"/>
      <c r="K482" s="2"/>
    </row>
    <row r="483">
      <c r="A483" s="8" t="s">
        <v>47</v>
      </c>
      <c r="B483" s="9" t="s">
        <v>79</v>
      </c>
      <c r="C483" s="9" t="s">
        <v>80</v>
      </c>
      <c r="D483" s="10"/>
      <c r="E483" s="2"/>
      <c r="F483" s="10"/>
      <c r="G483" s="2"/>
      <c r="H483" s="10"/>
      <c r="I483" s="2"/>
      <c r="J483" s="10"/>
      <c r="K483" s="2"/>
    </row>
    <row r="484">
      <c r="A484" s="8" t="s">
        <v>48</v>
      </c>
      <c r="B484" s="9" t="s">
        <v>79</v>
      </c>
      <c r="C484" s="9" t="s">
        <v>80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49</v>
      </c>
      <c r="B485" s="9" t="s">
        <v>79</v>
      </c>
      <c r="C485" s="9" t="s">
        <v>80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16</v>
      </c>
      <c r="B486" s="9" t="s">
        <v>81</v>
      </c>
      <c r="C486" s="9" t="s">
        <v>82</v>
      </c>
      <c r="D486" s="10" t="s">
        <v>37</v>
      </c>
      <c r="E486" s="2" t="n">
        <f>4</f>
        <v>4.0</v>
      </c>
      <c r="F486" s="10" t="s">
        <v>37</v>
      </c>
      <c r="G486" s="2" t="n">
        <f>1110000</f>
        <v>1110000.0</v>
      </c>
      <c r="H486" s="10" t="s">
        <v>60</v>
      </c>
      <c r="I486" s="2" t="str">
        <f>"－"</f>
        <v>－</v>
      </c>
      <c r="J486" s="10"/>
      <c r="K486" s="2" t="n">
        <f>207</f>
        <v>207.0</v>
      </c>
    </row>
    <row r="487">
      <c r="A487" s="8" t="s">
        <v>19</v>
      </c>
      <c r="B487" s="9" t="s">
        <v>81</v>
      </c>
      <c r="C487" s="9" t="s">
        <v>82</v>
      </c>
      <c r="D487" s="10"/>
      <c r="E487" s="2" t="n">
        <f>51</f>
        <v>51.0</v>
      </c>
      <c r="F487" s="10"/>
      <c r="G487" s="2" t="n">
        <f>14038000</f>
        <v>1.4038E7</v>
      </c>
      <c r="H487" s="10"/>
      <c r="I487" s="2" t="str">
        <f>"－"</f>
        <v>－</v>
      </c>
      <c r="J487" s="10"/>
      <c r="K487" s="2" t="n">
        <f>206</f>
        <v>206.0</v>
      </c>
    </row>
    <row r="488">
      <c r="A488" s="8" t="s">
        <v>20</v>
      </c>
      <c r="B488" s="9" t="s">
        <v>81</v>
      </c>
      <c r="C488" s="9" t="s">
        <v>82</v>
      </c>
      <c r="D488" s="10"/>
      <c r="E488" s="2" t="n">
        <f>25</f>
        <v>25.0</v>
      </c>
      <c r="F488" s="10"/>
      <c r="G488" s="2" t="n">
        <f>6874000</f>
        <v>6874000.0</v>
      </c>
      <c r="H488" s="10"/>
      <c r="I488" s="2" t="str">
        <f>"－"</f>
        <v>－</v>
      </c>
      <c r="J488" s="10"/>
      <c r="K488" s="2" t="n">
        <f>202</f>
        <v>202.0</v>
      </c>
    </row>
    <row r="489">
      <c r="A489" s="8" t="s">
        <v>21</v>
      </c>
      <c r="B489" s="9" t="s">
        <v>81</v>
      </c>
      <c r="C489" s="9" t="s">
        <v>82</v>
      </c>
      <c r="D489" s="10"/>
      <c r="E489" s="2" t="n">
        <f>21</f>
        <v>21.0</v>
      </c>
      <c r="F489" s="10"/>
      <c r="G489" s="2" t="n">
        <f>5899500</f>
        <v>5899500.0</v>
      </c>
      <c r="H489" s="10"/>
      <c r="I489" s="2" t="str">
        <f>"－"</f>
        <v>－</v>
      </c>
      <c r="J489" s="10"/>
      <c r="K489" s="2" t="n">
        <f>193</f>
        <v>193.0</v>
      </c>
    </row>
    <row r="490">
      <c r="A490" s="8" t="s">
        <v>22</v>
      </c>
      <c r="B490" s="9" t="s">
        <v>81</v>
      </c>
      <c r="C490" s="9" t="s">
        <v>82</v>
      </c>
      <c r="D490" s="10"/>
      <c r="E490" s="2" t="n">
        <f>24</f>
        <v>24.0</v>
      </c>
      <c r="F490" s="10"/>
      <c r="G490" s="2" t="n">
        <f>6403000</f>
        <v>6403000.0</v>
      </c>
      <c r="H490" s="10"/>
      <c r="I490" s="2" t="str">
        <f>"－"</f>
        <v>－</v>
      </c>
      <c r="J490" s="10"/>
      <c r="K490" s="2" t="n">
        <f>181</f>
        <v>181.0</v>
      </c>
    </row>
    <row r="491">
      <c r="A491" s="8" t="s">
        <v>23</v>
      </c>
      <c r="B491" s="9" t="s">
        <v>81</v>
      </c>
      <c r="C491" s="9" t="s">
        <v>82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24</v>
      </c>
      <c r="B492" s="9" t="s">
        <v>81</v>
      </c>
      <c r="C492" s="9" t="s">
        <v>82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25</v>
      </c>
      <c r="B493" s="9" t="s">
        <v>81</v>
      </c>
      <c r="C493" s="9" t="s">
        <v>82</v>
      </c>
      <c r="D493" s="10"/>
      <c r="E493" s="2" t="n">
        <f>19</f>
        <v>19.0</v>
      </c>
      <c r="F493" s="10"/>
      <c r="G493" s="2" t="n">
        <f>4986000</f>
        <v>4986000.0</v>
      </c>
      <c r="H493" s="10"/>
      <c r="I493" s="2" t="str">
        <f>"－"</f>
        <v>－</v>
      </c>
      <c r="J493" s="10"/>
      <c r="K493" s="2" t="n">
        <f>176</f>
        <v>176.0</v>
      </c>
    </row>
    <row r="494">
      <c r="A494" s="8" t="s">
        <v>27</v>
      </c>
      <c r="B494" s="9" t="s">
        <v>81</v>
      </c>
      <c r="C494" s="9" t="s">
        <v>82</v>
      </c>
      <c r="D494" s="10"/>
      <c r="E494" s="2" t="n">
        <f>9</f>
        <v>9.0</v>
      </c>
      <c r="F494" s="10"/>
      <c r="G494" s="2" t="n">
        <f>2365000</f>
        <v>2365000.0</v>
      </c>
      <c r="H494" s="10"/>
      <c r="I494" s="2" t="str">
        <f>"－"</f>
        <v>－</v>
      </c>
      <c r="J494" s="10"/>
      <c r="K494" s="2" t="n">
        <f>174</f>
        <v>174.0</v>
      </c>
    </row>
    <row r="495">
      <c r="A495" s="8" t="s">
        <v>28</v>
      </c>
      <c r="B495" s="9" t="s">
        <v>81</v>
      </c>
      <c r="C495" s="9" t="s">
        <v>82</v>
      </c>
      <c r="D495" s="10"/>
      <c r="E495" s="2" t="n">
        <f>23</f>
        <v>23.0</v>
      </c>
      <c r="F495" s="10"/>
      <c r="G495" s="2" t="n">
        <f>6082500</f>
        <v>6082500.0</v>
      </c>
      <c r="H495" s="10"/>
      <c r="I495" s="2" t="str">
        <f>"－"</f>
        <v>－</v>
      </c>
      <c r="J495" s="10"/>
      <c r="K495" s="2" t="n">
        <f>171</f>
        <v>171.0</v>
      </c>
    </row>
    <row r="496">
      <c r="A496" s="8" t="s">
        <v>29</v>
      </c>
      <c r="B496" s="9" t="s">
        <v>81</v>
      </c>
      <c r="C496" s="9" t="s">
        <v>82</v>
      </c>
      <c r="D496" s="10"/>
      <c r="E496" s="2" t="n">
        <f>38</f>
        <v>38.0</v>
      </c>
      <c r="F496" s="10"/>
      <c r="G496" s="2" t="n">
        <f>10805000</f>
        <v>1.0805E7</v>
      </c>
      <c r="H496" s="10"/>
      <c r="I496" s="2" t="str">
        <f>"－"</f>
        <v>－</v>
      </c>
      <c r="J496" s="10" t="s">
        <v>37</v>
      </c>
      <c r="K496" s="2" t="n">
        <f>133</f>
        <v>133.0</v>
      </c>
    </row>
    <row r="497">
      <c r="A497" s="8" t="s">
        <v>30</v>
      </c>
      <c r="B497" s="9" t="s">
        <v>81</v>
      </c>
      <c r="C497" s="9" t="s">
        <v>82</v>
      </c>
      <c r="D497" s="10"/>
      <c r="E497" s="2" t="n">
        <f>63</f>
        <v>63.0</v>
      </c>
      <c r="F497" s="10"/>
      <c r="G497" s="2" t="n">
        <f>19406500</f>
        <v>1.94065E7</v>
      </c>
      <c r="H497" s="10"/>
      <c r="I497" s="2" t="str">
        <f>"－"</f>
        <v>－</v>
      </c>
      <c r="J497" s="10"/>
      <c r="K497" s="2" t="n">
        <f>164</f>
        <v>164.0</v>
      </c>
    </row>
    <row r="498">
      <c r="A498" s="8" t="s">
        <v>31</v>
      </c>
      <c r="B498" s="9" t="s">
        <v>81</v>
      </c>
      <c r="C498" s="9" t="s">
        <v>82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32</v>
      </c>
      <c r="B499" s="9" t="s">
        <v>81</v>
      </c>
      <c r="C499" s="9" t="s">
        <v>82</v>
      </c>
      <c r="D499" s="10"/>
      <c r="E499" s="2"/>
      <c r="F499" s="10"/>
      <c r="G499" s="2"/>
      <c r="H499" s="10"/>
      <c r="I499" s="2"/>
      <c r="J499" s="10"/>
      <c r="K499" s="2"/>
    </row>
    <row r="500">
      <c r="A500" s="8" t="s">
        <v>33</v>
      </c>
      <c r="B500" s="9" t="s">
        <v>81</v>
      </c>
      <c r="C500" s="9" t="s">
        <v>82</v>
      </c>
      <c r="D500" s="10"/>
      <c r="E500" s="2" t="n">
        <f>52</f>
        <v>52.0</v>
      </c>
      <c r="F500" s="10"/>
      <c r="G500" s="2" t="n">
        <f>17303000</f>
        <v>1.7303E7</v>
      </c>
      <c r="H500" s="10"/>
      <c r="I500" s="2" t="str">
        <f>"－"</f>
        <v>－</v>
      </c>
      <c r="J500" s="10"/>
      <c r="K500" s="2" t="n">
        <f>182</f>
        <v>182.0</v>
      </c>
    </row>
    <row r="501">
      <c r="A501" s="8" t="s">
        <v>34</v>
      </c>
      <c r="B501" s="9" t="s">
        <v>81</v>
      </c>
      <c r="C501" s="9" t="s">
        <v>82</v>
      </c>
      <c r="D501" s="10"/>
      <c r="E501" s="2" t="n">
        <f>45</f>
        <v>45.0</v>
      </c>
      <c r="F501" s="10"/>
      <c r="G501" s="2" t="n">
        <f>14425000</f>
        <v>1.4425E7</v>
      </c>
      <c r="H501" s="10"/>
      <c r="I501" s="2" t="str">
        <f>"－"</f>
        <v>－</v>
      </c>
      <c r="J501" s="10"/>
      <c r="K501" s="2" t="n">
        <f>204</f>
        <v>204.0</v>
      </c>
    </row>
    <row r="502">
      <c r="A502" s="8" t="s">
        <v>35</v>
      </c>
      <c r="B502" s="9" t="s">
        <v>81</v>
      </c>
      <c r="C502" s="9" t="s">
        <v>82</v>
      </c>
      <c r="D502" s="10"/>
      <c r="E502" s="2" t="n">
        <f>38</f>
        <v>38.0</v>
      </c>
      <c r="F502" s="10"/>
      <c r="G502" s="2" t="n">
        <f>12201000</f>
        <v>1.2201E7</v>
      </c>
      <c r="H502" s="10"/>
      <c r="I502" s="2" t="str">
        <f>"－"</f>
        <v>－</v>
      </c>
      <c r="J502" s="10"/>
      <c r="K502" s="2" t="n">
        <f>202</f>
        <v>202.0</v>
      </c>
    </row>
    <row r="503">
      <c r="A503" s="8" t="s">
        <v>36</v>
      </c>
      <c r="B503" s="9" t="s">
        <v>81</v>
      </c>
      <c r="C503" s="9" t="s">
        <v>82</v>
      </c>
      <c r="D503" s="10"/>
      <c r="E503" s="2" t="n">
        <f>60</f>
        <v>60.0</v>
      </c>
      <c r="F503" s="10"/>
      <c r="G503" s="2" t="n">
        <f>19314000</f>
        <v>1.9314E7</v>
      </c>
      <c r="H503" s="10"/>
      <c r="I503" s="2" t="str">
        <f>"－"</f>
        <v>－</v>
      </c>
      <c r="J503" s="10"/>
      <c r="K503" s="2" t="n">
        <f>216</f>
        <v>216.0</v>
      </c>
    </row>
    <row r="504">
      <c r="A504" s="8" t="s">
        <v>38</v>
      </c>
      <c r="B504" s="9" t="s">
        <v>81</v>
      </c>
      <c r="C504" s="9" t="s">
        <v>82</v>
      </c>
      <c r="D504" s="10"/>
      <c r="E504" s="2" t="n">
        <f>48</f>
        <v>48.0</v>
      </c>
      <c r="F504" s="10"/>
      <c r="G504" s="2" t="n">
        <f>14905500</f>
        <v>1.49055E7</v>
      </c>
      <c r="H504" s="10"/>
      <c r="I504" s="2" t="str">
        <f>"－"</f>
        <v>－</v>
      </c>
      <c r="J504" s="10"/>
      <c r="K504" s="2" t="n">
        <f>214</f>
        <v>214.0</v>
      </c>
    </row>
    <row r="505">
      <c r="A505" s="8" t="s">
        <v>39</v>
      </c>
      <c r="B505" s="9" t="s">
        <v>81</v>
      </c>
      <c r="C505" s="9" t="s">
        <v>82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40</v>
      </c>
      <c r="B506" s="9" t="s">
        <v>81</v>
      </c>
      <c r="C506" s="9" t="s">
        <v>82</v>
      </c>
      <c r="D506" s="10"/>
      <c r="E506" s="2"/>
      <c r="F506" s="10"/>
      <c r="G506" s="2"/>
      <c r="H506" s="10"/>
      <c r="I506" s="2"/>
      <c r="J506" s="10"/>
      <c r="K506" s="2"/>
    </row>
    <row r="507">
      <c r="A507" s="8" t="s">
        <v>41</v>
      </c>
      <c r="B507" s="9" t="s">
        <v>81</v>
      </c>
      <c r="C507" s="9" t="s">
        <v>82</v>
      </c>
      <c r="D507" s="10"/>
      <c r="E507" s="2" t="n">
        <f>42</f>
        <v>42.0</v>
      </c>
      <c r="F507" s="10"/>
      <c r="G507" s="2" t="n">
        <f>13183000</f>
        <v>1.3183E7</v>
      </c>
      <c r="H507" s="10"/>
      <c r="I507" s="2" t="str">
        <f>"－"</f>
        <v>－</v>
      </c>
      <c r="J507" s="10"/>
      <c r="K507" s="2" t="n">
        <f>220</f>
        <v>220.0</v>
      </c>
    </row>
    <row r="508">
      <c r="A508" s="8" t="s">
        <v>42</v>
      </c>
      <c r="B508" s="9" t="s">
        <v>81</v>
      </c>
      <c r="C508" s="9" t="s">
        <v>82</v>
      </c>
      <c r="D508" s="10"/>
      <c r="E508" s="2" t="n">
        <f>77</f>
        <v>77.0</v>
      </c>
      <c r="F508" s="10"/>
      <c r="G508" s="2" t="n">
        <f>23447000</f>
        <v>2.3447E7</v>
      </c>
      <c r="H508" s="10"/>
      <c r="I508" s="2" t="str">
        <f>"－"</f>
        <v>－</v>
      </c>
      <c r="J508" s="10"/>
      <c r="K508" s="2" t="n">
        <f>239</f>
        <v>239.0</v>
      </c>
    </row>
    <row r="509">
      <c r="A509" s="8" t="s">
        <v>43</v>
      </c>
      <c r="B509" s="9" t="s">
        <v>81</v>
      </c>
      <c r="C509" s="9" t="s">
        <v>82</v>
      </c>
      <c r="D509" s="10"/>
      <c r="E509" s="2" t="n">
        <f>34</f>
        <v>34.0</v>
      </c>
      <c r="F509" s="10"/>
      <c r="G509" s="2" t="n">
        <f>10047500</f>
        <v>1.00475E7</v>
      </c>
      <c r="H509" s="10"/>
      <c r="I509" s="2" t="str">
        <f>"－"</f>
        <v>－</v>
      </c>
      <c r="J509" s="10"/>
      <c r="K509" s="2" t="n">
        <f>247</f>
        <v>247.0</v>
      </c>
    </row>
    <row r="510">
      <c r="A510" s="8" t="s">
        <v>44</v>
      </c>
      <c r="B510" s="9" t="s">
        <v>81</v>
      </c>
      <c r="C510" s="9" t="s">
        <v>82</v>
      </c>
      <c r="D510" s="10"/>
      <c r="E510" s="2" t="n">
        <f>44</f>
        <v>44.0</v>
      </c>
      <c r="F510" s="10"/>
      <c r="G510" s="2" t="n">
        <f>13702000</f>
        <v>1.3702E7</v>
      </c>
      <c r="H510" s="10"/>
      <c r="I510" s="2" t="str">
        <f>"－"</f>
        <v>－</v>
      </c>
      <c r="J510" s="10"/>
      <c r="K510" s="2" t="n">
        <f>276</f>
        <v>276.0</v>
      </c>
    </row>
    <row r="511">
      <c r="A511" s="8" t="s">
        <v>45</v>
      </c>
      <c r="B511" s="9" t="s">
        <v>81</v>
      </c>
      <c r="C511" s="9" t="s">
        <v>82</v>
      </c>
      <c r="D511" s="10"/>
      <c r="E511" s="2" t="n">
        <f>30</f>
        <v>30.0</v>
      </c>
      <c r="F511" s="10"/>
      <c r="G511" s="2" t="n">
        <f>9140500</f>
        <v>9140500.0</v>
      </c>
      <c r="H511" s="10"/>
      <c r="I511" s="2" t="str">
        <f>"－"</f>
        <v>－</v>
      </c>
      <c r="J511" s="10"/>
      <c r="K511" s="2" t="n">
        <f>296</f>
        <v>296.0</v>
      </c>
    </row>
    <row r="512">
      <c r="A512" s="8" t="s">
        <v>46</v>
      </c>
      <c r="B512" s="9" t="s">
        <v>81</v>
      </c>
      <c r="C512" s="9" t="s">
        <v>82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47</v>
      </c>
      <c r="B513" s="9" t="s">
        <v>81</v>
      </c>
      <c r="C513" s="9" t="s">
        <v>82</v>
      </c>
      <c r="D513" s="10"/>
      <c r="E513" s="2"/>
      <c r="F513" s="10"/>
      <c r="G513" s="2"/>
      <c r="H513" s="10"/>
      <c r="I513" s="2"/>
      <c r="J513" s="10"/>
      <c r="K513" s="2"/>
    </row>
    <row r="514">
      <c r="A514" s="8" t="s">
        <v>48</v>
      </c>
      <c r="B514" s="9" t="s">
        <v>81</v>
      </c>
      <c r="C514" s="9" t="s">
        <v>82</v>
      </c>
      <c r="D514" s="10" t="s">
        <v>26</v>
      </c>
      <c r="E514" s="2" t="n">
        <f>97</f>
        <v>97.0</v>
      </c>
      <c r="F514" s="10" t="s">
        <v>26</v>
      </c>
      <c r="G514" s="2" t="n">
        <f>31722500</f>
        <v>3.17225E7</v>
      </c>
      <c r="H514" s="10"/>
      <c r="I514" s="2" t="str">
        <f>"－"</f>
        <v>－</v>
      </c>
      <c r="J514" s="10"/>
      <c r="K514" s="2" t="n">
        <f>330</f>
        <v>330.0</v>
      </c>
    </row>
    <row r="515">
      <c r="A515" s="8" t="s">
        <v>49</v>
      </c>
      <c r="B515" s="9" t="s">
        <v>81</v>
      </c>
      <c r="C515" s="9" t="s">
        <v>82</v>
      </c>
      <c r="D515" s="10"/>
      <c r="E515" s="2" t="n">
        <f>36</f>
        <v>36.0</v>
      </c>
      <c r="F515" s="10"/>
      <c r="G515" s="2" t="n">
        <f>10908500</f>
        <v>1.09085E7</v>
      </c>
      <c r="H515" s="10"/>
      <c r="I515" s="2" t="str">
        <f>"－"</f>
        <v>－</v>
      </c>
      <c r="J515" s="10" t="s">
        <v>26</v>
      </c>
      <c r="K515" s="2" t="n">
        <f>356</f>
        <v>356.0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2019-03-19T11:56:29Z</dcterms:modified>
</cp:coreProperties>
</file>