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<sst xmlns="http://schemas.openxmlformats.org/spreadsheetml/2006/main" count="500" uniqueCount="67">
  <si>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</si>
  <si>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</si>
  <si>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</si>
  <si>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</si>
  <si>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</si>
  <si>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</si>
  <si>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</si>
  <si>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</si>
  <si>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</si>
  <si>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</si>
  <si>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</si>
  <si>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</si>
  <si>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</si>
  <si>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</si>
  <si>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</si>
  <si>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</si>
  <si>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</si>
  <si>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</si>
  <si>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</si>
  <si>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</si>
  <si>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</si>
  <si>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</si>
  <si>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</si>
  <si>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</si>
  <si>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</si>
  <si>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</si>
  <si>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6.1</t>
  </si>
  <si>
    <t>日経225オプション</t>
  </si>
  <si>
    <t>Nikkei 225 Options</t>
  </si>
  <si>
    <t>2</t>
  </si>
  <si>
    <t>◎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</si>
  <si>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</si>
  <si>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</si>
  <si>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</si>
  <si>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</si>
  <si>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</si>
  <si>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</si>
  <si>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</si>
  <si>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</si>
  <si>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</si>
  <si>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</si>
  <si>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</si>
  <si>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</si>
  <si>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</si>
  <si>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●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</si>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</sst>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29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77789</f>
        <v>77789.0</v>
      </c>
      <c r="F10" s="23"/>
      <c r="G10" s="25" t="n">
        <f>52404</f>
        <v>52404.0</v>
      </c>
      <c r="H10" s="23"/>
      <c r="I10" s="26" t="n">
        <f>130193</f>
        <v>130193.0</v>
      </c>
      <c r="J10" s="24"/>
      <c r="K10" s="25" t="n">
        <f>17549087700</f>
        <v>1.75490877E10</v>
      </c>
      <c r="L10" s="23"/>
      <c r="M10" s="25" t="n">
        <f>20793725620</f>
        <v>2.079372562E10</v>
      </c>
      <c r="N10" s="23"/>
      <c r="O10" s="26" t="n">
        <f>38342813320</f>
        <v>3.834281332E10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13580</f>
        <v>13580.0</v>
      </c>
      <c r="U10" s="23"/>
      <c r="V10" s="25" t="n">
        <f>4450</f>
        <v>4450.0</v>
      </c>
      <c r="W10" s="23"/>
      <c r="X10" s="26" t="n">
        <f>18030</f>
        <v>18030.0</v>
      </c>
      <c r="Y10" s="24"/>
      <c r="Z10" s="25" t="n">
        <f>1337264</f>
        <v>1337264.0</v>
      </c>
      <c r="AA10" s="23"/>
      <c r="AB10" s="25" t="n">
        <f>709058</f>
        <v>709058.0</v>
      </c>
      <c r="AC10" s="23"/>
      <c r="AD10" s="26" t="n">
        <f>2046322</f>
        <v>2046322.0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75291</f>
        <v>75291.0</v>
      </c>
      <c r="F11" s="23"/>
      <c r="G11" s="25" t="n">
        <f>60469</f>
        <v>60469.0</v>
      </c>
      <c r="H11" s="23"/>
      <c r="I11" s="26" t="n">
        <f>135760</f>
        <v>135760.0</v>
      </c>
      <c r="J11" s="24"/>
      <c r="K11" s="25" t="n">
        <f>22979141697</f>
        <v>2.2979141697E10</v>
      </c>
      <c r="L11" s="23" t="s">
        <v>30</v>
      </c>
      <c r="M11" s="25" t="n">
        <f>34547517110</f>
        <v>3.454751711E10</v>
      </c>
      <c r="N11" s="23"/>
      <c r="O11" s="26" t="n">
        <f>57526658807</f>
        <v>5.7526658807E10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13520</f>
        <v>13520.0</v>
      </c>
      <c r="U11" s="23"/>
      <c r="V11" s="25" t="n">
        <f>7358</f>
        <v>7358.0</v>
      </c>
      <c r="W11" s="23"/>
      <c r="X11" s="26" t="n">
        <f>20878</f>
        <v>20878.0</v>
      </c>
      <c r="Y11" s="24"/>
      <c r="Z11" s="25" t="n">
        <f>1351873</f>
        <v>1351873.0</v>
      </c>
      <c r="AA11" s="23"/>
      <c r="AB11" s="25" t="n">
        <f>711604</f>
        <v>711604.0</v>
      </c>
      <c r="AC11" s="23"/>
      <c r="AD11" s="26" t="n">
        <f>2063477</f>
        <v>2063477.0</v>
      </c>
    </row>
    <row r="12">
      <c r="A12" s="30" t="s">
        <v>31</v>
      </c>
      <c r="B12" s="22" t="s">
        <v>27</v>
      </c>
      <c r="C12" s="22" t="s">
        <v>28</v>
      </c>
      <c r="D12" s="24"/>
      <c r="E12" s="25" t="n">
        <f>95074</f>
        <v>95074.0</v>
      </c>
      <c r="F12" s="23" t="s">
        <v>30</v>
      </c>
      <c r="G12" s="25" t="n">
        <f>92898</f>
        <v>92898.0</v>
      </c>
      <c r="H12" s="23"/>
      <c r="I12" s="26" t="n">
        <f>187972</f>
        <v>187972.0</v>
      </c>
      <c r="J12" s="24"/>
      <c r="K12" s="25" t="n">
        <f>29988261050</f>
        <v>2.998826105E10</v>
      </c>
      <c r="L12" s="23"/>
      <c r="M12" s="25" t="n">
        <f>32031694300</f>
        <v>3.20316943E10</v>
      </c>
      <c r="N12" s="23" t="s">
        <v>30</v>
      </c>
      <c r="O12" s="26" t="n">
        <f>62019955350</f>
        <v>6.201995535E10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12113</f>
        <v>12113.0</v>
      </c>
      <c r="U12" s="23" t="s">
        <v>30</v>
      </c>
      <c r="V12" s="25" t="n">
        <f>25705</f>
        <v>25705.0</v>
      </c>
      <c r="W12" s="23"/>
      <c r="X12" s="26" t="n">
        <f>37818</f>
        <v>37818.0</v>
      </c>
      <c r="Y12" s="24"/>
      <c r="Z12" s="25" t="n">
        <f>1375682</f>
        <v>1375682.0</v>
      </c>
      <c r="AA12" s="23"/>
      <c r="AB12" s="25" t="n">
        <f>730073</f>
        <v>730073.0</v>
      </c>
      <c r="AC12" s="23"/>
      <c r="AD12" s="26" t="n">
        <f>2105755</f>
        <v>2105755.0</v>
      </c>
    </row>
    <row r="13">
      <c r="A13" s="30" t="s">
        <v>32</v>
      </c>
      <c r="B13" s="22" t="s">
        <v>27</v>
      </c>
      <c r="C13" s="22" t="s">
        <v>28</v>
      </c>
      <c r="D13" s="24"/>
      <c r="E13" s="25" t="n">
        <f>86491</f>
        <v>86491.0</v>
      </c>
      <c r="F13" s="23"/>
      <c r="G13" s="25" t="n">
        <f>74396</f>
        <v>74396.0</v>
      </c>
      <c r="H13" s="23"/>
      <c r="I13" s="26" t="n">
        <f>160887</f>
        <v>160887.0</v>
      </c>
      <c r="J13" s="24"/>
      <c r="K13" s="25" t="n">
        <f>26519940040</f>
        <v>2.651994004E10</v>
      </c>
      <c r="L13" s="23"/>
      <c r="M13" s="25" t="n">
        <f>33524196200</f>
        <v>3.35241962E10</v>
      </c>
      <c r="N13" s="23"/>
      <c r="O13" s="26" t="n">
        <f>60044136240</f>
        <v>6.004413624E10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/>
      <c r="T13" s="25" t="n">
        <f>13428</f>
        <v>13428.0</v>
      </c>
      <c r="U13" s="23"/>
      <c r="V13" s="25" t="n">
        <f>11510</f>
        <v>11510.0</v>
      </c>
      <c r="W13" s="23"/>
      <c r="X13" s="26" t="n">
        <f>24938</f>
        <v>24938.0</v>
      </c>
      <c r="Y13" s="24"/>
      <c r="Z13" s="25" t="n">
        <f>1393650</f>
        <v>1393650.0</v>
      </c>
      <c r="AA13" s="23"/>
      <c r="AB13" s="25" t="n">
        <f>746394</f>
        <v>746394.0</v>
      </c>
      <c r="AC13" s="23"/>
      <c r="AD13" s="26" t="n">
        <f>2140044</f>
        <v>2140044.0</v>
      </c>
    </row>
    <row r="14">
      <c r="A14" s="30" t="s">
        <v>33</v>
      </c>
      <c r="B14" s="22" t="s">
        <v>27</v>
      </c>
      <c r="C14" s="22" t="s">
        <v>28</v>
      </c>
      <c r="D14" s="24"/>
      <c r="E14" s="25" t="n">
        <f>91451</f>
        <v>91451.0</v>
      </c>
      <c r="F14" s="23"/>
      <c r="G14" s="25" t="n">
        <f>66208</f>
        <v>66208.0</v>
      </c>
      <c r="H14" s="23"/>
      <c r="I14" s="26" t="n">
        <f>157659</f>
        <v>157659.0</v>
      </c>
      <c r="J14" s="24"/>
      <c r="K14" s="25" t="n">
        <f>15536985200</f>
        <v>1.55369852E10</v>
      </c>
      <c r="L14" s="23"/>
      <c r="M14" s="25" t="n">
        <f>15623008900</f>
        <v>1.56230089E10</v>
      </c>
      <c r="N14" s="23"/>
      <c r="O14" s="26" t="n">
        <f>31159994100</f>
        <v>3.11599941E10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19529</f>
        <v>19529.0</v>
      </c>
      <c r="U14" s="23"/>
      <c r="V14" s="25" t="n">
        <f>8463</f>
        <v>8463.0</v>
      </c>
      <c r="W14" s="23"/>
      <c r="X14" s="26" t="n">
        <f>27992</f>
        <v>27992.0</v>
      </c>
      <c r="Y14" s="24"/>
      <c r="Z14" s="25" t="n">
        <f>1405056</f>
        <v>1405056.0</v>
      </c>
      <c r="AA14" s="23"/>
      <c r="AB14" s="25" t="n">
        <f>751121</f>
        <v>751121.0</v>
      </c>
      <c r="AC14" s="23"/>
      <c r="AD14" s="26" t="n">
        <f>2156177</f>
        <v>2156177.0</v>
      </c>
    </row>
    <row r="15">
      <c r="A15" s="30" t="s">
        <v>34</v>
      </c>
      <c r="B15" s="22" t="s">
        <v>27</v>
      </c>
      <c r="C15" s="22" t="s">
        <v>28</v>
      </c>
      <c r="D15" s="24"/>
      <c r="E15" s="25"/>
      <c r="F15" s="23"/>
      <c r="G15" s="25"/>
      <c r="H15" s="23"/>
      <c r="I15" s="26"/>
      <c r="J15" s="24"/>
      <c r="K15" s="25"/>
      <c r="L15" s="23"/>
      <c r="M15" s="25"/>
      <c r="N15" s="23"/>
      <c r="O15" s="26"/>
      <c r="P15" s="27"/>
      <c r="Q15" s="28"/>
      <c r="R15" s="29"/>
      <c r="S15" s="24"/>
      <c r="T15" s="25"/>
      <c r="U15" s="23"/>
      <c r="V15" s="25"/>
      <c r="W15" s="23"/>
      <c r="X15" s="26"/>
      <c r="Y15" s="24"/>
      <c r="Z15" s="25"/>
      <c r="AA15" s="23"/>
      <c r="AB15" s="25"/>
      <c r="AC15" s="23"/>
      <c r="AD15" s="26"/>
    </row>
    <row r="16">
      <c r="A16" s="30" t="s">
        <v>35</v>
      </c>
      <c r="B16" s="22" t="s">
        <v>27</v>
      </c>
      <c r="C16" s="22" t="s">
        <v>28</v>
      </c>
      <c r="D16" s="24"/>
      <c r="E16" s="25"/>
      <c r="F16" s="23"/>
      <c r="G16" s="25"/>
      <c r="H16" s="23"/>
      <c r="I16" s="26"/>
      <c r="J16" s="24"/>
      <c r="K16" s="25"/>
      <c r="L16" s="23"/>
      <c r="M16" s="25"/>
      <c r="N16" s="23"/>
      <c r="O16" s="26"/>
      <c r="P16" s="27"/>
      <c r="Q16" s="28"/>
      <c r="R16" s="29"/>
      <c r="S16" s="24"/>
      <c r="T16" s="25"/>
      <c r="U16" s="23"/>
      <c r="V16" s="25"/>
      <c r="W16" s="23"/>
      <c r="X16" s="26"/>
      <c r="Y16" s="24"/>
      <c r="Z16" s="25"/>
      <c r="AA16" s="23"/>
      <c r="AB16" s="25"/>
      <c r="AC16" s="23"/>
      <c r="AD16" s="26"/>
    </row>
    <row r="17">
      <c r="A17" s="30" t="s">
        <v>36</v>
      </c>
      <c r="B17" s="22" t="s">
        <v>27</v>
      </c>
      <c r="C17" s="22" t="s">
        <v>28</v>
      </c>
      <c r="D17" s="24" t="s">
        <v>30</v>
      </c>
      <c r="E17" s="25" t="n">
        <f>118786</f>
        <v>118786.0</v>
      </c>
      <c r="F17" s="23"/>
      <c r="G17" s="25" t="n">
        <f>78662</f>
        <v>78662.0</v>
      </c>
      <c r="H17" s="23" t="s">
        <v>30</v>
      </c>
      <c r="I17" s="26" t="n">
        <f>197448</f>
        <v>197448.0</v>
      </c>
      <c r="J17" s="24"/>
      <c r="K17" s="25" t="n">
        <f>24676864900</f>
        <v>2.46768649E10</v>
      </c>
      <c r="L17" s="23"/>
      <c r="M17" s="25" t="n">
        <f>21645269880</f>
        <v>2.164526988E10</v>
      </c>
      <c r="N17" s="23"/>
      <c r="O17" s="26" t="n">
        <f>46322134780</f>
        <v>4.632213478E10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18945</f>
        <v>18945.0</v>
      </c>
      <c r="U17" s="23"/>
      <c r="V17" s="25" t="n">
        <f>15104</f>
        <v>15104.0</v>
      </c>
      <c r="W17" s="23"/>
      <c r="X17" s="26" t="n">
        <f>34049</f>
        <v>34049.0</v>
      </c>
      <c r="Y17" s="24"/>
      <c r="Z17" s="25" t="n">
        <f>1431187</f>
        <v>1431187.0</v>
      </c>
      <c r="AA17" s="23"/>
      <c r="AB17" s="25" t="n">
        <f>760538</f>
        <v>760538.0</v>
      </c>
      <c r="AC17" s="23"/>
      <c r="AD17" s="26" t="n">
        <f>2191725</f>
        <v>2191725.0</v>
      </c>
    </row>
    <row r="18">
      <c r="A18" s="30" t="s">
        <v>37</v>
      </c>
      <c r="B18" s="22" t="s">
        <v>27</v>
      </c>
      <c r="C18" s="22" t="s">
        <v>28</v>
      </c>
      <c r="D18" s="24"/>
      <c r="E18" s="25" t="n">
        <f>78130</f>
        <v>78130.0</v>
      </c>
      <c r="F18" s="23"/>
      <c r="G18" s="25" t="n">
        <f>64852</f>
        <v>64852.0</v>
      </c>
      <c r="H18" s="23"/>
      <c r="I18" s="26" t="n">
        <f>142982</f>
        <v>142982.0</v>
      </c>
      <c r="J18" s="24"/>
      <c r="K18" s="25" t="n">
        <f>17528061500</f>
        <v>1.75280615E10</v>
      </c>
      <c r="L18" s="23"/>
      <c r="M18" s="25" t="n">
        <f>23577989180</f>
        <v>2.357798918E10</v>
      </c>
      <c r="N18" s="23"/>
      <c r="O18" s="26" t="n">
        <f>41106050680</f>
        <v>4.110605068E10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8642</f>
        <v>8642.0</v>
      </c>
      <c r="U18" s="23"/>
      <c r="V18" s="25" t="n">
        <f>11785</f>
        <v>11785.0</v>
      </c>
      <c r="W18" s="23"/>
      <c r="X18" s="26" t="n">
        <f>20427</f>
        <v>20427.0</v>
      </c>
      <c r="Y18" s="24"/>
      <c r="Z18" s="25" t="n">
        <f>1448223</f>
        <v>1448223.0</v>
      </c>
      <c r="AA18" s="23"/>
      <c r="AB18" s="25" t="n">
        <f>770014</f>
        <v>770014.0</v>
      </c>
      <c r="AC18" s="23"/>
      <c r="AD18" s="26" t="n">
        <f>2218237</f>
        <v>2218237.0</v>
      </c>
    </row>
    <row r="19">
      <c r="A19" s="30" t="s">
        <v>38</v>
      </c>
      <c r="B19" s="22" t="s">
        <v>27</v>
      </c>
      <c r="C19" s="22" t="s">
        <v>28</v>
      </c>
      <c r="D19" s="24"/>
      <c r="E19" s="25" t="n">
        <f>103823</f>
        <v>103823.0</v>
      </c>
      <c r="F19" s="23"/>
      <c r="G19" s="25" t="n">
        <f>63654</f>
        <v>63654.0</v>
      </c>
      <c r="H19" s="23"/>
      <c r="I19" s="26" t="n">
        <f>167477</f>
        <v>167477.0</v>
      </c>
      <c r="J19" s="24"/>
      <c r="K19" s="25" t="n">
        <f>19559631020</f>
        <v>1.955963102E10</v>
      </c>
      <c r="L19" s="23"/>
      <c r="M19" s="25" t="n">
        <f>17206342050</f>
        <v>1.720634205E10</v>
      </c>
      <c r="N19" s="23"/>
      <c r="O19" s="26" t="n">
        <f>36765973070</f>
        <v>3.676597307E10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15639</f>
        <v>15639.0</v>
      </c>
      <c r="U19" s="23"/>
      <c r="V19" s="25" t="n">
        <f>9131</f>
        <v>9131.0</v>
      </c>
      <c r="W19" s="23"/>
      <c r="X19" s="26" t="n">
        <f>24770</f>
        <v>24770.0</v>
      </c>
      <c r="Y19" s="24"/>
      <c r="Z19" s="25" t="n">
        <f>1466689</f>
        <v>1466689.0</v>
      </c>
      <c r="AA19" s="23"/>
      <c r="AB19" s="25" t="n">
        <f>770017</f>
        <v>770017.0</v>
      </c>
      <c r="AC19" s="23"/>
      <c r="AD19" s="26" t="n">
        <f>2236706</f>
        <v>2236706.0</v>
      </c>
    </row>
    <row r="20">
      <c r="A20" s="30" t="s">
        <v>39</v>
      </c>
      <c r="B20" s="22" t="s">
        <v>27</v>
      </c>
      <c r="C20" s="22" t="s">
        <v>28</v>
      </c>
      <c r="D20" s="24"/>
      <c r="E20" s="25" t="n">
        <f>116184</f>
        <v>116184.0</v>
      </c>
      <c r="F20" s="23"/>
      <c r="G20" s="25" t="n">
        <f>74419</f>
        <v>74419.0</v>
      </c>
      <c r="H20" s="23"/>
      <c r="I20" s="26" t="n">
        <f>190603</f>
        <v>190603.0</v>
      </c>
      <c r="J20" s="24"/>
      <c r="K20" s="25" t="n">
        <f>20739647720</f>
        <v>2.073964772E10</v>
      </c>
      <c r="L20" s="23"/>
      <c r="M20" s="25" t="n">
        <f>17038198750</f>
        <v>1.703819875E10</v>
      </c>
      <c r="N20" s="23"/>
      <c r="O20" s="26" t="n">
        <f>37777846470</f>
        <v>3.777784647E10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4"/>
      <c r="T20" s="25" t="n">
        <f>26830</f>
        <v>26830.0</v>
      </c>
      <c r="U20" s="23"/>
      <c r="V20" s="25" t="n">
        <f>13948</f>
        <v>13948.0</v>
      </c>
      <c r="W20" s="23"/>
      <c r="X20" s="26" t="n">
        <f>40778</f>
        <v>40778.0</v>
      </c>
      <c r="Y20" s="24" t="s">
        <v>30</v>
      </c>
      <c r="Z20" s="25" t="n">
        <f>1475150</f>
        <v>1475150.0</v>
      </c>
      <c r="AA20" s="23" t="s">
        <v>30</v>
      </c>
      <c r="AB20" s="25" t="n">
        <f>773653</f>
        <v>773653.0</v>
      </c>
      <c r="AC20" s="23" t="s">
        <v>30</v>
      </c>
      <c r="AD20" s="26" t="n">
        <f>2248803</f>
        <v>2248803.0</v>
      </c>
    </row>
    <row r="21">
      <c r="A21" s="30" t="s">
        <v>40</v>
      </c>
      <c r="B21" s="22" t="s">
        <v>27</v>
      </c>
      <c r="C21" s="22" t="s">
        <v>28</v>
      </c>
      <c r="D21" s="24"/>
      <c r="E21" s="25" t="n">
        <f>106186</f>
        <v>106186.0</v>
      </c>
      <c r="F21" s="23"/>
      <c r="G21" s="25" t="n">
        <f>53510</f>
        <v>53510.0</v>
      </c>
      <c r="H21" s="23"/>
      <c r="I21" s="26" t="n">
        <f>159696</f>
        <v>159696.0</v>
      </c>
      <c r="J21" s="24" t="s">
        <v>30</v>
      </c>
      <c r="K21" s="25" t="n">
        <f>31665235850</f>
        <v>3.166523585E10</v>
      </c>
      <c r="L21" s="23"/>
      <c r="M21" s="25" t="n">
        <f>26463892360</f>
        <v>2.646389236E10</v>
      </c>
      <c r="N21" s="23"/>
      <c r="O21" s="26" t="n">
        <f>58129128210</f>
        <v>5.812912821E10</v>
      </c>
      <c r="P21" s="27" t="n">
        <f>37782</f>
        <v>37782.0</v>
      </c>
      <c r="Q21" s="28" t="n">
        <f>112997</f>
        <v>112997.0</v>
      </c>
      <c r="R21" s="29" t="n">
        <f>150779</f>
        <v>150779.0</v>
      </c>
      <c r="S21" s="24" t="s">
        <v>30</v>
      </c>
      <c r="T21" s="25" t="n">
        <f>34963</f>
        <v>34963.0</v>
      </c>
      <c r="U21" s="23"/>
      <c r="V21" s="25" t="n">
        <f>12064</f>
        <v>12064.0</v>
      </c>
      <c r="W21" s="23" t="s">
        <v>30</v>
      </c>
      <c r="X21" s="26" t="n">
        <f>47027</f>
        <v>47027.0</v>
      </c>
      <c r="Y21" s="24"/>
      <c r="Z21" s="25" t="n">
        <f>1140313</f>
        <v>1140313.0</v>
      </c>
      <c r="AA21" s="23"/>
      <c r="AB21" s="25" t="n">
        <f>587219</f>
        <v>587219.0</v>
      </c>
      <c r="AC21" s="23"/>
      <c r="AD21" s="26" t="n">
        <f>1727532</f>
        <v>1727532.0</v>
      </c>
    </row>
    <row r="22">
      <c r="A22" s="30" t="s">
        <v>41</v>
      </c>
      <c r="B22" s="22" t="s">
        <v>27</v>
      </c>
      <c r="C22" s="22" t="s">
        <v>28</v>
      </c>
      <c r="D22" s="24"/>
      <c r="E22" s="25"/>
      <c r="F22" s="23"/>
      <c r="G22" s="25"/>
      <c r="H22" s="23"/>
      <c r="I22" s="26"/>
      <c r="J22" s="24"/>
      <c r="K22" s="25"/>
      <c r="L22" s="23"/>
      <c r="M22" s="25"/>
      <c r="N22" s="23"/>
      <c r="O22" s="26"/>
      <c r="P22" s="27"/>
      <c r="Q22" s="28"/>
      <c r="R22" s="29"/>
      <c r="S22" s="24"/>
      <c r="T22" s="25"/>
      <c r="U22" s="23"/>
      <c r="V22" s="25"/>
      <c r="W22" s="23"/>
      <c r="X22" s="26"/>
      <c r="Y22" s="24"/>
      <c r="Z22" s="25"/>
      <c r="AA22" s="23"/>
      <c r="AB22" s="25"/>
      <c r="AC22" s="23"/>
      <c r="AD22" s="26"/>
    </row>
    <row r="23">
      <c r="A23" s="30" t="s">
        <v>42</v>
      </c>
      <c r="B23" s="22" t="s">
        <v>27</v>
      </c>
      <c r="C23" s="22" t="s">
        <v>28</v>
      </c>
      <c r="D23" s="24"/>
      <c r="E23" s="25"/>
      <c r="F23" s="23"/>
      <c r="G23" s="25"/>
      <c r="H23" s="23"/>
      <c r="I23" s="26"/>
      <c r="J23" s="24"/>
      <c r="K23" s="25"/>
      <c r="L23" s="23"/>
      <c r="M23" s="25"/>
      <c r="N23" s="23"/>
      <c r="O23" s="26"/>
      <c r="P23" s="27"/>
      <c r="Q23" s="28"/>
      <c r="R23" s="29"/>
      <c r="S23" s="24"/>
      <c r="T23" s="25"/>
      <c r="U23" s="23"/>
      <c r="V23" s="25"/>
      <c r="W23" s="23"/>
      <c r="X23" s="26"/>
      <c r="Y23" s="24"/>
      <c r="Z23" s="25"/>
      <c r="AA23" s="23"/>
      <c r="AB23" s="25"/>
      <c r="AC23" s="23"/>
      <c r="AD23" s="26"/>
    </row>
    <row r="24">
      <c r="A24" s="30" t="s">
        <v>43</v>
      </c>
      <c r="B24" s="22" t="s">
        <v>27</v>
      </c>
      <c r="C24" s="22" t="s">
        <v>28</v>
      </c>
      <c r="D24" s="24"/>
      <c r="E24" s="25" t="n">
        <f>75312</f>
        <v>75312.0</v>
      </c>
      <c r="F24" s="23"/>
      <c r="G24" s="25" t="n">
        <f>34199</f>
        <v>34199.0</v>
      </c>
      <c r="H24" s="23"/>
      <c r="I24" s="26" t="n">
        <f>109511</f>
        <v>109511.0</v>
      </c>
      <c r="J24" s="24"/>
      <c r="K24" s="25" t="n">
        <f>23095869480</f>
        <v>2.309586948E10</v>
      </c>
      <c r="L24" s="23"/>
      <c r="M24" s="25" t="n">
        <f>13679538492</f>
        <v>1.3679538492E10</v>
      </c>
      <c r="N24" s="23"/>
      <c r="O24" s="26" t="n">
        <f>36775407972</f>
        <v>3.6775407972E10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15397</f>
        <v>15397.0</v>
      </c>
      <c r="U24" s="23"/>
      <c r="V24" s="25" t="n">
        <f>6956</f>
        <v>6956.0</v>
      </c>
      <c r="W24" s="23"/>
      <c r="X24" s="26" t="n">
        <f>22353</f>
        <v>22353.0</v>
      </c>
      <c r="Y24" s="24" t="s">
        <v>44</v>
      </c>
      <c r="Z24" s="25" t="n">
        <f>1118526</f>
        <v>1118526.0</v>
      </c>
      <c r="AA24" s="23" t="s">
        <v>44</v>
      </c>
      <c r="AB24" s="25" t="n">
        <f>572433</f>
        <v>572433.0</v>
      </c>
      <c r="AC24" s="23" t="s">
        <v>44</v>
      </c>
      <c r="AD24" s="26" t="n">
        <f>1690959</f>
        <v>1690959.0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78126</f>
        <v>78126.0</v>
      </c>
      <c r="F25" s="23"/>
      <c r="G25" s="25" t="n">
        <f>47759</f>
        <v>47759.0</v>
      </c>
      <c r="H25" s="23"/>
      <c r="I25" s="26" t="n">
        <f>125885</f>
        <v>125885.0</v>
      </c>
      <c r="J25" s="24"/>
      <c r="K25" s="25" t="n">
        <f>24110179200</f>
        <v>2.41101792E10</v>
      </c>
      <c r="L25" s="23"/>
      <c r="M25" s="25" t="n">
        <f>12180352000</f>
        <v>1.2180352E10</v>
      </c>
      <c r="N25" s="23"/>
      <c r="O25" s="26" t="n">
        <f>36290531200</f>
        <v>3.62905312E10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18302</f>
        <v>18302.0</v>
      </c>
      <c r="U25" s="23"/>
      <c r="V25" s="25" t="n">
        <f>7882</f>
        <v>7882.0</v>
      </c>
      <c r="W25" s="23"/>
      <c r="X25" s="26" t="n">
        <f>26184</f>
        <v>26184.0</v>
      </c>
      <c r="Y25" s="24"/>
      <c r="Z25" s="25" t="n">
        <f>1124618</f>
        <v>1124618.0</v>
      </c>
      <c r="AA25" s="23"/>
      <c r="AB25" s="25" t="n">
        <f>577242</f>
        <v>577242.0</v>
      </c>
      <c r="AC25" s="23"/>
      <c r="AD25" s="26" t="n">
        <f>1701860</f>
        <v>1701860.0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66514</f>
        <v>66514.0</v>
      </c>
      <c r="F26" s="23"/>
      <c r="G26" s="25" t="n">
        <f>39796</f>
        <v>39796.0</v>
      </c>
      <c r="H26" s="23"/>
      <c r="I26" s="26" t="n">
        <f>106310</f>
        <v>106310.0</v>
      </c>
      <c r="J26" s="24"/>
      <c r="K26" s="25" t="n">
        <f>23030117493</f>
        <v>2.3030117493E10</v>
      </c>
      <c r="L26" s="23"/>
      <c r="M26" s="25" t="n">
        <f>23717398700</f>
        <v>2.37173987E10</v>
      </c>
      <c r="N26" s="23"/>
      <c r="O26" s="26" t="n">
        <f>46747516193</f>
        <v>4.6747516193E10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13675</f>
        <v>13675.0</v>
      </c>
      <c r="U26" s="23"/>
      <c r="V26" s="25" t="n">
        <f>3878</f>
        <v>3878.0</v>
      </c>
      <c r="W26" s="23"/>
      <c r="X26" s="26" t="n">
        <f>17553</f>
        <v>17553.0</v>
      </c>
      <c r="Y26" s="24"/>
      <c r="Z26" s="25" t="n">
        <f>1128554</f>
        <v>1128554.0</v>
      </c>
      <c r="AA26" s="23"/>
      <c r="AB26" s="25" t="n">
        <f>578816</f>
        <v>578816.0</v>
      </c>
      <c r="AC26" s="23"/>
      <c r="AD26" s="26" t="n">
        <f>1707370</f>
        <v>1707370.0</v>
      </c>
    </row>
    <row r="27">
      <c r="A27" s="30" t="s">
        <v>47</v>
      </c>
      <c r="B27" s="22" t="s">
        <v>27</v>
      </c>
      <c r="C27" s="22" t="s">
        <v>28</v>
      </c>
      <c r="D27" s="24" t="s">
        <v>44</v>
      </c>
      <c r="E27" s="25" t="n">
        <f>51766</f>
        <v>51766.0</v>
      </c>
      <c r="F27" s="23"/>
      <c r="G27" s="25" t="n">
        <f>37633</f>
        <v>37633.0</v>
      </c>
      <c r="H27" s="23"/>
      <c r="I27" s="26" t="n">
        <f>89399</f>
        <v>89399.0</v>
      </c>
      <c r="J27" s="24"/>
      <c r="K27" s="25" t="n">
        <f>15770746970</f>
        <v>1.577074697E10</v>
      </c>
      <c r="L27" s="23"/>
      <c r="M27" s="25" t="n">
        <f>15489857000</f>
        <v>1.5489857E10</v>
      </c>
      <c r="N27" s="23"/>
      <c r="O27" s="26" t="n">
        <f>31260603970</f>
        <v>3.126060397E10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6399</f>
        <v>6399.0</v>
      </c>
      <c r="U27" s="23"/>
      <c r="V27" s="25" t="n">
        <f>4017</f>
        <v>4017.0</v>
      </c>
      <c r="W27" s="23"/>
      <c r="X27" s="26" t="n">
        <f>10416</f>
        <v>10416.0</v>
      </c>
      <c r="Y27" s="24"/>
      <c r="Z27" s="25" t="n">
        <f>1136707</f>
        <v>1136707.0</v>
      </c>
      <c r="AA27" s="23"/>
      <c r="AB27" s="25" t="n">
        <f>584326</f>
        <v>584326.0</v>
      </c>
      <c r="AC27" s="23"/>
      <c r="AD27" s="26" t="n">
        <f>1721033</f>
        <v>1721033.0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64057</f>
        <v>64057.0</v>
      </c>
      <c r="F28" s="23"/>
      <c r="G28" s="25" t="n">
        <f>40847</f>
        <v>40847.0</v>
      </c>
      <c r="H28" s="23"/>
      <c r="I28" s="26" t="n">
        <f>104904</f>
        <v>104904.0</v>
      </c>
      <c r="J28" s="24"/>
      <c r="K28" s="25" t="n">
        <f>26442320200</f>
        <v>2.64423202E10</v>
      </c>
      <c r="L28" s="23"/>
      <c r="M28" s="25" t="n">
        <f>26851047000</f>
        <v>2.6851047E10</v>
      </c>
      <c r="N28" s="23"/>
      <c r="O28" s="26" t="n">
        <f>53293367200</f>
        <v>5.32933672E10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 t="s">
        <v>44</v>
      </c>
      <c r="T28" s="25" t="n">
        <f>6029</f>
        <v>6029.0</v>
      </c>
      <c r="U28" s="23"/>
      <c r="V28" s="25" t="n">
        <f>6498</f>
        <v>6498.0</v>
      </c>
      <c r="W28" s="23"/>
      <c r="X28" s="26" t="n">
        <f>12527</f>
        <v>12527.0</v>
      </c>
      <c r="Y28" s="24"/>
      <c r="Z28" s="25" t="n">
        <f>1143635</f>
        <v>1143635.0</v>
      </c>
      <c r="AA28" s="23"/>
      <c r="AB28" s="25" t="n">
        <f>590870</f>
        <v>590870.0</v>
      </c>
      <c r="AC28" s="23"/>
      <c r="AD28" s="26" t="n">
        <f>1734505</f>
        <v>1734505.0</v>
      </c>
    </row>
    <row r="29">
      <c r="A29" s="30" t="s">
        <v>49</v>
      </c>
      <c r="B29" s="22" t="s">
        <v>27</v>
      </c>
      <c r="C29" s="22" t="s">
        <v>28</v>
      </c>
      <c r="D29" s="24"/>
      <c r="E29" s="25"/>
      <c r="F29" s="23"/>
      <c r="G29" s="25"/>
      <c r="H29" s="23"/>
      <c r="I29" s="26"/>
      <c r="J29" s="24"/>
      <c r="K29" s="25"/>
      <c r="L29" s="23"/>
      <c r="M29" s="25"/>
      <c r="N29" s="23"/>
      <c r="O29" s="26"/>
      <c r="P29" s="27"/>
      <c r="Q29" s="28"/>
      <c r="R29" s="29"/>
      <c r="S29" s="24"/>
      <c r="T29" s="25"/>
      <c r="U29" s="23"/>
      <c r="V29" s="25"/>
      <c r="W29" s="23"/>
      <c r="X29" s="26"/>
      <c r="Y29" s="24"/>
      <c r="Z29" s="25"/>
      <c r="AA29" s="23"/>
      <c r="AB29" s="25"/>
      <c r="AC29" s="23"/>
      <c r="AD29" s="26"/>
    </row>
    <row r="30">
      <c r="A30" s="30" t="s">
        <v>50</v>
      </c>
      <c r="B30" s="22" t="s">
        <v>27</v>
      </c>
      <c r="C30" s="22" t="s">
        <v>28</v>
      </c>
      <c r="D30" s="24"/>
      <c r="E30" s="25"/>
      <c r="F30" s="23"/>
      <c r="G30" s="25"/>
      <c r="H30" s="23"/>
      <c r="I30" s="26"/>
      <c r="J30" s="24"/>
      <c r="K30" s="25"/>
      <c r="L30" s="23"/>
      <c r="M30" s="25"/>
      <c r="N30" s="23"/>
      <c r="O30" s="26"/>
      <c r="P30" s="27"/>
      <c r="Q30" s="28"/>
      <c r="R30" s="29"/>
      <c r="S30" s="24"/>
      <c r="T30" s="25"/>
      <c r="U30" s="23"/>
      <c r="V30" s="25"/>
      <c r="W30" s="23"/>
      <c r="X30" s="26"/>
      <c r="Y30" s="24"/>
      <c r="Z30" s="25"/>
      <c r="AA30" s="23"/>
      <c r="AB30" s="25"/>
      <c r="AC30" s="23"/>
      <c r="AD30" s="26"/>
    </row>
    <row r="31">
      <c r="A31" s="30" t="s">
        <v>51</v>
      </c>
      <c r="B31" s="22" t="s">
        <v>27</v>
      </c>
      <c r="C31" s="22" t="s">
        <v>28</v>
      </c>
      <c r="D31" s="24"/>
      <c r="E31" s="25" t="n">
        <f>62481</f>
        <v>62481.0</v>
      </c>
      <c r="F31" s="23"/>
      <c r="G31" s="25" t="n">
        <f>32634</f>
        <v>32634.0</v>
      </c>
      <c r="H31" s="23"/>
      <c r="I31" s="26" t="n">
        <f>95115</f>
        <v>95115.0</v>
      </c>
      <c r="J31" s="24"/>
      <c r="K31" s="25" t="n">
        <f>15466912500</f>
        <v>1.54669125E10</v>
      </c>
      <c r="L31" s="23"/>
      <c r="M31" s="25" t="n">
        <f>19204048380</f>
        <v>1.920404838E10</v>
      </c>
      <c r="N31" s="23"/>
      <c r="O31" s="26" t="n">
        <f>34670960880</f>
        <v>3.467096088E10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13686</f>
        <v>13686.0</v>
      </c>
      <c r="U31" s="23"/>
      <c r="V31" s="25" t="n">
        <f>5548</f>
        <v>5548.0</v>
      </c>
      <c r="W31" s="23"/>
      <c r="X31" s="26" t="n">
        <f>19234</f>
        <v>19234.0</v>
      </c>
      <c r="Y31" s="24"/>
      <c r="Z31" s="25" t="n">
        <f>1155670</f>
        <v>1155670.0</v>
      </c>
      <c r="AA31" s="23"/>
      <c r="AB31" s="25" t="n">
        <f>594256</f>
        <v>594256.0</v>
      </c>
      <c r="AC31" s="23"/>
      <c r="AD31" s="26" t="n">
        <f>1749926</f>
        <v>1749926.0</v>
      </c>
    </row>
    <row r="32">
      <c r="A32" s="30" t="s">
        <v>52</v>
      </c>
      <c r="B32" s="22" t="s">
        <v>27</v>
      </c>
      <c r="C32" s="22" t="s">
        <v>28</v>
      </c>
      <c r="D32" s="24"/>
      <c r="E32" s="25" t="n">
        <f>86867</f>
        <v>86867.0</v>
      </c>
      <c r="F32" s="23"/>
      <c r="G32" s="25" t="n">
        <f>33756</f>
        <v>33756.0</v>
      </c>
      <c r="H32" s="23"/>
      <c r="I32" s="26" t="n">
        <f>120623</f>
        <v>120623.0</v>
      </c>
      <c r="J32" s="24"/>
      <c r="K32" s="25" t="n">
        <f>19614248411</f>
        <v>1.9614248411E10</v>
      </c>
      <c r="L32" s="23"/>
      <c r="M32" s="25" t="n">
        <f>10945248000</f>
        <v>1.0945248E10</v>
      </c>
      <c r="N32" s="23"/>
      <c r="O32" s="26" t="n">
        <f>30559496411</f>
        <v>3.0559496411E10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16790</f>
        <v>16790.0</v>
      </c>
      <c r="U32" s="23" t="s">
        <v>44</v>
      </c>
      <c r="V32" s="25" t="n">
        <f>2176</f>
        <v>2176.0</v>
      </c>
      <c r="W32" s="23"/>
      <c r="X32" s="26" t="n">
        <f>18966</f>
        <v>18966.0</v>
      </c>
      <c r="Y32" s="24"/>
      <c r="Z32" s="25" t="n">
        <f>1163045</f>
        <v>1163045.0</v>
      </c>
      <c r="AA32" s="23"/>
      <c r="AB32" s="25" t="n">
        <f>597336</f>
        <v>597336.0</v>
      </c>
      <c r="AC32" s="23"/>
      <c r="AD32" s="26" t="n">
        <f>1760381</f>
        <v>1760381.0</v>
      </c>
    </row>
    <row r="33">
      <c r="A33" s="30" t="s">
        <v>53</v>
      </c>
      <c r="B33" s="22" t="s">
        <v>27</v>
      </c>
      <c r="C33" s="22" t="s">
        <v>28</v>
      </c>
      <c r="D33" s="24"/>
      <c r="E33" s="25" t="n">
        <f>51838</f>
        <v>51838.0</v>
      </c>
      <c r="F33" s="23"/>
      <c r="G33" s="25" t="n">
        <f>33570</f>
        <v>33570.0</v>
      </c>
      <c r="H33" s="23" t="s">
        <v>44</v>
      </c>
      <c r="I33" s="26" t="n">
        <f>85408</f>
        <v>85408.0</v>
      </c>
      <c r="J33" s="24" t="s">
        <v>44</v>
      </c>
      <c r="K33" s="25" t="n">
        <f>12125577900</f>
        <v>1.21255779E10</v>
      </c>
      <c r="L33" s="23"/>
      <c r="M33" s="25" t="n">
        <f>14993021000</f>
        <v>1.4993021E10</v>
      </c>
      <c r="N33" s="23"/>
      <c r="O33" s="26" t="n">
        <f>27118598900</f>
        <v>2.71185989E10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9953</f>
        <v>9953.0</v>
      </c>
      <c r="U33" s="23"/>
      <c r="V33" s="25" t="n">
        <f>3350</f>
        <v>3350.0</v>
      </c>
      <c r="W33" s="23"/>
      <c r="X33" s="26" t="n">
        <f>13303</f>
        <v>13303.0</v>
      </c>
      <c r="Y33" s="24"/>
      <c r="Z33" s="25" t="n">
        <f>1163777</f>
        <v>1163777.0</v>
      </c>
      <c r="AA33" s="23"/>
      <c r="AB33" s="25" t="n">
        <f>598390</f>
        <v>598390.0</v>
      </c>
      <c r="AC33" s="23"/>
      <c r="AD33" s="26" t="n">
        <f>1762167</f>
        <v>1762167.0</v>
      </c>
    </row>
    <row r="34">
      <c r="A34" s="30" t="s">
        <v>54</v>
      </c>
      <c r="B34" s="22" t="s">
        <v>27</v>
      </c>
      <c r="C34" s="22" t="s">
        <v>28</v>
      </c>
      <c r="D34" s="24"/>
      <c r="E34" s="25" t="n">
        <f>69088</f>
        <v>69088.0</v>
      </c>
      <c r="F34" s="23"/>
      <c r="G34" s="25" t="n">
        <f>35984</f>
        <v>35984.0</v>
      </c>
      <c r="H34" s="23"/>
      <c r="I34" s="26" t="n">
        <f>105072</f>
        <v>105072.0</v>
      </c>
      <c r="J34" s="24"/>
      <c r="K34" s="25" t="n">
        <f>27446145000</f>
        <v>2.7446145E10</v>
      </c>
      <c r="L34" s="23"/>
      <c r="M34" s="25" t="n">
        <f>16556225000</f>
        <v>1.6556225E10</v>
      </c>
      <c r="N34" s="23"/>
      <c r="O34" s="26" t="n">
        <f>44002370000</f>
        <v>4.400237E10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9167</f>
        <v>9167.0</v>
      </c>
      <c r="U34" s="23"/>
      <c r="V34" s="25" t="n">
        <f>5271</f>
        <v>5271.0</v>
      </c>
      <c r="W34" s="23"/>
      <c r="X34" s="26" t="n">
        <f>14438</f>
        <v>14438.0</v>
      </c>
      <c r="Y34" s="24"/>
      <c r="Z34" s="25" t="n">
        <f>1174878</f>
        <v>1174878.0</v>
      </c>
      <c r="AA34" s="23"/>
      <c r="AB34" s="25" t="n">
        <f>601007</f>
        <v>601007.0</v>
      </c>
      <c r="AC34" s="23"/>
      <c r="AD34" s="26" t="n">
        <f>1775885</f>
        <v>1775885.0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59137</f>
        <v>59137.0</v>
      </c>
      <c r="F35" s="23" t="s">
        <v>44</v>
      </c>
      <c r="G35" s="25" t="n">
        <f>30660</f>
        <v>30660.0</v>
      </c>
      <c r="H35" s="23"/>
      <c r="I35" s="26" t="n">
        <f>89797</f>
        <v>89797.0</v>
      </c>
      <c r="J35" s="24"/>
      <c r="K35" s="25" t="n">
        <f>17496648000</f>
        <v>1.7496648E10</v>
      </c>
      <c r="L35" s="23"/>
      <c r="M35" s="25" t="n">
        <f>10690168000</f>
        <v>1.0690168E10</v>
      </c>
      <c r="N35" s="23"/>
      <c r="O35" s="26" t="n">
        <f>28186816000</f>
        <v>2.8186816E10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7230</f>
        <v>7230.0</v>
      </c>
      <c r="U35" s="23"/>
      <c r="V35" s="25" t="n">
        <f>2742</f>
        <v>2742.0</v>
      </c>
      <c r="W35" s="23" t="s">
        <v>44</v>
      </c>
      <c r="X35" s="26" t="n">
        <f>9972</f>
        <v>9972.0</v>
      </c>
      <c r="Y35" s="24"/>
      <c r="Z35" s="25" t="n">
        <f>1176081</f>
        <v>1176081.0</v>
      </c>
      <c r="AA35" s="23"/>
      <c r="AB35" s="25" t="n">
        <f>602510</f>
        <v>602510.0</v>
      </c>
      <c r="AC35" s="23"/>
      <c r="AD35" s="26" t="n">
        <f>1778591</f>
        <v>1778591.0</v>
      </c>
    </row>
    <row r="36">
      <c r="A36" s="30" t="s">
        <v>56</v>
      </c>
      <c r="B36" s="22" t="s">
        <v>27</v>
      </c>
      <c r="C36" s="22" t="s">
        <v>28</v>
      </c>
      <c r="D36" s="24"/>
      <c r="E36" s="25"/>
      <c r="F36" s="23"/>
      <c r="G36" s="25"/>
      <c r="H36" s="23"/>
      <c r="I36" s="26"/>
      <c r="J36" s="24"/>
      <c r="K36" s="25"/>
      <c r="L36" s="23"/>
      <c r="M36" s="25"/>
      <c r="N36" s="23"/>
      <c r="O36" s="26"/>
      <c r="P36" s="27"/>
      <c r="Q36" s="28"/>
      <c r="R36" s="29"/>
      <c r="S36" s="24"/>
      <c r="T36" s="25"/>
      <c r="U36" s="23"/>
      <c r="V36" s="25"/>
      <c r="W36" s="23"/>
      <c r="X36" s="26"/>
      <c r="Y36" s="24"/>
      <c r="Z36" s="25"/>
      <c r="AA36" s="23"/>
      <c r="AB36" s="25"/>
      <c r="AC36" s="23"/>
      <c r="AD36" s="26"/>
    </row>
    <row r="37">
      <c r="A37" s="30" t="s">
        <v>57</v>
      </c>
      <c r="B37" s="22" t="s">
        <v>27</v>
      </c>
      <c r="C37" s="22" t="s">
        <v>28</v>
      </c>
      <c r="D37" s="24"/>
      <c r="E37" s="25"/>
      <c r="F37" s="23"/>
      <c r="G37" s="25"/>
      <c r="H37" s="23"/>
      <c r="I37" s="26"/>
      <c r="J37" s="24"/>
      <c r="K37" s="25"/>
      <c r="L37" s="23"/>
      <c r="M37" s="25"/>
      <c r="N37" s="23"/>
      <c r="O37" s="26"/>
      <c r="P37" s="27"/>
      <c r="Q37" s="28"/>
      <c r="R37" s="29"/>
      <c r="S37" s="24"/>
      <c r="T37" s="25"/>
      <c r="U37" s="23"/>
      <c r="V37" s="25"/>
      <c r="W37" s="23"/>
      <c r="X37" s="26"/>
      <c r="Y37" s="24"/>
      <c r="Z37" s="25"/>
      <c r="AA37" s="23"/>
      <c r="AB37" s="25"/>
      <c r="AC37" s="23"/>
      <c r="AD37" s="26"/>
    </row>
    <row r="38">
      <c r="A38" s="30" t="s">
        <v>58</v>
      </c>
      <c r="B38" s="22" t="s">
        <v>27</v>
      </c>
      <c r="C38" s="22" t="s">
        <v>28</v>
      </c>
      <c r="D38" s="24"/>
      <c r="E38" s="25" t="n">
        <f>65871</f>
        <v>65871.0</v>
      </c>
      <c r="F38" s="23"/>
      <c r="G38" s="25" t="n">
        <f>35256</f>
        <v>35256.0</v>
      </c>
      <c r="H38" s="23"/>
      <c r="I38" s="26" t="n">
        <f>101127</f>
        <v>101127.0</v>
      </c>
      <c r="J38" s="24"/>
      <c r="K38" s="25" t="n">
        <f>15295168000</f>
        <v>1.5295168E10</v>
      </c>
      <c r="L38" s="23" t="s">
        <v>44</v>
      </c>
      <c r="M38" s="25" t="n">
        <f>6238676700</f>
        <v>6.2386767E9</v>
      </c>
      <c r="N38" s="23" t="s">
        <v>44</v>
      </c>
      <c r="O38" s="26" t="n">
        <f>21533844700</f>
        <v>2.15338447E10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13656</f>
        <v>13656.0</v>
      </c>
      <c r="U38" s="23"/>
      <c r="V38" s="25" t="n">
        <f>6047</f>
        <v>6047.0</v>
      </c>
      <c r="W38" s="23"/>
      <c r="X38" s="26" t="n">
        <f>19703</f>
        <v>19703.0</v>
      </c>
      <c r="Y38" s="24"/>
      <c r="Z38" s="25" t="n">
        <f>1182397</f>
        <v>1182397.0</v>
      </c>
      <c r="AA38" s="23"/>
      <c r="AB38" s="25" t="n">
        <f>604851</f>
        <v>604851.0</v>
      </c>
      <c r="AC38" s="23"/>
      <c r="AD38" s="26" t="n">
        <f>1787248</f>
        <v>1787248.0</v>
      </c>
    </row>
    <row r="39">
      <c r="A39" s="30" t="s">
        <v>59</v>
      </c>
      <c r="B39" s="22" t="s">
        <v>27</v>
      </c>
      <c r="C39" s="22" t="s">
        <v>28</v>
      </c>
      <c r="D39" s="24"/>
      <c r="E39" s="25" t="n">
        <f>63532</f>
        <v>63532.0</v>
      </c>
      <c r="F39" s="23"/>
      <c r="G39" s="25" t="n">
        <f>34445</f>
        <v>34445.0</v>
      </c>
      <c r="H39" s="23"/>
      <c r="I39" s="26" t="n">
        <f>97977</f>
        <v>97977.0</v>
      </c>
      <c r="J39" s="24"/>
      <c r="K39" s="25" t="n">
        <f>15418905000</f>
        <v>1.5418905E10</v>
      </c>
      <c r="L39" s="23"/>
      <c r="M39" s="25" t="n">
        <f>7162036000</f>
        <v>7.162036E9</v>
      </c>
      <c r="N39" s="23"/>
      <c r="O39" s="26" t="n">
        <f>22580941000</f>
        <v>2.2580941E10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16159</f>
        <v>16159.0</v>
      </c>
      <c r="U39" s="23"/>
      <c r="V39" s="25" t="n">
        <f>4600</f>
        <v>4600.0</v>
      </c>
      <c r="W39" s="23"/>
      <c r="X39" s="26" t="n">
        <f>20759</f>
        <v>20759.0</v>
      </c>
      <c r="Y39" s="24"/>
      <c r="Z39" s="25" t="n">
        <f>1195783</f>
        <v>1195783.0</v>
      </c>
      <c r="AA39" s="23"/>
      <c r="AB39" s="25" t="n">
        <f>613249</f>
        <v>613249.0</v>
      </c>
      <c r="AC39" s="23"/>
      <c r="AD39" s="26" t="n">
        <f>1809032</f>
        <v>1809032.0</v>
      </c>
    </row>
    <row r="40">
      <c r="A40" s="30" t="s">
        <v>26</v>
      </c>
      <c r="B40" s="22" t="s">
        <v>60</v>
      </c>
      <c r="C40" s="22" t="s">
        <v>61</v>
      </c>
      <c r="D40" s="24"/>
      <c r="E40" s="25" t="n">
        <f>1368</f>
        <v>1368.0</v>
      </c>
      <c r="F40" s="23"/>
      <c r="G40" s="25" t="n">
        <f>369</f>
        <v>369.0</v>
      </c>
      <c r="H40" s="23"/>
      <c r="I40" s="26" t="n">
        <f>1737</f>
        <v>1737.0</v>
      </c>
      <c r="J40" s="24"/>
      <c r="K40" s="25" t="n">
        <f>108533000</f>
        <v>1.08533E8</v>
      </c>
      <c r="L40" s="23"/>
      <c r="M40" s="25" t="n">
        <f>29432000</f>
        <v>2.9432E7</v>
      </c>
      <c r="N40" s="23"/>
      <c r="O40" s="26" t="n">
        <f>137965000</f>
        <v>1.37965E8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95</f>
        <v>95.0</v>
      </c>
      <c r="U40" s="23"/>
      <c r="V40" s="25" t="n">
        <f>38</f>
        <v>38.0</v>
      </c>
      <c r="W40" s="23"/>
      <c r="X40" s="26" t="n">
        <f>133</f>
        <v>133.0</v>
      </c>
      <c r="Y40" s="24"/>
      <c r="Z40" s="25" t="n">
        <f>1797</f>
        <v>1797.0</v>
      </c>
      <c r="AA40" s="23"/>
      <c r="AB40" s="25" t="n">
        <f>1204</f>
        <v>1204.0</v>
      </c>
      <c r="AC40" s="23"/>
      <c r="AD40" s="26" t="n">
        <f>3001</f>
        <v>3001.0</v>
      </c>
    </row>
    <row r="41">
      <c r="A41" s="30" t="s">
        <v>29</v>
      </c>
      <c r="B41" s="22" t="s">
        <v>60</v>
      </c>
      <c r="C41" s="22" t="s">
        <v>61</v>
      </c>
      <c r="D41" s="24"/>
      <c r="E41" s="25" t="n">
        <f>1832</f>
        <v>1832.0</v>
      </c>
      <c r="F41" s="23"/>
      <c r="G41" s="25" t="n">
        <f>351</f>
        <v>351.0</v>
      </c>
      <c r="H41" s="23"/>
      <c r="I41" s="26" t="n">
        <f>2183</f>
        <v>2183.0</v>
      </c>
      <c r="J41" s="24"/>
      <c r="K41" s="25" t="n">
        <f>136049000</f>
        <v>1.36049E8</v>
      </c>
      <c r="L41" s="23"/>
      <c r="M41" s="25" t="n">
        <f>31694000</f>
        <v>3.1694E7</v>
      </c>
      <c r="N41" s="23"/>
      <c r="O41" s="26" t="n">
        <f>167743000</f>
        <v>1.67743E8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311</f>
        <v>311.0</v>
      </c>
      <c r="U41" s="23"/>
      <c r="V41" s="25" t="n">
        <f>14</f>
        <v>14.0</v>
      </c>
      <c r="W41" s="23"/>
      <c r="X41" s="26" t="n">
        <f>325</f>
        <v>325.0</v>
      </c>
      <c r="Y41" s="24"/>
      <c r="Z41" s="25" t="n">
        <f>2533</f>
        <v>2533.0</v>
      </c>
      <c r="AA41" s="23"/>
      <c r="AB41" s="25" t="n">
        <f>1213</f>
        <v>1213.0</v>
      </c>
      <c r="AC41" s="23"/>
      <c r="AD41" s="26" t="n">
        <f>3746</f>
        <v>3746.0</v>
      </c>
    </row>
    <row r="42">
      <c r="A42" s="30" t="s">
        <v>31</v>
      </c>
      <c r="B42" s="22" t="s">
        <v>60</v>
      </c>
      <c r="C42" s="22" t="s">
        <v>61</v>
      </c>
      <c r="D42" s="24"/>
      <c r="E42" s="25" t="n">
        <f>2044</f>
        <v>2044.0</v>
      </c>
      <c r="F42" s="23"/>
      <c r="G42" s="25" t="n">
        <f>780</f>
        <v>780.0</v>
      </c>
      <c r="H42" s="23"/>
      <c r="I42" s="26" t="n">
        <f>2824</f>
        <v>2824.0</v>
      </c>
      <c r="J42" s="24"/>
      <c r="K42" s="25" t="n">
        <f>114442000</f>
        <v>1.14442E8</v>
      </c>
      <c r="L42" s="23"/>
      <c r="M42" s="25" t="n">
        <f>88706500</f>
        <v>8.87065E7</v>
      </c>
      <c r="N42" s="23"/>
      <c r="O42" s="26" t="n">
        <f>203148500</f>
        <v>2.031485E8</v>
      </c>
      <c r="P42" s="27" t="str">
        <f>"－"</f>
        <v>－</v>
      </c>
      <c r="Q42" s="28" t="str">
        <f>"－"</f>
        <v>－</v>
      </c>
      <c r="R42" s="29" t="str">
        <f>"－"</f>
        <v>－</v>
      </c>
      <c r="S42" s="24"/>
      <c r="T42" s="25" t="n">
        <f>265</f>
        <v>265.0</v>
      </c>
      <c r="U42" s="23"/>
      <c r="V42" s="25" t="n">
        <f>238</f>
        <v>238.0</v>
      </c>
      <c r="W42" s="23"/>
      <c r="X42" s="26" t="n">
        <f>503</f>
        <v>503.0</v>
      </c>
      <c r="Y42" s="24"/>
      <c r="Z42" s="25" t="n">
        <f>2980</f>
        <v>2980.0</v>
      </c>
      <c r="AA42" s="23"/>
      <c r="AB42" s="25" t="n">
        <f>1621</f>
        <v>1621.0</v>
      </c>
      <c r="AC42" s="23"/>
      <c r="AD42" s="26" t="n">
        <f>4601</f>
        <v>4601.0</v>
      </c>
    </row>
    <row r="43">
      <c r="A43" s="30" t="s">
        <v>32</v>
      </c>
      <c r="B43" s="22" t="s">
        <v>60</v>
      </c>
      <c r="C43" s="22" t="s">
        <v>61</v>
      </c>
      <c r="D43" s="24"/>
      <c r="E43" s="25" t="n">
        <f>1920</f>
        <v>1920.0</v>
      </c>
      <c r="F43" s="23"/>
      <c r="G43" s="25" t="n">
        <f>1468</f>
        <v>1468.0</v>
      </c>
      <c r="H43" s="23"/>
      <c r="I43" s="26" t="n">
        <f>3388</f>
        <v>3388.0</v>
      </c>
      <c r="J43" s="24"/>
      <c r="K43" s="25" t="n">
        <f>82895600</f>
        <v>8.28956E7</v>
      </c>
      <c r="L43" s="23" t="s">
        <v>30</v>
      </c>
      <c r="M43" s="25" t="n">
        <f>351798000</f>
        <v>3.51798E8</v>
      </c>
      <c r="N43" s="23"/>
      <c r="O43" s="26" t="n">
        <f>434693600</f>
        <v>4.346936E8</v>
      </c>
      <c r="P43" s="27" t="str">
        <f>"－"</f>
        <v>－</v>
      </c>
      <c r="Q43" s="28" t="str">
        <f>"－"</f>
        <v>－</v>
      </c>
      <c r="R43" s="29" t="str">
        <f>"－"</f>
        <v>－</v>
      </c>
      <c r="S43" s="24"/>
      <c r="T43" s="25" t="n">
        <f>284</f>
        <v>284.0</v>
      </c>
      <c r="U43" s="23"/>
      <c r="V43" s="25" t="n">
        <f>92</f>
        <v>92.0</v>
      </c>
      <c r="W43" s="23"/>
      <c r="X43" s="26" t="n">
        <f>376</f>
        <v>376.0</v>
      </c>
      <c r="Y43" s="24"/>
      <c r="Z43" s="25" t="n">
        <f>3229</f>
        <v>3229.0</v>
      </c>
      <c r="AA43" s="23"/>
      <c r="AB43" s="25" t="n">
        <f>1992</f>
        <v>1992.0</v>
      </c>
      <c r="AC43" s="23"/>
      <c r="AD43" s="26" t="n">
        <f>5221</f>
        <v>5221.0</v>
      </c>
    </row>
    <row r="44">
      <c r="A44" s="30" t="s">
        <v>33</v>
      </c>
      <c r="B44" s="22" t="s">
        <v>60</v>
      </c>
      <c r="C44" s="22" t="s">
        <v>61</v>
      </c>
      <c r="D44" s="24"/>
      <c r="E44" s="25" t="n">
        <f>170</f>
        <v>170.0</v>
      </c>
      <c r="F44" s="23"/>
      <c r="G44" s="25" t="n">
        <f>257</f>
        <v>257.0</v>
      </c>
      <c r="H44" s="23"/>
      <c r="I44" s="26" t="n">
        <f>427</f>
        <v>427.0</v>
      </c>
      <c r="J44" s="24"/>
      <c r="K44" s="25" t="n">
        <f>51291000</f>
        <v>5.1291E7</v>
      </c>
      <c r="L44" s="23"/>
      <c r="M44" s="25" t="n">
        <f>82823690</f>
        <v>8.282369E7</v>
      </c>
      <c r="N44" s="23"/>
      <c r="O44" s="26" t="n">
        <f>134114690</f>
        <v>1.3411469E8</v>
      </c>
      <c r="P44" s="27" t="n">
        <f>44</f>
        <v>44.0</v>
      </c>
      <c r="Q44" s="28" t="n">
        <f>505</f>
        <v>505.0</v>
      </c>
      <c r="R44" s="29" t="n">
        <f>549</f>
        <v>549.0</v>
      </c>
      <c r="S44" s="24"/>
      <c r="T44" s="25" t="n">
        <f>142</f>
        <v>142.0</v>
      </c>
      <c r="U44" s="23"/>
      <c r="V44" s="25" t="n">
        <f>235</f>
        <v>235.0</v>
      </c>
      <c r="W44" s="23"/>
      <c r="X44" s="26" t="n">
        <f>377</f>
        <v>377.0</v>
      </c>
      <c r="Y44" s="24" t="s">
        <v>44</v>
      </c>
      <c r="Z44" s="25" t="n">
        <f>501</f>
        <v>501.0</v>
      </c>
      <c r="AA44" s="23" t="s">
        <v>44</v>
      </c>
      <c r="AB44" s="25" t="n">
        <f>856</f>
        <v>856.0</v>
      </c>
      <c r="AC44" s="23" t="s">
        <v>44</v>
      </c>
      <c r="AD44" s="26" t="n">
        <f>1357</f>
        <v>1357.0</v>
      </c>
    </row>
    <row r="45">
      <c r="A45" s="30" t="s">
        <v>34</v>
      </c>
      <c r="B45" s="22" t="s">
        <v>60</v>
      </c>
      <c r="C45" s="22" t="s">
        <v>61</v>
      </c>
      <c r="D45" s="24"/>
      <c r="E45" s="25"/>
      <c r="F45" s="23"/>
      <c r="G45" s="25"/>
      <c r="H45" s="23"/>
      <c r="I45" s="26"/>
      <c r="J45" s="24"/>
      <c r="K45" s="25"/>
      <c r="L45" s="23"/>
      <c r="M45" s="25"/>
      <c r="N45" s="23"/>
      <c r="O45" s="26"/>
      <c r="P45" s="27"/>
      <c r="Q45" s="28"/>
      <c r="R45" s="29"/>
      <c r="S45" s="24"/>
      <c r="T45" s="25"/>
      <c r="U45" s="23"/>
      <c r="V45" s="25"/>
      <c r="W45" s="23"/>
      <c r="X45" s="26"/>
      <c r="Y45" s="24"/>
      <c r="Z45" s="25"/>
      <c r="AA45" s="23"/>
      <c r="AB45" s="25"/>
      <c r="AC45" s="23"/>
      <c r="AD45" s="26"/>
    </row>
    <row r="46">
      <c r="A46" s="30" t="s">
        <v>35</v>
      </c>
      <c r="B46" s="22" t="s">
        <v>60</v>
      </c>
      <c r="C46" s="22" t="s">
        <v>61</v>
      </c>
      <c r="D46" s="24"/>
      <c r="E46" s="25"/>
      <c r="F46" s="23"/>
      <c r="G46" s="25"/>
      <c r="H46" s="23"/>
      <c r="I46" s="26"/>
      <c r="J46" s="24"/>
      <c r="K46" s="25"/>
      <c r="L46" s="23"/>
      <c r="M46" s="25"/>
      <c r="N46" s="23"/>
      <c r="O46" s="26"/>
      <c r="P46" s="27"/>
      <c r="Q46" s="28"/>
      <c r="R46" s="29"/>
      <c r="S46" s="24"/>
      <c r="T46" s="25"/>
      <c r="U46" s="23"/>
      <c r="V46" s="25"/>
      <c r="W46" s="23"/>
      <c r="X46" s="26"/>
      <c r="Y46" s="24"/>
      <c r="Z46" s="25"/>
      <c r="AA46" s="23"/>
      <c r="AB46" s="25"/>
      <c r="AC46" s="23"/>
      <c r="AD46" s="26"/>
    </row>
    <row r="47">
      <c r="A47" s="30" t="s">
        <v>36</v>
      </c>
      <c r="B47" s="22" t="s">
        <v>60</v>
      </c>
      <c r="C47" s="22" t="s">
        <v>61</v>
      </c>
      <c r="D47" s="24" t="s">
        <v>44</v>
      </c>
      <c r="E47" s="25" t="n">
        <f>35</f>
        <v>35.0</v>
      </c>
      <c r="F47" s="23" t="s">
        <v>44</v>
      </c>
      <c r="G47" s="25" t="n">
        <f>58</f>
        <v>58.0</v>
      </c>
      <c r="H47" s="23" t="s">
        <v>44</v>
      </c>
      <c r="I47" s="26" t="n">
        <f>93</f>
        <v>93.0</v>
      </c>
      <c r="J47" s="24" t="s">
        <v>44</v>
      </c>
      <c r="K47" s="25" t="n">
        <f>8153000</f>
        <v>8153000.0</v>
      </c>
      <c r="L47" s="23" t="s">
        <v>44</v>
      </c>
      <c r="M47" s="25" t="n">
        <f>11885000</f>
        <v>1.1885E7</v>
      </c>
      <c r="N47" s="23" t="s">
        <v>44</v>
      </c>
      <c r="O47" s="26" t="n">
        <f>20038000</f>
        <v>2.0038E7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 t="s">
        <v>44</v>
      </c>
      <c r="T47" s="25" t="str">
        <f>"－"</f>
        <v>－</v>
      </c>
      <c r="U47" s="23" t="s">
        <v>44</v>
      </c>
      <c r="V47" s="25" t="n">
        <f>10</f>
        <v>10.0</v>
      </c>
      <c r="W47" s="23" t="s">
        <v>44</v>
      </c>
      <c r="X47" s="26" t="n">
        <f>10</f>
        <v>10.0</v>
      </c>
      <c r="Y47" s="24"/>
      <c r="Z47" s="25" t="n">
        <f>527</f>
        <v>527.0</v>
      </c>
      <c r="AA47" s="23"/>
      <c r="AB47" s="25" t="n">
        <f>878</f>
        <v>878.0</v>
      </c>
      <c r="AC47" s="23"/>
      <c r="AD47" s="26" t="n">
        <f>1405</f>
        <v>1405.0</v>
      </c>
    </row>
    <row r="48">
      <c r="A48" s="30" t="s">
        <v>37</v>
      </c>
      <c r="B48" s="22" t="s">
        <v>60</v>
      </c>
      <c r="C48" s="22" t="s">
        <v>61</v>
      </c>
      <c r="D48" s="24"/>
      <c r="E48" s="25" t="n">
        <f>520</f>
        <v>520.0</v>
      </c>
      <c r="F48" s="23"/>
      <c r="G48" s="25" t="n">
        <f>241</f>
        <v>241.0</v>
      </c>
      <c r="H48" s="23"/>
      <c r="I48" s="26" t="n">
        <f>761</f>
        <v>761.0</v>
      </c>
      <c r="J48" s="24"/>
      <c r="K48" s="25" t="n">
        <f>168978400</f>
        <v>1.689784E8</v>
      </c>
      <c r="L48" s="23"/>
      <c r="M48" s="25" t="n">
        <f>64511000</f>
        <v>6.4511E7</v>
      </c>
      <c r="N48" s="23"/>
      <c r="O48" s="26" t="n">
        <f>233489400</f>
        <v>2.334894E8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437</f>
        <v>437.0</v>
      </c>
      <c r="U48" s="23"/>
      <c r="V48" s="25" t="n">
        <f>139</f>
        <v>139.0</v>
      </c>
      <c r="W48" s="23"/>
      <c r="X48" s="26" t="n">
        <f>576</f>
        <v>576.0</v>
      </c>
      <c r="Y48" s="24"/>
      <c r="Z48" s="25" t="n">
        <f>975</f>
        <v>975.0</v>
      </c>
      <c r="AA48" s="23"/>
      <c r="AB48" s="25" t="n">
        <f>999</f>
        <v>999.0</v>
      </c>
      <c r="AC48" s="23"/>
      <c r="AD48" s="26" t="n">
        <f>1974</f>
        <v>1974.0</v>
      </c>
    </row>
    <row r="49">
      <c r="A49" s="30" t="s">
        <v>38</v>
      </c>
      <c r="B49" s="22" t="s">
        <v>60</v>
      </c>
      <c r="C49" s="22" t="s">
        <v>61</v>
      </c>
      <c r="D49" s="24"/>
      <c r="E49" s="25" t="n">
        <f>260</f>
        <v>260.0</v>
      </c>
      <c r="F49" s="23"/>
      <c r="G49" s="25" t="n">
        <f>116</f>
        <v>116.0</v>
      </c>
      <c r="H49" s="23"/>
      <c r="I49" s="26" t="n">
        <f>376</f>
        <v>376.0</v>
      </c>
      <c r="J49" s="24"/>
      <c r="K49" s="25" t="n">
        <f>81821000</f>
        <v>8.1821E7</v>
      </c>
      <c r="L49" s="23"/>
      <c r="M49" s="25" t="n">
        <f>38097000</f>
        <v>3.8097E7</v>
      </c>
      <c r="N49" s="23"/>
      <c r="O49" s="26" t="n">
        <f>119918000</f>
        <v>1.19918E8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223</f>
        <v>223.0</v>
      </c>
      <c r="U49" s="23"/>
      <c r="V49" s="25" t="n">
        <f>42</f>
        <v>42.0</v>
      </c>
      <c r="W49" s="23"/>
      <c r="X49" s="26" t="n">
        <f>265</f>
        <v>265.0</v>
      </c>
      <c r="Y49" s="24"/>
      <c r="Z49" s="25" t="n">
        <f>1232</f>
        <v>1232.0</v>
      </c>
      <c r="AA49" s="23"/>
      <c r="AB49" s="25" t="n">
        <f>1100</f>
        <v>1100.0</v>
      </c>
      <c r="AC49" s="23"/>
      <c r="AD49" s="26" t="n">
        <f>2332</f>
        <v>2332.0</v>
      </c>
    </row>
    <row r="50">
      <c r="A50" s="30" t="s">
        <v>39</v>
      </c>
      <c r="B50" s="22" t="s">
        <v>60</v>
      </c>
      <c r="C50" s="22" t="s">
        <v>61</v>
      </c>
      <c r="D50" s="24"/>
      <c r="E50" s="25" t="n">
        <f>1051</f>
        <v>1051.0</v>
      </c>
      <c r="F50" s="23"/>
      <c r="G50" s="25" t="n">
        <f>364</f>
        <v>364.0</v>
      </c>
      <c r="H50" s="23"/>
      <c r="I50" s="26" t="n">
        <f>1415</f>
        <v>1415.0</v>
      </c>
      <c r="J50" s="24"/>
      <c r="K50" s="25" t="n">
        <f>272703000</f>
        <v>2.72703E8</v>
      </c>
      <c r="L50" s="23"/>
      <c r="M50" s="25" t="n">
        <f>23844000</f>
        <v>2.3844E7</v>
      </c>
      <c r="N50" s="23"/>
      <c r="O50" s="26" t="n">
        <f>296547000</f>
        <v>2.96547E8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 t="s">
        <v>30</v>
      </c>
      <c r="T50" s="25" t="n">
        <f>861</f>
        <v>861.0</v>
      </c>
      <c r="U50" s="23"/>
      <c r="V50" s="25" t="n">
        <f>189</f>
        <v>189.0</v>
      </c>
      <c r="W50" s="23"/>
      <c r="X50" s="26" t="n">
        <f>1050</f>
        <v>1050.0</v>
      </c>
      <c r="Y50" s="24"/>
      <c r="Z50" s="25" t="n">
        <f>2052</f>
        <v>2052.0</v>
      </c>
      <c r="AA50" s="23"/>
      <c r="AB50" s="25" t="n">
        <f>1361</f>
        <v>1361.0</v>
      </c>
      <c r="AC50" s="23"/>
      <c r="AD50" s="26" t="n">
        <f>3413</f>
        <v>3413.0</v>
      </c>
    </row>
    <row r="51">
      <c r="A51" s="30" t="s">
        <v>40</v>
      </c>
      <c r="B51" s="22" t="s">
        <v>60</v>
      </c>
      <c r="C51" s="22" t="s">
        <v>61</v>
      </c>
      <c r="D51" s="24"/>
      <c r="E51" s="25" t="n">
        <f>1080</f>
        <v>1080.0</v>
      </c>
      <c r="F51" s="23"/>
      <c r="G51" s="25" t="n">
        <f>2279</f>
        <v>2279.0</v>
      </c>
      <c r="H51" s="23"/>
      <c r="I51" s="26" t="n">
        <f>3359</f>
        <v>3359.0</v>
      </c>
      <c r="J51" s="24"/>
      <c r="K51" s="25" t="n">
        <f>327448000</f>
        <v>3.27448E8</v>
      </c>
      <c r="L51" s="23"/>
      <c r="M51" s="25" t="n">
        <f>254016000</f>
        <v>2.54016E8</v>
      </c>
      <c r="N51" s="23" t="s">
        <v>30</v>
      </c>
      <c r="O51" s="26" t="n">
        <f>581464000</f>
        <v>5.81464E8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516</f>
        <v>516.0</v>
      </c>
      <c r="U51" s="23"/>
      <c r="V51" s="25" t="n">
        <f>111</f>
        <v>111.0</v>
      </c>
      <c r="W51" s="23"/>
      <c r="X51" s="26" t="n">
        <f>627</f>
        <v>627.0</v>
      </c>
      <c r="Y51" s="24"/>
      <c r="Z51" s="25" t="n">
        <f>2946</f>
        <v>2946.0</v>
      </c>
      <c r="AA51" s="23"/>
      <c r="AB51" s="25" t="n">
        <f>3422</f>
        <v>3422.0</v>
      </c>
      <c r="AC51" s="23"/>
      <c r="AD51" s="26" t="n">
        <f>6368</f>
        <v>6368.0</v>
      </c>
    </row>
    <row r="52">
      <c r="A52" s="30" t="s">
        <v>41</v>
      </c>
      <c r="B52" s="22" t="s">
        <v>60</v>
      </c>
      <c r="C52" s="22" t="s">
        <v>61</v>
      </c>
      <c r="D52" s="24"/>
      <c r="E52" s="25"/>
      <c r="F52" s="23"/>
      <c r="G52" s="25"/>
      <c r="H52" s="23"/>
      <c r="I52" s="26"/>
      <c r="J52" s="24"/>
      <c r="K52" s="25"/>
      <c r="L52" s="23"/>
      <c r="M52" s="25"/>
      <c r="N52" s="23"/>
      <c r="O52" s="26"/>
      <c r="P52" s="27"/>
      <c r="Q52" s="28"/>
      <c r="R52" s="29"/>
      <c r="S52" s="24"/>
      <c r="T52" s="25"/>
      <c r="U52" s="23"/>
      <c r="V52" s="25"/>
      <c r="W52" s="23"/>
      <c r="X52" s="26"/>
      <c r="Y52" s="24"/>
      <c r="Z52" s="25"/>
      <c r="AA52" s="23"/>
      <c r="AB52" s="25"/>
      <c r="AC52" s="23"/>
      <c r="AD52" s="26"/>
    </row>
    <row r="53">
      <c r="A53" s="30" t="s">
        <v>42</v>
      </c>
      <c r="B53" s="22" t="s">
        <v>60</v>
      </c>
      <c r="C53" s="22" t="s">
        <v>61</v>
      </c>
      <c r="D53" s="24"/>
      <c r="E53" s="25"/>
      <c r="F53" s="23"/>
      <c r="G53" s="25"/>
      <c r="H53" s="23"/>
      <c r="I53" s="26"/>
      <c r="J53" s="24"/>
      <c r="K53" s="25"/>
      <c r="L53" s="23"/>
      <c r="M53" s="25"/>
      <c r="N53" s="23"/>
      <c r="O53" s="26"/>
      <c r="P53" s="27"/>
      <c r="Q53" s="28"/>
      <c r="R53" s="29"/>
      <c r="S53" s="24"/>
      <c r="T53" s="25"/>
      <c r="U53" s="23"/>
      <c r="V53" s="25"/>
      <c r="W53" s="23"/>
      <c r="X53" s="26"/>
      <c r="Y53" s="24"/>
      <c r="Z53" s="25"/>
      <c r="AA53" s="23"/>
      <c r="AB53" s="25"/>
      <c r="AC53" s="23"/>
      <c r="AD53" s="26"/>
    </row>
    <row r="54">
      <c r="A54" s="30" t="s">
        <v>43</v>
      </c>
      <c r="B54" s="22" t="s">
        <v>60</v>
      </c>
      <c r="C54" s="22" t="s">
        <v>61</v>
      </c>
      <c r="D54" s="24"/>
      <c r="E54" s="25" t="n">
        <f>2097</f>
        <v>2097.0</v>
      </c>
      <c r="F54" s="23"/>
      <c r="G54" s="25" t="n">
        <f>1038</f>
        <v>1038.0</v>
      </c>
      <c r="H54" s="23"/>
      <c r="I54" s="26" t="n">
        <f>3135</f>
        <v>3135.0</v>
      </c>
      <c r="J54" s="24" t="s">
        <v>30</v>
      </c>
      <c r="K54" s="25" t="n">
        <f>424699000</f>
        <v>4.24699E8</v>
      </c>
      <c r="L54" s="23"/>
      <c r="M54" s="25" t="n">
        <f>63201000</f>
        <v>6.3201E7</v>
      </c>
      <c r="N54" s="23"/>
      <c r="O54" s="26" t="n">
        <f>487900000</f>
        <v>4.879E8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646</f>
        <v>646.0</v>
      </c>
      <c r="U54" s="23"/>
      <c r="V54" s="25" t="n">
        <f>169</f>
        <v>169.0</v>
      </c>
      <c r="W54" s="23"/>
      <c r="X54" s="26" t="n">
        <f>815</f>
        <v>815.0</v>
      </c>
      <c r="Y54" s="24"/>
      <c r="Z54" s="25" t="n">
        <f>3955</f>
        <v>3955.0</v>
      </c>
      <c r="AA54" s="23"/>
      <c r="AB54" s="25" t="n">
        <f>3698</f>
        <v>3698.0</v>
      </c>
      <c r="AC54" s="23"/>
      <c r="AD54" s="26" t="n">
        <f>7653</f>
        <v>7653.0</v>
      </c>
    </row>
    <row r="55">
      <c r="A55" s="30" t="s">
        <v>45</v>
      </c>
      <c r="B55" s="22" t="s">
        <v>60</v>
      </c>
      <c r="C55" s="22" t="s">
        <v>61</v>
      </c>
      <c r="D55" s="24"/>
      <c r="E55" s="25" t="n">
        <f>2296</f>
        <v>2296.0</v>
      </c>
      <c r="F55" s="23"/>
      <c r="G55" s="25" t="n">
        <f>2397</f>
        <v>2397.0</v>
      </c>
      <c r="H55" s="23"/>
      <c r="I55" s="26" t="n">
        <f>4693</f>
        <v>4693.0</v>
      </c>
      <c r="J55" s="24"/>
      <c r="K55" s="25" t="n">
        <f>241321000</f>
        <v>2.41321E8</v>
      </c>
      <c r="L55" s="23"/>
      <c r="M55" s="25" t="n">
        <f>226864000</f>
        <v>2.26864E8</v>
      </c>
      <c r="N55" s="23"/>
      <c r="O55" s="26" t="n">
        <f>468185000</f>
        <v>4.68185E8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552</f>
        <v>552.0</v>
      </c>
      <c r="U55" s="23"/>
      <c r="V55" s="25" t="n">
        <f>330</f>
        <v>330.0</v>
      </c>
      <c r="W55" s="23"/>
      <c r="X55" s="26" t="n">
        <f>882</f>
        <v>882.0</v>
      </c>
      <c r="Y55" s="24"/>
      <c r="Z55" s="25" t="n">
        <f>4665</f>
        <v>4665.0</v>
      </c>
      <c r="AA55" s="23"/>
      <c r="AB55" s="25" t="n">
        <f>3520</f>
        <v>3520.0</v>
      </c>
      <c r="AC55" s="23"/>
      <c r="AD55" s="26" t="n">
        <f>8185</f>
        <v>8185.0</v>
      </c>
    </row>
    <row r="56">
      <c r="A56" s="30" t="s">
        <v>46</v>
      </c>
      <c r="B56" s="22" t="s">
        <v>60</v>
      </c>
      <c r="C56" s="22" t="s">
        <v>61</v>
      </c>
      <c r="D56" s="24"/>
      <c r="E56" s="25" t="n">
        <f>2447</f>
        <v>2447.0</v>
      </c>
      <c r="F56" s="23"/>
      <c r="G56" s="25" t="n">
        <f>1630</f>
        <v>1630.0</v>
      </c>
      <c r="H56" s="23"/>
      <c r="I56" s="26" t="n">
        <f>4077</f>
        <v>4077.0</v>
      </c>
      <c r="J56" s="24"/>
      <c r="K56" s="25" t="n">
        <f>266776000</f>
        <v>2.66776E8</v>
      </c>
      <c r="L56" s="23"/>
      <c r="M56" s="25" t="n">
        <f>150415000</f>
        <v>1.50415E8</v>
      </c>
      <c r="N56" s="23"/>
      <c r="O56" s="26" t="n">
        <f>417191000</f>
        <v>4.17191E8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428</f>
        <v>428.0</v>
      </c>
      <c r="U56" s="23"/>
      <c r="V56" s="25" t="n">
        <f>95</f>
        <v>95.0</v>
      </c>
      <c r="W56" s="23"/>
      <c r="X56" s="26" t="n">
        <f>523</f>
        <v>523.0</v>
      </c>
      <c r="Y56" s="24"/>
      <c r="Z56" s="25" t="n">
        <f>5428</f>
        <v>5428.0</v>
      </c>
      <c r="AA56" s="23"/>
      <c r="AB56" s="25" t="n">
        <f>3625</f>
        <v>3625.0</v>
      </c>
      <c r="AC56" s="23"/>
      <c r="AD56" s="26" t="n">
        <f>9053</f>
        <v>9053.0</v>
      </c>
    </row>
    <row r="57">
      <c r="A57" s="30" t="s">
        <v>47</v>
      </c>
      <c r="B57" s="22" t="s">
        <v>60</v>
      </c>
      <c r="C57" s="22" t="s">
        <v>61</v>
      </c>
      <c r="D57" s="24" t="s">
        <v>30</v>
      </c>
      <c r="E57" s="25" t="n">
        <f>3340</f>
        <v>3340.0</v>
      </c>
      <c r="F57" s="23"/>
      <c r="G57" s="25" t="n">
        <f>1853</f>
        <v>1853.0</v>
      </c>
      <c r="H57" s="23"/>
      <c r="I57" s="26" t="n">
        <f>5193</f>
        <v>5193.0</v>
      </c>
      <c r="J57" s="24"/>
      <c r="K57" s="25" t="n">
        <f>160340000</f>
        <v>1.6034E8</v>
      </c>
      <c r="L57" s="23"/>
      <c r="M57" s="25" t="n">
        <f>90779000</f>
        <v>9.0779E7</v>
      </c>
      <c r="N57" s="23"/>
      <c r="O57" s="26" t="n">
        <f>251119000</f>
        <v>2.51119E8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/>
      <c r="T57" s="25" t="n">
        <f>427</f>
        <v>427.0</v>
      </c>
      <c r="U57" s="23"/>
      <c r="V57" s="25" t="n">
        <f>155</f>
        <v>155.0</v>
      </c>
      <c r="W57" s="23"/>
      <c r="X57" s="26" t="n">
        <f>582</f>
        <v>582.0</v>
      </c>
      <c r="Y57" s="24" t="s">
        <v>30</v>
      </c>
      <c r="Z57" s="25" t="n">
        <f>5905</f>
        <v>5905.0</v>
      </c>
      <c r="AA57" s="23" t="s">
        <v>30</v>
      </c>
      <c r="AB57" s="25" t="n">
        <f>4153</f>
        <v>4153.0</v>
      </c>
      <c r="AC57" s="23" t="s">
        <v>30</v>
      </c>
      <c r="AD57" s="26" t="n">
        <f>10058</f>
        <v>10058.0</v>
      </c>
    </row>
    <row r="58">
      <c r="A58" s="30" t="s">
        <v>48</v>
      </c>
      <c r="B58" s="22" t="s">
        <v>60</v>
      </c>
      <c r="C58" s="22" t="s">
        <v>61</v>
      </c>
      <c r="D58" s="24"/>
      <c r="E58" s="25" t="n">
        <f>820</f>
        <v>820.0</v>
      </c>
      <c r="F58" s="23"/>
      <c r="G58" s="25" t="n">
        <f>741</f>
        <v>741.0</v>
      </c>
      <c r="H58" s="23"/>
      <c r="I58" s="26" t="n">
        <f>1561</f>
        <v>1561.0</v>
      </c>
      <c r="J58" s="24"/>
      <c r="K58" s="25" t="n">
        <f>71969000</f>
        <v>7.1969E7</v>
      </c>
      <c r="L58" s="23"/>
      <c r="M58" s="25" t="n">
        <f>202537950</f>
        <v>2.0253795E8</v>
      </c>
      <c r="N58" s="23"/>
      <c r="O58" s="26" t="n">
        <f>274506950</f>
        <v>2.7450695E8</v>
      </c>
      <c r="P58" s="27" t="n">
        <f>431</f>
        <v>431.0</v>
      </c>
      <c r="Q58" s="28" t="n">
        <f>636</f>
        <v>636.0</v>
      </c>
      <c r="R58" s="29" t="n">
        <f>1067</f>
        <v>1067.0</v>
      </c>
      <c r="S58" s="24"/>
      <c r="T58" s="25" t="n">
        <f>180</f>
        <v>180.0</v>
      </c>
      <c r="U58" s="23"/>
      <c r="V58" s="25" t="n">
        <f>301</f>
        <v>301.0</v>
      </c>
      <c r="W58" s="23"/>
      <c r="X58" s="26" t="n">
        <f>481</f>
        <v>481.0</v>
      </c>
      <c r="Y58" s="24"/>
      <c r="Z58" s="25" t="n">
        <f>2522</f>
        <v>2522.0</v>
      </c>
      <c r="AA58" s="23"/>
      <c r="AB58" s="25" t="n">
        <f>2197</f>
        <v>2197.0</v>
      </c>
      <c r="AC58" s="23"/>
      <c r="AD58" s="26" t="n">
        <f>4719</f>
        <v>4719.0</v>
      </c>
    </row>
    <row r="59">
      <c r="A59" s="30" t="s">
        <v>49</v>
      </c>
      <c r="B59" s="22" t="s">
        <v>60</v>
      </c>
      <c r="C59" s="22" t="s">
        <v>61</v>
      </c>
      <c r="D59" s="24"/>
      <c r="E59" s="25"/>
      <c r="F59" s="23"/>
      <c r="G59" s="25"/>
      <c r="H59" s="23"/>
      <c r="I59" s="26"/>
      <c r="J59" s="24"/>
      <c r="K59" s="25"/>
      <c r="L59" s="23"/>
      <c r="M59" s="25"/>
      <c r="N59" s="23"/>
      <c r="O59" s="26"/>
      <c r="P59" s="27"/>
      <c r="Q59" s="28"/>
      <c r="R59" s="29"/>
      <c r="S59" s="24"/>
      <c r="T59" s="25"/>
      <c r="U59" s="23"/>
      <c r="V59" s="25"/>
      <c r="W59" s="23"/>
      <c r="X59" s="26"/>
      <c r="Y59" s="24"/>
      <c r="Z59" s="25"/>
      <c r="AA59" s="23"/>
      <c r="AB59" s="25"/>
      <c r="AC59" s="23"/>
      <c r="AD59" s="26"/>
    </row>
    <row r="60">
      <c r="A60" s="30" t="s">
        <v>50</v>
      </c>
      <c r="B60" s="22" t="s">
        <v>60</v>
      </c>
      <c r="C60" s="22" t="s">
        <v>61</v>
      </c>
      <c r="D60" s="24"/>
      <c r="E60" s="25"/>
      <c r="F60" s="23"/>
      <c r="G60" s="25"/>
      <c r="H60" s="23"/>
      <c r="I60" s="26"/>
      <c r="J60" s="24"/>
      <c r="K60" s="25"/>
      <c r="L60" s="23"/>
      <c r="M60" s="25"/>
      <c r="N60" s="23"/>
      <c r="O60" s="26"/>
      <c r="P60" s="27"/>
      <c r="Q60" s="28"/>
      <c r="R60" s="29"/>
      <c r="S60" s="24"/>
      <c r="T60" s="25"/>
      <c r="U60" s="23"/>
      <c r="V60" s="25"/>
      <c r="W60" s="23"/>
      <c r="X60" s="26"/>
      <c r="Y60" s="24"/>
      <c r="Z60" s="25"/>
      <c r="AA60" s="23"/>
      <c r="AB60" s="25"/>
      <c r="AC60" s="23"/>
      <c r="AD60" s="26"/>
    </row>
    <row r="61">
      <c r="A61" s="30" t="s">
        <v>51</v>
      </c>
      <c r="B61" s="22" t="s">
        <v>60</v>
      </c>
      <c r="C61" s="22" t="s">
        <v>61</v>
      </c>
      <c r="D61" s="24"/>
      <c r="E61" s="25" t="n">
        <f>1125</f>
        <v>1125.0</v>
      </c>
      <c r="F61" s="23"/>
      <c r="G61" s="25" t="n">
        <f>723</f>
        <v>723.0</v>
      </c>
      <c r="H61" s="23"/>
      <c r="I61" s="26" t="n">
        <f>1848</f>
        <v>1848.0</v>
      </c>
      <c r="J61" s="24"/>
      <c r="K61" s="25" t="n">
        <f>70720000</f>
        <v>7.072E7</v>
      </c>
      <c r="L61" s="23"/>
      <c r="M61" s="25" t="n">
        <f>37537000</f>
        <v>3.7537E7</v>
      </c>
      <c r="N61" s="23"/>
      <c r="O61" s="26" t="n">
        <f>108257000</f>
        <v>1.08257E8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/>
      <c r="T61" s="25" t="n">
        <f>81</f>
        <v>81.0</v>
      </c>
      <c r="U61" s="23"/>
      <c r="V61" s="25" t="n">
        <f>44</f>
        <v>44.0</v>
      </c>
      <c r="W61" s="23"/>
      <c r="X61" s="26" t="n">
        <f>125</f>
        <v>125.0</v>
      </c>
      <c r="Y61" s="24"/>
      <c r="Z61" s="25" t="n">
        <f>2935</f>
        <v>2935.0</v>
      </c>
      <c r="AA61" s="23"/>
      <c r="AB61" s="25" t="n">
        <f>2376</f>
        <v>2376.0</v>
      </c>
      <c r="AC61" s="23"/>
      <c r="AD61" s="26" t="n">
        <f>5311</f>
        <v>5311.0</v>
      </c>
    </row>
    <row r="62">
      <c r="A62" s="30" t="s">
        <v>52</v>
      </c>
      <c r="B62" s="22" t="s">
        <v>60</v>
      </c>
      <c r="C62" s="22" t="s">
        <v>61</v>
      </c>
      <c r="D62" s="24"/>
      <c r="E62" s="25" t="n">
        <f>1735</f>
        <v>1735.0</v>
      </c>
      <c r="F62" s="23"/>
      <c r="G62" s="25" t="n">
        <f>1006</f>
        <v>1006.0</v>
      </c>
      <c r="H62" s="23"/>
      <c r="I62" s="26" t="n">
        <f>2741</f>
        <v>2741.0</v>
      </c>
      <c r="J62" s="24"/>
      <c r="K62" s="25" t="n">
        <f>129749500</f>
        <v>1.297495E8</v>
      </c>
      <c r="L62" s="23"/>
      <c r="M62" s="25" t="n">
        <f>57477000</f>
        <v>5.7477E7</v>
      </c>
      <c r="N62" s="23"/>
      <c r="O62" s="26" t="n">
        <f>187226500</f>
        <v>1.872265E8</v>
      </c>
      <c r="P62" s="27" t="str">
        <f>"－"</f>
        <v>－</v>
      </c>
      <c r="Q62" s="28" t="str">
        <f>"－"</f>
        <v>－</v>
      </c>
      <c r="R62" s="29" t="str">
        <f>"－"</f>
        <v>－</v>
      </c>
      <c r="S62" s="24"/>
      <c r="T62" s="25" t="n">
        <f>250</f>
        <v>250.0</v>
      </c>
      <c r="U62" s="23"/>
      <c r="V62" s="25" t="n">
        <f>67</f>
        <v>67.0</v>
      </c>
      <c r="W62" s="23"/>
      <c r="X62" s="26" t="n">
        <f>317</f>
        <v>317.0</v>
      </c>
      <c r="Y62" s="24"/>
      <c r="Z62" s="25" t="n">
        <f>3522</f>
        <v>3522.0</v>
      </c>
      <c r="AA62" s="23"/>
      <c r="AB62" s="25" t="n">
        <f>2728</f>
        <v>2728.0</v>
      </c>
      <c r="AC62" s="23"/>
      <c r="AD62" s="26" t="n">
        <f>6250</f>
        <v>6250.0</v>
      </c>
    </row>
    <row r="63">
      <c r="A63" s="30" t="s">
        <v>53</v>
      </c>
      <c r="B63" s="22" t="s">
        <v>60</v>
      </c>
      <c r="C63" s="22" t="s">
        <v>61</v>
      </c>
      <c r="D63" s="24"/>
      <c r="E63" s="25" t="n">
        <f>1435</f>
        <v>1435.0</v>
      </c>
      <c r="F63" s="23"/>
      <c r="G63" s="25" t="n">
        <f>772</f>
        <v>772.0</v>
      </c>
      <c r="H63" s="23"/>
      <c r="I63" s="26" t="n">
        <f>2207</f>
        <v>2207.0</v>
      </c>
      <c r="J63" s="24"/>
      <c r="K63" s="25" t="n">
        <f>134726000</f>
        <v>1.34726E8</v>
      </c>
      <c r="L63" s="23"/>
      <c r="M63" s="25" t="n">
        <f>33490000</f>
        <v>3.349E7</v>
      </c>
      <c r="N63" s="23"/>
      <c r="O63" s="26" t="n">
        <f>168216000</f>
        <v>1.68216E8</v>
      </c>
      <c r="P63" s="27" t="str">
        <f>"－"</f>
        <v>－</v>
      </c>
      <c r="Q63" s="28" t="str">
        <f>"－"</f>
        <v>－</v>
      </c>
      <c r="R63" s="29" t="str">
        <f>"－"</f>
        <v>－</v>
      </c>
      <c r="S63" s="24"/>
      <c r="T63" s="25" t="n">
        <f>306</f>
        <v>306.0</v>
      </c>
      <c r="U63" s="23"/>
      <c r="V63" s="25" t="n">
        <f>51</f>
        <v>51.0</v>
      </c>
      <c r="W63" s="23"/>
      <c r="X63" s="26" t="n">
        <f>357</f>
        <v>357.0</v>
      </c>
      <c r="Y63" s="24"/>
      <c r="Z63" s="25" t="n">
        <f>3660</f>
        <v>3660.0</v>
      </c>
      <c r="AA63" s="23"/>
      <c r="AB63" s="25" t="n">
        <f>2828</f>
        <v>2828.0</v>
      </c>
      <c r="AC63" s="23"/>
      <c r="AD63" s="26" t="n">
        <f>6488</f>
        <v>6488.0</v>
      </c>
    </row>
    <row r="64">
      <c r="A64" s="30" t="s">
        <v>54</v>
      </c>
      <c r="B64" s="22" t="s">
        <v>60</v>
      </c>
      <c r="C64" s="22" t="s">
        <v>61</v>
      </c>
      <c r="D64" s="24"/>
      <c r="E64" s="25" t="n">
        <f>2877</f>
        <v>2877.0</v>
      </c>
      <c r="F64" s="23" t="s">
        <v>30</v>
      </c>
      <c r="G64" s="25" t="n">
        <f>2782</f>
        <v>2782.0</v>
      </c>
      <c r="H64" s="23" t="s">
        <v>30</v>
      </c>
      <c r="I64" s="26" t="n">
        <f>5659</f>
        <v>5659.0</v>
      </c>
      <c r="J64" s="24"/>
      <c r="K64" s="25" t="n">
        <f>212058000</f>
        <v>2.12058E8</v>
      </c>
      <c r="L64" s="23"/>
      <c r="M64" s="25" t="n">
        <f>282013700</f>
        <v>2.820137E8</v>
      </c>
      <c r="N64" s="23"/>
      <c r="O64" s="26" t="n">
        <f>494071700</f>
        <v>4.940717E8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/>
      <c r="T64" s="25" t="n">
        <f>403</f>
        <v>403.0</v>
      </c>
      <c r="U64" s="23" t="s">
        <v>30</v>
      </c>
      <c r="V64" s="25" t="n">
        <f>661</f>
        <v>661.0</v>
      </c>
      <c r="W64" s="23" t="s">
        <v>30</v>
      </c>
      <c r="X64" s="26" t="n">
        <f>1064</f>
        <v>1064.0</v>
      </c>
      <c r="Y64" s="24"/>
      <c r="Z64" s="25" t="n">
        <f>4308</f>
        <v>4308.0</v>
      </c>
      <c r="AA64" s="23"/>
      <c r="AB64" s="25" t="n">
        <f>3614</f>
        <v>3614.0</v>
      </c>
      <c r="AC64" s="23"/>
      <c r="AD64" s="26" t="n">
        <f>7922</f>
        <v>7922.0</v>
      </c>
    </row>
    <row r="65">
      <c r="A65" s="30" t="s">
        <v>55</v>
      </c>
      <c r="B65" s="22" t="s">
        <v>60</v>
      </c>
      <c r="C65" s="22" t="s">
        <v>61</v>
      </c>
      <c r="D65" s="24"/>
      <c r="E65" s="25" t="n">
        <f>1020</f>
        <v>1020.0</v>
      </c>
      <c r="F65" s="23"/>
      <c r="G65" s="25" t="n">
        <f>458</f>
        <v>458.0</v>
      </c>
      <c r="H65" s="23"/>
      <c r="I65" s="26" t="n">
        <f>1478</f>
        <v>1478.0</v>
      </c>
      <c r="J65" s="24"/>
      <c r="K65" s="25" t="n">
        <f>132843000</f>
        <v>1.32843E8</v>
      </c>
      <c r="L65" s="23"/>
      <c r="M65" s="25" t="n">
        <f>46497000</f>
        <v>4.6497E7</v>
      </c>
      <c r="N65" s="23"/>
      <c r="O65" s="26" t="n">
        <f>179340000</f>
        <v>1.7934E8</v>
      </c>
      <c r="P65" s="27" t="n">
        <f>492</f>
        <v>492.0</v>
      </c>
      <c r="Q65" s="28" t="n">
        <f>332</f>
        <v>332.0</v>
      </c>
      <c r="R65" s="29" t="n">
        <f>824</f>
        <v>824.0</v>
      </c>
      <c r="S65" s="24"/>
      <c r="T65" s="25" t="n">
        <f>274</f>
        <v>274.0</v>
      </c>
      <c r="U65" s="23"/>
      <c r="V65" s="25" t="n">
        <f>66</f>
        <v>66.0</v>
      </c>
      <c r="W65" s="23"/>
      <c r="X65" s="26" t="n">
        <f>340</f>
        <v>340.0</v>
      </c>
      <c r="Y65" s="24"/>
      <c r="Z65" s="25" t="n">
        <f>1443</f>
        <v>1443.0</v>
      </c>
      <c r="AA65" s="23"/>
      <c r="AB65" s="25" t="n">
        <f>1123</f>
        <v>1123.0</v>
      </c>
      <c r="AC65" s="23"/>
      <c r="AD65" s="26" t="n">
        <f>2566</f>
        <v>2566.0</v>
      </c>
    </row>
    <row r="66">
      <c r="A66" s="30" t="s">
        <v>56</v>
      </c>
      <c r="B66" s="22" t="s">
        <v>60</v>
      </c>
      <c r="C66" s="22" t="s">
        <v>61</v>
      </c>
      <c r="D66" s="24"/>
      <c r="E66" s="25"/>
      <c r="F66" s="23"/>
      <c r="G66" s="25"/>
      <c r="H66" s="23"/>
      <c r="I66" s="26"/>
      <c r="J66" s="24"/>
      <c r="K66" s="25"/>
      <c r="L66" s="23"/>
      <c r="M66" s="25"/>
      <c r="N66" s="23"/>
      <c r="O66" s="26"/>
      <c r="P66" s="27"/>
      <c r="Q66" s="28"/>
      <c r="R66" s="29"/>
      <c r="S66" s="24"/>
      <c r="T66" s="25"/>
      <c r="U66" s="23"/>
      <c r="V66" s="25"/>
      <c r="W66" s="23"/>
      <c r="X66" s="26"/>
      <c r="Y66" s="24"/>
      <c r="Z66" s="25"/>
      <c r="AA66" s="23"/>
      <c r="AB66" s="25"/>
      <c r="AC66" s="23"/>
      <c r="AD66" s="26"/>
    </row>
    <row r="67">
      <c r="A67" s="30" t="s">
        <v>57</v>
      </c>
      <c r="B67" s="22" t="s">
        <v>60</v>
      </c>
      <c r="C67" s="22" t="s">
        <v>61</v>
      </c>
      <c r="D67" s="24"/>
      <c r="E67" s="25"/>
      <c r="F67" s="23"/>
      <c r="G67" s="25"/>
      <c r="H67" s="23"/>
      <c r="I67" s="26"/>
      <c r="J67" s="24"/>
      <c r="K67" s="25"/>
      <c r="L67" s="23"/>
      <c r="M67" s="25"/>
      <c r="N67" s="23"/>
      <c r="O67" s="26"/>
      <c r="P67" s="27"/>
      <c r="Q67" s="28"/>
      <c r="R67" s="29"/>
      <c r="S67" s="24"/>
      <c r="T67" s="25"/>
      <c r="U67" s="23"/>
      <c r="V67" s="25"/>
      <c r="W67" s="23"/>
      <c r="X67" s="26"/>
      <c r="Y67" s="24"/>
      <c r="Z67" s="25"/>
      <c r="AA67" s="23"/>
      <c r="AB67" s="25"/>
      <c r="AC67" s="23"/>
      <c r="AD67" s="26"/>
    </row>
    <row r="68">
      <c r="A68" s="30" t="s">
        <v>58</v>
      </c>
      <c r="B68" s="22" t="s">
        <v>60</v>
      </c>
      <c r="C68" s="22" t="s">
        <v>61</v>
      </c>
      <c r="D68" s="24"/>
      <c r="E68" s="25" t="n">
        <f>997</f>
        <v>997.0</v>
      </c>
      <c r="F68" s="23"/>
      <c r="G68" s="25" t="n">
        <f>856</f>
        <v>856.0</v>
      </c>
      <c r="H68" s="23"/>
      <c r="I68" s="26" t="n">
        <f>1853</f>
        <v>1853.0</v>
      </c>
      <c r="J68" s="24"/>
      <c r="K68" s="25" t="n">
        <f>147498200</f>
        <v>1.474982E8</v>
      </c>
      <c r="L68" s="23"/>
      <c r="M68" s="25" t="n">
        <f>48578000</f>
        <v>4.8578E7</v>
      </c>
      <c r="N68" s="23"/>
      <c r="O68" s="26" t="n">
        <f>196076200</f>
        <v>1.960762E8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267</f>
        <v>267.0</v>
      </c>
      <c r="U68" s="23"/>
      <c r="V68" s="25" t="n">
        <f>102</f>
        <v>102.0</v>
      </c>
      <c r="W68" s="23"/>
      <c r="X68" s="26" t="n">
        <f>369</f>
        <v>369.0</v>
      </c>
      <c r="Y68" s="24"/>
      <c r="Z68" s="25" t="n">
        <f>1970</f>
        <v>1970.0</v>
      </c>
      <c r="AA68" s="23"/>
      <c r="AB68" s="25" t="n">
        <f>1491</f>
        <v>1491.0</v>
      </c>
      <c r="AC68" s="23"/>
      <c r="AD68" s="26" t="n">
        <f>3461</f>
        <v>3461.0</v>
      </c>
    </row>
    <row r="69">
      <c r="A69" s="30" t="s">
        <v>59</v>
      </c>
      <c r="B69" s="22" t="s">
        <v>60</v>
      </c>
      <c r="C69" s="22" t="s">
        <v>61</v>
      </c>
      <c r="D69" s="24"/>
      <c r="E69" s="25" t="n">
        <f>1193</f>
        <v>1193.0</v>
      </c>
      <c r="F69" s="23"/>
      <c r="G69" s="25" t="n">
        <f>395</f>
        <v>395.0</v>
      </c>
      <c r="H69" s="23"/>
      <c r="I69" s="26" t="n">
        <f>1588</f>
        <v>1588.0</v>
      </c>
      <c r="J69" s="24"/>
      <c r="K69" s="25" t="n">
        <f>116954000</f>
        <v>1.16954E8</v>
      </c>
      <c r="L69" s="23"/>
      <c r="M69" s="25" t="n">
        <f>18906000</f>
        <v>1.8906E7</v>
      </c>
      <c r="N69" s="23"/>
      <c r="O69" s="26" t="n">
        <f>135860000</f>
        <v>1.3586E8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225</f>
        <v>225.0</v>
      </c>
      <c r="U69" s="23"/>
      <c r="V69" s="25" t="n">
        <f>35</f>
        <v>35.0</v>
      </c>
      <c r="W69" s="23"/>
      <c r="X69" s="26" t="n">
        <f>260</f>
        <v>260.0</v>
      </c>
      <c r="Y69" s="24"/>
      <c r="Z69" s="25" t="n">
        <f>2597</f>
        <v>2597.0</v>
      </c>
      <c r="AA69" s="23"/>
      <c r="AB69" s="25" t="n">
        <f>1620</f>
        <v>1620.0</v>
      </c>
      <c r="AC69" s="23"/>
      <c r="AD69" s="26" t="n">
        <f>4217</f>
        <v>4217.0</v>
      </c>
    </row>
    <row r="70">
      <c r="A70" s="30" t="s">
        <v>26</v>
      </c>
      <c r="B70" s="22" t="s">
        <v>62</v>
      </c>
      <c r="C70" s="22" t="s">
        <v>63</v>
      </c>
      <c r="D70" s="24"/>
      <c r="E70" s="25" t="n">
        <f>879</f>
        <v>879.0</v>
      </c>
      <c r="F70" s="23"/>
      <c r="G70" s="25" t="n">
        <f>244</f>
        <v>244.0</v>
      </c>
      <c r="H70" s="23"/>
      <c r="I70" s="26" t="n">
        <f>1123</f>
        <v>1123.0</v>
      </c>
      <c r="J70" s="24"/>
      <c r="K70" s="25" t="n">
        <f>298988900</f>
        <v>2.989889E8</v>
      </c>
      <c r="L70" s="23"/>
      <c r="M70" s="25" t="n">
        <f>46482400</f>
        <v>4.64824E7</v>
      </c>
      <c r="N70" s="23"/>
      <c r="O70" s="26" t="n">
        <f>345471300</f>
        <v>3.454713E8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879</f>
        <v>879.0</v>
      </c>
      <c r="U70" s="23"/>
      <c r="V70" s="25" t="n">
        <f>244</f>
        <v>244.0</v>
      </c>
      <c r="W70" s="23"/>
      <c r="X70" s="26" t="n">
        <f>1123</f>
        <v>1123.0</v>
      </c>
      <c r="Y70" s="24"/>
      <c r="Z70" s="25" t="n">
        <f>119710</f>
        <v>119710.0</v>
      </c>
      <c r="AA70" s="23"/>
      <c r="AB70" s="25" t="n">
        <f>21641</f>
        <v>21641.0</v>
      </c>
      <c r="AC70" s="23"/>
      <c r="AD70" s="26" t="n">
        <f>141351</f>
        <v>141351.0</v>
      </c>
    </row>
    <row r="71">
      <c r="A71" s="30" t="s">
        <v>29</v>
      </c>
      <c r="B71" s="22" t="s">
        <v>62</v>
      </c>
      <c r="C71" s="22" t="s">
        <v>63</v>
      </c>
      <c r="D71" s="24"/>
      <c r="E71" s="25" t="n">
        <f>4</f>
        <v>4.0</v>
      </c>
      <c r="F71" s="23"/>
      <c r="G71" s="25" t="n">
        <f>10</f>
        <v>10.0</v>
      </c>
      <c r="H71" s="23"/>
      <c r="I71" s="26" t="n">
        <f>14</f>
        <v>14.0</v>
      </c>
      <c r="J71" s="24"/>
      <c r="K71" s="25" t="n">
        <f>436000</f>
        <v>436000.0</v>
      </c>
      <c r="L71" s="23"/>
      <c r="M71" s="25" t="n">
        <f>1100000</f>
        <v>1100000.0</v>
      </c>
      <c r="N71" s="23"/>
      <c r="O71" s="26" t="n">
        <f>1536000</f>
        <v>1536000.0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n">
        <f>4</f>
        <v>4.0</v>
      </c>
      <c r="U71" s="23"/>
      <c r="V71" s="25" t="n">
        <f>10</f>
        <v>10.0</v>
      </c>
      <c r="W71" s="23"/>
      <c r="X71" s="26" t="n">
        <f>14</f>
        <v>14.0</v>
      </c>
      <c r="Y71" s="24"/>
      <c r="Z71" s="25" t="n">
        <f>119705</f>
        <v>119705.0</v>
      </c>
      <c r="AA71" s="23"/>
      <c r="AB71" s="25" t="n">
        <f>21641</f>
        <v>21641.0</v>
      </c>
      <c r="AC71" s="23"/>
      <c r="AD71" s="26" t="n">
        <f>141346</f>
        <v>141346.0</v>
      </c>
    </row>
    <row r="72">
      <c r="A72" s="30" t="s">
        <v>31</v>
      </c>
      <c r="B72" s="22" t="s">
        <v>62</v>
      </c>
      <c r="C72" s="22" t="s">
        <v>63</v>
      </c>
      <c r="D72" s="24"/>
      <c r="E72" s="25" t="n">
        <f>86</f>
        <v>86.0</v>
      </c>
      <c r="F72" s="23"/>
      <c r="G72" s="25" t="n">
        <f>109</f>
        <v>109.0</v>
      </c>
      <c r="H72" s="23"/>
      <c r="I72" s="26" t="n">
        <f>195</f>
        <v>195.0</v>
      </c>
      <c r="J72" s="24"/>
      <c r="K72" s="25" t="n">
        <f>37724000</f>
        <v>3.7724E7</v>
      </c>
      <c r="L72" s="23"/>
      <c r="M72" s="25" t="n">
        <f>28754200</f>
        <v>2.87542E7</v>
      </c>
      <c r="N72" s="23"/>
      <c r="O72" s="26" t="n">
        <f>66478200</f>
        <v>6.64782E7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/>
      <c r="T72" s="25" t="n">
        <f>86</f>
        <v>86.0</v>
      </c>
      <c r="U72" s="23"/>
      <c r="V72" s="25" t="n">
        <f>109</f>
        <v>109.0</v>
      </c>
      <c r="W72" s="23"/>
      <c r="X72" s="26" t="n">
        <f>195</f>
        <v>195.0</v>
      </c>
      <c r="Y72" s="24"/>
      <c r="Z72" s="25" t="n">
        <f>119705</f>
        <v>119705.0</v>
      </c>
      <c r="AA72" s="23"/>
      <c r="AB72" s="25" t="n">
        <f>21750</f>
        <v>21750.0</v>
      </c>
      <c r="AC72" s="23"/>
      <c r="AD72" s="26" t="n">
        <f>141455</f>
        <v>141455.0</v>
      </c>
    </row>
    <row r="73">
      <c r="A73" s="30" t="s">
        <v>32</v>
      </c>
      <c r="B73" s="22" t="s">
        <v>62</v>
      </c>
      <c r="C73" s="22" t="s">
        <v>63</v>
      </c>
      <c r="D73" s="24"/>
      <c r="E73" s="25" t="n">
        <f>63</f>
        <v>63.0</v>
      </c>
      <c r="F73" s="23"/>
      <c r="G73" s="25" t="n">
        <f>84</f>
        <v>84.0</v>
      </c>
      <c r="H73" s="23"/>
      <c r="I73" s="26" t="n">
        <f>147</f>
        <v>147.0</v>
      </c>
      <c r="J73" s="24"/>
      <c r="K73" s="25" t="n">
        <f>33119100</f>
        <v>3.31191E7</v>
      </c>
      <c r="L73" s="23"/>
      <c r="M73" s="25" t="n">
        <f>24360000</f>
        <v>2.436E7</v>
      </c>
      <c r="N73" s="23"/>
      <c r="O73" s="26" t="n">
        <f>57479100</f>
        <v>5.74791E7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/>
      <c r="T73" s="25" t="n">
        <f>63</f>
        <v>63.0</v>
      </c>
      <c r="U73" s="23"/>
      <c r="V73" s="25" t="n">
        <f>84</f>
        <v>84.0</v>
      </c>
      <c r="W73" s="23"/>
      <c r="X73" s="26" t="n">
        <f>147</f>
        <v>147.0</v>
      </c>
      <c r="Y73" s="24"/>
      <c r="Z73" s="25" t="n">
        <f>119768</f>
        <v>119768.0</v>
      </c>
      <c r="AA73" s="23"/>
      <c r="AB73" s="25" t="n">
        <f>21834</f>
        <v>21834.0</v>
      </c>
      <c r="AC73" s="23"/>
      <c r="AD73" s="26" t="n">
        <f>141602</f>
        <v>141602.0</v>
      </c>
    </row>
    <row r="74">
      <c r="A74" s="30" t="s">
        <v>33</v>
      </c>
      <c r="B74" s="22" t="s">
        <v>62</v>
      </c>
      <c r="C74" s="22" t="s">
        <v>63</v>
      </c>
      <c r="D74" s="24" t="s">
        <v>30</v>
      </c>
      <c r="E74" s="25" t="n">
        <f>2731</f>
        <v>2731.0</v>
      </c>
      <c r="F74" s="23" t="s">
        <v>44</v>
      </c>
      <c r="G74" s="25" t="str">
        <f>"－"</f>
        <v>－</v>
      </c>
      <c r="H74" s="23" t="s">
        <v>30</v>
      </c>
      <c r="I74" s="26" t="n">
        <f>2731</f>
        <v>2731.0</v>
      </c>
      <c r="J74" s="24" t="s">
        <v>30</v>
      </c>
      <c r="K74" s="25" t="n">
        <f>2715160200</f>
        <v>2.7151602E9</v>
      </c>
      <c r="L74" s="23" t="s">
        <v>44</v>
      </c>
      <c r="M74" s="25" t="str">
        <f>"－"</f>
        <v>－</v>
      </c>
      <c r="N74" s="23"/>
      <c r="O74" s="26" t="n">
        <f>2715160200</f>
        <v>2.7151602E9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 t="s">
        <v>30</v>
      </c>
      <c r="T74" s="25" t="n">
        <f>2731</f>
        <v>2731.0</v>
      </c>
      <c r="U74" s="23" t="s">
        <v>44</v>
      </c>
      <c r="V74" s="25" t="str">
        <f>"－"</f>
        <v>－</v>
      </c>
      <c r="W74" s="23" t="s">
        <v>30</v>
      </c>
      <c r="X74" s="26" t="n">
        <f>2731</f>
        <v>2731.0</v>
      </c>
      <c r="Y74" s="24"/>
      <c r="Z74" s="25" t="n">
        <f>122499</f>
        <v>122499.0</v>
      </c>
      <c r="AA74" s="23"/>
      <c r="AB74" s="25" t="n">
        <f>21834</f>
        <v>21834.0</v>
      </c>
      <c r="AC74" s="23"/>
      <c r="AD74" s="26" t="n">
        <f>144333</f>
        <v>144333.0</v>
      </c>
    </row>
    <row r="75">
      <c r="A75" s="30" t="s">
        <v>34</v>
      </c>
      <c r="B75" s="22" t="s">
        <v>62</v>
      </c>
      <c r="C75" s="22" t="s">
        <v>63</v>
      </c>
      <c r="D75" s="24"/>
      <c r="E75" s="25"/>
      <c r="F75" s="23"/>
      <c r="G75" s="25"/>
      <c r="H75" s="23"/>
      <c r="I75" s="26"/>
      <c r="J75" s="24"/>
      <c r="K75" s="25"/>
      <c r="L75" s="23"/>
      <c r="M75" s="25"/>
      <c r="N75" s="23"/>
      <c r="O75" s="26"/>
      <c r="P75" s="27"/>
      <c r="Q75" s="28"/>
      <c r="R75" s="29"/>
      <c r="S75" s="24"/>
      <c r="T75" s="25"/>
      <c r="U75" s="23"/>
      <c r="V75" s="25"/>
      <c r="W75" s="23"/>
      <c r="X75" s="26"/>
      <c r="Y75" s="24"/>
      <c r="Z75" s="25"/>
      <c r="AA75" s="23"/>
      <c r="AB75" s="25"/>
      <c r="AC75" s="23"/>
      <c r="AD75" s="26"/>
    </row>
    <row r="76">
      <c r="A76" s="30" t="s">
        <v>35</v>
      </c>
      <c r="B76" s="22" t="s">
        <v>62</v>
      </c>
      <c r="C76" s="22" t="s">
        <v>63</v>
      </c>
      <c r="D76" s="24"/>
      <c r="E76" s="25"/>
      <c r="F76" s="23"/>
      <c r="G76" s="25"/>
      <c r="H76" s="23"/>
      <c r="I76" s="26"/>
      <c r="J76" s="24"/>
      <c r="K76" s="25"/>
      <c r="L76" s="23"/>
      <c r="M76" s="25"/>
      <c r="N76" s="23"/>
      <c r="O76" s="26"/>
      <c r="P76" s="27"/>
      <c r="Q76" s="28"/>
      <c r="R76" s="29"/>
      <c r="S76" s="24"/>
      <c r="T76" s="25"/>
      <c r="U76" s="23"/>
      <c r="V76" s="25"/>
      <c r="W76" s="23"/>
      <c r="X76" s="26"/>
      <c r="Y76" s="24"/>
      <c r="Z76" s="25"/>
      <c r="AA76" s="23"/>
      <c r="AB76" s="25"/>
      <c r="AC76" s="23"/>
      <c r="AD76" s="26"/>
    </row>
    <row r="77">
      <c r="A77" s="30" t="s">
        <v>36</v>
      </c>
      <c r="B77" s="22" t="s">
        <v>62</v>
      </c>
      <c r="C77" s="22" t="s">
        <v>63</v>
      </c>
      <c r="D77" s="24"/>
      <c r="E77" s="25" t="n">
        <f>1200</f>
        <v>1200.0</v>
      </c>
      <c r="F77" s="23"/>
      <c r="G77" s="25" t="str">
        <f>"－"</f>
        <v>－</v>
      </c>
      <c r="H77" s="23"/>
      <c r="I77" s="26" t="n">
        <f>1200</f>
        <v>1200.0</v>
      </c>
      <c r="J77" s="24"/>
      <c r="K77" s="25" t="n">
        <f>739370000</f>
        <v>7.3937E8</v>
      </c>
      <c r="L77" s="23"/>
      <c r="M77" s="25" t="str">
        <f>"－"</f>
        <v>－</v>
      </c>
      <c r="N77" s="23"/>
      <c r="O77" s="26" t="n">
        <f>739370000</f>
        <v>7.3937E8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n">
        <f>700</f>
        <v>700.0</v>
      </c>
      <c r="U77" s="23"/>
      <c r="V77" s="25" t="str">
        <f>"－"</f>
        <v>－</v>
      </c>
      <c r="W77" s="23"/>
      <c r="X77" s="26" t="n">
        <f>700</f>
        <v>700.0</v>
      </c>
      <c r="Y77" s="24"/>
      <c r="Z77" s="25" t="n">
        <f>123499</f>
        <v>123499.0</v>
      </c>
      <c r="AA77" s="23"/>
      <c r="AB77" s="25" t="n">
        <f>21834</f>
        <v>21834.0</v>
      </c>
      <c r="AC77" s="23"/>
      <c r="AD77" s="26" t="n">
        <f>145333</f>
        <v>145333.0</v>
      </c>
    </row>
    <row r="78">
      <c r="A78" s="30" t="s">
        <v>37</v>
      </c>
      <c r="B78" s="22" t="s">
        <v>62</v>
      </c>
      <c r="C78" s="22" t="s">
        <v>63</v>
      </c>
      <c r="D78" s="24"/>
      <c r="E78" s="25" t="n">
        <f>626</f>
        <v>626.0</v>
      </c>
      <c r="F78" s="23" t="s">
        <v>30</v>
      </c>
      <c r="G78" s="25" t="n">
        <f>626</f>
        <v>626.0</v>
      </c>
      <c r="H78" s="23"/>
      <c r="I78" s="26" t="n">
        <f>1252</f>
        <v>1252.0</v>
      </c>
      <c r="J78" s="24"/>
      <c r="K78" s="25" t="n">
        <f>626000</f>
        <v>626000.0</v>
      </c>
      <c r="L78" s="23" t="s">
        <v>30</v>
      </c>
      <c r="M78" s="25" t="n">
        <f>3456146000</f>
        <v>3.456146E9</v>
      </c>
      <c r="N78" s="23" t="s">
        <v>30</v>
      </c>
      <c r="O78" s="26" t="n">
        <f>3456772000</f>
        <v>3.456772E9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 t="s">
        <v>44</v>
      </c>
      <c r="T78" s="25" t="str">
        <f>"－"</f>
        <v>－</v>
      </c>
      <c r="U78" s="23"/>
      <c r="V78" s="25" t="str">
        <f>"－"</f>
        <v>－</v>
      </c>
      <c r="W78" s="23" t="s">
        <v>44</v>
      </c>
      <c r="X78" s="26" t="str">
        <f>"－"</f>
        <v>－</v>
      </c>
      <c r="Y78" s="24"/>
      <c r="Z78" s="25" t="n">
        <f>123712</f>
        <v>123712.0</v>
      </c>
      <c r="AA78" s="23" t="s">
        <v>30</v>
      </c>
      <c r="AB78" s="25" t="n">
        <f>22147</f>
        <v>22147.0</v>
      </c>
      <c r="AC78" s="23"/>
      <c r="AD78" s="26" t="n">
        <f>145859</f>
        <v>145859.0</v>
      </c>
    </row>
    <row r="79">
      <c r="A79" s="30" t="s">
        <v>38</v>
      </c>
      <c r="B79" s="22" t="s">
        <v>62</v>
      </c>
      <c r="C79" s="22" t="s">
        <v>63</v>
      </c>
      <c r="D79" s="24"/>
      <c r="E79" s="25" t="n">
        <f>560</f>
        <v>560.0</v>
      </c>
      <c r="F79" s="23"/>
      <c r="G79" s="25" t="str">
        <f>"－"</f>
        <v>－</v>
      </c>
      <c r="H79" s="23"/>
      <c r="I79" s="26" t="n">
        <f>560</f>
        <v>560.0</v>
      </c>
      <c r="J79" s="24"/>
      <c r="K79" s="25" t="n">
        <f>135800000</f>
        <v>1.358E8</v>
      </c>
      <c r="L79" s="23"/>
      <c r="M79" s="25" t="str">
        <f>"－"</f>
        <v>－</v>
      </c>
      <c r="N79" s="23"/>
      <c r="O79" s="26" t="n">
        <f>135800000</f>
        <v>1.358E8</v>
      </c>
      <c r="P79" s="27" t="str">
        <f>"－"</f>
        <v>－</v>
      </c>
      <c r="Q79" s="28" t="str">
        <f>"－"</f>
        <v>－</v>
      </c>
      <c r="R79" s="29" t="str">
        <f>"－"</f>
        <v>－</v>
      </c>
      <c r="S79" s="24"/>
      <c r="T79" s="25" t="n">
        <f>560</f>
        <v>560.0</v>
      </c>
      <c r="U79" s="23"/>
      <c r="V79" s="25" t="str">
        <f>"－"</f>
        <v>－</v>
      </c>
      <c r="W79" s="23"/>
      <c r="X79" s="26" t="n">
        <f>560</f>
        <v>560.0</v>
      </c>
      <c r="Y79" s="24"/>
      <c r="Z79" s="25" t="n">
        <f>124272</f>
        <v>124272.0</v>
      </c>
      <c r="AA79" s="23"/>
      <c r="AB79" s="25" t="n">
        <f>22147</f>
        <v>22147.0</v>
      </c>
      <c r="AC79" s="23"/>
      <c r="AD79" s="26" t="n">
        <f>146419</f>
        <v>146419.0</v>
      </c>
    </row>
    <row r="80">
      <c r="A80" s="30" t="s">
        <v>39</v>
      </c>
      <c r="B80" s="22" t="s">
        <v>62</v>
      </c>
      <c r="C80" s="22" t="s">
        <v>63</v>
      </c>
      <c r="D80" s="24"/>
      <c r="E80" s="25" t="n">
        <f>224</f>
        <v>224.0</v>
      </c>
      <c r="F80" s="23"/>
      <c r="G80" s="25" t="str">
        <f>"－"</f>
        <v>－</v>
      </c>
      <c r="H80" s="23"/>
      <c r="I80" s="26" t="n">
        <f>224</f>
        <v>224.0</v>
      </c>
      <c r="J80" s="24"/>
      <c r="K80" s="25" t="n">
        <f>96124672</f>
        <v>9.6124672E7</v>
      </c>
      <c r="L80" s="23"/>
      <c r="M80" s="25" t="str">
        <f>"－"</f>
        <v>－</v>
      </c>
      <c r="N80" s="23"/>
      <c r="O80" s="26" t="n">
        <f>96124672</f>
        <v>9.6124672E7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n">
        <f>224</f>
        <v>224.0</v>
      </c>
      <c r="U80" s="23"/>
      <c r="V80" s="25" t="str">
        <f>"－"</f>
        <v>－</v>
      </c>
      <c r="W80" s="23"/>
      <c r="X80" s="26" t="n">
        <f>224</f>
        <v>224.0</v>
      </c>
      <c r="Y80" s="24" t="s">
        <v>30</v>
      </c>
      <c r="Z80" s="25" t="n">
        <f>124496</f>
        <v>124496.0</v>
      </c>
      <c r="AA80" s="23"/>
      <c r="AB80" s="25" t="n">
        <f>22147</f>
        <v>22147.0</v>
      </c>
      <c r="AC80" s="23" t="s">
        <v>30</v>
      </c>
      <c r="AD80" s="26" t="n">
        <f>146643</f>
        <v>146643.0</v>
      </c>
    </row>
    <row r="81">
      <c r="A81" s="30" t="s">
        <v>40</v>
      </c>
      <c r="B81" s="22" t="s">
        <v>62</v>
      </c>
      <c r="C81" s="22" t="s">
        <v>63</v>
      </c>
      <c r="D81" s="24" t="s">
        <v>44</v>
      </c>
      <c r="E81" s="25" t="str">
        <f>"－"</f>
        <v>－</v>
      </c>
      <c r="F81" s="23"/>
      <c r="G81" s="25" t="str">
        <f>"－"</f>
        <v>－</v>
      </c>
      <c r="H81" s="23" t="s">
        <v>44</v>
      </c>
      <c r="I81" s="26" t="str">
        <f>"－"</f>
        <v>－</v>
      </c>
      <c r="J81" s="24" t="s">
        <v>44</v>
      </c>
      <c r="K81" s="25" t="str">
        <f>"－"</f>
        <v>－</v>
      </c>
      <c r="L81" s="23"/>
      <c r="M81" s="25" t="str">
        <f>"－"</f>
        <v>－</v>
      </c>
      <c r="N81" s="23" t="s">
        <v>44</v>
      </c>
      <c r="O81" s="26" t="str">
        <f>"－"</f>
        <v>－</v>
      </c>
      <c r="P81" s="27" t="n">
        <f>2203</f>
        <v>2203.0</v>
      </c>
      <c r="Q81" s="28" t="n">
        <f>5094</f>
        <v>5094.0</v>
      </c>
      <c r="R81" s="29" t="n">
        <f>7297</f>
        <v>7297.0</v>
      </c>
      <c r="S81" s="24"/>
      <c r="T81" s="25" t="str">
        <f>"－"</f>
        <v>－</v>
      </c>
      <c r="U81" s="23"/>
      <c r="V81" s="25" t="str">
        <f>"－"</f>
        <v>－</v>
      </c>
      <c r="W81" s="23"/>
      <c r="X81" s="26" t="str">
        <f>"－"</f>
        <v>－</v>
      </c>
      <c r="Y81" s="24" t="s">
        <v>44</v>
      </c>
      <c r="Z81" s="25" t="n">
        <f>88850</f>
        <v>88850.0</v>
      </c>
      <c r="AA81" s="23" t="s">
        <v>44</v>
      </c>
      <c r="AB81" s="25" t="n">
        <f>13809</f>
        <v>13809.0</v>
      </c>
      <c r="AC81" s="23" t="s">
        <v>44</v>
      </c>
      <c r="AD81" s="26" t="n">
        <f>102659</f>
        <v>102659.0</v>
      </c>
    </row>
    <row r="82">
      <c r="A82" s="30" t="s">
        <v>41</v>
      </c>
      <c r="B82" s="22" t="s">
        <v>62</v>
      </c>
      <c r="C82" s="22" t="s">
        <v>63</v>
      </c>
      <c r="D82" s="24"/>
      <c r="E82" s="25"/>
      <c r="F82" s="23"/>
      <c r="G82" s="25"/>
      <c r="H82" s="23"/>
      <c r="I82" s="26"/>
      <c r="J82" s="24"/>
      <c r="K82" s="25"/>
      <c r="L82" s="23"/>
      <c r="M82" s="25"/>
      <c r="N82" s="23"/>
      <c r="O82" s="26"/>
      <c r="P82" s="27"/>
      <c r="Q82" s="28"/>
      <c r="R82" s="29"/>
      <c r="S82" s="24"/>
      <c r="T82" s="25"/>
      <c r="U82" s="23"/>
      <c r="V82" s="25"/>
      <c r="W82" s="23"/>
      <c r="X82" s="26"/>
      <c r="Y82" s="24"/>
      <c r="Z82" s="25"/>
      <c r="AA82" s="23"/>
      <c r="AB82" s="25"/>
      <c r="AC82" s="23"/>
      <c r="AD82" s="26"/>
    </row>
    <row r="83">
      <c r="A83" s="30" t="s">
        <v>42</v>
      </c>
      <c r="B83" s="22" t="s">
        <v>62</v>
      </c>
      <c r="C83" s="22" t="s">
        <v>63</v>
      </c>
      <c r="D83" s="24"/>
      <c r="E83" s="25"/>
      <c r="F83" s="23"/>
      <c r="G83" s="25"/>
      <c r="H83" s="23"/>
      <c r="I83" s="26"/>
      <c r="J83" s="24"/>
      <c r="K83" s="25"/>
      <c r="L83" s="23"/>
      <c r="M83" s="25"/>
      <c r="N83" s="23"/>
      <c r="O83" s="26"/>
      <c r="P83" s="27"/>
      <c r="Q83" s="28"/>
      <c r="R83" s="29"/>
      <c r="S83" s="24"/>
      <c r="T83" s="25"/>
      <c r="U83" s="23"/>
      <c r="V83" s="25"/>
      <c r="W83" s="23"/>
      <c r="X83" s="26"/>
      <c r="Y83" s="24"/>
      <c r="Z83" s="25"/>
      <c r="AA83" s="23"/>
      <c r="AB83" s="25"/>
      <c r="AC83" s="23"/>
      <c r="AD83" s="26"/>
    </row>
    <row r="84">
      <c r="A84" s="30" t="s">
        <v>43</v>
      </c>
      <c r="B84" s="22" t="s">
        <v>62</v>
      </c>
      <c r="C84" s="22" t="s">
        <v>63</v>
      </c>
      <c r="D84" s="24"/>
      <c r="E84" s="25" t="n">
        <f>69</f>
        <v>69.0</v>
      </c>
      <c r="F84" s="23"/>
      <c r="G84" s="25" t="n">
        <f>282</f>
        <v>282.0</v>
      </c>
      <c r="H84" s="23"/>
      <c r="I84" s="26" t="n">
        <f>351</f>
        <v>351.0</v>
      </c>
      <c r="J84" s="24"/>
      <c r="K84" s="25" t="n">
        <f>64791000</f>
        <v>6.4791E7</v>
      </c>
      <c r="L84" s="23"/>
      <c r="M84" s="25" t="n">
        <f>30738000</f>
        <v>3.0738E7</v>
      </c>
      <c r="N84" s="23"/>
      <c r="O84" s="26" t="n">
        <f>95529000</f>
        <v>9.5529E7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n">
        <f>69</f>
        <v>69.0</v>
      </c>
      <c r="U84" s="23" t="s">
        <v>30</v>
      </c>
      <c r="V84" s="25" t="n">
        <f>282</f>
        <v>282.0</v>
      </c>
      <c r="W84" s="23"/>
      <c r="X84" s="26" t="n">
        <f>351</f>
        <v>351.0</v>
      </c>
      <c r="Y84" s="24"/>
      <c r="Z84" s="25" t="n">
        <f>88919</f>
        <v>88919.0</v>
      </c>
      <c r="AA84" s="23"/>
      <c r="AB84" s="25" t="n">
        <f>14091</f>
        <v>14091.0</v>
      </c>
      <c r="AC84" s="23"/>
      <c r="AD84" s="26" t="n">
        <f>103010</f>
        <v>103010.0</v>
      </c>
    </row>
    <row r="85">
      <c r="A85" s="30" t="s">
        <v>45</v>
      </c>
      <c r="B85" s="22" t="s">
        <v>62</v>
      </c>
      <c r="C85" s="22" t="s">
        <v>63</v>
      </c>
      <c r="D85" s="24"/>
      <c r="E85" s="25" t="n">
        <f>350</f>
        <v>350.0</v>
      </c>
      <c r="F85" s="23"/>
      <c r="G85" s="25" t="str">
        <f>"－"</f>
        <v>－</v>
      </c>
      <c r="H85" s="23"/>
      <c r="I85" s="26" t="n">
        <f>350</f>
        <v>350.0</v>
      </c>
      <c r="J85" s="24"/>
      <c r="K85" s="25" t="n">
        <f>187250000</f>
        <v>1.8725E8</v>
      </c>
      <c r="L85" s="23"/>
      <c r="M85" s="25" t="str">
        <f>"－"</f>
        <v>－</v>
      </c>
      <c r="N85" s="23"/>
      <c r="O85" s="26" t="n">
        <f>187250000</f>
        <v>1.8725E8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str">
        <f>"－"</f>
        <v>－</v>
      </c>
      <c r="U85" s="23"/>
      <c r="V85" s="25" t="str">
        <f>"－"</f>
        <v>－</v>
      </c>
      <c r="W85" s="23"/>
      <c r="X85" s="26" t="str">
        <f>"－"</f>
        <v>－</v>
      </c>
      <c r="Y85" s="24"/>
      <c r="Z85" s="25" t="n">
        <f>89269</f>
        <v>89269.0</v>
      </c>
      <c r="AA85" s="23"/>
      <c r="AB85" s="25" t="n">
        <f>14091</f>
        <v>14091.0</v>
      </c>
      <c r="AC85" s="23"/>
      <c r="AD85" s="26" t="n">
        <f>103360</f>
        <v>103360.0</v>
      </c>
    </row>
    <row r="86">
      <c r="A86" s="30" t="s">
        <v>46</v>
      </c>
      <c r="B86" s="22" t="s">
        <v>62</v>
      </c>
      <c r="C86" s="22" t="s">
        <v>63</v>
      </c>
      <c r="D86" s="24"/>
      <c r="E86" s="25" t="n">
        <f>635</f>
        <v>635.0</v>
      </c>
      <c r="F86" s="23"/>
      <c r="G86" s="25" t="str">
        <f>"－"</f>
        <v>－</v>
      </c>
      <c r="H86" s="23"/>
      <c r="I86" s="26" t="n">
        <f>635</f>
        <v>635.0</v>
      </c>
      <c r="J86" s="24"/>
      <c r="K86" s="25" t="n">
        <f>87447120</f>
        <v>8.744712E7</v>
      </c>
      <c r="L86" s="23"/>
      <c r="M86" s="25" t="str">
        <f>"－"</f>
        <v>－</v>
      </c>
      <c r="N86" s="23"/>
      <c r="O86" s="26" t="n">
        <f>87447120</f>
        <v>8.744712E7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str">
        <f>"－"</f>
        <v>－</v>
      </c>
      <c r="U86" s="23"/>
      <c r="V86" s="25" t="str">
        <f>"－"</f>
        <v>－</v>
      </c>
      <c r="W86" s="23"/>
      <c r="X86" s="26" t="str">
        <f>"－"</f>
        <v>－</v>
      </c>
      <c r="Y86" s="24"/>
      <c r="Z86" s="25" t="n">
        <f>89904</f>
        <v>89904.0</v>
      </c>
      <c r="AA86" s="23"/>
      <c r="AB86" s="25" t="n">
        <f>14091</f>
        <v>14091.0</v>
      </c>
      <c r="AC86" s="23"/>
      <c r="AD86" s="26" t="n">
        <f>103995</f>
        <v>103995.0</v>
      </c>
    </row>
    <row r="87">
      <c r="A87" s="30" t="s">
        <v>47</v>
      </c>
      <c r="B87" s="22" t="s">
        <v>62</v>
      </c>
      <c r="C87" s="22" t="s">
        <v>63</v>
      </c>
      <c r="D87" s="24"/>
      <c r="E87" s="25" t="str">
        <f>"－"</f>
        <v>－</v>
      </c>
      <c r="F87" s="23"/>
      <c r="G87" s="25" t="n">
        <f>200</f>
        <v>200.0</v>
      </c>
      <c r="H87" s="23"/>
      <c r="I87" s="26" t="n">
        <f>200</f>
        <v>200.0</v>
      </c>
      <c r="J87" s="24"/>
      <c r="K87" s="25" t="str">
        <f>"－"</f>
        <v>－</v>
      </c>
      <c r="L87" s="23"/>
      <c r="M87" s="25" t="n">
        <f>160000000</f>
        <v>1.6E8</v>
      </c>
      <c r="N87" s="23"/>
      <c r="O87" s="26" t="n">
        <f>160000000</f>
        <v>1.6E8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str">
        <f>"－"</f>
        <v>－</v>
      </c>
      <c r="U87" s="23"/>
      <c r="V87" s="25" t="str">
        <f>"－"</f>
        <v>－</v>
      </c>
      <c r="W87" s="23"/>
      <c r="X87" s="26" t="str">
        <f>"－"</f>
        <v>－</v>
      </c>
      <c r="Y87" s="24"/>
      <c r="Z87" s="25" t="n">
        <f>89904</f>
        <v>89904.0</v>
      </c>
      <c r="AA87" s="23"/>
      <c r="AB87" s="25" t="n">
        <f>14291</f>
        <v>14291.0</v>
      </c>
      <c r="AC87" s="23"/>
      <c r="AD87" s="26" t="n">
        <f>104195</f>
        <v>104195.0</v>
      </c>
    </row>
    <row r="88">
      <c r="A88" s="30" t="s">
        <v>48</v>
      </c>
      <c r="B88" s="22" t="s">
        <v>62</v>
      </c>
      <c r="C88" s="22" t="s">
        <v>63</v>
      </c>
      <c r="D88" s="24"/>
      <c r="E88" s="25" t="n">
        <f>1450</f>
        <v>1450.0</v>
      </c>
      <c r="F88" s="23"/>
      <c r="G88" s="25" t="str">
        <f>"－"</f>
        <v>－</v>
      </c>
      <c r="H88" s="23"/>
      <c r="I88" s="26" t="n">
        <f>1450</f>
        <v>1450.0</v>
      </c>
      <c r="J88" s="24"/>
      <c r="K88" s="25" t="n">
        <f>1549250000</f>
        <v>1.54925E9</v>
      </c>
      <c r="L88" s="23"/>
      <c r="M88" s="25" t="str">
        <f>"－"</f>
        <v>－</v>
      </c>
      <c r="N88" s="23"/>
      <c r="O88" s="26" t="n">
        <f>1549250000</f>
        <v>1.54925E9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/>
      <c r="X88" s="26" t="str">
        <f>"－"</f>
        <v>－</v>
      </c>
      <c r="Y88" s="24"/>
      <c r="Z88" s="25" t="n">
        <f>91154</f>
        <v>91154.0</v>
      </c>
      <c r="AA88" s="23"/>
      <c r="AB88" s="25" t="n">
        <f>14291</f>
        <v>14291.0</v>
      </c>
      <c r="AC88" s="23"/>
      <c r="AD88" s="26" t="n">
        <f>105445</f>
        <v>105445.0</v>
      </c>
    </row>
    <row r="89">
      <c r="A89" s="30" t="s">
        <v>49</v>
      </c>
      <c r="B89" s="22" t="s">
        <v>62</v>
      </c>
      <c r="C89" s="22" t="s">
        <v>63</v>
      </c>
      <c r="D89" s="24"/>
      <c r="E89" s="25"/>
      <c r="F89" s="23"/>
      <c r="G89" s="25"/>
      <c r="H89" s="23"/>
      <c r="I89" s="26"/>
      <c r="J89" s="24"/>
      <c r="K89" s="25"/>
      <c r="L89" s="23"/>
      <c r="M89" s="25"/>
      <c r="N89" s="23"/>
      <c r="O89" s="26"/>
      <c r="P89" s="27"/>
      <c r="Q89" s="28"/>
      <c r="R89" s="29"/>
      <c r="S89" s="24"/>
      <c r="T89" s="25"/>
      <c r="U89" s="23"/>
      <c r="V89" s="25"/>
      <c r="W89" s="23"/>
      <c r="X89" s="26"/>
      <c r="Y89" s="24"/>
      <c r="Z89" s="25"/>
      <c r="AA89" s="23"/>
      <c r="AB89" s="25"/>
      <c r="AC89" s="23"/>
      <c r="AD89" s="26"/>
    </row>
    <row r="90">
      <c r="A90" s="30" t="s">
        <v>50</v>
      </c>
      <c r="B90" s="22" t="s">
        <v>62</v>
      </c>
      <c r="C90" s="22" t="s">
        <v>63</v>
      </c>
      <c r="D90" s="24"/>
      <c r="E90" s="25"/>
      <c r="F90" s="23"/>
      <c r="G90" s="25"/>
      <c r="H90" s="23"/>
      <c r="I90" s="26"/>
      <c r="J90" s="24"/>
      <c r="K90" s="25"/>
      <c r="L90" s="23"/>
      <c r="M90" s="25"/>
      <c r="N90" s="23"/>
      <c r="O90" s="26"/>
      <c r="P90" s="27"/>
      <c r="Q90" s="28"/>
      <c r="R90" s="29"/>
      <c r="S90" s="24"/>
      <c r="T90" s="25"/>
      <c r="U90" s="23"/>
      <c r="V90" s="25"/>
      <c r="W90" s="23"/>
      <c r="X90" s="26"/>
      <c r="Y90" s="24"/>
      <c r="Z90" s="25"/>
      <c r="AA90" s="23"/>
      <c r="AB90" s="25"/>
      <c r="AC90" s="23"/>
      <c r="AD90" s="26"/>
    </row>
    <row r="91">
      <c r="A91" s="30" t="s">
        <v>51</v>
      </c>
      <c r="B91" s="22" t="s">
        <v>62</v>
      </c>
      <c r="C91" s="22" t="s">
        <v>63</v>
      </c>
      <c r="D91" s="24"/>
      <c r="E91" s="25" t="str">
        <f>"－"</f>
        <v>－</v>
      </c>
      <c r="F91" s="23"/>
      <c r="G91" s="25" t="str">
        <f>"－"</f>
        <v>－</v>
      </c>
      <c r="H91" s="23"/>
      <c r="I91" s="26" t="str">
        <f>"－"</f>
        <v>－</v>
      </c>
      <c r="J91" s="24"/>
      <c r="K91" s="25" t="str">
        <f>"－"</f>
        <v>－</v>
      </c>
      <c r="L91" s="23"/>
      <c r="M91" s="25" t="str">
        <f>"－"</f>
        <v>－</v>
      </c>
      <c r="N91" s="23"/>
      <c r="O91" s="26" t="str">
        <f>"－"</f>
        <v>－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str">
        <f>"－"</f>
        <v>－</v>
      </c>
      <c r="U91" s="23"/>
      <c r="V91" s="25" t="str">
        <f>"－"</f>
        <v>－</v>
      </c>
      <c r="W91" s="23"/>
      <c r="X91" s="26" t="str">
        <f>"－"</f>
        <v>－</v>
      </c>
      <c r="Y91" s="24"/>
      <c r="Z91" s="25" t="n">
        <f>91154</f>
        <v>91154.0</v>
      </c>
      <c r="AA91" s="23"/>
      <c r="AB91" s="25" t="n">
        <f>14291</f>
        <v>14291.0</v>
      </c>
      <c r="AC91" s="23"/>
      <c r="AD91" s="26" t="n">
        <f>105445</f>
        <v>105445.0</v>
      </c>
    </row>
    <row r="92">
      <c r="A92" s="30" t="s">
        <v>52</v>
      </c>
      <c r="B92" s="22" t="s">
        <v>62</v>
      </c>
      <c r="C92" s="22" t="s">
        <v>63</v>
      </c>
      <c r="D92" s="24"/>
      <c r="E92" s="25" t="n">
        <f>1552</f>
        <v>1552.0</v>
      </c>
      <c r="F92" s="23"/>
      <c r="G92" s="25" t="str">
        <f>"－"</f>
        <v>－</v>
      </c>
      <c r="H92" s="23"/>
      <c r="I92" s="26" t="n">
        <f>1552</f>
        <v>1552.0</v>
      </c>
      <c r="J92" s="24"/>
      <c r="K92" s="25" t="n">
        <f>720277000</f>
        <v>7.20277E8</v>
      </c>
      <c r="L92" s="23"/>
      <c r="M92" s="25" t="str">
        <f>"－"</f>
        <v>－</v>
      </c>
      <c r="N92" s="23"/>
      <c r="O92" s="26" t="n">
        <f>720277000</f>
        <v>7.20277E8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n">
        <f>1552</f>
        <v>1552.0</v>
      </c>
      <c r="U92" s="23"/>
      <c r="V92" s="25" t="str">
        <f>"－"</f>
        <v>－</v>
      </c>
      <c r="W92" s="23"/>
      <c r="X92" s="26" t="n">
        <f>1552</f>
        <v>1552.0</v>
      </c>
      <c r="Y92" s="24"/>
      <c r="Z92" s="25" t="n">
        <f>92706</f>
        <v>92706.0</v>
      </c>
      <c r="AA92" s="23"/>
      <c r="AB92" s="25" t="n">
        <f>14291</f>
        <v>14291.0</v>
      </c>
      <c r="AC92" s="23"/>
      <c r="AD92" s="26" t="n">
        <f>106997</f>
        <v>106997.0</v>
      </c>
    </row>
    <row r="93">
      <c r="A93" s="30" t="s">
        <v>53</v>
      </c>
      <c r="B93" s="22" t="s">
        <v>62</v>
      </c>
      <c r="C93" s="22" t="s">
        <v>63</v>
      </c>
      <c r="D93" s="24"/>
      <c r="E93" s="25" t="n">
        <f>100</f>
        <v>100.0</v>
      </c>
      <c r="F93" s="23"/>
      <c r="G93" s="25" t="str">
        <f>"－"</f>
        <v>－</v>
      </c>
      <c r="H93" s="23"/>
      <c r="I93" s="26" t="n">
        <f>100</f>
        <v>100.0</v>
      </c>
      <c r="J93" s="24"/>
      <c r="K93" s="25" t="n">
        <f>46500000</f>
        <v>4.65E7</v>
      </c>
      <c r="L93" s="23"/>
      <c r="M93" s="25" t="str">
        <f>"－"</f>
        <v>－</v>
      </c>
      <c r="N93" s="23"/>
      <c r="O93" s="26" t="n">
        <f>46500000</f>
        <v>4.65E7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str">
        <f>"－"</f>
        <v>－</v>
      </c>
      <c r="U93" s="23"/>
      <c r="V93" s="25" t="str">
        <f>"－"</f>
        <v>－</v>
      </c>
      <c r="W93" s="23"/>
      <c r="X93" s="26" t="str">
        <f>"－"</f>
        <v>－</v>
      </c>
      <c r="Y93" s="24"/>
      <c r="Z93" s="25" t="n">
        <f>91208</f>
        <v>91208.0</v>
      </c>
      <c r="AA93" s="23"/>
      <c r="AB93" s="25" t="n">
        <f>14291</f>
        <v>14291.0</v>
      </c>
      <c r="AC93" s="23"/>
      <c r="AD93" s="26" t="n">
        <f>105499</f>
        <v>105499.0</v>
      </c>
    </row>
    <row r="94">
      <c r="A94" s="30" t="s">
        <v>54</v>
      </c>
      <c r="B94" s="22" t="s">
        <v>62</v>
      </c>
      <c r="C94" s="22" t="s">
        <v>63</v>
      </c>
      <c r="D94" s="24"/>
      <c r="E94" s="25" t="n">
        <f>9</f>
        <v>9.0</v>
      </c>
      <c r="F94" s="23"/>
      <c r="G94" s="25" t="n">
        <f>9</f>
        <v>9.0</v>
      </c>
      <c r="H94" s="23"/>
      <c r="I94" s="26" t="n">
        <f>18</f>
        <v>18.0</v>
      </c>
      <c r="J94" s="24"/>
      <c r="K94" s="25" t="n">
        <f>4590000</f>
        <v>4590000.0</v>
      </c>
      <c r="L94" s="23"/>
      <c r="M94" s="25" t="n">
        <f>540000</f>
        <v>540000.0</v>
      </c>
      <c r="N94" s="23"/>
      <c r="O94" s="26" t="n">
        <f>5130000</f>
        <v>5130000.0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/>
      <c r="T94" s="25" t="str">
        <f>"－"</f>
        <v>－</v>
      </c>
      <c r="U94" s="23"/>
      <c r="V94" s="25" t="str">
        <f>"－"</f>
        <v>－</v>
      </c>
      <c r="W94" s="23"/>
      <c r="X94" s="26" t="str">
        <f>"－"</f>
        <v>－</v>
      </c>
      <c r="Y94" s="24"/>
      <c r="Z94" s="25" t="n">
        <f>91205</f>
        <v>91205.0</v>
      </c>
      <c r="AA94" s="23"/>
      <c r="AB94" s="25" t="n">
        <f>14291</f>
        <v>14291.0</v>
      </c>
      <c r="AC94" s="23"/>
      <c r="AD94" s="26" t="n">
        <f>105496</f>
        <v>105496.0</v>
      </c>
    </row>
    <row r="95">
      <c r="A95" s="30" t="s">
        <v>55</v>
      </c>
      <c r="B95" s="22" t="s">
        <v>62</v>
      </c>
      <c r="C95" s="22" t="s">
        <v>63</v>
      </c>
      <c r="D95" s="24"/>
      <c r="E95" s="25" t="n">
        <f>100</f>
        <v>100.0</v>
      </c>
      <c r="F95" s="23"/>
      <c r="G95" s="25" t="n">
        <f>100</f>
        <v>100.0</v>
      </c>
      <c r="H95" s="23"/>
      <c r="I95" s="26" t="n">
        <f>200</f>
        <v>200.0</v>
      </c>
      <c r="J95" s="24"/>
      <c r="K95" s="25" t="n">
        <f>95000000</f>
        <v>9.5E7</v>
      </c>
      <c r="L95" s="23"/>
      <c r="M95" s="25" t="n">
        <f>100600000</f>
        <v>1.006E8</v>
      </c>
      <c r="N95" s="23"/>
      <c r="O95" s="26" t="n">
        <f>195600000</f>
        <v>1.956E8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str">
        <f>"－"</f>
        <v>－</v>
      </c>
      <c r="U95" s="23"/>
      <c r="V95" s="25" t="str">
        <f>"－"</f>
        <v>－</v>
      </c>
      <c r="W95" s="23"/>
      <c r="X95" s="26" t="str">
        <f>"－"</f>
        <v>－</v>
      </c>
      <c r="Y95" s="24"/>
      <c r="Z95" s="25" t="n">
        <f>91305</f>
        <v>91305.0</v>
      </c>
      <c r="AA95" s="23"/>
      <c r="AB95" s="25" t="n">
        <f>14391</f>
        <v>14391.0</v>
      </c>
      <c r="AC95" s="23"/>
      <c r="AD95" s="26" t="n">
        <f>105696</f>
        <v>105696.0</v>
      </c>
    </row>
    <row r="96">
      <c r="A96" s="30" t="s">
        <v>56</v>
      </c>
      <c r="B96" s="22" t="s">
        <v>62</v>
      </c>
      <c r="C96" s="22" t="s">
        <v>63</v>
      </c>
      <c r="D96" s="24"/>
      <c r="E96" s="25"/>
      <c r="F96" s="23"/>
      <c r="G96" s="25"/>
      <c r="H96" s="23"/>
      <c r="I96" s="26"/>
      <c r="J96" s="24"/>
      <c r="K96" s="25"/>
      <c r="L96" s="23"/>
      <c r="M96" s="25"/>
      <c r="N96" s="23"/>
      <c r="O96" s="26"/>
      <c r="P96" s="27"/>
      <c r="Q96" s="28"/>
      <c r="R96" s="29"/>
      <c r="S96" s="24"/>
      <c r="T96" s="25"/>
      <c r="U96" s="23"/>
      <c r="V96" s="25"/>
      <c r="W96" s="23"/>
      <c r="X96" s="26"/>
      <c r="Y96" s="24"/>
      <c r="Z96" s="25"/>
      <c r="AA96" s="23"/>
      <c r="AB96" s="25"/>
      <c r="AC96" s="23"/>
      <c r="AD96" s="26"/>
    </row>
    <row r="97">
      <c r="A97" s="30" t="s">
        <v>57</v>
      </c>
      <c r="B97" s="22" t="s">
        <v>62</v>
      </c>
      <c r="C97" s="22" t="s">
        <v>63</v>
      </c>
      <c r="D97" s="24"/>
      <c r="E97" s="25"/>
      <c r="F97" s="23"/>
      <c r="G97" s="25"/>
      <c r="H97" s="23"/>
      <c r="I97" s="26"/>
      <c r="J97" s="24"/>
      <c r="K97" s="25"/>
      <c r="L97" s="23"/>
      <c r="M97" s="25"/>
      <c r="N97" s="23"/>
      <c r="O97" s="26"/>
      <c r="P97" s="27"/>
      <c r="Q97" s="28"/>
      <c r="R97" s="29"/>
      <c r="S97" s="24"/>
      <c r="T97" s="25"/>
      <c r="U97" s="23"/>
      <c r="V97" s="25"/>
      <c r="W97" s="23"/>
      <c r="X97" s="26"/>
      <c r="Y97" s="24"/>
      <c r="Z97" s="25"/>
      <c r="AA97" s="23"/>
      <c r="AB97" s="25"/>
      <c r="AC97" s="23"/>
      <c r="AD97" s="26"/>
    </row>
    <row r="98">
      <c r="A98" s="30" t="s">
        <v>58</v>
      </c>
      <c r="B98" s="22" t="s">
        <v>62</v>
      </c>
      <c r="C98" s="22" t="s">
        <v>63</v>
      </c>
      <c r="D98" s="24"/>
      <c r="E98" s="25" t="str">
        <f>"－"</f>
        <v>－</v>
      </c>
      <c r="F98" s="23"/>
      <c r="G98" s="25" t="str">
        <f>"－"</f>
        <v>－</v>
      </c>
      <c r="H98" s="23"/>
      <c r="I98" s="26" t="str">
        <f>"－"</f>
        <v>－</v>
      </c>
      <c r="J98" s="24"/>
      <c r="K98" s="25" t="str">
        <f>"－"</f>
        <v>－</v>
      </c>
      <c r="L98" s="23"/>
      <c r="M98" s="25" t="str">
        <f>"－"</f>
        <v>－</v>
      </c>
      <c r="N98" s="23"/>
      <c r="O98" s="26" t="str">
        <f>"－"</f>
        <v>－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n">
        <f>91305</f>
        <v>91305.0</v>
      </c>
      <c r="AA98" s="23"/>
      <c r="AB98" s="25" t="n">
        <f>14391</f>
        <v>14391.0</v>
      </c>
      <c r="AC98" s="23"/>
      <c r="AD98" s="26" t="n">
        <f>105696</f>
        <v>105696.0</v>
      </c>
    </row>
    <row r="99">
      <c r="A99" s="30" t="s">
        <v>59</v>
      </c>
      <c r="B99" s="22" t="s">
        <v>62</v>
      </c>
      <c r="C99" s="22" t="s">
        <v>63</v>
      </c>
      <c r="D99" s="24"/>
      <c r="E99" s="25" t="n">
        <f>821</f>
        <v>821.0</v>
      </c>
      <c r="F99" s="23"/>
      <c r="G99" s="25" t="n">
        <f>108</f>
        <v>108.0</v>
      </c>
      <c r="H99" s="23"/>
      <c r="I99" s="26" t="n">
        <f>929</f>
        <v>929.0</v>
      </c>
      <c r="J99" s="24"/>
      <c r="K99" s="25" t="n">
        <f>739672310</f>
        <v>7.3967231E8</v>
      </c>
      <c r="L99" s="23"/>
      <c r="M99" s="25" t="n">
        <f>22698360</f>
        <v>2.269836E7</v>
      </c>
      <c r="N99" s="23"/>
      <c r="O99" s="26" t="n">
        <f>762370670</f>
        <v>7.6237067E8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n">
        <f>121</f>
        <v>121.0</v>
      </c>
      <c r="U99" s="23"/>
      <c r="V99" s="25" t="n">
        <f>108</f>
        <v>108.0</v>
      </c>
      <c r="W99" s="23"/>
      <c r="X99" s="26" t="n">
        <f>229</f>
        <v>229.0</v>
      </c>
      <c r="Y99" s="24"/>
      <c r="Z99" s="25" t="n">
        <f>92126</f>
        <v>92126.0</v>
      </c>
      <c r="AA99" s="23"/>
      <c r="AB99" s="25" t="n">
        <f>14499</f>
        <v>14499.0</v>
      </c>
      <c r="AC99" s="23"/>
      <c r="AD99" s="26" t="n">
        <f>106625</f>
        <v>106625.0</v>
      </c>
    </row>
    <row r="100">
      <c r="A100" s="30" t="s">
        <v>26</v>
      </c>
      <c r="B100" s="22" t="s">
        <v>64</v>
      </c>
      <c r="C100" s="22" t="s">
        <v>65</v>
      </c>
      <c r="D100" s="24" t="s">
        <v>66</v>
      </c>
      <c r="E100" s="25" t="str">
        <f>"－"</f>
        <v>－</v>
      </c>
      <c r="F100" s="23" t="s">
        <v>66</v>
      </c>
      <c r="G100" s="25" t="str">
        <f>"－"</f>
        <v>－</v>
      </c>
      <c r="H100" s="23" t="s">
        <v>66</v>
      </c>
      <c r="I100" s="26" t="str">
        <f>"－"</f>
        <v>－</v>
      </c>
      <c r="J100" s="24" t="s">
        <v>66</v>
      </c>
      <c r="K100" s="25" t="str">
        <f>"－"</f>
        <v>－</v>
      </c>
      <c r="L100" s="23" t="s">
        <v>66</v>
      </c>
      <c r="M100" s="25" t="str">
        <f>"－"</f>
        <v>－</v>
      </c>
      <c r="N100" s="23" t="s">
        <v>66</v>
      </c>
      <c r="O100" s="26" t="str">
        <f>"－"</f>
        <v>－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 t="s">
        <v>66</v>
      </c>
      <c r="T100" s="25" t="str">
        <f>"－"</f>
        <v>－</v>
      </c>
      <c r="U100" s="23" t="s">
        <v>66</v>
      </c>
      <c r="V100" s="25" t="str">
        <f>"－"</f>
        <v>－</v>
      </c>
      <c r="W100" s="23" t="s">
        <v>66</v>
      </c>
      <c r="X100" s="26" t="str">
        <f>"－"</f>
        <v>－</v>
      </c>
      <c r="Y100" s="24" t="s">
        <v>66</v>
      </c>
      <c r="Z100" s="25" t="str">
        <f>"－"</f>
        <v>－</v>
      </c>
      <c r="AA100" s="23" t="s">
        <v>66</v>
      </c>
      <c r="AB100" s="25" t="str">
        <f>"－"</f>
        <v>－</v>
      </c>
      <c r="AC100" s="23" t="s">
        <v>66</v>
      </c>
      <c r="AD100" s="26" t="str">
        <f>"－"</f>
        <v>－</v>
      </c>
    </row>
    <row r="101">
      <c r="A101" s="30" t="s">
        <v>29</v>
      </c>
      <c r="B101" s="22" t="s">
        <v>64</v>
      </c>
      <c r="C101" s="22" t="s">
        <v>65</v>
      </c>
      <c r="D101" s="24"/>
      <c r="E101" s="25" t="str">
        <f>"－"</f>
        <v>－</v>
      </c>
      <c r="F101" s="23"/>
      <c r="G101" s="25" t="str">
        <f>"－"</f>
        <v>－</v>
      </c>
      <c r="H101" s="23"/>
      <c r="I101" s="26" t="str">
        <f>"－"</f>
        <v>－</v>
      </c>
      <c r="J101" s="24"/>
      <c r="K101" s="25" t="str">
        <f>"－"</f>
        <v>－</v>
      </c>
      <c r="L101" s="23"/>
      <c r="M101" s="25" t="str">
        <f>"－"</f>
        <v>－</v>
      </c>
      <c r="N101" s="23"/>
      <c r="O101" s="26" t="str">
        <f>"－"</f>
        <v>－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str">
        <f>"－"</f>
        <v>－</v>
      </c>
      <c r="AA101" s="23"/>
      <c r="AB101" s="25" t="str">
        <f>"－"</f>
        <v>－</v>
      </c>
      <c r="AC101" s="23"/>
      <c r="AD101" s="26" t="str">
        <f>"－"</f>
        <v>－</v>
      </c>
    </row>
    <row r="102">
      <c r="A102" s="30" t="s">
        <v>31</v>
      </c>
      <c r="B102" s="22" t="s">
        <v>64</v>
      </c>
      <c r="C102" s="22" t="s">
        <v>65</v>
      </c>
      <c r="D102" s="24"/>
      <c r="E102" s="25" t="str">
        <f>"－"</f>
        <v>－</v>
      </c>
      <c r="F102" s="23"/>
      <c r="G102" s="25" t="str">
        <f>"－"</f>
        <v>－</v>
      </c>
      <c r="H102" s="23"/>
      <c r="I102" s="26" t="str">
        <f>"－"</f>
        <v>－</v>
      </c>
      <c r="J102" s="24"/>
      <c r="K102" s="25" t="str">
        <f>"－"</f>
        <v>－</v>
      </c>
      <c r="L102" s="23"/>
      <c r="M102" s="25" t="str">
        <f>"－"</f>
        <v>－</v>
      </c>
      <c r="N102" s="23"/>
      <c r="O102" s="26" t="str">
        <f>"－"</f>
        <v>－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str">
        <f>"－"</f>
        <v>－</v>
      </c>
      <c r="AA102" s="23"/>
      <c r="AB102" s="25" t="str">
        <f>"－"</f>
        <v>－</v>
      </c>
      <c r="AC102" s="23"/>
      <c r="AD102" s="26" t="str">
        <f>"－"</f>
        <v>－</v>
      </c>
    </row>
    <row r="103">
      <c r="A103" s="30" t="s">
        <v>32</v>
      </c>
      <c r="B103" s="22" t="s">
        <v>64</v>
      </c>
      <c r="C103" s="22" t="s">
        <v>65</v>
      </c>
      <c r="D103" s="24"/>
      <c r="E103" s="25" t="str">
        <f>"－"</f>
        <v>－</v>
      </c>
      <c r="F103" s="23"/>
      <c r="G103" s="25" t="str">
        <f>"－"</f>
        <v>－</v>
      </c>
      <c r="H103" s="23"/>
      <c r="I103" s="26" t="str">
        <f>"－"</f>
        <v>－</v>
      </c>
      <c r="J103" s="24"/>
      <c r="K103" s="25" t="str">
        <f>"－"</f>
        <v>－</v>
      </c>
      <c r="L103" s="23"/>
      <c r="M103" s="25" t="str">
        <f>"－"</f>
        <v>－</v>
      </c>
      <c r="N103" s="23"/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/>
      <c r="T103" s="25" t="str">
        <f>"－"</f>
        <v>－</v>
      </c>
      <c r="U103" s="23"/>
      <c r="V103" s="25" t="str">
        <f>"－"</f>
        <v>－</v>
      </c>
      <c r="W103" s="23"/>
      <c r="X103" s="26" t="str">
        <f>"－"</f>
        <v>－</v>
      </c>
      <c r="Y103" s="24"/>
      <c r="Z103" s="25" t="str">
        <f>"－"</f>
        <v>－</v>
      </c>
      <c r="AA103" s="23"/>
      <c r="AB103" s="25" t="str">
        <f>"－"</f>
        <v>－</v>
      </c>
      <c r="AC103" s="23"/>
      <c r="AD103" s="26" t="str">
        <f>"－"</f>
        <v>－</v>
      </c>
    </row>
    <row r="104">
      <c r="A104" s="30" t="s">
        <v>33</v>
      </c>
      <c r="B104" s="22" t="s">
        <v>64</v>
      </c>
      <c r="C104" s="22" t="s">
        <v>65</v>
      </c>
      <c r="D104" s="24"/>
      <c r="E104" s="25" t="str">
        <f>"－"</f>
        <v>－</v>
      </c>
      <c r="F104" s="23"/>
      <c r="G104" s="25" t="str">
        <f>"－"</f>
        <v>－</v>
      </c>
      <c r="H104" s="23"/>
      <c r="I104" s="26" t="str">
        <f>"－"</f>
        <v>－</v>
      </c>
      <c r="J104" s="24"/>
      <c r="K104" s="25" t="str">
        <f>"－"</f>
        <v>－</v>
      </c>
      <c r="L104" s="23"/>
      <c r="M104" s="25" t="str">
        <f>"－"</f>
        <v>－</v>
      </c>
      <c r="N104" s="23"/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/>
      <c r="T104" s="25" t="str">
        <f>"－"</f>
        <v>－</v>
      </c>
      <c r="U104" s="23"/>
      <c r="V104" s="25" t="str">
        <f>"－"</f>
        <v>－</v>
      </c>
      <c r="W104" s="23"/>
      <c r="X104" s="26" t="str">
        <f>"－"</f>
        <v>－</v>
      </c>
      <c r="Y104" s="24"/>
      <c r="Z104" s="25" t="str">
        <f>"－"</f>
        <v>－</v>
      </c>
      <c r="AA104" s="23"/>
      <c r="AB104" s="25" t="str">
        <f>"－"</f>
        <v>－</v>
      </c>
      <c r="AC104" s="23"/>
      <c r="AD104" s="26" t="str">
        <f>"－"</f>
        <v>－</v>
      </c>
    </row>
    <row r="105">
      <c r="A105" s="30" t="s">
        <v>34</v>
      </c>
      <c r="B105" s="22" t="s">
        <v>64</v>
      </c>
      <c r="C105" s="22" t="s">
        <v>65</v>
      </c>
      <c r="D105" s="24"/>
      <c r="E105" s="25"/>
      <c r="F105" s="23"/>
      <c r="G105" s="25"/>
      <c r="H105" s="23"/>
      <c r="I105" s="26"/>
      <c r="J105" s="24"/>
      <c r="K105" s="25"/>
      <c r="L105" s="23"/>
      <c r="M105" s="25"/>
      <c r="N105" s="23"/>
      <c r="O105" s="26"/>
      <c r="P105" s="27"/>
      <c r="Q105" s="28"/>
      <c r="R105" s="29"/>
      <c r="S105" s="24"/>
      <c r="T105" s="25"/>
      <c r="U105" s="23"/>
      <c r="V105" s="25"/>
      <c r="W105" s="23"/>
      <c r="X105" s="26"/>
      <c r="Y105" s="24"/>
      <c r="Z105" s="25"/>
      <c r="AA105" s="23"/>
      <c r="AB105" s="25"/>
      <c r="AC105" s="23"/>
      <c r="AD105" s="26"/>
    </row>
    <row r="106">
      <c r="A106" s="30" t="s">
        <v>35</v>
      </c>
      <c r="B106" s="22" t="s">
        <v>64</v>
      </c>
      <c r="C106" s="22" t="s">
        <v>65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36</v>
      </c>
      <c r="B107" s="22" t="s">
        <v>64</v>
      </c>
      <c r="C107" s="22" t="s">
        <v>65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37</v>
      </c>
      <c r="B108" s="22" t="s">
        <v>64</v>
      </c>
      <c r="C108" s="22" t="s">
        <v>65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38</v>
      </c>
      <c r="B109" s="22" t="s">
        <v>64</v>
      </c>
      <c r="C109" s="22" t="s">
        <v>65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39</v>
      </c>
      <c r="B110" s="22" t="s">
        <v>64</v>
      </c>
      <c r="C110" s="22" t="s">
        <v>65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40</v>
      </c>
      <c r="B111" s="22" t="s">
        <v>64</v>
      </c>
      <c r="C111" s="22" t="s">
        <v>65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41</v>
      </c>
      <c r="B112" s="22" t="s">
        <v>64</v>
      </c>
      <c r="C112" s="22" t="s">
        <v>65</v>
      </c>
      <c r="D112" s="24"/>
      <c r="E112" s="25"/>
      <c r="F112" s="23"/>
      <c r="G112" s="25"/>
      <c r="H112" s="23"/>
      <c r="I112" s="26"/>
      <c r="J112" s="24"/>
      <c r="K112" s="25"/>
      <c r="L112" s="23"/>
      <c r="M112" s="25"/>
      <c r="N112" s="23"/>
      <c r="O112" s="26"/>
      <c r="P112" s="27"/>
      <c r="Q112" s="28"/>
      <c r="R112" s="29"/>
      <c r="S112" s="24"/>
      <c r="T112" s="25"/>
      <c r="U112" s="23"/>
      <c r="V112" s="25"/>
      <c r="W112" s="23"/>
      <c r="X112" s="26"/>
      <c r="Y112" s="24"/>
      <c r="Z112" s="25"/>
      <c r="AA112" s="23"/>
      <c r="AB112" s="25"/>
      <c r="AC112" s="23"/>
      <c r="AD112" s="26"/>
    </row>
    <row r="113">
      <c r="A113" s="30" t="s">
        <v>42</v>
      </c>
      <c r="B113" s="22" t="s">
        <v>64</v>
      </c>
      <c r="C113" s="22" t="s">
        <v>65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43</v>
      </c>
      <c r="B114" s="22" t="s">
        <v>64</v>
      </c>
      <c r="C114" s="22" t="s">
        <v>65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45</v>
      </c>
      <c r="B115" s="22" t="s">
        <v>64</v>
      </c>
      <c r="C115" s="22" t="s">
        <v>65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46</v>
      </c>
      <c r="B116" s="22" t="s">
        <v>64</v>
      </c>
      <c r="C116" s="22" t="s">
        <v>65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47</v>
      </c>
      <c r="B117" s="22" t="s">
        <v>64</v>
      </c>
      <c r="C117" s="22" t="s">
        <v>65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48</v>
      </c>
      <c r="B118" s="22" t="s">
        <v>64</v>
      </c>
      <c r="C118" s="22" t="s">
        <v>65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49</v>
      </c>
      <c r="B119" s="22" t="s">
        <v>64</v>
      </c>
      <c r="C119" s="22" t="s">
        <v>65</v>
      </c>
      <c r="D119" s="24"/>
      <c r="E119" s="25"/>
      <c r="F119" s="23"/>
      <c r="G119" s="25"/>
      <c r="H119" s="23"/>
      <c r="I119" s="26"/>
      <c r="J119" s="24"/>
      <c r="K119" s="25"/>
      <c r="L119" s="23"/>
      <c r="M119" s="25"/>
      <c r="N119" s="23"/>
      <c r="O119" s="26"/>
      <c r="P119" s="27"/>
      <c r="Q119" s="28"/>
      <c r="R119" s="29"/>
      <c r="S119" s="24"/>
      <c r="T119" s="25"/>
      <c r="U119" s="23"/>
      <c r="V119" s="25"/>
      <c r="W119" s="23"/>
      <c r="X119" s="26"/>
      <c r="Y119" s="24"/>
      <c r="Z119" s="25"/>
      <c r="AA119" s="23"/>
      <c r="AB119" s="25"/>
      <c r="AC119" s="23"/>
      <c r="AD119" s="26"/>
    </row>
    <row r="120">
      <c r="A120" s="30" t="s">
        <v>50</v>
      </c>
      <c r="B120" s="22" t="s">
        <v>64</v>
      </c>
      <c r="C120" s="22" t="s">
        <v>65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51</v>
      </c>
      <c r="B121" s="22" t="s">
        <v>64</v>
      </c>
      <c r="C121" s="22" t="s">
        <v>65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52</v>
      </c>
      <c r="B122" s="22" t="s">
        <v>64</v>
      </c>
      <c r="C122" s="22" t="s">
        <v>65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53</v>
      </c>
      <c r="B123" s="22" t="s">
        <v>64</v>
      </c>
      <c r="C123" s="22" t="s">
        <v>65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54</v>
      </c>
      <c r="B124" s="22" t="s">
        <v>64</v>
      </c>
      <c r="C124" s="22" t="s">
        <v>65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55</v>
      </c>
      <c r="B125" s="22" t="s">
        <v>64</v>
      </c>
      <c r="C125" s="22" t="s">
        <v>65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56</v>
      </c>
      <c r="B126" s="22" t="s">
        <v>64</v>
      </c>
      <c r="C126" s="22" t="s">
        <v>65</v>
      </c>
      <c r="D126" s="24"/>
      <c r="E126" s="25"/>
      <c r="F126" s="23"/>
      <c r="G126" s="25"/>
      <c r="H126" s="23"/>
      <c r="I126" s="26"/>
      <c r="J126" s="24"/>
      <c r="K126" s="25"/>
      <c r="L126" s="23"/>
      <c r="M126" s="25"/>
      <c r="N126" s="23"/>
      <c r="O126" s="26"/>
      <c r="P126" s="27"/>
      <c r="Q126" s="28"/>
      <c r="R126" s="29"/>
      <c r="S126" s="24"/>
      <c r="T126" s="25"/>
      <c r="U126" s="23"/>
      <c r="V126" s="25"/>
      <c r="W126" s="23"/>
      <c r="X126" s="26"/>
      <c r="Y126" s="24"/>
      <c r="Z126" s="25"/>
      <c r="AA126" s="23"/>
      <c r="AB126" s="25"/>
      <c r="AC126" s="23"/>
      <c r="AD126" s="26"/>
    </row>
    <row r="127">
      <c r="A127" s="30" t="s">
        <v>57</v>
      </c>
      <c r="B127" s="22" t="s">
        <v>64</v>
      </c>
      <c r="C127" s="22" t="s">
        <v>65</v>
      </c>
      <c r="D127" s="24"/>
      <c r="E127" s="25"/>
      <c r="F127" s="23"/>
      <c r="G127" s="25"/>
      <c r="H127" s="23"/>
      <c r="I127" s="26"/>
      <c r="J127" s="24"/>
      <c r="K127" s="25"/>
      <c r="L127" s="23"/>
      <c r="M127" s="25"/>
      <c r="N127" s="23"/>
      <c r="O127" s="26"/>
      <c r="P127" s="27"/>
      <c r="Q127" s="28"/>
      <c r="R127" s="29"/>
      <c r="S127" s="24"/>
      <c r="T127" s="25"/>
      <c r="U127" s="23"/>
      <c r="V127" s="25"/>
      <c r="W127" s="23"/>
      <c r="X127" s="26"/>
      <c r="Y127" s="24"/>
      <c r="Z127" s="25"/>
      <c r="AA127" s="23"/>
      <c r="AB127" s="25"/>
      <c r="AC127" s="23"/>
      <c r="AD127" s="26"/>
    </row>
    <row r="128">
      <c r="A128" s="30" t="s">
        <v>58</v>
      </c>
      <c r="B128" s="22" t="s">
        <v>64</v>
      </c>
      <c r="C128" s="22" t="s">
        <v>65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59</v>
      </c>
      <c r="B129" s="22" t="s">
        <v>64</v>
      </c>
      <c r="C129" s="22" t="s">
        <v>65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2019-03-19T11:56:46Z</dcterms:modified>
</cp:coreProperties>
</file>