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0" r:id="rId1" sheetId="1"/>
  </sheets>
  <definedNames>
    <definedName localSheetId="0" name="_xlnm.Print_Titles">BO_DM0030!$3:$5</definedName>
  </definedNames>
  <calcPr calcId="145621"/>
</workbook>
</file>

<file path=xl/sharedStrings.xml><?xml version="1.0" encoding="utf-8"?>
<sst xmlns="http://schemas.openxmlformats.org/spreadsheetml/2006/main" count="1715" uniqueCount="84">
  <si>
    <t>指数先物取引取引状況（日別）</t>
  </si>
  <si>
    <t>Trading of Index Futures (Daily)</t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</si>
  <si>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"/>
  </si>
  <si>
    <t>（単位 units. 円 ￥.）</t>
    <phoneticPr fontId="10"/>
  </si>
  <si>
    <t>月日</t>
  </si>
  <si>
    <t>商品等</t>
    <rPh eb="2" sb="0">
      <t>ショウヒン</t>
    </rPh>
    <rPh eb="3" sb="2">
      <t>ナド</t>
    </rPh>
    <phoneticPr fontId="9"/>
  </si>
  <si>
    <t>Products</t>
    <phoneticPr fontId="9"/>
  </si>
  <si>
    <t>取　引　高</t>
  </si>
  <si>
    <t>取　引　金　額</t>
  </si>
  <si>
    <t>ギ　ブ　・　ア　ッ　プ　数　量</t>
  </si>
  <si>
    <t>建　玉　現　在　高</t>
  </si>
  <si>
    <t>Date</t>
  </si>
  <si>
    <t>Trading Volume</t>
  </si>
  <si>
    <t>Trading Value</t>
  </si>
  <si>
    <t>Give Up Volume</t>
  </si>
  <si>
    <t>Open Interest</t>
  </si>
  <si>
    <t>7.1</t>
  </si>
  <si>
    <t>日経225先物</t>
  </si>
  <si>
    <t>Nikkei 225 Futures</t>
  </si>
  <si>
    <t>●</t>
  </si>
  <si>
    <t>2</t>
  </si>
  <si>
    <t>◎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</si>
  <si>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</si>
  <si>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</si>
  <si>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</si>
  <si>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</si>
  <si>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</si>
  <si>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</si>
  <si>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</si>
  <si>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</si>
  <si>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</si>
  <si>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</si>
  <si>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</si>
  <si>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</si>
  <si>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</si>
  <si>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</si>
  <si>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</si>
  <si>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</si>
  <si>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</si>
  <si>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</si>
  <si>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</si>
  <si>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</si>
  <si>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</si>
  <si>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</si>
  <si>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</si>
  <si>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</si>
  <si>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</si>
  <si>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</si>
  <si>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</si>
  <si>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</si>
  <si>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</si>
  <si>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日経225mini</t>
  </si>
  <si>
    <t>Nikkei 225 mini</t>
  </si>
  <si>
    <t>TOPIX先物</t>
  </si>
  <si>
    <t>TOPIX Futures</t>
  </si>
  <si>
    <t>ミニTOPIX先物</t>
  </si>
  <si>
    <t>mini-TOPIX Futures</t>
  </si>
  <si>
    <t>JPX日経インデックス400先物</t>
  </si>
  <si>
    <t>JPX-Nikkei Index 400 Futures</t>
  </si>
  <si>
    <t>TOPIX Core30先物</t>
  </si>
  <si>
    <t>TOPIX Core30 Futures</t>
  </si>
  <si>
    <t>◎●</t>
  </si>
  <si>
    <t>東証銀行業株価指数先物</t>
  </si>
  <si>
    <t>TOPIX Banks Index Futures</t>
  </si>
  <si>
    <t>東証REIT指数先物</t>
  </si>
  <si>
    <t>TSE REIT Index Futures</t>
  </si>
  <si>
    <t>RNプライム指数先物</t>
  </si>
  <si>
    <t>RN Prime Index Futures</t>
  </si>
  <si>
    <t>東証マザーズ指数先物</t>
  </si>
  <si>
    <t>TSE Mothers Index Futures</t>
  </si>
  <si>
    <t>NYダウ先物</t>
  </si>
  <si>
    <t>DJIA Futures</t>
  </si>
  <si>
    <t>台湾加権指数先物</t>
  </si>
  <si>
    <t>TAIEX Futures</t>
  </si>
  <si>
    <t>FTSE中国50指数先物</t>
  </si>
  <si>
    <t>FTSE China Index 50 Futures</t>
  </si>
  <si>
    <t>日経平均・配当指数先物</t>
  </si>
  <si>
    <t>Nikkei 225 Dividend Index Futures</t>
  </si>
  <si>
    <t>TOPIX配当指数先物</t>
  </si>
  <si>
    <t>TOPIX Dividend Index Futures</t>
  </si>
  <si>
    <t>TOPIX Core30配当指数先物</t>
  </si>
  <si>
    <t>TOPIX Core30 Dividend Index Futures</t>
  </si>
  <si>
    <t>日経平均VI先物</t>
  </si>
  <si>
    <t>Nikkei 225 VI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</si>
</sst>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#"/>
    <numFmt numFmtId="177" formatCode="#,##0;\-#,##0;&quot;-&quot;"/>
    <numFmt numFmtId="178" formatCode="0_);[Red]\(0\)"/>
    <numFmt numFmtId="179" formatCode="_-&quot;｣&quot;* #,##0_-;\-&quot;｣&quot;* #,##0_-;_-&quot;｣&quot;* &quot;-&quot;_-;_-@_-"/>
    <numFmt numFmtId="180" formatCode="_-&quot;｣&quot;* #,##0.00_-;\-&quot;｣&quot;* #,##0.00_-;_-&quot;｣&quot;* &quot;-&quot;??_-;_-@_-"/>
    <numFmt numFmtId="181" formatCode="&quot;$&quot;#,##0;[Red]\-&quot;$&quot;#,##0"/>
    <numFmt numFmtId="182" formatCode="&quot;$&quot;#,##0.00;[Red]\-&quot;$&quot;#,##0.00"/>
    <numFmt numFmtId="183" formatCode="0.00_)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9"/>
      <name val="ＭＳ 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5" numFmtId="9"/>
    <xf borderId="0" fillId="0" fontId="11" numFmtId="0"/>
    <xf borderId="0" fillId="0" fontId="7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8" fontId="12" numFmtId="0"/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11" fontId="12" numFmtId="0"/>
    <xf applyAlignment="0" applyBorder="0" applyNumberFormat="0" applyProtection="0" borderId="0" fillId="6" fontId="12" numFmtId="0"/>
    <xf applyAlignment="0" applyBorder="0" applyNumberFormat="0" applyProtection="0" borderId="0" fillId="9" fontId="12" numFmtId="0"/>
    <xf applyAlignment="0" applyBorder="0" applyNumberFormat="0" applyProtection="0" borderId="0" fillId="12" fontId="12" numFmtId="0"/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3" fontId="14" numFmtId="0"/>
    <xf applyAlignment="0" applyBorder="0" applyNumberFormat="0" applyProtection="0" borderId="0" fillId="10" fontId="14" numFmtId="0"/>
    <xf applyAlignment="0" applyBorder="0" applyNumberFormat="0" applyProtection="0" borderId="0" fillId="11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6" fontId="14" numFmtId="0"/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9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20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4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7"/>
    <xf applyAlignment="0" applyBorder="0" applyFill="0" borderId="0" fillId="0" fontId="8" numFmtId="178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9" fillId="22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79"/>
    <xf applyAlignment="0" applyBorder="0" applyFill="0" applyFont="0" applyProtection="0" borderId="0" fillId="0" fontId="23" numFmtId="180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5" fontId="26" numFmtId="0"/>
    <xf applyAlignment="0" applyBorder="0" applyNumberFormat="0" applyProtection="0" borderId="0" fillId="23" fontId="27" numFmtId="38"/>
    <xf borderId="0" fillId="24" fontId="28" numFmtId="0"/>
    <xf applyAlignment="0" applyNumberFormat="0" applyProtection="0" borderId="10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applyAlignment="0" applyFill="0" applyNumberFormat="0" applyProtection="0" borderId="12" fillId="0" fontId="30" numFmtId="0"/>
    <xf applyAlignment="0" applyFill="0" applyNumberFormat="0" applyProtection="0" borderId="13" fillId="0" fontId="31" numFmtId="0"/>
    <xf applyAlignment="0" applyFill="0" applyNumberFormat="0" applyProtection="0" borderId="14" fillId="0" fontId="32" numFmtId="0"/>
    <xf applyAlignment="0" applyBorder="0" applyFill="0" applyNumberFormat="0" applyProtection="0" borderId="0" fillId="0" fontId="32" numFmtId="0"/>
    <xf applyBorder="0" borderId="0" fillId="0" fontId="8" numFmtId="0"/>
    <xf applyAlignment="0" applyNumberFormat="0" applyProtection="0" borderId="8" fillId="8" fontId="33" numFmtId="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borderId="0" fillId="0" fontId="8" numFmtId="0"/>
    <xf applyAlignment="0" applyFill="0" applyNumberFormat="0" applyProtection="0" borderId="16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1"/>
    <xf applyAlignment="0" applyBorder="0" applyFill="0" applyFont="0" applyProtection="0" borderId="0" fillId="0" fontId="35" numFmtId="182"/>
    <xf applyAlignment="0" applyBorder="0" applyNumberFormat="0" applyProtection="0" borderId="0" fillId="26" fontId="36" numFmtId="0"/>
    <xf borderId="0" fillId="0" fontId="37" numFmtId="37"/>
    <xf borderId="0" fillId="0" fontId="38" numFmtId="183"/>
    <xf borderId="0" fillId="0" fontId="8" numFmtId="184"/>
    <xf borderId="0" fillId="0" fontId="8" numFmtId="184"/>
    <xf borderId="0" fillId="0" fontId="38" numFmtId="183"/>
    <xf borderId="0" fillId="0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19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borderId="0" fillId="0" fontId="52" numFmtId="0"/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3" numFmtId="185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21" fillId="28" fontId="70" numFmtId="49"/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borderId="0" fillId="0" fontId="58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7"/>
    <xf applyAlignment="0" applyBorder="0" applyFill="0" applyFont="0" applyProtection="0" borderId="0" fillId="0" fontId="23" numFmtId="18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5" numFmtId="0"/>
    <xf borderId="0" fillId="0" fontId="63" numFmtId="0">
      <alignment vertical="center"/>
    </xf>
    <xf borderId="0" fillId="0" fontId="5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8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79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0" numFmtId="0">
      <alignment vertical="center"/>
    </xf>
    <xf borderId="0" fillId="0" fontId="65" numFmtId="0"/>
    <xf borderId="0" fillId="0" fontId="80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5" numFmtId="0"/>
    <xf borderId="0" fillId="0" fontId="65" numFmtId="0">
      <alignment vertical="center"/>
    </xf>
    <xf borderId="0" fillId="0" fontId="65" numFmtId="0">
      <alignment vertical="center"/>
    </xf>
    <xf borderId="0" fillId="0" fontId="5" numFmtId="0"/>
    <xf borderId="0" fillId="0" fontId="63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8" numFmtId="0">
      <alignment vertical="center"/>
    </xf>
    <xf borderId="0" fillId="0" fontId="82" numFmtId="0"/>
    <xf borderId="0" fillId="0" fontId="65" numFmtId="0"/>
    <xf borderId="0" fillId="0" fontId="8" numFmtId="0">
      <alignment vertical="center"/>
    </xf>
    <xf borderId="0" fillId="0" fontId="65" numFmtId="0">
      <alignment vertical="center"/>
    </xf>
    <xf borderId="0" fillId="0" fontId="65" numFmtId="0"/>
    <xf borderId="0" fillId="0" fontId="7" numFmtId="0">
      <alignment vertical="center"/>
    </xf>
    <xf borderId="0" fillId="0" fontId="8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5" numFmtId="0"/>
    <xf borderId="0" fillId="0" fontId="78" numFmtId="0">
      <alignment vertical="center"/>
    </xf>
    <xf borderId="0" fillId="0" fontId="5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3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>
      <alignment vertical="center"/>
    </xf>
    <xf borderId="0" fillId="0" fontId="63" numFmtId="0">
      <alignment vertical="center"/>
    </xf>
    <xf borderId="0" fillId="0" fontId="82" numFmtId="0"/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7" numFmtId="0"/>
    <xf borderId="0" fillId="0" fontId="7" numFmtId="0"/>
    <xf borderId="0" fillId="0" fontId="82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82" numFmtId="0"/>
    <xf borderId="0" fillId="0" fontId="7" numFmtId="0"/>
    <xf borderId="0" fillId="0" fontId="82" numFmtId="0"/>
    <xf borderId="0" fillId="0" fontId="1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3" numFmtId="0">
      <alignment vertical="center"/>
    </xf>
    <xf borderId="0" fillId="0" fontId="7" numFmtId="0"/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86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5" numFmtId="0"/>
    <xf borderId="0" fillId="0" fontId="86" numFmtId="0">
      <alignment vertical="center"/>
    </xf>
    <xf borderId="0" fillId="0" fontId="5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/>
    <xf borderId="0" fillId="0" fontId="88" numFmtId="0"/>
    <xf borderId="0" fillId="0" fontId="52" numFmtId="0"/>
    <xf applyBorder="0" applyFill="0" borderId="0" fillId="0" fontId="76" numFmtId="49"/>
    <xf borderId="0" fillId="0" fontId="89" numFmtId="189"/>
    <xf borderId="0" fillId="0" fontId="90" numFmtId="0"/>
    <xf borderId="0" fillId="0" fontId="91" numFmtId="0"/>
    <xf borderId="0" fillId="0" fontId="90" numFmtId="0"/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borderId="0" fillId="0" fontId="7" numFmtId="0"/>
  </cellStyleXfs>
  <cellXfs count="18">
    <xf borderId="0" fillId="0" fontId="0" numFmtId="0" xfId="0"/>
    <xf applyFont="1" borderId="0" fillId="0" fontId="6" numFmtId="0" xfId="1">
      <alignment vertical="center"/>
    </xf>
    <xf applyAlignment="1" applyBorder="1" applyFont="1" applyNumberFormat="1" borderId="7" fillId="0" fontId="8" numFmtId="176" quotePrefix="1" xfId="1">
      <alignment horizontal="right" vertical="top" wrapText="1"/>
    </xf>
    <xf applyFont="1" borderId="0" fillId="0" fontId="5" numFmtId="0" xfId="1">
      <alignment vertical="center"/>
    </xf>
    <xf applyFill="1" applyFont="1" borderId="0" fillId="0" fontId="5" numFmtId="0" xfId="1">
      <alignment vertical="center"/>
    </xf>
    <xf applyAlignment="1" applyBorder="1" applyFill="1" applyFont="1" applyNumberFormat="1" borderId="2" fillId="0" fontId="8" numFmtId="0" xfId="1">
      <alignment vertical="center" wrapText="1"/>
    </xf>
    <xf applyAlignment="1" applyFill="1" applyFont="1" borderId="0" fillId="0" fontId="8" numFmtId="0" xfId="1">
      <alignment horizontal="right"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ont="1" applyNumberFormat="1" borderId="3" fillId="0" fontId="8" numFmtId="49" xfId="1">
      <alignment horizontal="right" vertical="top" wrapText="1"/>
    </xf>
    <xf applyAlignment="1" applyBorder="1" applyFont="1" applyNumberFormat="1" borderId="3" fillId="0" fontId="8" numFmtId="49" xfId="1">
      <alignment horizontal="left" vertical="top" wrapText="1"/>
    </xf>
    <xf applyAlignment="1" applyBorder="1" applyFont="1" applyNumberFormat="1" borderId="6" fillId="0" fontId="8" numFmtId="49" xfId="1">
      <alignment horizontal="center" vertical="top" wrapText="1"/>
    </xf>
    <xf applyAlignment="1" applyBorder="1" applyFill="1" applyFont="1" applyNumberFormat="1" borderId="2" fillId="0" fontId="93" numFmtId="0" xfId="0">
      <alignment vertical="center"/>
    </xf>
    <xf applyAlignment="1" applyFill="1" applyFont="1" applyNumberFormat="1" borderId="0" fillId="0" fontId="3" numFmtId="0" xfId="1">
      <alignment horizontal="left" vertical="center" wrapText="1"/>
    </xf>
    <xf applyAlignment="1" applyBorder="1" applyFill="1" applyFont="1" applyNumberFormat="1" borderId="4" fillId="0" fontId="8" numFmtId="0" xfId="1">
      <alignment horizontal="center" vertical="center" wrapText="1"/>
    </xf>
    <xf applyAlignment="1" applyBorder="1" applyFill="1" applyFont="1" applyNumberFormat="1" borderId="5" fillId="0" fontId="8" numFmtId="0" xfId="1">
      <alignment horizontal="center" vertical="center" wrapText="1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ill="1" applyFont="1" applyNumberFormat="1" borderId="6" fillId="0" fontId="8" numFmtId="0" xfId="1">
      <alignment horizontal="center" vertical="center" wrapText="1"/>
    </xf>
    <xf applyAlignment="1" applyBorder="1" applyFill="1" applyFont="1" applyNumberFormat="1" borderId="7" fillId="0" fontId="8" numFmtId="0" xfId="1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532"/>
  <sheetViews>
    <sheetView showGridLines="0" tabSelected="1" view="pageBreakPreview" workbookViewId="0" zoomScaleNormal="70" zoomScaleSheetLayoutView="100">
      <pane activePane="bottomLeft" state="frozen" topLeftCell="A6" ySplit="5"/>
      <selection activeCell="A6" pane="bottomLeft" sqref="A6"/>
    </sheetView>
  </sheetViews>
  <sheetFormatPr defaultRowHeight="13.5"/>
  <cols>
    <col min="1" max="1" customWidth="true" style="3" width="6.25" collapsed="false"/>
    <col min="2" max="2" customWidth="true" style="3" width="33.25" collapsed="false"/>
    <col min="3" max="3" bestFit="true" customWidth="true" style="3" width="37.5" collapsed="false"/>
    <col min="4" max="4" customWidth="true" style="3" width="5.375" collapsed="false"/>
    <col min="5" max="5" customWidth="true" style="3" width="26.875" collapsed="false"/>
    <col min="6" max="6" customWidth="true" style="3" width="5.375" collapsed="false"/>
    <col min="7" max="7" customWidth="true" style="3" width="26.875" collapsed="false"/>
    <col min="8" max="8" customWidth="true" style="3" width="5.375" collapsed="false"/>
    <col min="9" max="9" customWidth="true" style="3" width="26.875" collapsed="false"/>
    <col min="10" max="10" customWidth="true" style="3" width="5.375" collapsed="false"/>
    <col min="11" max="11" customWidth="true" style="3" width="26.875" collapsed="false"/>
    <col min="12" max="12" customWidth="true" style="1" width="9.0" collapsed="false"/>
    <col min="13" max="16384" style="1" width="9.0" collapsed="false"/>
  </cols>
  <sheetData>
    <row customHeight="1" ht="30" r="1" spans="1:11">
      <c r="A1" s="12" t="s">
        <v>0</v>
      </c>
      <c r="B1" s="12"/>
      <c r="C1" s="12"/>
      <c r="D1" s="4"/>
      <c r="E1" s="4"/>
      <c r="F1" s="4"/>
      <c r="G1" s="4"/>
      <c r="H1" s="4"/>
      <c r="I1" s="4"/>
      <c r="J1" s="4"/>
      <c r="K1" s="4"/>
    </row>
    <row customHeight="1" ht="30" r="2" spans="1:11">
      <c r="A2" s="12" t="s">
        <v>1</v>
      </c>
      <c r="B2" s="12"/>
      <c r="C2" s="12"/>
      <c r="D2" s="4"/>
      <c r="E2" s="4"/>
      <c r="F2" s="4"/>
      <c r="G2" s="4"/>
      <c r="H2" s="4"/>
      <c r="I2" s="4"/>
      <c r="J2" s="4"/>
      <c r="K2" s="4"/>
    </row>
    <row customHeight="1" ht="17.100000000000001" r="3" spans="1:11">
      <c r="A3" s="11" t="s">
        <v>2</v>
      </c>
      <c r="B3" s="5"/>
      <c r="C3" s="5"/>
      <c r="D3" s="4"/>
      <c r="E3" s="4"/>
      <c r="F3" s="4"/>
      <c r="G3" s="4"/>
      <c r="H3" s="4"/>
      <c r="I3" s="4"/>
      <c r="J3" s="4"/>
      <c r="K3" s="6" t="s">
        <v>3</v>
      </c>
    </row>
    <row customHeight="1" ht="17.100000000000001" r="4" spans="1:11">
      <c r="A4" s="7" t="s">
        <v>4</v>
      </c>
      <c r="B4" s="13" t="s">
        <v>5</v>
      </c>
      <c r="C4" s="13" t="s">
        <v>6</v>
      </c>
      <c r="D4" s="15" t="s">
        <v>7</v>
      </c>
      <c r="E4" s="15"/>
      <c r="F4" s="15" t="s">
        <v>8</v>
      </c>
      <c r="G4" s="15"/>
      <c r="H4" s="15" t="s">
        <v>9</v>
      </c>
      <c r="I4" s="15"/>
      <c r="J4" s="15" t="s">
        <v>10</v>
      </c>
      <c r="K4" s="15"/>
    </row>
    <row customHeight="1" ht="17.100000000000001" r="5" spans="1:11">
      <c r="A5" s="7" t="s">
        <v>11</v>
      </c>
      <c r="B5" s="14"/>
      <c r="C5" s="14"/>
      <c r="D5" s="15" t="s">
        <v>12</v>
      </c>
      <c r="E5" s="15"/>
      <c r="F5" s="15" t="s">
        <v>13</v>
      </c>
      <c r="G5" s="15"/>
      <c r="H5" s="15" t="s">
        <v>14</v>
      </c>
      <c r="I5" s="15"/>
      <c r="J5" s="16" t="s">
        <v>15</v>
      </c>
      <c r="K5" s="17"/>
    </row>
    <row customHeight="1" ht="13.5" r="6" spans="1:11">
      <c r="A6" s="8" t="s">
        <v>16</v>
      </c>
      <c r="B6" s="9" t="s">
        <v>17</v>
      </c>
      <c r="C6" s="9" t="s">
        <v>18</v>
      </c>
      <c r="D6" s="10"/>
      <c r="E6" s="2" t="n">
        <f>71402</f>
        <v>71402.0</v>
      </c>
      <c r="F6" s="10"/>
      <c r="G6" s="2" t="n">
        <f>1583606154360</f>
        <v>1.58360615436E12</v>
      </c>
      <c r="H6" s="10"/>
      <c r="I6" s="2" t="n">
        <f>4855</f>
        <v>4855.0</v>
      </c>
      <c r="J6" s="10" t="s">
        <v>19</v>
      </c>
      <c r="K6" s="2" t="n">
        <f>414024</f>
        <v>414024.0</v>
      </c>
    </row>
    <row r="7">
      <c r="A7" s="8" t="s">
        <v>20</v>
      </c>
      <c r="B7" s="9" t="s">
        <v>17</v>
      </c>
      <c r="C7" s="9" t="s">
        <v>18</v>
      </c>
      <c r="D7" s="10"/>
      <c r="E7" s="2" t="n">
        <f>66358</f>
        <v>66358.0</v>
      </c>
      <c r="F7" s="10"/>
      <c r="G7" s="2" t="n">
        <f>1467824417348</f>
        <v>1.467824417348E12</v>
      </c>
      <c r="H7" s="10"/>
      <c r="I7" s="2" t="n">
        <f>3206</f>
        <v>3206.0</v>
      </c>
      <c r="J7" s="10" t="s">
        <v>21</v>
      </c>
      <c r="K7" s="2" t="n">
        <f>441341</f>
        <v>441341.0</v>
      </c>
    </row>
    <row r="8">
      <c r="A8" s="8" t="s">
        <v>22</v>
      </c>
      <c r="B8" s="9" t="s">
        <v>17</v>
      </c>
      <c r="C8" s="9" t="s">
        <v>18</v>
      </c>
      <c r="D8" s="10"/>
      <c r="E8" s="2" t="n">
        <f>63715</f>
        <v>63715.0</v>
      </c>
      <c r="F8" s="10"/>
      <c r="G8" s="2" t="n">
        <f>1416746648180</f>
        <v>1.41674664818E12</v>
      </c>
      <c r="H8" s="10"/>
      <c r="I8" s="2" t="n">
        <f>3757</f>
        <v>3757.0</v>
      </c>
      <c r="J8" s="10"/>
      <c r="K8" s="2" t="n">
        <f>415475</f>
        <v>415475.0</v>
      </c>
    </row>
    <row r="9">
      <c r="A9" s="8" t="s">
        <v>23</v>
      </c>
      <c r="B9" s="9" t="s">
        <v>17</v>
      </c>
      <c r="C9" s="9" t="s">
        <v>18</v>
      </c>
      <c r="D9" s="10"/>
      <c r="E9" s="2"/>
      <c r="F9" s="10"/>
      <c r="G9" s="2"/>
      <c r="H9" s="10"/>
      <c r="I9" s="2"/>
      <c r="J9" s="10"/>
      <c r="K9" s="2"/>
    </row>
    <row r="10">
      <c r="A10" s="8" t="s">
        <v>24</v>
      </c>
      <c r="B10" s="9" t="s">
        <v>17</v>
      </c>
      <c r="C10" s="9" t="s">
        <v>18</v>
      </c>
      <c r="D10" s="10"/>
      <c r="E10" s="2"/>
      <c r="F10" s="10"/>
      <c r="G10" s="2"/>
      <c r="H10" s="10"/>
      <c r="I10" s="2"/>
      <c r="J10" s="10"/>
      <c r="K10" s="2"/>
    </row>
    <row r="11">
      <c r="A11" s="8" t="s">
        <v>25</v>
      </c>
      <c r="B11" s="9" t="s">
        <v>17</v>
      </c>
      <c r="C11" s="9" t="s">
        <v>18</v>
      </c>
      <c r="D11" s="10"/>
      <c r="E11" s="2" t="n">
        <f>64100</f>
        <v>64100.0</v>
      </c>
      <c r="F11" s="10"/>
      <c r="G11" s="2" t="n">
        <f>1443984325290</f>
        <v>1.44398432529E12</v>
      </c>
      <c r="H11" s="10"/>
      <c r="I11" s="2" t="n">
        <f>4760</f>
        <v>4760.0</v>
      </c>
      <c r="J11" s="10"/>
      <c r="K11" s="2" t="n">
        <f>417694</f>
        <v>417694.0</v>
      </c>
    </row>
    <row r="12">
      <c r="A12" s="8" t="s">
        <v>26</v>
      </c>
      <c r="B12" s="9" t="s">
        <v>17</v>
      </c>
      <c r="C12" s="9" t="s">
        <v>18</v>
      </c>
      <c r="D12" s="10"/>
      <c r="E12" s="2" t="n">
        <f>75781</f>
        <v>75781.0</v>
      </c>
      <c r="F12" s="10"/>
      <c r="G12" s="2" t="n">
        <f>1711842544300</f>
        <v>1.7118425443E12</v>
      </c>
      <c r="H12" s="10"/>
      <c r="I12" s="2" t="n">
        <f>5339</f>
        <v>5339.0</v>
      </c>
      <c r="J12" s="10"/>
      <c r="K12" s="2" t="n">
        <f>414423</f>
        <v>414423.0</v>
      </c>
    </row>
    <row r="13">
      <c r="A13" s="8" t="s">
        <v>27</v>
      </c>
      <c r="B13" s="9" t="s">
        <v>17</v>
      </c>
      <c r="C13" s="9" t="s">
        <v>18</v>
      </c>
      <c r="D13" s="10"/>
      <c r="E13" s="2" t="n">
        <f>75011</f>
        <v>75011.0</v>
      </c>
      <c r="F13" s="10"/>
      <c r="G13" s="2" t="n">
        <f>1686602072750</f>
        <v>1.68660207275E12</v>
      </c>
      <c r="H13" s="10"/>
      <c r="I13" s="2" t="n">
        <f>4112</f>
        <v>4112.0</v>
      </c>
      <c r="J13" s="10"/>
      <c r="K13" s="2" t="n">
        <f>416879</f>
        <v>416879.0</v>
      </c>
    </row>
    <row r="14">
      <c r="A14" s="8" t="s">
        <v>28</v>
      </c>
      <c r="B14" s="9" t="s">
        <v>17</v>
      </c>
      <c r="C14" s="9" t="s">
        <v>18</v>
      </c>
      <c r="D14" s="10"/>
      <c r="E14" s="2" t="n">
        <f>76316</f>
        <v>76316.0</v>
      </c>
      <c r="F14" s="10"/>
      <c r="G14" s="2" t="n">
        <f>1715970229250</f>
        <v>1.71597022925E12</v>
      </c>
      <c r="H14" s="10"/>
      <c r="I14" s="2" t="n">
        <f>3490</f>
        <v>3490.0</v>
      </c>
      <c r="J14" s="10"/>
      <c r="K14" s="2" t="n">
        <f>419252</f>
        <v>419252.0</v>
      </c>
    </row>
    <row r="15">
      <c r="A15" s="8" t="s">
        <v>29</v>
      </c>
      <c r="B15" s="9" t="s">
        <v>17</v>
      </c>
      <c r="C15" s="9" t="s">
        <v>18</v>
      </c>
      <c r="D15" s="10"/>
      <c r="E15" s="2" t="n">
        <f>85500</f>
        <v>85500.0</v>
      </c>
      <c r="F15" s="10"/>
      <c r="G15" s="2" t="n">
        <f>1914548125420</f>
        <v>1.91454812542E12</v>
      </c>
      <c r="H15" s="10"/>
      <c r="I15" s="2" t="n">
        <f>4934</f>
        <v>4934.0</v>
      </c>
      <c r="J15" s="10"/>
      <c r="K15" s="2" t="n">
        <f>421468</f>
        <v>421468.0</v>
      </c>
    </row>
    <row r="16">
      <c r="A16" s="8" t="s">
        <v>30</v>
      </c>
      <c r="B16" s="9" t="s">
        <v>17</v>
      </c>
      <c r="C16" s="9" t="s">
        <v>18</v>
      </c>
      <c r="D16" s="10"/>
      <c r="E16" s="2"/>
      <c r="F16" s="10"/>
      <c r="G16" s="2"/>
      <c r="H16" s="10"/>
      <c r="I16" s="2"/>
      <c r="J16" s="10"/>
      <c r="K16" s="2"/>
    </row>
    <row r="17">
      <c r="A17" s="8" t="s">
        <v>31</v>
      </c>
      <c r="B17" s="9" t="s">
        <v>17</v>
      </c>
      <c r="C17" s="9" t="s">
        <v>18</v>
      </c>
      <c r="D17" s="10"/>
      <c r="E17" s="2"/>
      <c r="F17" s="10"/>
      <c r="G17" s="2"/>
      <c r="H17" s="10"/>
      <c r="I17" s="2"/>
      <c r="J17" s="10"/>
      <c r="K17" s="2"/>
    </row>
    <row r="18">
      <c r="A18" s="8" t="s">
        <v>32</v>
      </c>
      <c r="B18" s="9" t="s">
        <v>17</v>
      </c>
      <c r="C18" s="9" t="s">
        <v>18</v>
      </c>
      <c r="D18" s="10"/>
      <c r="E18" s="2" t="n">
        <f>79785</f>
        <v>79785.0</v>
      </c>
      <c r="F18" s="10"/>
      <c r="G18" s="2" t="n">
        <f>1800753552000</f>
        <v>1.800753552E12</v>
      </c>
      <c r="H18" s="10"/>
      <c r="I18" s="2" t="n">
        <f>4200</f>
        <v>4200.0</v>
      </c>
      <c r="J18" s="10"/>
      <c r="K18" s="2" t="n">
        <f>425672</f>
        <v>425672.0</v>
      </c>
    </row>
    <row r="19">
      <c r="A19" s="8" t="s">
        <v>33</v>
      </c>
      <c r="B19" s="9" t="s">
        <v>17</v>
      </c>
      <c r="C19" s="9" t="s">
        <v>18</v>
      </c>
      <c r="D19" s="10"/>
      <c r="E19" s="2" t="n">
        <f>66939</f>
        <v>66939.0</v>
      </c>
      <c r="F19" s="10"/>
      <c r="G19" s="2" t="n">
        <f>1514156119870</f>
        <v>1.51415611987E12</v>
      </c>
      <c r="H19" s="10"/>
      <c r="I19" s="2" t="n">
        <f>3996</f>
        <v>3996.0</v>
      </c>
      <c r="J19" s="10"/>
      <c r="K19" s="2" t="n">
        <f>421500</f>
        <v>421500.0</v>
      </c>
    </row>
    <row r="20">
      <c r="A20" s="8" t="s">
        <v>34</v>
      </c>
      <c r="B20" s="9" t="s">
        <v>17</v>
      </c>
      <c r="C20" s="9" t="s">
        <v>18</v>
      </c>
      <c r="D20" s="10"/>
      <c r="E20" s="2" t="n">
        <f>83411</f>
        <v>83411.0</v>
      </c>
      <c r="F20" s="10"/>
      <c r="G20" s="2" t="n">
        <f>1900186066615</f>
        <v>1.900186066615E12</v>
      </c>
      <c r="H20" s="10"/>
      <c r="I20" s="2" t="n">
        <f>4726</f>
        <v>4726.0</v>
      </c>
      <c r="J20" s="10"/>
      <c r="K20" s="2" t="n">
        <f>423243</f>
        <v>423243.0</v>
      </c>
    </row>
    <row r="21">
      <c r="A21" s="8" t="s">
        <v>35</v>
      </c>
      <c r="B21" s="9" t="s">
        <v>17</v>
      </c>
      <c r="C21" s="9" t="s">
        <v>18</v>
      </c>
      <c r="D21" s="10"/>
      <c r="E21" s="2" t="n">
        <f>82896</f>
        <v>82896.0</v>
      </c>
      <c r="F21" s="10"/>
      <c r="G21" s="2" t="n">
        <f>1893106665720</f>
        <v>1.89310666572E12</v>
      </c>
      <c r="H21" s="10"/>
      <c r="I21" s="2" t="n">
        <f>4306</f>
        <v>4306.0</v>
      </c>
      <c r="J21" s="10"/>
      <c r="K21" s="2" t="n">
        <f>424578</f>
        <v>424578.0</v>
      </c>
    </row>
    <row r="22">
      <c r="A22" s="8" t="s">
        <v>36</v>
      </c>
      <c r="B22" s="9" t="s">
        <v>17</v>
      </c>
      <c r="C22" s="9" t="s">
        <v>18</v>
      </c>
      <c r="D22" s="10"/>
      <c r="E22" s="2" t="n">
        <f>68300</f>
        <v>68300.0</v>
      </c>
      <c r="F22" s="10"/>
      <c r="G22" s="2" t="n">
        <f>1551258712384</f>
        <v>1.551258712384E12</v>
      </c>
      <c r="H22" s="10"/>
      <c r="I22" s="2" t="n">
        <f>3316</f>
        <v>3316.0</v>
      </c>
      <c r="J22" s="10"/>
      <c r="K22" s="2" t="n">
        <f>425295</f>
        <v>425295.0</v>
      </c>
    </row>
    <row r="23">
      <c r="A23" s="8" t="s">
        <v>37</v>
      </c>
      <c r="B23" s="9" t="s">
        <v>17</v>
      </c>
      <c r="C23" s="9" t="s">
        <v>18</v>
      </c>
      <c r="D23" s="10"/>
      <c r="E23" s="2"/>
      <c r="F23" s="10"/>
      <c r="G23" s="2"/>
      <c r="H23" s="10"/>
      <c r="I23" s="2"/>
      <c r="J23" s="10"/>
      <c r="K23" s="2"/>
    </row>
    <row r="24">
      <c r="A24" s="8" t="s">
        <v>38</v>
      </c>
      <c r="B24" s="9" t="s">
        <v>17</v>
      </c>
      <c r="C24" s="9" t="s">
        <v>18</v>
      </c>
      <c r="D24" s="10"/>
      <c r="E24" s="2"/>
      <c r="F24" s="10"/>
      <c r="G24" s="2"/>
      <c r="H24" s="10"/>
      <c r="I24" s="2"/>
      <c r="J24" s="10"/>
      <c r="K24" s="2"/>
    </row>
    <row r="25">
      <c r="A25" s="8" t="s">
        <v>39</v>
      </c>
      <c r="B25" s="9" t="s">
        <v>17</v>
      </c>
      <c r="C25" s="9" t="s">
        <v>18</v>
      </c>
      <c r="D25" s="10"/>
      <c r="E25" s="2" t="n">
        <f>58633</f>
        <v>58633.0</v>
      </c>
      <c r="F25" s="10"/>
      <c r="G25" s="2" t="n">
        <f>1327644209488</f>
        <v>1.327644209488E12</v>
      </c>
      <c r="H25" s="10" t="s">
        <v>19</v>
      </c>
      <c r="I25" s="2" t="n">
        <f>2548</f>
        <v>2548.0</v>
      </c>
      <c r="J25" s="10"/>
      <c r="K25" s="2" t="n">
        <f>423597</f>
        <v>423597.0</v>
      </c>
    </row>
    <row r="26">
      <c r="A26" s="8" t="s">
        <v>40</v>
      </c>
      <c r="B26" s="9" t="s">
        <v>17</v>
      </c>
      <c r="C26" s="9" t="s">
        <v>18</v>
      </c>
      <c r="D26" s="10"/>
      <c r="E26" s="2" t="n">
        <f>51705</f>
        <v>51705.0</v>
      </c>
      <c r="F26" s="10"/>
      <c r="G26" s="2" t="n">
        <f>1178987055970</f>
        <v>1.17898705597E12</v>
      </c>
      <c r="H26" s="10"/>
      <c r="I26" s="2" t="n">
        <f>3023</f>
        <v>3023.0</v>
      </c>
      <c r="J26" s="10"/>
      <c r="K26" s="2" t="n">
        <f>423484</f>
        <v>423484.0</v>
      </c>
    </row>
    <row r="27">
      <c r="A27" s="8" t="s">
        <v>41</v>
      </c>
      <c r="B27" s="9" t="s">
        <v>17</v>
      </c>
      <c r="C27" s="9" t="s">
        <v>18</v>
      </c>
      <c r="D27" s="10"/>
      <c r="E27" s="2" t="n">
        <f>54852</f>
        <v>54852.0</v>
      </c>
      <c r="F27" s="10"/>
      <c r="G27" s="2" t="n">
        <f>1249855182490</f>
        <v>1.24985518249E12</v>
      </c>
      <c r="H27" s="10"/>
      <c r="I27" s="2" t="n">
        <f>3194</f>
        <v>3194.0</v>
      </c>
      <c r="J27" s="10"/>
      <c r="K27" s="2" t="n">
        <f>424463</f>
        <v>424463.0</v>
      </c>
    </row>
    <row r="28">
      <c r="A28" s="8" t="s">
        <v>42</v>
      </c>
      <c r="B28" s="9" t="s">
        <v>17</v>
      </c>
      <c r="C28" s="9" t="s">
        <v>18</v>
      </c>
      <c r="D28" s="10"/>
      <c r="E28" s="2"/>
      <c r="F28" s="10"/>
      <c r="G28" s="2"/>
      <c r="H28" s="10"/>
      <c r="I28" s="2"/>
      <c r="J28" s="10"/>
      <c r="K28" s="2"/>
    </row>
    <row r="29">
      <c r="A29" s="8" t="s">
        <v>43</v>
      </c>
      <c r="B29" s="9" t="s">
        <v>17</v>
      </c>
      <c r="C29" s="9" t="s">
        <v>18</v>
      </c>
      <c r="D29" s="10"/>
      <c r="E29" s="2"/>
      <c r="F29" s="10"/>
      <c r="G29" s="2"/>
      <c r="H29" s="10"/>
      <c r="I29" s="2"/>
      <c r="J29" s="10"/>
      <c r="K29" s="2"/>
    </row>
    <row r="30">
      <c r="A30" s="8" t="s">
        <v>44</v>
      </c>
      <c r="B30" s="9" t="s">
        <v>17</v>
      </c>
      <c r="C30" s="9" t="s">
        <v>18</v>
      </c>
      <c r="D30" s="10"/>
      <c r="E30" s="2"/>
      <c r="F30" s="10"/>
      <c r="G30" s="2"/>
      <c r="H30" s="10"/>
      <c r="I30" s="2"/>
      <c r="J30" s="10"/>
      <c r="K30" s="2"/>
    </row>
    <row r="31">
      <c r="A31" s="8" t="s">
        <v>45</v>
      </c>
      <c r="B31" s="9" t="s">
        <v>17</v>
      </c>
      <c r="C31" s="9" t="s">
        <v>18</v>
      </c>
      <c r="D31" s="10"/>
      <c r="E31" s="2"/>
      <c r="F31" s="10"/>
      <c r="G31" s="2"/>
      <c r="H31" s="10"/>
      <c r="I31" s="2"/>
      <c r="J31" s="10"/>
      <c r="K31" s="2"/>
    </row>
    <row r="32">
      <c r="A32" s="8" t="s">
        <v>46</v>
      </c>
      <c r="B32" s="9" t="s">
        <v>17</v>
      </c>
      <c r="C32" s="9" t="s">
        <v>18</v>
      </c>
      <c r="D32" s="10"/>
      <c r="E32" s="2" t="n">
        <f>66924</f>
        <v>66924.0</v>
      </c>
      <c r="F32" s="10"/>
      <c r="G32" s="2" t="n">
        <f>1515042743760</f>
        <v>1.51504274376E12</v>
      </c>
      <c r="H32" s="10"/>
      <c r="I32" s="2" t="n">
        <f>4421</f>
        <v>4421.0</v>
      </c>
      <c r="J32" s="10"/>
      <c r="K32" s="2" t="n">
        <f>427143</f>
        <v>427143.0</v>
      </c>
    </row>
    <row r="33">
      <c r="A33" s="8" t="s">
        <v>47</v>
      </c>
      <c r="B33" s="9" t="s">
        <v>17</v>
      </c>
      <c r="C33" s="9" t="s">
        <v>18</v>
      </c>
      <c r="D33" s="10" t="s">
        <v>19</v>
      </c>
      <c r="E33" s="2" t="n">
        <f>49575</f>
        <v>49575.0</v>
      </c>
      <c r="F33" s="10"/>
      <c r="G33" s="2" t="n">
        <f>1124479178122</f>
        <v>1.124479178122E12</v>
      </c>
      <c r="H33" s="10"/>
      <c r="I33" s="2" t="n">
        <f>2595</f>
        <v>2595.0</v>
      </c>
      <c r="J33" s="10"/>
      <c r="K33" s="2" t="n">
        <f>427611</f>
        <v>427611.0</v>
      </c>
    </row>
    <row r="34">
      <c r="A34" s="8" t="s">
        <v>48</v>
      </c>
      <c r="B34" s="9" t="s">
        <v>17</v>
      </c>
      <c r="C34" s="9" t="s">
        <v>18</v>
      </c>
      <c r="D34" s="10"/>
      <c r="E34" s="2" t="n">
        <f>62027</f>
        <v>62027.0</v>
      </c>
      <c r="F34" s="10"/>
      <c r="G34" s="2" t="n">
        <f>1393373185290</f>
        <v>1.39337318529E12</v>
      </c>
      <c r="H34" s="10"/>
      <c r="I34" s="2" t="n">
        <f>3153</f>
        <v>3153.0</v>
      </c>
      <c r="J34" s="10"/>
      <c r="K34" s="2" t="n">
        <f>430527</f>
        <v>430527.0</v>
      </c>
    </row>
    <row r="35">
      <c r="A35" s="8" t="s">
        <v>49</v>
      </c>
      <c r="B35" s="9" t="s">
        <v>17</v>
      </c>
      <c r="C35" s="9" t="s">
        <v>18</v>
      </c>
      <c r="D35" s="10"/>
      <c r="E35" s="2" t="n">
        <f>49808</f>
        <v>49808.0</v>
      </c>
      <c r="F35" s="10" t="s">
        <v>19</v>
      </c>
      <c r="G35" s="2" t="n">
        <f>1114914849710</f>
        <v>1.11491484971E12</v>
      </c>
      <c r="H35" s="10"/>
      <c r="I35" s="2" t="n">
        <f>2561</f>
        <v>2561.0</v>
      </c>
      <c r="J35" s="10"/>
      <c r="K35" s="2" t="n">
        <f>434419</f>
        <v>434419.0</v>
      </c>
    </row>
    <row r="36">
      <c r="A36" s="8" t="s">
        <v>50</v>
      </c>
      <c r="B36" s="9" t="s">
        <v>17</v>
      </c>
      <c r="C36" s="9" t="s">
        <v>18</v>
      </c>
      <c r="D36" s="10" t="s">
        <v>21</v>
      </c>
      <c r="E36" s="2" t="n">
        <f>130723</f>
        <v>130723.0</v>
      </c>
      <c r="F36" s="10" t="s">
        <v>21</v>
      </c>
      <c r="G36" s="2" t="n">
        <f>2867916703670</f>
        <v>2.86791670367E12</v>
      </c>
      <c r="H36" s="10" t="s">
        <v>21</v>
      </c>
      <c r="I36" s="2" t="n">
        <f>8956</f>
        <v>8956.0</v>
      </c>
      <c r="J36" s="10"/>
      <c r="K36" s="2" t="n">
        <f>440352</f>
        <v>440352.0</v>
      </c>
    </row>
    <row r="37">
      <c r="A37" s="8" t="s">
        <v>16</v>
      </c>
      <c r="B37" s="9" t="s">
        <v>51</v>
      </c>
      <c r="C37" s="9" t="s">
        <v>52</v>
      </c>
      <c r="D37" s="10"/>
      <c r="E37" s="2" t="n">
        <f>1004655</f>
        <v>1004655.0</v>
      </c>
      <c r="F37" s="10"/>
      <c r="G37" s="2" t="n">
        <f>2231615872927</f>
        <v>2.231615872927E12</v>
      </c>
      <c r="H37" s="10"/>
      <c r="I37" s="2" t="n">
        <f>91906</f>
        <v>91906.0</v>
      </c>
      <c r="J37" s="10"/>
      <c r="K37" s="2" t="n">
        <f>472790</f>
        <v>472790.0</v>
      </c>
    </row>
    <row r="38">
      <c r="A38" s="8" t="s">
        <v>20</v>
      </c>
      <c r="B38" s="9" t="s">
        <v>51</v>
      </c>
      <c r="C38" s="9" t="s">
        <v>52</v>
      </c>
      <c r="D38" s="10"/>
      <c r="E38" s="2" t="n">
        <f>1151252</f>
        <v>1151252.0</v>
      </c>
      <c r="F38" s="10"/>
      <c r="G38" s="2" t="n">
        <f>2547538355750</f>
        <v>2.54753835575E12</v>
      </c>
      <c r="H38" s="10"/>
      <c r="I38" s="2" t="n">
        <f>96738</f>
        <v>96738.0</v>
      </c>
      <c r="J38" s="10" t="s">
        <v>21</v>
      </c>
      <c r="K38" s="2" t="n">
        <f>961200</f>
        <v>961200.0</v>
      </c>
    </row>
    <row r="39">
      <c r="A39" s="8" t="s">
        <v>22</v>
      </c>
      <c r="B39" s="9" t="s">
        <v>51</v>
      </c>
      <c r="C39" s="9" t="s">
        <v>52</v>
      </c>
      <c r="D39" s="10"/>
      <c r="E39" s="2" t="n">
        <f>991354</f>
        <v>991354.0</v>
      </c>
      <c r="F39" s="10"/>
      <c r="G39" s="2" t="n">
        <f>2207789086700</f>
        <v>2.2077890867E12</v>
      </c>
      <c r="H39" s="10"/>
      <c r="I39" s="2" t="n">
        <f>66561</f>
        <v>66561.0</v>
      </c>
      <c r="J39" s="10"/>
      <c r="K39" s="2" t="n">
        <f>474727</f>
        <v>474727.0</v>
      </c>
    </row>
    <row r="40">
      <c r="A40" s="8" t="s">
        <v>23</v>
      </c>
      <c r="B40" s="9" t="s">
        <v>51</v>
      </c>
      <c r="C40" s="9" t="s">
        <v>52</v>
      </c>
      <c r="D40" s="10"/>
      <c r="E40" s="2"/>
      <c r="F40" s="10"/>
      <c r="G40" s="2"/>
      <c r="H40" s="10"/>
      <c r="I40" s="2"/>
      <c r="J40" s="10"/>
      <c r="K40" s="2"/>
    </row>
    <row r="41">
      <c r="A41" s="8" t="s">
        <v>24</v>
      </c>
      <c r="B41" s="9" t="s">
        <v>51</v>
      </c>
      <c r="C41" s="9" t="s">
        <v>52</v>
      </c>
      <c r="D41" s="10"/>
      <c r="E41" s="2"/>
      <c r="F41" s="10"/>
      <c r="G41" s="2"/>
      <c r="H41" s="10"/>
      <c r="I41" s="2"/>
      <c r="J41" s="10"/>
      <c r="K41" s="2"/>
    </row>
    <row r="42">
      <c r="A42" s="8" t="s">
        <v>25</v>
      </c>
      <c r="B42" s="9" t="s">
        <v>51</v>
      </c>
      <c r="C42" s="9" t="s">
        <v>52</v>
      </c>
      <c r="D42" s="10"/>
      <c r="E42" s="2" t="n">
        <f>991923</f>
        <v>991923.0</v>
      </c>
      <c r="F42" s="10"/>
      <c r="G42" s="2" t="n">
        <f>2230699425550</f>
        <v>2.23069942555E12</v>
      </c>
      <c r="H42" s="10"/>
      <c r="I42" s="2" t="n">
        <f>92102</f>
        <v>92102.0</v>
      </c>
      <c r="J42" s="10"/>
      <c r="K42" s="2" t="n">
        <f>504465</f>
        <v>504465.0</v>
      </c>
    </row>
    <row r="43">
      <c r="A43" s="8" t="s">
        <v>26</v>
      </c>
      <c r="B43" s="9" t="s">
        <v>51</v>
      </c>
      <c r="C43" s="9" t="s">
        <v>52</v>
      </c>
      <c r="D43" s="10"/>
      <c r="E43" s="2" t="n">
        <f>1218102</f>
        <v>1218102.0</v>
      </c>
      <c r="F43" s="10"/>
      <c r="G43" s="2" t="n">
        <f>2753223490146</f>
        <v>2.753223490146E12</v>
      </c>
      <c r="H43" s="10"/>
      <c r="I43" s="2" t="n">
        <f>97869</f>
        <v>97869.0</v>
      </c>
      <c r="J43" s="10"/>
      <c r="K43" s="2" t="n">
        <f>511368</f>
        <v>511368.0</v>
      </c>
    </row>
    <row r="44">
      <c r="A44" s="8" t="s">
        <v>27</v>
      </c>
      <c r="B44" s="9" t="s">
        <v>51</v>
      </c>
      <c r="C44" s="9" t="s">
        <v>52</v>
      </c>
      <c r="D44" s="10"/>
      <c r="E44" s="2" t="n">
        <f>1048404</f>
        <v>1048404.0</v>
      </c>
      <c r="F44" s="10"/>
      <c r="G44" s="2" t="n">
        <f>2359593673346</f>
        <v>2.359593673346E12</v>
      </c>
      <c r="H44" s="10"/>
      <c r="I44" s="2" t="n">
        <f>83016</f>
        <v>83016.0</v>
      </c>
      <c r="J44" s="10"/>
      <c r="K44" s="2" t="n">
        <f>552005</f>
        <v>552005.0</v>
      </c>
    </row>
    <row r="45">
      <c r="A45" s="8" t="s">
        <v>28</v>
      </c>
      <c r="B45" s="9" t="s">
        <v>51</v>
      </c>
      <c r="C45" s="9" t="s">
        <v>52</v>
      </c>
      <c r="D45" s="10"/>
      <c r="E45" s="2" t="n">
        <f>1190313</f>
        <v>1190313.0</v>
      </c>
      <c r="F45" s="10"/>
      <c r="G45" s="2" t="n">
        <f>2676760966200</f>
        <v>2.6767609662E12</v>
      </c>
      <c r="H45" s="10"/>
      <c r="I45" s="2" t="n">
        <f>86374</f>
        <v>86374.0</v>
      </c>
      <c r="J45" s="10"/>
      <c r="K45" s="2" t="n">
        <f>577611</f>
        <v>577611.0</v>
      </c>
    </row>
    <row r="46">
      <c r="A46" s="8" t="s">
        <v>29</v>
      </c>
      <c r="B46" s="9" t="s">
        <v>51</v>
      </c>
      <c r="C46" s="9" t="s">
        <v>52</v>
      </c>
      <c r="D46" s="10"/>
      <c r="E46" s="2" t="n">
        <f>1187051</f>
        <v>1187051.0</v>
      </c>
      <c r="F46" s="10"/>
      <c r="G46" s="2" t="n">
        <f>2660321035250</f>
        <v>2.66032103525E12</v>
      </c>
      <c r="H46" s="10"/>
      <c r="I46" s="2" t="n">
        <f>97062</f>
        <v>97062.0</v>
      </c>
      <c r="J46" s="10"/>
      <c r="K46" s="2" t="n">
        <f>592193</f>
        <v>592193.0</v>
      </c>
    </row>
    <row r="47">
      <c r="A47" s="8" t="s">
        <v>30</v>
      </c>
      <c r="B47" s="9" t="s">
        <v>51</v>
      </c>
      <c r="C47" s="9" t="s">
        <v>52</v>
      </c>
      <c r="D47" s="10"/>
      <c r="E47" s="2"/>
      <c r="F47" s="10"/>
      <c r="G47" s="2"/>
      <c r="H47" s="10"/>
      <c r="I47" s="2"/>
      <c r="J47" s="10"/>
      <c r="K47" s="2"/>
    </row>
    <row r="48">
      <c r="A48" s="8" t="s">
        <v>31</v>
      </c>
      <c r="B48" s="9" t="s">
        <v>51</v>
      </c>
      <c r="C48" s="9" t="s">
        <v>52</v>
      </c>
      <c r="D48" s="10"/>
      <c r="E48" s="2"/>
      <c r="F48" s="10"/>
      <c r="G48" s="2"/>
      <c r="H48" s="10"/>
      <c r="I48" s="2"/>
      <c r="J48" s="10"/>
      <c r="K48" s="2"/>
    </row>
    <row r="49">
      <c r="A49" s="8" t="s">
        <v>32</v>
      </c>
      <c r="B49" s="9" t="s">
        <v>51</v>
      </c>
      <c r="C49" s="9" t="s">
        <v>52</v>
      </c>
      <c r="D49" s="10"/>
      <c r="E49" s="2" t="n">
        <f>1108053</f>
        <v>1108053.0</v>
      </c>
      <c r="F49" s="10"/>
      <c r="G49" s="2" t="n">
        <f>2497290672170</f>
        <v>2.49729067217E12</v>
      </c>
      <c r="H49" s="10"/>
      <c r="I49" s="2" t="n">
        <f>91304</f>
        <v>91304.0</v>
      </c>
      <c r="J49" s="10"/>
      <c r="K49" s="2" t="n">
        <f>473771</f>
        <v>473771.0</v>
      </c>
    </row>
    <row r="50">
      <c r="A50" s="8" t="s">
        <v>33</v>
      </c>
      <c r="B50" s="9" t="s">
        <v>51</v>
      </c>
      <c r="C50" s="9" t="s">
        <v>52</v>
      </c>
      <c r="D50" s="10"/>
      <c r="E50" s="2" t="n">
        <f>1056296</f>
        <v>1056296.0</v>
      </c>
      <c r="F50" s="10"/>
      <c r="G50" s="2" t="n">
        <f>2391482386550</f>
        <v>2.39148238655E12</v>
      </c>
      <c r="H50" s="10"/>
      <c r="I50" s="2" t="n">
        <f>95017</f>
        <v>95017.0</v>
      </c>
      <c r="J50" s="10" t="s">
        <v>19</v>
      </c>
      <c r="K50" s="2" t="n">
        <f>466535</f>
        <v>466535.0</v>
      </c>
    </row>
    <row r="51">
      <c r="A51" s="8" t="s">
        <v>34</v>
      </c>
      <c r="B51" s="9" t="s">
        <v>51</v>
      </c>
      <c r="C51" s="9" t="s">
        <v>52</v>
      </c>
      <c r="D51" s="10"/>
      <c r="E51" s="2" t="n">
        <f>1333704</f>
        <v>1333704.0</v>
      </c>
      <c r="F51" s="10"/>
      <c r="G51" s="2" t="n">
        <f>3031985530088</f>
        <v>3.031985530088E12</v>
      </c>
      <c r="H51" s="10"/>
      <c r="I51" s="2" t="n">
        <f>104869</f>
        <v>104869.0</v>
      </c>
      <c r="J51" s="10"/>
      <c r="K51" s="2" t="n">
        <f>470389</f>
        <v>470389.0</v>
      </c>
    </row>
    <row r="52">
      <c r="A52" s="8" t="s">
        <v>35</v>
      </c>
      <c r="B52" s="9" t="s">
        <v>51</v>
      </c>
      <c r="C52" s="9" t="s">
        <v>52</v>
      </c>
      <c r="D52" s="10"/>
      <c r="E52" s="2" t="n">
        <f>1207360</f>
        <v>1207360.0</v>
      </c>
      <c r="F52" s="10"/>
      <c r="G52" s="2" t="n">
        <f>2760381891561</f>
        <v>2.760381891561E12</v>
      </c>
      <c r="H52" s="10"/>
      <c r="I52" s="2" t="n">
        <f>93101</f>
        <v>93101.0</v>
      </c>
      <c r="J52" s="10"/>
      <c r="K52" s="2" t="n">
        <f>486141</f>
        <v>486141.0</v>
      </c>
    </row>
    <row r="53">
      <c r="A53" s="8" t="s">
        <v>36</v>
      </c>
      <c r="B53" s="9" t="s">
        <v>51</v>
      </c>
      <c r="C53" s="9" t="s">
        <v>52</v>
      </c>
      <c r="D53" s="10"/>
      <c r="E53" s="2" t="n">
        <f>916861</f>
        <v>916861.0</v>
      </c>
      <c r="F53" s="10"/>
      <c r="G53" s="2" t="n">
        <f>2083370738706</f>
        <v>2.083370738706E12</v>
      </c>
      <c r="H53" s="10"/>
      <c r="I53" s="2" t="n">
        <f>71096</f>
        <v>71096.0</v>
      </c>
      <c r="J53" s="10"/>
      <c r="K53" s="2" t="n">
        <f>489702</f>
        <v>489702.0</v>
      </c>
    </row>
    <row r="54">
      <c r="A54" s="8" t="s">
        <v>37</v>
      </c>
      <c r="B54" s="9" t="s">
        <v>51</v>
      </c>
      <c r="C54" s="9" t="s">
        <v>52</v>
      </c>
      <c r="D54" s="10"/>
      <c r="E54" s="2"/>
      <c r="F54" s="10"/>
      <c r="G54" s="2"/>
      <c r="H54" s="10"/>
      <c r="I54" s="2"/>
      <c r="J54" s="10"/>
      <c r="K54" s="2"/>
    </row>
    <row r="55">
      <c r="A55" s="8" t="s">
        <v>38</v>
      </c>
      <c r="B55" s="9" t="s">
        <v>51</v>
      </c>
      <c r="C55" s="9" t="s">
        <v>52</v>
      </c>
      <c r="D55" s="10"/>
      <c r="E55" s="2"/>
      <c r="F55" s="10"/>
      <c r="G55" s="2"/>
      <c r="H55" s="10"/>
      <c r="I55" s="2"/>
      <c r="J55" s="10"/>
      <c r="K55" s="2"/>
    </row>
    <row r="56">
      <c r="A56" s="8" t="s">
        <v>39</v>
      </c>
      <c r="B56" s="9" t="s">
        <v>51</v>
      </c>
      <c r="C56" s="9" t="s">
        <v>52</v>
      </c>
      <c r="D56" s="10"/>
      <c r="E56" s="2" t="n">
        <f>825612</f>
        <v>825612.0</v>
      </c>
      <c r="F56" s="10"/>
      <c r="G56" s="2" t="n">
        <f>1870802205068</f>
        <v>1.870802205068E12</v>
      </c>
      <c r="H56" s="10"/>
      <c r="I56" s="2" t="n">
        <f>74129</f>
        <v>74129.0</v>
      </c>
      <c r="J56" s="10"/>
      <c r="K56" s="2" t="n">
        <f>489197</f>
        <v>489197.0</v>
      </c>
    </row>
    <row r="57">
      <c r="A57" s="8" t="s">
        <v>40</v>
      </c>
      <c r="B57" s="9" t="s">
        <v>51</v>
      </c>
      <c r="C57" s="9" t="s">
        <v>52</v>
      </c>
      <c r="D57" s="10"/>
      <c r="E57" s="2" t="n">
        <f>718902</f>
        <v>718902.0</v>
      </c>
      <c r="F57" s="10"/>
      <c r="G57" s="2" t="n">
        <f>1638148554924</f>
        <v>1.638148554924E12</v>
      </c>
      <c r="H57" s="10"/>
      <c r="I57" s="2" t="n">
        <f>64533</f>
        <v>64533.0</v>
      </c>
      <c r="J57" s="10"/>
      <c r="K57" s="2" t="n">
        <f>483770</f>
        <v>483770.0</v>
      </c>
    </row>
    <row r="58">
      <c r="A58" s="8" t="s">
        <v>41</v>
      </c>
      <c r="B58" s="9" t="s">
        <v>51</v>
      </c>
      <c r="C58" s="9" t="s">
        <v>52</v>
      </c>
      <c r="D58" s="10"/>
      <c r="E58" s="2" t="n">
        <f>802069</f>
        <v>802069.0</v>
      </c>
      <c r="F58" s="10"/>
      <c r="G58" s="2" t="n">
        <f>1828440872152</f>
        <v>1.828440872152E12</v>
      </c>
      <c r="H58" s="10"/>
      <c r="I58" s="2" t="n">
        <f>63457</f>
        <v>63457.0</v>
      </c>
      <c r="J58" s="10"/>
      <c r="K58" s="2" t="n">
        <f>488632</f>
        <v>488632.0</v>
      </c>
    </row>
    <row r="59">
      <c r="A59" s="8" t="s">
        <v>42</v>
      </c>
      <c r="B59" s="9" t="s">
        <v>51</v>
      </c>
      <c r="C59" s="9" t="s">
        <v>52</v>
      </c>
      <c r="D59" s="10"/>
      <c r="E59" s="2"/>
      <c r="F59" s="10"/>
      <c r="G59" s="2"/>
      <c r="H59" s="10"/>
      <c r="I59" s="2"/>
      <c r="J59" s="10"/>
      <c r="K59" s="2"/>
    </row>
    <row r="60">
      <c r="A60" s="8" t="s">
        <v>43</v>
      </c>
      <c r="B60" s="9" t="s">
        <v>51</v>
      </c>
      <c r="C60" s="9" t="s">
        <v>52</v>
      </c>
      <c r="D60" s="10"/>
      <c r="E60" s="2"/>
      <c r="F60" s="10"/>
      <c r="G60" s="2"/>
      <c r="H60" s="10"/>
      <c r="I60" s="2"/>
      <c r="J60" s="10"/>
      <c r="K60" s="2"/>
    </row>
    <row r="61">
      <c r="A61" s="8" t="s">
        <v>44</v>
      </c>
      <c r="B61" s="9" t="s">
        <v>51</v>
      </c>
      <c r="C61" s="9" t="s">
        <v>52</v>
      </c>
      <c r="D61" s="10"/>
      <c r="E61" s="2"/>
      <c r="F61" s="10"/>
      <c r="G61" s="2"/>
      <c r="H61" s="10"/>
      <c r="I61" s="2"/>
      <c r="J61" s="10"/>
      <c r="K61" s="2"/>
    </row>
    <row r="62">
      <c r="A62" s="8" t="s">
        <v>45</v>
      </c>
      <c r="B62" s="9" t="s">
        <v>51</v>
      </c>
      <c r="C62" s="9" t="s">
        <v>52</v>
      </c>
      <c r="D62" s="10"/>
      <c r="E62" s="2"/>
      <c r="F62" s="10"/>
      <c r="G62" s="2"/>
      <c r="H62" s="10"/>
      <c r="I62" s="2"/>
      <c r="J62" s="10"/>
      <c r="K62" s="2"/>
    </row>
    <row r="63">
      <c r="A63" s="8" t="s">
        <v>46</v>
      </c>
      <c r="B63" s="9" t="s">
        <v>51</v>
      </c>
      <c r="C63" s="9" t="s">
        <v>52</v>
      </c>
      <c r="D63" s="10"/>
      <c r="E63" s="2" t="n">
        <f>1010705</f>
        <v>1010705.0</v>
      </c>
      <c r="F63" s="10"/>
      <c r="G63" s="2" t="n">
        <f>2288477345345</f>
        <v>2.288477345345E12</v>
      </c>
      <c r="H63" s="10"/>
      <c r="I63" s="2" t="n">
        <f>103906</f>
        <v>103906.0</v>
      </c>
      <c r="J63" s="10"/>
      <c r="K63" s="2" t="n">
        <f>499705</f>
        <v>499705.0</v>
      </c>
    </row>
    <row r="64">
      <c r="A64" s="8" t="s">
        <v>47</v>
      </c>
      <c r="B64" s="9" t="s">
        <v>51</v>
      </c>
      <c r="C64" s="9" t="s">
        <v>52</v>
      </c>
      <c r="D64" s="10"/>
      <c r="E64" s="2" t="n">
        <f>714161</f>
        <v>714161.0</v>
      </c>
      <c r="F64" s="10"/>
      <c r="G64" s="2" t="n">
        <f>1620692394570</f>
        <v>1.62069239457E12</v>
      </c>
      <c r="H64" s="10"/>
      <c r="I64" s="2" t="n">
        <f>65208</f>
        <v>65208.0</v>
      </c>
      <c r="J64" s="10"/>
      <c r="K64" s="2" t="n">
        <f>522917</f>
        <v>522917.0</v>
      </c>
    </row>
    <row r="65">
      <c r="A65" s="8" t="s">
        <v>48</v>
      </c>
      <c r="B65" s="9" t="s">
        <v>51</v>
      </c>
      <c r="C65" s="9" t="s">
        <v>52</v>
      </c>
      <c r="D65" s="10"/>
      <c r="E65" s="2" t="n">
        <f>865931</f>
        <v>865931.0</v>
      </c>
      <c r="F65" s="10"/>
      <c r="G65" s="2" t="n">
        <f>1947325556015</f>
        <v>1.947325556015E12</v>
      </c>
      <c r="H65" s="10"/>
      <c r="I65" s="2" t="n">
        <f>65520</f>
        <v>65520.0</v>
      </c>
      <c r="J65" s="10"/>
      <c r="K65" s="2" t="n">
        <f>537413</f>
        <v>537413.0</v>
      </c>
    </row>
    <row r="66">
      <c r="A66" s="8" t="s">
        <v>49</v>
      </c>
      <c r="B66" s="9" t="s">
        <v>51</v>
      </c>
      <c r="C66" s="9" t="s">
        <v>52</v>
      </c>
      <c r="D66" s="10" t="s">
        <v>19</v>
      </c>
      <c r="E66" s="2" t="n">
        <f>689791</f>
        <v>689791.0</v>
      </c>
      <c r="F66" s="10" t="s">
        <v>19</v>
      </c>
      <c r="G66" s="2" t="n">
        <f>1546204263718</f>
        <v>1.546204263718E12</v>
      </c>
      <c r="H66" s="10" t="s">
        <v>19</v>
      </c>
      <c r="I66" s="2" t="n">
        <f>57079</f>
        <v>57079.0</v>
      </c>
      <c r="J66" s="10"/>
      <c r="K66" s="2" t="n">
        <f>540385</f>
        <v>540385.0</v>
      </c>
    </row>
    <row r="67">
      <c r="A67" s="8" t="s">
        <v>50</v>
      </c>
      <c r="B67" s="9" t="s">
        <v>51</v>
      </c>
      <c r="C67" s="9" t="s">
        <v>52</v>
      </c>
      <c r="D67" s="10" t="s">
        <v>21</v>
      </c>
      <c r="E67" s="2" t="n">
        <f>1757797</f>
        <v>1757797.0</v>
      </c>
      <c r="F67" s="10" t="s">
        <v>21</v>
      </c>
      <c r="G67" s="2" t="n">
        <f>3865047282950</f>
        <v>3.86504728295E12</v>
      </c>
      <c r="H67" s="10" t="s">
        <v>21</v>
      </c>
      <c r="I67" s="2" t="n">
        <f>170605</f>
        <v>170605.0</v>
      </c>
      <c r="J67" s="10"/>
      <c r="K67" s="2" t="n">
        <f>570036</f>
        <v>570036.0</v>
      </c>
    </row>
    <row r="68">
      <c r="A68" s="8" t="s">
        <v>16</v>
      </c>
      <c r="B68" s="9" t="s">
        <v>53</v>
      </c>
      <c r="C68" s="9" t="s">
        <v>54</v>
      </c>
      <c r="D68" s="10"/>
      <c r="E68" s="2" t="n">
        <f>82648</f>
        <v>82648.0</v>
      </c>
      <c r="F68" s="10"/>
      <c r="G68" s="2" t="n">
        <f>1279633523742</f>
        <v>1.279633523742E12</v>
      </c>
      <c r="H68" s="10" t="s">
        <v>21</v>
      </c>
      <c r="I68" s="2" t="n">
        <f>19508</f>
        <v>19508.0</v>
      </c>
      <c r="J68" s="10" t="s">
        <v>19</v>
      </c>
      <c r="K68" s="2" t="n">
        <f>540420</f>
        <v>540420.0</v>
      </c>
    </row>
    <row r="69">
      <c r="A69" s="8" t="s">
        <v>20</v>
      </c>
      <c r="B69" s="9" t="s">
        <v>53</v>
      </c>
      <c r="C69" s="9" t="s">
        <v>54</v>
      </c>
      <c r="D69" s="10"/>
      <c r="E69" s="2" t="n">
        <f>65255</f>
        <v>65255.0</v>
      </c>
      <c r="F69" s="10"/>
      <c r="G69" s="2" t="n">
        <f>1005541405586</f>
        <v>1.005541405586E12</v>
      </c>
      <c r="H69" s="10"/>
      <c r="I69" s="2" t="n">
        <f>13348</f>
        <v>13348.0</v>
      </c>
      <c r="J69" s="10"/>
      <c r="K69" s="2" t="n">
        <f>559880</f>
        <v>559880.0</v>
      </c>
    </row>
    <row r="70">
      <c r="A70" s="8" t="s">
        <v>22</v>
      </c>
      <c r="B70" s="9" t="s">
        <v>53</v>
      </c>
      <c r="C70" s="9" t="s">
        <v>54</v>
      </c>
      <c r="D70" s="10"/>
      <c r="E70" s="2" t="n">
        <f>49452</f>
        <v>49452.0</v>
      </c>
      <c r="F70" s="10"/>
      <c r="G70" s="2" t="n">
        <f>765933807266</f>
        <v>7.65933807266E11</v>
      </c>
      <c r="H70" s="10"/>
      <c r="I70" s="2" t="n">
        <f>9013</f>
        <v>9013.0</v>
      </c>
      <c r="J70" s="10"/>
      <c r="K70" s="2" t="n">
        <f>541995</f>
        <v>541995.0</v>
      </c>
    </row>
    <row r="71">
      <c r="A71" s="8" t="s">
        <v>23</v>
      </c>
      <c r="B71" s="9" t="s">
        <v>53</v>
      </c>
      <c r="C71" s="9" t="s">
        <v>54</v>
      </c>
      <c r="D71" s="10"/>
      <c r="E71" s="2"/>
      <c r="F71" s="10"/>
      <c r="G71" s="2"/>
      <c r="H71" s="10"/>
      <c r="I71" s="2"/>
      <c r="J71" s="10"/>
      <c r="K71" s="2"/>
    </row>
    <row r="72">
      <c r="A72" s="8" t="s">
        <v>24</v>
      </c>
      <c r="B72" s="9" t="s">
        <v>53</v>
      </c>
      <c r="C72" s="9" t="s">
        <v>54</v>
      </c>
      <c r="D72" s="10"/>
      <c r="E72" s="2"/>
      <c r="F72" s="10"/>
      <c r="G72" s="2"/>
      <c r="H72" s="10"/>
      <c r="I72" s="2"/>
      <c r="J72" s="10"/>
      <c r="K72" s="2"/>
    </row>
    <row r="73">
      <c r="A73" s="8" t="s">
        <v>25</v>
      </c>
      <c r="B73" s="9" t="s">
        <v>53</v>
      </c>
      <c r="C73" s="9" t="s">
        <v>54</v>
      </c>
      <c r="D73" s="10"/>
      <c r="E73" s="2" t="n">
        <f>51633</f>
        <v>51633.0</v>
      </c>
      <c r="F73" s="10"/>
      <c r="G73" s="2" t="n">
        <f>809006067300</f>
        <v>8.090060673E11</v>
      </c>
      <c r="H73" s="10"/>
      <c r="I73" s="2" t="n">
        <f>9065</f>
        <v>9065.0</v>
      </c>
      <c r="J73" s="10"/>
      <c r="K73" s="2" t="n">
        <f>543811</f>
        <v>543811.0</v>
      </c>
    </row>
    <row r="74">
      <c r="A74" s="8" t="s">
        <v>26</v>
      </c>
      <c r="B74" s="9" t="s">
        <v>53</v>
      </c>
      <c r="C74" s="9" t="s">
        <v>54</v>
      </c>
      <c r="D74" s="10"/>
      <c r="E74" s="2" t="n">
        <f>57022</f>
        <v>57022.0</v>
      </c>
      <c r="F74" s="10"/>
      <c r="G74" s="2" t="n">
        <f>895043393050</f>
        <v>8.9504339305E11</v>
      </c>
      <c r="H74" s="10"/>
      <c r="I74" s="2" t="n">
        <f>10435</f>
        <v>10435.0</v>
      </c>
      <c r="J74" s="10"/>
      <c r="K74" s="2" t="n">
        <f>541389</f>
        <v>541389.0</v>
      </c>
    </row>
    <row r="75">
      <c r="A75" s="8" t="s">
        <v>27</v>
      </c>
      <c r="B75" s="9" t="s">
        <v>53</v>
      </c>
      <c r="C75" s="9" t="s">
        <v>54</v>
      </c>
      <c r="D75" s="10"/>
      <c r="E75" s="2" t="n">
        <f>71899</f>
        <v>71899.0</v>
      </c>
      <c r="F75" s="10"/>
      <c r="G75" s="2" t="n">
        <f>1124301380896</f>
        <v>1.124301380896E12</v>
      </c>
      <c r="H75" s="10"/>
      <c r="I75" s="2" t="n">
        <f>12364</f>
        <v>12364.0</v>
      </c>
      <c r="J75" s="10"/>
      <c r="K75" s="2" t="n">
        <f>544100</f>
        <v>544100.0</v>
      </c>
    </row>
    <row r="76">
      <c r="A76" s="8" t="s">
        <v>28</v>
      </c>
      <c r="B76" s="9" t="s">
        <v>53</v>
      </c>
      <c r="C76" s="9" t="s">
        <v>54</v>
      </c>
      <c r="D76" s="10"/>
      <c r="E76" s="2" t="n">
        <f>76554</f>
        <v>76554.0</v>
      </c>
      <c r="F76" s="10"/>
      <c r="G76" s="2" t="n">
        <f>1191220524367</f>
        <v>1.191220524367E12</v>
      </c>
      <c r="H76" s="10"/>
      <c r="I76" s="2" t="n">
        <f>12116</f>
        <v>12116.0</v>
      </c>
      <c r="J76" s="10"/>
      <c r="K76" s="2" t="n">
        <f>547670</f>
        <v>547670.0</v>
      </c>
    </row>
    <row r="77">
      <c r="A77" s="8" t="s">
        <v>29</v>
      </c>
      <c r="B77" s="9" t="s">
        <v>53</v>
      </c>
      <c r="C77" s="9" t="s">
        <v>54</v>
      </c>
      <c r="D77" s="10"/>
      <c r="E77" s="2" t="n">
        <f>101830</f>
        <v>101830.0</v>
      </c>
      <c r="F77" s="10" t="s">
        <v>21</v>
      </c>
      <c r="G77" s="2" t="n">
        <f>1570273272770</f>
        <v>1.57027327277E12</v>
      </c>
      <c r="H77" s="10"/>
      <c r="I77" s="2" t="n">
        <f>15674</f>
        <v>15674.0</v>
      </c>
      <c r="J77" s="10"/>
      <c r="K77" s="2" t="n">
        <f>546948</f>
        <v>546948.0</v>
      </c>
    </row>
    <row r="78">
      <c r="A78" s="8" t="s">
        <v>30</v>
      </c>
      <c r="B78" s="9" t="s">
        <v>53</v>
      </c>
      <c r="C78" s="9" t="s">
        <v>54</v>
      </c>
      <c r="D78" s="10"/>
      <c r="E78" s="2"/>
      <c r="F78" s="10"/>
      <c r="G78" s="2"/>
      <c r="H78" s="10"/>
      <c r="I78" s="2"/>
      <c r="J78" s="10"/>
      <c r="K78" s="2"/>
    </row>
    <row r="79">
      <c r="A79" s="8" t="s">
        <v>31</v>
      </c>
      <c r="B79" s="9" t="s">
        <v>53</v>
      </c>
      <c r="C79" s="9" t="s">
        <v>54</v>
      </c>
      <c r="D79" s="10"/>
      <c r="E79" s="2"/>
      <c r="F79" s="10"/>
      <c r="G79" s="2"/>
      <c r="H79" s="10"/>
      <c r="I79" s="2"/>
      <c r="J79" s="10"/>
      <c r="K79" s="2"/>
    </row>
    <row r="80">
      <c r="A80" s="8" t="s">
        <v>32</v>
      </c>
      <c r="B80" s="9" t="s">
        <v>53</v>
      </c>
      <c r="C80" s="9" t="s">
        <v>54</v>
      </c>
      <c r="D80" s="10"/>
      <c r="E80" s="2" t="n">
        <f>67629</f>
        <v>67629.0</v>
      </c>
      <c r="F80" s="10"/>
      <c r="G80" s="2" t="n">
        <f>1056355451622</f>
        <v>1.056355451622E12</v>
      </c>
      <c r="H80" s="10"/>
      <c r="I80" s="2" t="n">
        <f>12559</f>
        <v>12559.0</v>
      </c>
      <c r="J80" s="10"/>
      <c r="K80" s="2" t="n">
        <f>547553</f>
        <v>547553.0</v>
      </c>
    </row>
    <row r="81">
      <c r="A81" s="8" t="s">
        <v>33</v>
      </c>
      <c r="B81" s="9" t="s">
        <v>53</v>
      </c>
      <c r="C81" s="9" t="s">
        <v>54</v>
      </c>
      <c r="D81" s="10"/>
      <c r="E81" s="2" t="n">
        <f>61161</f>
        <v>61161.0</v>
      </c>
      <c r="F81" s="10"/>
      <c r="G81" s="2" t="n">
        <f>957144319123</f>
        <v>9.57144319123E11</v>
      </c>
      <c r="H81" s="10"/>
      <c r="I81" s="2" t="n">
        <f>9638</f>
        <v>9638.0</v>
      </c>
      <c r="J81" s="10"/>
      <c r="K81" s="2" t="n">
        <f>545807</f>
        <v>545807.0</v>
      </c>
    </row>
    <row r="82">
      <c r="A82" s="8" t="s">
        <v>34</v>
      </c>
      <c r="B82" s="9" t="s">
        <v>53</v>
      </c>
      <c r="C82" s="9" t="s">
        <v>54</v>
      </c>
      <c r="D82" s="10"/>
      <c r="E82" s="2" t="n">
        <f>71593</f>
        <v>71593.0</v>
      </c>
      <c r="F82" s="10"/>
      <c r="G82" s="2" t="n">
        <f>1131868709050</f>
        <v>1.13186870905E12</v>
      </c>
      <c r="H82" s="10"/>
      <c r="I82" s="2" t="n">
        <f>13605</f>
        <v>13605.0</v>
      </c>
      <c r="J82" s="10"/>
      <c r="K82" s="2" t="n">
        <f>543055</f>
        <v>543055.0</v>
      </c>
    </row>
    <row r="83">
      <c r="A83" s="8" t="s">
        <v>35</v>
      </c>
      <c r="B83" s="9" t="s">
        <v>53</v>
      </c>
      <c r="C83" s="9" t="s">
        <v>54</v>
      </c>
      <c r="D83" s="10"/>
      <c r="E83" s="2" t="n">
        <f>59654</f>
        <v>59654.0</v>
      </c>
      <c r="F83" s="10"/>
      <c r="G83" s="2" t="n">
        <f>944547436050</f>
        <v>9.4454743605E11</v>
      </c>
      <c r="H83" s="10"/>
      <c r="I83" s="2" t="n">
        <f>12473</f>
        <v>12473.0</v>
      </c>
      <c r="J83" s="10"/>
      <c r="K83" s="2" t="n">
        <f>545428</f>
        <v>545428.0</v>
      </c>
    </row>
    <row r="84">
      <c r="A84" s="8" t="s">
        <v>36</v>
      </c>
      <c r="B84" s="9" t="s">
        <v>53</v>
      </c>
      <c r="C84" s="9" t="s">
        <v>54</v>
      </c>
      <c r="D84" s="10"/>
      <c r="E84" s="2" t="n">
        <f>46463</f>
        <v>46463.0</v>
      </c>
      <c r="F84" s="10"/>
      <c r="G84" s="2" t="n">
        <f>731571290800</f>
        <v>7.315712908E11</v>
      </c>
      <c r="H84" s="10"/>
      <c r="I84" s="2" t="n">
        <f>8571</f>
        <v>8571.0</v>
      </c>
      <c r="J84" s="10"/>
      <c r="K84" s="2" t="n">
        <f>547005</f>
        <v>547005.0</v>
      </c>
    </row>
    <row r="85">
      <c r="A85" s="8" t="s">
        <v>37</v>
      </c>
      <c r="B85" s="9" t="s">
        <v>53</v>
      </c>
      <c r="C85" s="9" t="s">
        <v>54</v>
      </c>
      <c r="D85" s="10"/>
      <c r="E85" s="2"/>
      <c r="F85" s="10"/>
      <c r="G85" s="2"/>
      <c r="H85" s="10"/>
      <c r="I85" s="2"/>
      <c r="J85" s="10"/>
      <c r="K85" s="2"/>
    </row>
    <row r="86">
      <c r="A86" s="8" t="s">
        <v>38</v>
      </c>
      <c r="B86" s="9" t="s">
        <v>53</v>
      </c>
      <c r="C86" s="9" t="s">
        <v>54</v>
      </c>
      <c r="D86" s="10"/>
      <c r="E86" s="2"/>
      <c r="F86" s="10"/>
      <c r="G86" s="2"/>
      <c r="H86" s="10"/>
      <c r="I86" s="2"/>
      <c r="J86" s="10"/>
      <c r="K86" s="2"/>
    </row>
    <row r="87">
      <c r="A87" s="8" t="s">
        <v>39</v>
      </c>
      <c r="B87" s="9" t="s">
        <v>53</v>
      </c>
      <c r="C87" s="9" t="s">
        <v>54</v>
      </c>
      <c r="D87" s="10"/>
      <c r="E87" s="2" t="n">
        <f>46291</f>
        <v>46291.0</v>
      </c>
      <c r="F87" s="10" t="s">
        <v>19</v>
      </c>
      <c r="G87" s="2" t="n">
        <f>728063182900</f>
        <v>7.280631829E11</v>
      </c>
      <c r="H87" s="10" t="s">
        <v>19</v>
      </c>
      <c r="I87" s="2" t="n">
        <f>7048</f>
        <v>7048.0</v>
      </c>
      <c r="J87" s="10"/>
      <c r="K87" s="2" t="n">
        <f>548141</f>
        <v>548141.0</v>
      </c>
    </row>
    <row r="88">
      <c r="A88" s="8" t="s">
        <v>40</v>
      </c>
      <c r="B88" s="9" t="s">
        <v>53</v>
      </c>
      <c r="C88" s="9" t="s">
        <v>54</v>
      </c>
      <c r="D88" s="10" t="s">
        <v>19</v>
      </c>
      <c r="E88" s="2" t="n">
        <f>46219</f>
        <v>46219.0</v>
      </c>
      <c r="F88" s="10"/>
      <c r="G88" s="2" t="n">
        <f>730120031500</f>
        <v>7.301200315E11</v>
      </c>
      <c r="H88" s="10"/>
      <c r="I88" s="2" t="n">
        <f>9361</f>
        <v>9361.0</v>
      </c>
      <c r="J88" s="10"/>
      <c r="K88" s="2" t="n">
        <f>548203</f>
        <v>548203.0</v>
      </c>
    </row>
    <row r="89">
      <c r="A89" s="8" t="s">
        <v>41</v>
      </c>
      <c r="B89" s="9" t="s">
        <v>53</v>
      </c>
      <c r="C89" s="9" t="s">
        <v>54</v>
      </c>
      <c r="D89" s="10"/>
      <c r="E89" s="2" t="n">
        <f>49875</f>
        <v>49875.0</v>
      </c>
      <c r="F89" s="10"/>
      <c r="G89" s="2" t="n">
        <f>786214816438</f>
        <v>7.86214816438E11</v>
      </c>
      <c r="H89" s="10"/>
      <c r="I89" s="2" t="n">
        <f>10257</f>
        <v>10257.0</v>
      </c>
      <c r="J89" s="10"/>
      <c r="K89" s="2" t="n">
        <f>552896</f>
        <v>552896.0</v>
      </c>
    </row>
    <row r="90">
      <c r="A90" s="8" t="s">
        <v>42</v>
      </c>
      <c r="B90" s="9" t="s">
        <v>53</v>
      </c>
      <c r="C90" s="9" t="s">
        <v>54</v>
      </c>
      <c r="D90" s="10"/>
      <c r="E90" s="2"/>
      <c r="F90" s="10"/>
      <c r="G90" s="2"/>
      <c r="H90" s="10"/>
      <c r="I90" s="2"/>
      <c r="J90" s="10"/>
      <c r="K90" s="2"/>
    </row>
    <row r="91">
      <c r="A91" s="8" t="s">
        <v>43</v>
      </c>
      <c r="B91" s="9" t="s">
        <v>53</v>
      </c>
      <c r="C91" s="9" t="s">
        <v>54</v>
      </c>
      <c r="D91" s="10"/>
      <c r="E91" s="2"/>
      <c r="F91" s="10"/>
      <c r="G91" s="2"/>
      <c r="H91" s="10"/>
      <c r="I91" s="2"/>
      <c r="J91" s="10"/>
      <c r="K91" s="2"/>
    </row>
    <row r="92">
      <c r="A92" s="8" t="s">
        <v>44</v>
      </c>
      <c r="B92" s="9" t="s">
        <v>53</v>
      </c>
      <c r="C92" s="9" t="s">
        <v>54</v>
      </c>
      <c r="D92" s="10"/>
      <c r="E92" s="2"/>
      <c r="F92" s="10"/>
      <c r="G92" s="2"/>
      <c r="H92" s="10"/>
      <c r="I92" s="2"/>
      <c r="J92" s="10"/>
      <c r="K92" s="2"/>
    </row>
    <row r="93">
      <c r="A93" s="8" t="s">
        <v>45</v>
      </c>
      <c r="B93" s="9" t="s">
        <v>53</v>
      </c>
      <c r="C93" s="9" t="s">
        <v>54</v>
      </c>
      <c r="D93" s="10"/>
      <c r="E93" s="2"/>
      <c r="F93" s="10"/>
      <c r="G93" s="2"/>
      <c r="H93" s="10"/>
      <c r="I93" s="2"/>
      <c r="J93" s="10"/>
      <c r="K93" s="2"/>
    </row>
    <row r="94">
      <c r="A94" s="8" t="s">
        <v>46</v>
      </c>
      <c r="B94" s="9" t="s">
        <v>53</v>
      </c>
      <c r="C94" s="9" t="s">
        <v>54</v>
      </c>
      <c r="D94" s="10"/>
      <c r="E94" s="2" t="n">
        <f>71594</f>
        <v>71594.0</v>
      </c>
      <c r="F94" s="10"/>
      <c r="G94" s="2" t="n">
        <f>1123537656600</f>
        <v>1.1235376566E12</v>
      </c>
      <c r="H94" s="10"/>
      <c r="I94" s="2" t="n">
        <f>13184</f>
        <v>13184.0</v>
      </c>
      <c r="J94" s="10"/>
      <c r="K94" s="2" t="n">
        <f>552620</f>
        <v>552620.0</v>
      </c>
    </row>
    <row r="95">
      <c r="A95" s="8" t="s">
        <v>47</v>
      </c>
      <c r="B95" s="9" t="s">
        <v>53</v>
      </c>
      <c r="C95" s="9" t="s">
        <v>54</v>
      </c>
      <c r="D95" s="10"/>
      <c r="E95" s="2" t="n">
        <f>51795</f>
        <v>51795.0</v>
      </c>
      <c r="F95" s="10"/>
      <c r="G95" s="2" t="n">
        <f>814775746950</f>
        <v>8.1477574695E11</v>
      </c>
      <c r="H95" s="10"/>
      <c r="I95" s="2" t="n">
        <f>11171</f>
        <v>11171.0</v>
      </c>
      <c r="J95" s="10"/>
      <c r="K95" s="2" t="n">
        <f>548978</f>
        <v>548978.0</v>
      </c>
    </row>
    <row r="96">
      <c r="A96" s="8" t="s">
        <v>48</v>
      </c>
      <c r="B96" s="9" t="s">
        <v>53</v>
      </c>
      <c r="C96" s="9" t="s">
        <v>54</v>
      </c>
      <c r="D96" s="10"/>
      <c r="E96" s="2" t="n">
        <f>60379</f>
        <v>60379.0</v>
      </c>
      <c r="F96" s="10"/>
      <c r="G96" s="2" t="n">
        <f>938291121900</f>
        <v>9.382911219E11</v>
      </c>
      <c r="H96" s="10"/>
      <c r="I96" s="2" t="n">
        <f>9362</f>
        <v>9362.0</v>
      </c>
      <c r="J96" s="10"/>
      <c r="K96" s="2" t="n">
        <f>551823</f>
        <v>551823.0</v>
      </c>
    </row>
    <row r="97">
      <c r="A97" s="8" t="s">
        <v>49</v>
      </c>
      <c r="B97" s="9" t="s">
        <v>53</v>
      </c>
      <c r="C97" s="9" t="s">
        <v>54</v>
      </c>
      <c r="D97" s="10"/>
      <c r="E97" s="2" t="n">
        <f>51520</f>
        <v>51520.0</v>
      </c>
      <c r="F97" s="10"/>
      <c r="G97" s="2" t="n">
        <f>795796411219</f>
        <v>7.95796411219E11</v>
      </c>
      <c r="H97" s="10"/>
      <c r="I97" s="2" t="n">
        <f>12945</f>
        <v>12945.0</v>
      </c>
      <c r="J97" s="10"/>
      <c r="K97" s="2" t="n">
        <f>552393</f>
        <v>552393.0</v>
      </c>
    </row>
    <row r="98">
      <c r="A98" s="8" t="s">
        <v>50</v>
      </c>
      <c r="B98" s="9" t="s">
        <v>53</v>
      </c>
      <c r="C98" s="9" t="s">
        <v>54</v>
      </c>
      <c r="D98" s="10" t="s">
        <v>21</v>
      </c>
      <c r="E98" s="2" t="n">
        <f>101873</f>
        <v>101873.0</v>
      </c>
      <c r="F98" s="10"/>
      <c r="G98" s="2" t="n">
        <f>1538356007314</f>
        <v>1.538356007314E12</v>
      </c>
      <c r="H98" s="10"/>
      <c r="I98" s="2" t="n">
        <f>19218</f>
        <v>19218.0</v>
      </c>
      <c r="J98" s="10" t="s">
        <v>21</v>
      </c>
      <c r="K98" s="2" t="n">
        <f>561042</f>
        <v>561042.0</v>
      </c>
    </row>
    <row r="99">
      <c r="A99" s="8" t="s">
        <v>16</v>
      </c>
      <c r="B99" s="9" t="s">
        <v>55</v>
      </c>
      <c r="C99" s="9" t="s">
        <v>56</v>
      </c>
      <c r="D99" s="10"/>
      <c r="E99" s="2" t="n">
        <f>37031</f>
        <v>37031.0</v>
      </c>
      <c r="F99" s="10"/>
      <c r="G99" s="2" t="n">
        <f>57366820650</f>
        <v>5.736682065E10</v>
      </c>
      <c r="H99" s="10"/>
      <c r="I99" s="2" t="n">
        <f>1191</f>
        <v>1191.0</v>
      </c>
      <c r="J99" s="10" t="s">
        <v>19</v>
      </c>
      <c r="K99" s="2" t="n">
        <f>49793</f>
        <v>49793.0</v>
      </c>
    </row>
    <row r="100">
      <c r="A100" s="8" t="s">
        <v>20</v>
      </c>
      <c r="B100" s="9" t="s">
        <v>55</v>
      </c>
      <c r="C100" s="9" t="s">
        <v>56</v>
      </c>
      <c r="D100" s="10"/>
      <c r="E100" s="2" t="n">
        <f>34471</f>
        <v>34471.0</v>
      </c>
      <c r="F100" s="10"/>
      <c r="G100" s="2" t="n">
        <f>53115986800</f>
        <v>5.31159868E10</v>
      </c>
      <c r="H100" s="10" t="s">
        <v>21</v>
      </c>
      <c r="I100" s="2" t="n">
        <f>1436</f>
        <v>1436.0</v>
      </c>
      <c r="J100" s="10"/>
      <c r="K100" s="2" t="n">
        <f>61310</f>
        <v>61310.0</v>
      </c>
    </row>
    <row r="101">
      <c r="A101" s="8" t="s">
        <v>22</v>
      </c>
      <c r="B101" s="9" t="s">
        <v>55</v>
      </c>
      <c r="C101" s="9" t="s">
        <v>56</v>
      </c>
      <c r="D101" s="10"/>
      <c r="E101" s="2" t="n">
        <f>27050</f>
        <v>27050.0</v>
      </c>
      <c r="F101" s="10"/>
      <c r="G101" s="2" t="n">
        <f>41877968650</f>
        <v>4.187796865E10</v>
      </c>
      <c r="H101" s="10"/>
      <c r="I101" s="2" t="n">
        <f>749</f>
        <v>749.0</v>
      </c>
      <c r="J101" s="10"/>
      <c r="K101" s="2" t="n">
        <f>50291</f>
        <v>50291.0</v>
      </c>
    </row>
    <row r="102">
      <c r="A102" s="8" t="s">
        <v>23</v>
      </c>
      <c r="B102" s="9" t="s">
        <v>55</v>
      </c>
      <c r="C102" s="9" t="s">
        <v>56</v>
      </c>
      <c r="D102" s="10"/>
      <c r="E102" s="2"/>
      <c r="F102" s="10"/>
      <c r="G102" s="2"/>
      <c r="H102" s="10"/>
      <c r="I102" s="2"/>
      <c r="J102" s="10"/>
      <c r="K102" s="2"/>
    </row>
    <row r="103">
      <c r="A103" s="8" t="s">
        <v>24</v>
      </c>
      <c r="B103" s="9" t="s">
        <v>55</v>
      </c>
      <c r="C103" s="9" t="s">
        <v>56</v>
      </c>
      <c r="D103" s="10"/>
      <c r="E103" s="2"/>
      <c r="F103" s="10"/>
      <c r="G103" s="2"/>
      <c r="H103" s="10"/>
      <c r="I103" s="2"/>
      <c r="J103" s="10"/>
      <c r="K103" s="2"/>
    </row>
    <row r="104">
      <c r="A104" s="8" t="s">
        <v>25</v>
      </c>
      <c r="B104" s="9" t="s">
        <v>55</v>
      </c>
      <c r="C104" s="9" t="s">
        <v>56</v>
      </c>
      <c r="D104" s="10"/>
      <c r="E104" s="2" t="n">
        <f>32716</f>
        <v>32716.0</v>
      </c>
      <c r="F104" s="10"/>
      <c r="G104" s="2" t="n">
        <f>51242848037</f>
        <v>5.1242848037E10</v>
      </c>
      <c r="H104" s="10"/>
      <c r="I104" s="2" t="n">
        <f>772</f>
        <v>772.0</v>
      </c>
      <c r="J104" s="10"/>
      <c r="K104" s="2" t="n">
        <f>55484</f>
        <v>55484.0</v>
      </c>
    </row>
    <row r="105">
      <c r="A105" s="8" t="s">
        <v>26</v>
      </c>
      <c r="B105" s="9" t="s">
        <v>55</v>
      </c>
      <c r="C105" s="9" t="s">
        <v>56</v>
      </c>
      <c r="D105" s="10"/>
      <c r="E105" s="2" t="n">
        <f>34821</f>
        <v>34821.0</v>
      </c>
      <c r="F105" s="10"/>
      <c r="G105" s="2" t="n">
        <f>54667483550</f>
        <v>5.466748355E10</v>
      </c>
      <c r="H105" s="10"/>
      <c r="I105" s="2" t="n">
        <f>942</f>
        <v>942.0</v>
      </c>
      <c r="J105" s="10"/>
      <c r="K105" s="2" t="n">
        <f>56685</f>
        <v>56685.0</v>
      </c>
    </row>
    <row r="106">
      <c r="A106" s="8" t="s">
        <v>27</v>
      </c>
      <c r="B106" s="9" t="s">
        <v>55</v>
      </c>
      <c r="C106" s="9" t="s">
        <v>56</v>
      </c>
      <c r="D106" s="10"/>
      <c r="E106" s="2" t="n">
        <f>33743</f>
        <v>33743.0</v>
      </c>
      <c r="F106" s="10"/>
      <c r="G106" s="2" t="n">
        <f>52847189910</f>
        <v>5.284718991E10</v>
      </c>
      <c r="H106" s="10"/>
      <c r="I106" s="2" t="n">
        <f>837</f>
        <v>837.0</v>
      </c>
      <c r="J106" s="10"/>
      <c r="K106" s="2" t="n">
        <f>54342</f>
        <v>54342.0</v>
      </c>
    </row>
    <row r="107">
      <c r="A107" s="8" t="s">
        <v>28</v>
      </c>
      <c r="B107" s="9" t="s">
        <v>55</v>
      </c>
      <c r="C107" s="9" t="s">
        <v>56</v>
      </c>
      <c r="D107" s="10"/>
      <c r="E107" s="2" t="n">
        <f>38373</f>
        <v>38373.0</v>
      </c>
      <c r="F107" s="10"/>
      <c r="G107" s="2" t="n">
        <f>59682040030</f>
        <v>5.968204003E10</v>
      </c>
      <c r="H107" s="10"/>
      <c r="I107" s="2" t="n">
        <f>1077</f>
        <v>1077.0</v>
      </c>
      <c r="J107" s="10"/>
      <c r="K107" s="2" t="n">
        <f>56666</f>
        <v>56666.0</v>
      </c>
    </row>
    <row r="108">
      <c r="A108" s="8" t="s">
        <v>29</v>
      </c>
      <c r="B108" s="9" t="s">
        <v>55</v>
      </c>
      <c r="C108" s="9" t="s">
        <v>56</v>
      </c>
      <c r="D108" s="10"/>
      <c r="E108" s="2" t="n">
        <f>43676</f>
        <v>43676.0</v>
      </c>
      <c r="F108" s="10"/>
      <c r="G108" s="2" t="n">
        <f>67423798750</f>
        <v>6.742379875E10</v>
      </c>
      <c r="H108" s="10"/>
      <c r="I108" s="2" t="n">
        <f>1363</f>
        <v>1363.0</v>
      </c>
      <c r="J108" s="10"/>
      <c r="K108" s="2" t="n">
        <f>55101</f>
        <v>55101.0</v>
      </c>
    </row>
    <row r="109">
      <c r="A109" s="8" t="s">
        <v>30</v>
      </c>
      <c r="B109" s="9" t="s">
        <v>55</v>
      </c>
      <c r="C109" s="9" t="s">
        <v>56</v>
      </c>
      <c r="D109" s="10"/>
      <c r="E109" s="2"/>
      <c r="F109" s="10"/>
      <c r="G109" s="2"/>
      <c r="H109" s="10"/>
      <c r="I109" s="2"/>
      <c r="J109" s="10"/>
      <c r="K109" s="2"/>
    </row>
    <row r="110">
      <c r="A110" s="8" t="s">
        <v>31</v>
      </c>
      <c r="B110" s="9" t="s">
        <v>55</v>
      </c>
      <c r="C110" s="9" t="s">
        <v>56</v>
      </c>
      <c r="D110" s="10"/>
      <c r="E110" s="2"/>
      <c r="F110" s="10"/>
      <c r="G110" s="2"/>
      <c r="H110" s="10"/>
      <c r="I110" s="2"/>
      <c r="J110" s="10"/>
      <c r="K110" s="2"/>
    </row>
    <row r="111">
      <c r="A111" s="8" t="s">
        <v>32</v>
      </c>
      <c r="B111" s="9" t="s">
        <v>55</v>
      </c>
      <c r="C111" s="9" t="s">
        <v>56</v>
      </c>
      <c r="D111" s="10"/>
      <c r="E111" s="2" t="n">
        <f>34852</f>
        <v>34852.0</v>
      </c>
      <c r="F111" s="10"/>
      <c r="G111" s="2" t="n">
        <f>54341204250</f>
        <v>5.434120425E10</v>
      </c>
      <c r="H111" s="10"/>
      <c r="I111" s="2" t="n">
        <f>1005</f>
        <v>1005.0</v>
      </c>
      <c r="J111" s="10"/>
      <c r="K111" s="2" t="n">
        <f>61583</f>
        <v>61583.0</v>
      </c>
    </row>
    <row r="112">
      <c r="A112" s="8" t="s">
        <v>33</v>
      </c>
      <c r="B112" s="9" t="s">
        <v>55</v>
      </c>
      <c r="C112" s="9" t="s">
        <v>56</v>
      </c>
      <c r="D112" s="10"/>
      <c r="E112" s="2" t="n">
        <f>29446</f>
        <v>29446.0</v>
      </c>
      <c r="F112" s="10"/>
      <c r="G112" s="2" t="n">
        <f>46098645250</f>
        <v>4.609864525E10</v>
      </c>
      <c r="H112" s="10"/>
      <c r="I112" s="2" t="n">
        <f>769</f>
        <v>769.0</v>
      </c>
      <c r="J112" s="10"/>
      <c r="K112" s="2" t="n">
        <f>64056</f>
        <v>64056.0</v>
      </c>
    </row>
    <row r="113">
      <c r="A113" s="8" t="s">
        <v>34</v>
      </c>
      <c r="B113" s="9" t="s">
        <v>55</v>
      </c>
      <c r="C113" s="9" t="s">
        <v>56</v>
      </c>
      <c r="D113" s="10"/>
      <c r="E113" s="2" t="n">
        <f>41360</f>
        <v>41360.0</v>
      </c>
      <c r="F113" s="10"/>
      <c r="G113" s="2" t="n">
        <f>65332005100</f>
        <v>6.53320051E10</v>
      </c>
      <c r="H113" s="10"/>
      <c r="I113" s="2" t="n">
        <f>930</f>
        <v>930.0</v>
      </c>
      <c r="J113" s="10"/>
      <c r="K113" s="2" t="n">
        <f>68061</f>
        <v>68061.0</v>
      </c>
    </row>
    <row r="114">
      <c r="A114" s="8" t="s">
        <v>35</v>
      </c>
      <c r="B114" s="9" t="s">
        <v>55</v>
      </c>
      <c r="C114" s="9" t="s">
        <v>56</v>
      </c>
      <c r="D114" s="10"/>
      <c r="E114" s="2" t="n">
        <f>36353</f>
        <v>36353.0</v>
      </c>
      <c r="F114" s="10"/>
      <c r="G114" s="2" t="n">
        <f>57597778570</f>
        <v>5.759777857E10</v>
      </c>
      <c r="H114" s="10"/>
      <c r="I114" s="2" t="n">
        <f>930</f>
        <v>930.0</v>
      </c>
      <c r="J114" s="10"/>
      <c r="K114" s="2" t="n">
        <f>69904</f>
        <v>69904.0</v>
      </c>
    </row>
    <row r="115">
      <c r="A115" s="8" t="s">
        <v>36</v>
      </c>
      <c r="B115" s="9" t="s">
        <v>55</v>
      </c>
      <c r="C115" s="9" t="s">
        <v>56</v>
      </c>
      <c r="D115" s="10"/>
      <c r="E115" s="2" t="n">
        <f>24002</f>
        <v>24002.0</v>
      </c>
      <c r="F115" s="10"/>
      <c r="G115" s="2" t="n">
        <f>37805258150</f>
        <v>3.780525815E10</v>
      </c>
      <c r="H115" s="10"/>
      <c r="I115" s="2" t="n">
        <f>722</f>
        <v>722.0</v>
      </c>
      <c r="J115" s="10"/>
      <c r="K115" s="2" t="n">
        <f>70567</f>
        <v>70567.0</v>
      </c>
    </row>
    <row r="116">
      <c r="A116" s="8" t="s">
        <v>37</v>
      </c>
      <c r="B116" s="9" t="s">
        <v>55</v>
      </c>
      <c r="C116" s="9" t="s">
        <v>56</v>
      </c>
      <c r="D116" s="10"/>
      <c r="E116" s="2"/>
      <c r="F116" s="10"/>
      <c r="G116" s="2"/>
      <c r="H116" s="10"/>
      <c r="I116" s="2"/>
      <c r="J116" s="10"/>
      <c r="K116" s="2"/>
    </row>
    <row r="117">
      <c r="A117" s="8" t="s">
        <v>38</v>
      </c>
      <c r="B117" s="9" t="s">
        <v>55</v>
      </c>
      <c r="C117" s="9" t="s">
        <v>56</v>
      </c>
      <c r="D117" s="10"/>
      <c r="E117" s="2"/>
      <c r="F117" s="10"/>
      <c r="G117" s="2"/>
      <c r="H117" s="10"/>
      <c r="I117" s="2"/>
      <c r="J117" s="10"/>
      <c r="K117" s="2"/>
    </row>
    <row r="118">
      <c r="A118" s="8" t="s">
        <v>39</v>
      </c>
      <c r="B118" s="9" t="s">
        <v>55</v>
      </c>
      <c r="C118" s="9" t="s">
        <v>56</v>
      </c>
      <c r="D118" s="10"/>
      <c r="E118" s="2" t="n">
        <f>32386</f>
        <v>32386.0</v>
      </c>
      <c r="F118" s="10"/>
      <c r="G118" s="2" t="n">
        <f>50915815780</f>
        <v>5.091581578E10</v>
      </c>
      <c r="H118" s="10"/>
      <c r="I118" s="2" t="n">
        <f>583</f>
        <v>583.0</v>
      </c>
      <c r="J118" s="10"/>
      <c r="K118" s="2" t="n">
        <f>72780</f>
        <v>72780.0</v>
      </c>
    </row>
    <row r="119">
      <c r="A119" s="8" t="s">
        <v>40</v>
      </c>
      <c r="B119" s="9" t="s">
        <v>55</v>
      </c>
      <c r="C119" s="9" t="s">
        <v>56</v>
      </c>
      <c r="D119" s="10"/>
      <c r="E119" s="2" t="n">
        <f>30006</f>
        <v>30006.0</v>
      </c>
      <c r="F119" s="10"/>
      <c r="G119" s="2" t="n">
        <f>47387136600</f>
        <v>4.73871366E10</v>
      </c>
      <c r="H119" s="10"/>
      <c r="I119" s="2" t="n">
        <f>557</f>
        <v>557.0</v>
      </c>
      <c r="J119" s="10"/>
      <c r="K119" s="2" t="n">
        <f>78843</f>
        <v>78843.0</v>
      </c>
    </row>
    <row r="120">
      <c r="A120" s="8" t="s">
        <v>41</v>
      </c>
      <c r="B120" s="9" t="s">
        <v>55</v>
      </c>
      <c r="C120" s="9" t="s">
        <v>56</v>
      </c>
      <c r="D120" s="10"/>
      <c r="E120" s="2" t="n">
        <f>25482</f>
        <v>25482.0</v>
      </c>
      <c r="F120" s="10"/>
      <c r="G120" s="2" t="n">
        <f>40209646500</f>
        <v>4.02096465E10</v>
      </c>
      <c r="H120" s="10"/>
      <c r="I120" s="2" t="n">
        <f>536</f>
        <v>536.0</v>
      </c>
      <c r="J120" s="10"/>
      <c r="K120" s="2" t="n">
        <f>79779</f>
        <v>79779.0</v>
      </c>
    </row>
    <row r="121">
      <c r="A121" s="8" t="s">
        <v>42</v>
      </c>
      <c r="B121" s="9" t="s">
        <v>55</v>
      </c>
      <c r="C121" s="9" t="s">
        <v>56</v>
      </c>
      <c r="D121" s="10"/>
      <c r="E121" s="2"/>
      <c r="F121" s="10"/>
      <c r="G121" s="2"/>
      <c r="H121" s="10"/>
      <c r="I121" s="2"/>
      <c r="J121" s="10"/>
      <c r="K121" s="2"/>
    </row>
    <row r="122">
      <c r="A122" s="8" t="s">
        <v>43</v>
      </c>
      <c r="B122" s="9" t="s">
        <v>55</v>
      </c>
      <c r="C122" s="9" t="s">
        <v>56</v>
      </c>
      <c r="D122" s="10"/>
      <c r="E122" s="2"/>
      <c r="F122" s="10"/>
      <c r="G122" s="2"/>
      <c r="H122" s="10"/>
      <c r="I122" s="2"/>
      <c r="J122" s="10"/>
      <c r="K122" s="2"/>
    </row>
    <row r="123">
      <c r="A123" s="8" t="s">
        <v>44</v>
      </c>
      <c r="B123" s="9" t="s">
        <v>55</v>
      </c>
      <c r="C123" s="9" t="s">
        <v>56</v>
      </c>
      <c r="D123" s="10"/>
      <c r="E123" s="2"/>
      <c r="F123" s="10"/>
      <c r="G123" s="2"/>
      <c r="H123" s="10"/>
      <c r="I123" s="2"/>
      <c r="J123" s="10"/>
      <c r="K123" s="2"/>
    </row>
    <row r="124">
      <c r="A124" s="8" t="s">
        <v>45</v>
      </c>
      <c r="B124" s="9" t="s">
        <v>55</v>
      </c>
      <c r="C124" s="9" t="s">
        <v>56</v>
      </c>
      <c r="D124" s="10"/>
      <c r="E124" s="2"/>
      <c r="F124" s="10"/>
      <c r="G124" s="2"/>
      <c r="H124" s="10"/>
      <c r="I124" s="2"/>
      <c r="J124" s="10"/>
      <c r="K124" s="2"/>
    </row>
    <row r="125">
      <c r="A125" s="8" t="s">
        <v>46</v>
      </c>
      <c r="B125" s="9" t="s">
        <v>55</v>
      </c>
      <c r="C125" s="9" t="s">
        <v>56</v>
      </c>
      <c r="D125" s="10"/>
      <c r="E125" s="2" t="n">
        <f>32399</f>
        <v>32399.0</v>
      </c>
      <c r="F125" s="10"/>
      <c r="G125" s="2" t="n">
        <f>50801537310</f>
        <v>5.080153731E10</v>
      </c>
      <c r="H125" s="10"/>
      <c r="I125" s="2" t="n">
        <f>757</f>
        <v>757.0</v>
      </c>
      <c r="J125" s="10"/>
      <c r="K125" s="2" t="n">
        <f>85118</f>
        <v>85118.0</v>
      </c>
    </row>
    <row r="126">
      <c r="A126" s="8" t="s">
        <v>47</v>
      </c>
      <c r="B126" s="9" t="s">
        <v>55</v>
      </c>
      <c r="C126" s="9" t="s">
        <v>56</v>
      </c>
      <c r="D126" s="10"/>
      <c r="E126" s="2" t="n">
        <f>22955</f>
        <v>22955.0</v>
      </c>
      <c r="F126" s="10"/>
      <c r="G126" s="2" t="n">
        <f>36145693750</f>
        <v>3.614569375E10</v>
      </c>
      <c r="H126" s="10" t="s">
        <v>19</v>
      </c>
      <c r="I126" s="2" t="n">
        <f>524</f>
        <v>524.0</v>
      </c>
      <c r="J126" s="10"/>
      <c r="K126" s="2" t="n">
        <f>87685</f>
        <v>87685.0</v>
      </c>
    </row>
    <row r="127">
      <c r="A127" s="8" t="s">
        <v>48</v>
      </c>
      <c r="B127" s="9" t="s">
        <v>55</v>
      </c>
      <c r="C127" s="9" t="s">
        <v>56</v>
      </c>
      <c r="D127" s="10"/>
      <c r="E127" s="2" t="n">
        <f>26893</f>
        <v>26893.0</v>
      </c>
      <c r="F127" s="10"/>
      <c r="G127" s="2" t="n">
        <f>41805367140</f>
        <v>4.180536714E10</v>
      </c>
      <c r="H127" s="10"/>
      <c r="I127" s="2" t="n">
        <f>846</f>
        <v>846.0</v>
      </c>
      <c r="J127" s="10" t="s">
        <v>21</v>
      </c>
      <c r="K127" s="2" t="n">
        <f>87787</f>
        <v>87787.0</v>
      </c>
    </row>
    <row r="128">
      <c r="A128" s="8" t="s">
        <v>49</v>
      </c>
      <c r="B128" s="9" t="s">
        <v>55</v>
      </c>
      <c r="C128" s="9" t="s">
        <v>56</v>
      </c>
      <c r="D128" s="10" t="s">
        <v>19</v>
      </c>
      <c r="E128" s="2" t="n">
        <f>22081</f>
        <v>22081.0</v>
      </c>
      <c r="F128" s="10" t="s">
        <v>19</v>
      </c>
      <c r="G128" s="2" t="n">
        <f>34130677370</f>
        <v>3.413067737E10</v>
      </c>
      <c r="H128" s="10"/>
      <c r="I128" s="2" t="n">
        <f>715</f>
        <v>715.0</v>
      </c>
      <c r="J128" s="10"/>
      <c r="K128" s="2" t="n">
        <f>85486</f>
        <v>85486.0</v>
      </c>
    </row>
    <row r="129">
      <c r="A129" s="8" t="s">
        <v>50</v>
      </c>
      <c r="B129" s="9" t="s">
        <v>55</v>
      </c>
      <c r="C129" s="9" t="s">
        <v>56</v>
      </c>
      <c r="D129" s="10" t="s">
        <v>21</v>
      </c>
      <c r="E129" s="2" t="n">
        <f>48916</f>
        <v>48916.0</v>
      </c>
      <c r="F129" s="10" t="s">
        <v>21</v>
      </c>
      <c r="G129" s="2" t="n">
        <f>73980574420</f>
        <v>7.398057442E10</v>
      </c>
      <c r="H129" s="10"/>
      <c r="I129" s="2" t="n">
        <f>1421</f>
        <v>1421.0</v>
      </c>
      <c r="J129" s="10"/>
      <c r="K129" s="2" t="n">
        <f>75731</f>
        <v>75731.0</v>
      </c>
    </row>
    <row r="130">
      <c r="A130" s="8" t="s">
        <v>16</v>
      </c>
      <c r="B130" s="9" t="s">
        <v>57</v>
      </c>
      <c r="C130" s="9" t="s">
        <v>58</v>
      </c>
      <c r="D130" s="10"/>
      <c r="E130" s="2" t="n">
        <f>20275</f>
        <v>20275.0</v>
      </c>
      <c r="F130" s="10"/>
      <c r="G130" s="2" t="n">
        <f>28318986400</f>
        <v>2.83189864E10</v>
      </c>
      <c r="H130" s="10" t="s">
        <v>21</v>
      </c>
      <c r="I130" s="2" t="n">
        <f>1842</f>
        <v>1842.0</v>
      </c>
      <c r="J130" s="10"/>
      <c r="K130" s="2" t="n">
        <f>96349</f>
        <v>96349.0</v>
      </c>
    </row>
    <row r="131">
      <c r="A131" s="8" t="s">
        <v>20</v>
      </c>
      <c r="B131" s="9" t="s">
        <v>57</v>
      </c>
      <c r="C131" s="9" t="s">
        <v>58</v>
      </c>
      <c r="D131" s="10"/>
      <c r="E131" s="2" t="n">
        <f>26026</f>
        <v>26026.0</v>
      </c>
      <c r="F131" s="10"/>
      <c r="G131" s="2" t="n">
        <f>36196342228</f>
        <v>3.6196342228E10</v>
      </c>
      <c r="H131" s="10"/>
      <c r="I131" s="2" t="n">
        <f>1784</f>
        <v>1784.0</v>
      </c>
      <c r="J131" s="10" t="s">
        <v>21</v>
      </c>
      <c r="K131" s="2" t="n">
        <f>110553</f>
        <v>110553.0</v>
      </c>
    </row>
    <row r="132">
      <c r="A132" s="8" t="s">
        <v>22</v>
      </c>
      <c r="B132" s="9" t="s">
        <v>57</v>
      </c>
      <c r="C132" s="9" t="s">
        <v>58</v>
      </c>
      <c r="D132" s="10" t="s">
        <v>19</v>
      </c>
      <c r="E132" s="2" t="n">
        <f>12324</f>
        <v>12324.0</v>
      </c>
      <c r="F132" s="10" t="s">
        <v>19</v>
      </c>
      <c r="G132" s="2" t="n">
        <f>17244063572</f>
        <v>1.7244063572E10</v>
      </c>
      <c r="H132" s="10"/>
      <c r="I132" s="2" t="n">
        <f>854</f>
        <v>854.0</v>
      </c>
      <c r="J132" s="10"/>
      <c r="K132" s="2" t="n">
        <f>103994</f>
        <v>103994.0</v>
      </c>
    </row>
    <row r="133">
      <c r="A133" s="8" t="s">
        <v>23</v>
      </c>
      <c r="B133" s="9" t="s">
        <v>57</v>
      </c>
      <c r="C133" s="9" t="s">
        <v>58</v>
      </c>
      <c r="D133" s="10"/>
      <c r="E133" s="2"/>
      <c r="F133" s="10"/>
      <c r="G133" s="2"/>
      <c r="H133" s="10"/>
      <c r="I133" s="2"/>
      <c r="J133" s="10"/>
      <c r="K133" s="2"/>
    </row>
    <row r="134">
      <c r="A134" s="8" t="s">
        <v>24</v>
      </c>
      <c r="B134" s="9" t="s">
        <v>57</v>
      </c>
      <c r="C134" s="9" t="s">
        <v>58</v>
      </c>
      <c r="D134" s="10"/>
      <c r="E134" s="2"/>
      <c r="F134" s="10"/>
      <c r="G134" s="2"/>
      <c r="H134" s="10"/>
      <c r="I134" s="2"/>
      <c r="J134" s="10"/>
      <c r="K134" s="2"/>
    </row>
    <row r="135">
      <c r="A135" s="8" t="s">
        <v>25</v>
      </c>
      <c r="B135" s="9" t="s">
        <v>57</v>
      </c>
      <c r="C135" s="9" t="s">
        <v>58</v>
      </c>
      <c r="D135" s="10"/>
      <c r="E135" s="2" t="n">
        <f>20827</f>
        <v>20827.0</v>
      </c>
      <c r="F135" s="10"/>
      <c r="G135" s="2" t="n">
        <f>29479285553</f>
        <v>2.9479285553E10</v>
      </c>
      <c r="H135" s="10"/>
      <c r="I135" s="2" t="n">
        <f>415</f>
        <v>415.0</v>
      </c>
      <c r="J135" s="10"/>
      <c r="K135" s="2" t="n">
        <f>105010</f>
        <v>105010.0</v>
      </c>
    </row>
    <row r="136">
      <c r="A136" s="8" t="s">
        <v>26</v>
      </c>
      <c r="B136" s="9" t="s">
        <v>57</v>
      </c>
      <c r="C136" s="9" t="s">
        <v>58</v>
      </c>
      <c r="D136" s="10"/>
      <c r="E136" s="2" t="n">
        <f>13569</f>
        <v>13569.0</v>
      </c>
      <c r="F136" s="10"/>
      <c r="G136" s="2" t="n">
        <f>19228882500</f>
        <v>1.92288825E10</v>
      </c>
      <c r="H136" s="10"/>
      <c r="I136" s="2" t="n">
        <f>438</f>
        <v>438.0</v>
      </c>
      <c r="J136" s="10"/>
      <c r="K136" s="2" t="n">
        <f>104930</f>
        <v>104930.0</v>
      </c>
    </row>
    <row r="137">
      <c r="A137" s="8" t="s">
        <v>27</v>
      </c>
      <c r="B137" s="9" t="s">
        <v>57</v>
      </c>
      <c r="C137" s="9" t="s">
        <v>58</v>
      </c>
      <c r="D137" s="10"/>
      <c r="E137" s="2" t="n">
        <f>24711</f>
        <v>24711.0</v>
      </c>
      <c r="F137" s="10"/>
      <c r="G137" s="2" t="n">
        <f>34872363640</f>
        <v>3.487236364E10</v>
      </c>
      <c r="H137" s="10"/>
      <c r="I137" s="2" t="n">
        <f>807</f>
        <v>807.0</v>
      </c>
      <c r="J137" s="10"/>
      <c r="K137" s="2" t="n">
        <f>105665</f>
        <v>105665.0</v>
      </c>
    </row>
    <row r="138">
      <c r="A138" s="8" t="s">
        <v>28</v>
      </c>
      <c r="B138" s="9" t="s">
        <v>57</v>
      </c>
      <c r="C138" s="9" t="s">
        <v>58</v>
      </c>
      <c r="D138" s="10"/>
      <c r="E138" s="2" t="n">
        <f>21725</f>
        <v>21725.0</v>
      </c>
      <c r="F138" s="10"/>
      <c r="G138" s="2" t="n">
        <f>30541597250</f>
        <v>3.054159725E10</v>
      </c>
      <c r="H138" s="10"/>
      <c r="I138" s="2" t="n">
        <f>1570</f>
        <v>1570.0</v>
      </c>
      <c r="J138" s="10"/>
      <c r="K138" s="2" t="n">
        <f>104353</f>
        <v>104353.0</v>
      </c>
    </row>
    <row r="139">
      <c r="A139" s="8" t="s">
        <v>29</v>
      </c>
      <c r="B139" s="9" t="s">
        <v>57</v>
      </c>
      <c r="C139" s="9" t="s">
        <v>58</v>
      </c>
      <c r="D139" s="10" t="s">
        <v>21</v>
      </c>
      <c r="E139" s="2" t="n">
        <f>26156</f>
        <v>26156.0</v>
      </c>
      <c r="F139" s="10" t="s">
        <v>21</v>
      </c>
      <c r="G139" s="2" t="n">
        <f>36444200374</f>
        <v>3.6444200374E10</v>
      </c>
      <c r="H139" s="10" t="s">
        <v>19</v>
      </c>
      <c r="I139" s="2" t="n">
        <f>285</f>
        <v>285.0</v>
      </c>
      <c r="J139" s="10"/>
      <c r="K139" s="2" t="n">
        <f>105080</f>
        <v>105080.0</v>
      </c>
    </row>
    <row r="140">
      <c r="A140" s="8" t="s">
        <v>30</v>
      </c>
      <c r="B140" s="9" t="s">
        <v>57</v>
      </c>
      <c r="C140" s="9" t="s">
        <v>58</v>
      </c>
      <c r="D140" s="10"/>
      <c r="E140" s="2"/>
      <c r="F140" s="10"/>
      <c r="G140" s="2"/>
      <c r="H140" s="10"/>
      <c r="I140" s="2"/>
      <c r="J140" s="10"/>
      <c r="K140" s="2"/>
    </row>
    <row r="141">
      <c r="A141" s="8" t="s">
        <v>31</v>
      </c>
      <c r="B141" s="9" t="s">
        <v>57</v>
      </c>
      <c r="C141" s="9" t="s">
        <v>58</v>
      </c>
      <c r="D141" s="10"/>
      <c r="E141" s="2"/>
      <c r="F141" s="10"/>
      <c r="G141" s="2"/>
      <c r="H141" s="10"/>
      <c r="I141" s="2"/>
      <c r="J141" s="10"/>
      <c r="K141" s="2"/>
    </row>
    <row r="142">
      <c r="A142" s="8" t="s">
        <v>32</v>
      </c>
      <c r="B142" s="9" t="s">
        <v>57</v>
      </c>
      <c r="C142" s="9" t="s">
        <v>58</v>
      </c>
      <c r="D142" s="10"/>
      <c r="E142" s="2" t="n">
        <f>25195</f>
        <v>25195.0</v>
      </c>
      <c r="F142" s="10"/>
      <c r="G142" s="2" t="n">
        <f>35556420224</f>
        <v>3.5556420224E10</v>
      </c>
      <c r="H142" s="10"/>
      <c r="I142" s="2" t="n">
        <f>741</f>
        <v>741.0</v>
      </c>
      <c r="J142" s="10"/>
      <c r="K142" s="2" t="n">
        <f>104651</f>
        <v>104651.0</v>
      </c>
    </row>
    <row r="143">
      <c r="A143" s="8" t="s">
        <v>33</v>
      </c>
      <c r="B143" s="9" t="s">
        <v>57</v>
      </c>
      <c r="C143" s="9" t="s">
        <v>58</v>
      </c>
      <c r="D143" s="10"/>
      <c r="E143" s="2" t="n">
        <f>13100</f>
        <v>13100.0</v>
      </c>
      <c r="F143" s="10"/>
      <c r="G143" s="2" t="n">
        <f>18504172000</f>
        <v>1.8504172E10</v>
      </c>
      <c r="H143" s="10"/>
      <c r="I143" s="2" t="n">
        <f>325</f>
        <v>325.0</v>
      </c>
      <c r="J143" s="10"/>
      <c r="K143" s="2" t="n">
        <f>103258</f>
        <v>103258.0</v>
      </c>
    </row>
    <row r="144">
      <c r="A144" s="8" t="s">
        <v>34</v>
      </c>
      <c r="B144" s="9" t="s">
        <v>57</v>
      </c>
      <c r="C144" s="9" t="s">
        <v>58</v>
      </c>
      <c r="D144" s="10"/>
      <c r="E144" s="2" t="n">
        <f>23143</f>
        <v>23143.0</v>
      </c>
      <c r="F144" s="10"/>
      <c r="G144" s="2" t="n">
        <f>32981842078</f>
        <v>3.2981842078E10</v>
      </c>
      <c r="H144" s="10"/>
      <c r="I144" s="2" t="n">
        <f>1209</f>
        <v>1209.0</v>
      </c>
      <c r="J144" s="10"/>
      <c r="K144" s="2" t="n">
        <f>101856</f>
        <v>101856.0</v>
      </c>
    </row>
    <row r="145">
      <c r="A145" s="8" t="s">
        <v>35</v>
      </c>
      <c r="B145" s="9" t="s">
        <v>57</v>
      </c>
      <c r="C145" s="9" t="s">
        <v>58</v>
      </c>
      <c r="D145" s="10"/>
      <c r="E145" s="2" t="n">
        <f>25196</f>
        <v>25196.0</v>
      </c>
      <c r="F145" s="10"/>
      <c r="G145" s="2" t="n">
        <f>35951947676</f>
        <v>3.5951947676E10</v>
      </c>
      <c r="H145" s="10"/>
      <c r="I145" s="2" t="n">
        <f>1001</f>
        <v>1001.0</v>
      </c>
      <c r="J145" s="10"/>
      <c r="K145" s="2" t="n">
        <f>97216</f>
        <v>97216.0</v>
      </c>
    </row>
    <row r="146">
      <c r="A146" s="8" t="s">
        <v>36</v>
      </c>
      <c r="B146" s="9" t="s">
        <v>57</v>
      </c>
      <c r="C146" s="9" t="s">
        <v>58</v>
      </c>
      <c r="D146" s="10"/>
      <c r="E146" s="2" t="n">
        <f>12701</f>
        <v>12701.0</v>
      </c>
      <c r="F146" s="10"/>
      <c r="G146" s="2" t="n">
        <f>18032996700</f>
        <v>1.80329967E10</v>
      </c>
      <c r="H146" s="10"/>
      <c r="I146" s="2" t="n">
        <f>348</f>
        <v>348.0</v>
      </c>
      <c r="J146" s="10"/>
      <c r="K146" s="2" t="n">
        <f>96761</f>
        <v>96761.0</v>
      </c>
    </row>
    <row r="147">
      <c r="A147" s="8" t="s">
        <v>37</v>
      </c>
      <c r="B147" s="9" t="s">
        <v>57</v>
      </c>
      <c r="C147" s="9" t="s">
        <v>58</v>
      </c>
      <c r="D147" s="10"/>
      <c r="E147" s="2"/>
      <c r="F147" s="10"/>
      <c r="G147" s="2"/>
      <c r="H147" s="10"/>
      <c r="I147" s="2"/>
      <c r="J147" s="10"/>
      <c r="K147" s="2"/>
    </row>
    <row r="148">
      <c r="A148" s="8" t="s">
        <v>38</v>
      </c>
      <c r="B148" s="9" t="s">
        <v>57</v>
      </c>
      <c r="C148" s="9" t="s">
        <v>58</v>
      </c>
      <c r="D148" s="10"/>
      <c r="E148" s="2"/>
      <c r="F148" s="10"/>
      <c r="G148" s="2"/>
      <c r="H148" s="10"/>
      <c r="I148" s="2"/>
      <c r="J148" s="10"/>
      <c r="K148" s="2"/>
    </row>
    <row r="149">
      <c r="A149" s="8" t="s">
        <v>39</v>
      </c>
      <c r="B149" s="9" t="s">
        <v>57</v>
      </c>
      <c r="C149" s="9" t="s">
        <v>58</v>
      </c>
      <c r="D149" s="10"/>
      <c r="E149" s="2" t="n">
        <f>17729</f>
        <v>17729.0</v>
      </c>
      <c r="F149" s="10"/>
      <c r="G149" s="2" t="n">
        <f>25151756000</f>
        <v>2.5151756E10</v>
      </c>
      <c r="H149" s="10"/>
      <c r="I149" s="2" t="n">
        <f>441</f>
        <v>441.0</v>
      </c>
      <c r="J149" s="10" t="s">
        <v>19</v>
      </c>
      <c r="K149" s="2" t="n">
        <f>94869</f>
        <v>94869.0</v>
      </c>
    </row>
    <row r="150">
      <c r="A150" s="8" t="s">
        <v>40</v>
      </c>
      <c r="B150" s="9" t="s">
        <v>57</v>
      </c>
      <c r="C150" s="9" t="s">
        <v>58</v>
      </c>
      <c r="D150" s="10"/>
      <c r="E150" s="2" t="n">
        <f>14858</f>
        <v>14858.0</v>
      </c>
      <c r="F150" s="10"/>
      <c r="G150" s="2" t="n">
        <f>21157981400</f>
        <v>2.11579814E10</v>
      </c>
      <c r="H150" s="10"/>
      <c r="I150" s="2" t="n">
        <f>412</f>
        <v>412.0</v>
      </c>
      <c r="J150" s="10"/>
      <c r="K150" s="2" t="n">
        <f>94870</f>
        <v>94870.0</v>
      </c>
    </row>
    <row r="151">
      <c r="A151" s="8" t="s">
        <v>41</v>
      </c>
      <c r="B151" s="9" t="s">
        <v>57</v>
      </c>
      <c r="C151" s="9" t="s">
        <v>58</v>
      </c>
      <c r="D151" s="10"/>
      <c r="E151" s="2" t="n">
        <f>17328</f>
        <v>17328.0</v>
      </c>
      <c r="F151" s="10"/>
      <c r="G151" s="2" t="n">
        <f>24612138785</f>
        <v>2.4612138785E10</v>
      </c>
      <c r="H151" s="10"/>
      <c r="I151" s="2" t="n">
        <f>504</f>
        <v>504.0</v>
      </c>
      <c r="J151" s="10"/>
      <c r="K151" s="2" t="n">
        <f>95486</f>
        <v>95486.0</v>
      </c>
    </row>
    <row r="152">
      <c r="A152" s="8" t="s">
        <v>42</v>
      </c>
      <c r="B152" s="9" t="s">
        <v>57</v>
      </c>
      <c r="C152" s="9" t="s">
        <v>58</v>
      </c>
      <c r="D152" s="10"/>
      <c r="E152" s="2"/>
      <c r="F152" s="10"/>
      <c r="G152" s="2"/>
      <c r="H152" s="10"/>
      <c r="I152" s="2"/>
      <c r="J152" s="10"/>
      <c r="K152" s="2"/>
    </row>
    <row r="153">
      <c r="A153" s="8" t="s">
        <v>43</v>
      </c>
      <c r="B153" s="9" t="s">
        <v>57</v>
      </c>
      <c r="C153" s="9" t="s">
        <v>58</v>
      </c>
      <c r="D153" s="10"/>
      <c r="E153" s="2"/>
      <c r="F153" s="10"/>
      <c r="G153" s="2"/>
      <c r="H153" s="10"/>
      <c r="I153" s="2"/>
      <c r="J153" s="10"/>
      <c r="K153" s="2"/>
    </row>
    <row r="154">
      <c r="A154" s="8" t="s">
        <v>44</v>
      </c>
      <c r="B154" s="9" t="s">
        <v>57</v>
      </c>
      <c r="C154" s="9" t="s">
        <v>58</v>
      </c>
      <c r="D154" s="10"/>
      <c r="E154" s="2"/>
      <c r="F154" s="10"/>
      <c r="G154" s="2"/>
      <c r="H154" s="10"/>
      <c r="I154" s="2"/>
      <c r="J154" s="10"/>
      <c r="K154" s="2"/>
    </row>
    <row r="155">
      <c r="A155" s="8" t="s">
        <v>45</v>
      </c>
      <c r="B155" s="9" t="s">
        <v>57</v>
      </c>
      <c r="C155" s="9" t="s">
        <v>58</v>
      </c>
      <c r="D155" s="10"/>
      <c r="E155" s="2"/>
      <c r="F155" s="10"/>
      <c r="G155" s="2"/>
      <c r="H155" s="10"/>
      <c r="I155" s="2"/>
      <c r="J155" s="10"/>
      <c r="K155" s="2"/>
    </row>
    <row r="156">
      <c r="A156" s="8" t="s">
        <v>46</v>
      </c>
      <c r="B156" s="9" t="s">
        <v>57</v>
      </c>
      <c r="C156" s="9" t="s">
        <v>58</v>
      </c>
      <c r="D156" s="10"/>
      <c r="E156" s="2" t="n">
        <f>22057</f>
        <v>22057.0</v>
      </c>
      <c r="F156" s="10"/>
      <c r="G156" s="2" t="n">
        <f>31241844365</f>
        <v>3.1241844365E10</v>
      </c>
      <c r="H156" s="10"/>
      <c r="I156" s="2" t="n">
        <f>930</f>
        <v>930.0</v>
      </c>
      <c r="J156" s="10"/>
      <c r="K156" s="2" t="n">
        <f>96764</f>
        <v>96764.0</v>
      </c>
    </row>
    <row r="157">
      <c r="A157" s="8" t="s">
        <v>47</v>
      </c>
      <c r="B157" s="9" t="s">
        <v>57</v>
      </c>
      <c r="C157" s="9" t="s">
        <v>58</v>
      </c>
      <c r="D157" s="10"/>
      <c r="E157" s="2" t="n">
        <f>13548</f>
        <v>13548.0</v>
      </c>
      <c r="F157" s="10"/>
      <c r="G157" s="2" t="n">
        <f>19210861500</f>
        <v>1.92108615E10</v>
      </c>
      <c r="H157" s="10"/>
      <c r="I157" s="2" t="n">
        <f>1024</f>
        <v>1024.0</v>
      </c>
      <c r="J157" s="10"/>
      <c r="K157" s="2" t="n">
        <f>96249</f>
        <v>96249.0</v>
      </c>
    </row>
    <row r="158">
      <c r="A158" s="8" t="s">
        <v>48</v>
      </c>
      <c r="B158" s="9" t="s">
        <v>57</v>
      </c>
      <c r="C158" s="9" t="s">
        <v>58</v>
      </c>
      <c r="D158" s="10"/>
      <c r="E158" s="2" t="n">
        <f>15252</f>
        <v>15252.0</v>
      </c>
      <c r="F158" s="10"/>
      <c r="G158" s="2" t="n">
        <f>21366052170</f>
        <v>2.136605217E10</v>
      </c>
      <c r="H158" s="10"/>
      <c r="I158" s="2" t="n">
        <f>600</f>
        <v>600.0</v>
      </c>
      <c r="J158" s="10"/>
      <c r="K158" s="2" t="n">
        <f>96721</f>
        <v>96721.0</v>
      </c>
    </row>
    <row r="159">
      <c r="A159" s="8" t="s">
        <v>49</v>
      </c>
      <c r="B159" s="9" t="s">
        <v>57</v>
      </c>
      <c r="C159" s="9" t="s">
        <v>58</v>
      </c>
      <c r="D159" s="10"/>
      <c r="E159" s="2" t="n">
        <f>14858</f>
        <v>14858.0</v>
      </c>
      <c r="F159" s="10"/>
      <c r="G159" s="2" t="n">
        <f>20699554555</f>
        <v>2.0699554555E10</v>
      </c>
      <c r="H159" s="10"/>
      <c r="I159" s="2" t="n">
        <f>1366</f>
        <v>1366.0</v>
      </c>
      <c r="J159" s="10"/>
      <c r="K159" s="2" t="n">
        <f>98243</f>
        <v>98243.0</v>
      </c>
    </row>
    <row r="160">
      <c r="A160" s="8" t="s">
        <v>50</v>
      </c>
      <c r="B160" s="9" t="s">
        <v>57</v>
      </c>
      <c r="C160" s="9" t="s">
        <v>58</v>
      </c>
      <c r="D160" s="10"/>
      <c r="E160" s="2" t="n">
        <f>22639</f>
        <v>22639.0</v>
      </c>
      <c r="F160" s="10"/>
      <c r="G160" s="2" t="n">
        <f>30886705109</f>
        <v>3.0886705109E10</v>
      </c>
      <c r="H160" s="10"/>
      <c r="I160" s="2" t="n">
        <f>1619</f>
        <v>1619.0</v>
      </c>
      <c r="J160" s="10"/>
      <c r="K160" s="2" t="n">
        <f>98946</f>
        <v>98946.0</v>
      </c>
    </row>
    <row r="161">
      <c r="A161" s="8" t="s">
        <v>16</v>
      </c>
      <c r="B161" s="9" t="s">
        <v>59</v>
      </c>
      <c r="C161" s="9" t="s">
        <v>60</v>
      </c>
      <c r="D161" s="10" t="s">
        <v>19</v>
      </c>
      <c r="E161" s="2" t="str">
        <f>"－"</f>
        <v>－</v>
      </c>
      <c r="F161" s="10" t="s">
        <v>19</v>
      </c>
      <c r="G161" s="2" t="str">
        <f>"－"</f>
        <v>－</v>
      </c>
      <c r="H161" s="10" t="s">
        <v>61</v>
      </c>
      <c r="I161" s="2" t="str">
        <f>"－"</f>
        <v>－</v>
      </c>
      <c r="J161" s="10" t="s">
        <v>21</v>
      </c>
      <c r="K161" s="2" t="n">
        <f>171</f>
        <v>171.0</v>
      </c>
    </row>
    <row r="162">
      <c r="A162" s="8" t="s">
        <v>20</v>
      </c>
      <c r="B162" s="9" t="s">
        <v>59</v>
      </c>
      <c r="C162" s="9" t="s">
        <v>60</v>
      </c>
      <c r="D162" s="10"/>
      <c r="E162" s="2" t="n">
        <f>1</f>
        <v>1.0</v>
      </c>
      <c r="F162" s="10"/>
      <c r="G162" s="2" t="n">
        <f>715500</f>
        <v>715500.0</v>
      </c>
      <c r="H162" s="10"/>
      <c r="I162" s="2" t="str">
        <f>"－"</f>
        <v>－</v>
      </c>
      <c r="J162" s="10"/>
      <c r="K162" s="2" t="n">
        <f>171</f>
        <v>171.0</v>
      </c>
    </row>
    <row r="163">
      <c r="A163" s="8" t="s">
        <v>22</v>
      </c>
      <c r="B163" s="9" t="s">
        <v>59</v>
      </c>
      <c r="C163" s="9" t="s">
        <v>60</v>
      </c>
      <c r="D163" s="10"/>
      <c r="E163" s="2" t="str">
        <f>"－"</f>
        <v>－</v>
      </c>
      <c r="F163" s="10"/>
      <c r="G163" s="2" t="str">
        <f>"－"</f>
        <v>－</v>
      </c>
      <c r="H163" s="10"/>
      <c r="I163" s="2" t="str">
        <f>"－"</f>
        <v>－</v>
      </c>
      <c r="J163" s="10"/>
      <c r="K163" s="2" t="n">
        <f>171</f>
        <v>171.0</v>
      </c>
    </row>
    <row r="164">
      <c r="A164" s="8" t="s">
        <v>23</v>
      </c>
      <c r="B164" s="9" t="s">
        <v>59</v>
      </c>
      <c r="C164" s="9" t="s">
        <v>60</v>
      </c>
      <c r="D164" s="10"/>
      <c r="E164" s="2"/>
      <c r="F164" s="10"/>
      <c r="G164" s="2"/>
      <c r="H164" s="10"/>
      <c r="I164" s="2"/>
      <c r="J164" s="10"/>
      <c r="K164" s="2"/>
    </row>
    <row r="165">
      <c r="A165" s="8" t="s">
        <v>24</v>
      </c>
      <c r="B165" s="9" t="s">
        <v>59</v>
      </c>
      <c r="C165" s="9" t="s">
        <v>60</v>
      </c>
      <c r="D165" s="10"/>
      <c r="E165" s="2"/>
      <c r="F165" s="10"/>
      <c r="G165" s="2"/>
      <c r="H165" s="10"/>
      <c r="I165" s="2"/>
      <c r="J165" s="10"/>
      <c r="K165" s="2"/>
    </row>
    <row r="166">
      <c r="A166" s="8" t="s">
        <v>25</v>
      </c>
      <c r="B166" s="9" t="s">
        <v>59</v>
      </c>
      <c r="C166" s="9" t="s">
        <v>60</v>
      </c>
      <c r="D166" s="10"/>
      <c r="E166" s="2" t="str">
        <f>"－"</f>
        <v>－</v>
      </c>
      <c r="F166" s="10"/>
      <c r="G166" s="2" t="str">
        <f>"－"</f>
        <v>－</v>
      </c>
      <c r="H166" s="10"/>
      <c r="I166" s="2" t="str">
        <f>"－"</f>
        <v>－</v>
      </c>
      <c r="J166" s="10"/>
      <c r="K166" s="2" t="n">
        <f>171</f>
        <v>171.0</v>
      </c>
    </row>
    <row r="167">
      <c r="A167" s="8" t="s">
        <v>26</v>
      </c>
      <c r="B167" s="9" t="s">
        <v>59</v>
      </c>
      <c r="C167" s="9" t="s">
        <v>60</v>
      </c>
      <c r="D167" s="10"/>
      <c r="E167" s="2" t="str">
        <f>"－"</f>
        <v>－</v>
      </c>
      <c r="F167" s="10"/>
      <c r="G167" s="2" t="str">
        <f>"－"</f>
        <v>－</v>
      </c>
      <c r="H167" s="10"/>
      <c r="I167" s="2" t="str">
        <f>"－"</f>
        <v>－</v>
      </c>
      <c r="J167" s="10"/>
      <c r="K167" s="2" t="n">
        <f>171</f>
        <v>171.0</v>
      </c>
    </row>
    <row r="168">
      <c r="A168" s="8" t="s">
        <v>27</v>
      </c>
      <c r="B168" s="9" t="s">
        <v>59</v>
      </c>
      <c r="C168" s="9" t="s">
        <v>60</v>
      </c>
      <c r="D168" s="10"/>
      <c r="E168" s="2" t="str">
        <f>"－"</f>
        <v>－</v>
      </c>
      <c r="F168" s="10"/>
      <c r="G168" s="2" t="str">
        <f>"－"</f>
        <v>－</v>
      </c>
      <c r="H168" s="10"/>
      <c r="I168" s="2" t="str">
        <f>"－"</f>
        <v>－</v>
      </c>
      <c r="J168" s="10"/>
      <c r="K168" s="2" t="n">
        <f>171</f>
        <v>171.0</v>
      </c>
    </row>
    <row r="169">
      <c r="A169" s="8" t="s">
        <v>28</v>
      </c>
      <c r="B169" s="9" t="s">
        <v>59</v>
      </c>
      <c r="C169" s="9" t="s">
        <v>60</v>
      </c>
      <c r="D169" s="10"/>
      <c r="E169" s="2" t="n">
        <f>1</f>
        <v>1.0</v>
      </c>
      <c r="F169" s="10"/>
      <c r="G169" s="2" t="n">
        <f>727000</f>
        <v>727000.0</v>
      </c>
      <c r="H169" s="10"/>
      <c r="I169" s="2" t="str">
        <f>"－"</f>
        <v>－</v>
      </c>
      <c r="J169" s="10"/>
      <c r="K169" s="2" t="n">
        <f>171</f>
        <v>171.0</v>
      </c>
    </row>
    <row r="170">
      <c r="A170" s="8" t="s">
        <v>29</v>
      </c>
      <c r="B170" s="9" t="s">
        <v>59</v>
      </c>
      <c r="C170" s="9" t="s">
        <v>60</v>
      </c>
      <c r="D170" s="10"/>
      <c r="E170" s="2" t="str">
        <f>"－"</f>
        <v>－</v>
      </c>
      <c r="F170" s="10"/>
      <c r="G170" s="2" t="str">
        <f>"－"</f>
        <v>－</v>
      </c>
      <c r="H170" s="10"/>
      <c r="I170" s="2" t="str">
        <f>"－"</f>
        <v>－</v>
      </c>
      <c r="J170" s="10"/>
      <c r="K170" s="2" t="n">
        <f>171</f>
        <v>171.0</v>
      </c>
    </row>
    <row r="171">
      <c r="A171" s="8" t="s">
        <v>30</v>
      </c>
      <c r="B171" s="9" t="s">
        <v>59</v>
      </c>
      <c r="C171" s="9" t="s">
        <v>60</v>
      </c>
      <c r="D171" s="10"/>
      <c r="E171" s="2"/>
      <c r="F171" s="10"/>
      <c r="G171" s="2"/>
      <c r="H171" s="10"/>
      <c r="I171" s="2"/>
      <c r="J171" s="10"/>
      <c r="K171" s="2"/>
    </row>
    <row r="172">
      <c r="A172" s="8" t="s">
        <v>31</v>
      </c>
      <c r="B172" s="9" t="s">
        <v>59</v>
      </c>
      <c r="C172" s="9" t="s">
        <v>60</v>
      </c>
      <c r="D172" s="10"/>
      <c r="E172" s="2"/>
      <c r="F172" s="10"/>
      <c r="G172" s="2"/>
      <c r="H172" s="10"/>
      <c r="I172" s="2"/>
      <c r="J172" s="10"/>
      <c r="K172" s="2"/>
    </row>
    <row r="173">
      <c r="A173" s="8" t="s">
        <v>32</v>
      </c>
      <c r="B173" s="9" t="s">
        <v>59</v>
      </c>
      <c r="C173" s="9" t="s">
        <v>60</v>
      </c>
      <c r="D173" s="10"/>
      <c r="E173" s="2" t="str">
        <f>"－"</f>
        <v>－</v>
      </c>
      <c r="F173" s="10"/>
      <c r="G173" s="2" t="str">
        <f>"－"</f>
        <v>－</v>
      </c>
      <c r="H173" s="10"/>
      <c r="I173" s="2" t="str">
        <f>"－"</f>
        <v>－</v>
      </c>
      <c r="J173" s="10"/>
      <c r="K173" s="2" t="n">
        <f>171</f>
        <v>171.0</v>
      </c>
    </row>
    <row r="174">
      <c r="A174" s="8" t="s">
        <v>33</v>
      </c>
      <c r="B174" s="9" t="s">
        <v>59</v>
      </c>
      <c r="C174" s="9" t="s">
        <v>60</v>
      </c>
      <c r="D174" s="10"/>
      <c r="E174" s="2" t="str">
        <f>"－"</f>
        <v>－</v>
      </c>
      <c r="F174" s="10"/>
      <c r="G174" s="2" t="str">
        <f>"－"</f>
        <v>－</v>
      </c>
      <c r="H174" s="10"/>
      <c r="I174" s="2" t="str">
        <f>"－"</f>
        <v>－</v>
      </c>
      <c r="J174" s="10"/>
      <c r="K174" s="2" t="n">
        <f>171</f>
        <v>171.0</v>
      </c>
    </row>
    <row r="175">
      <c r="A175" s="8" t="s">
        <v>34</v>
      </c>
      <c r="B175" s="9" t="s">
        <v>59</v>
      </c>
      <c r="C175" s="9" t="s">
        <v>60</v>
      </c>
      <c r="D175" s="10" t="s">
        <v>21</v>
      </c>
      <c r="E175" s="2" t="n">
        <f>91</f>
        <v>91.0</v>
      </c>
      <c r="F175" s="10" t="s">
        <v>21</v>
      </c>
      <c r="G175" s="2" t="n">
        <f>67557700</f>
        <v>6.75577E7</v>
      </c>
      <c r="H175" s="10"/>
      <c r="I175" s="2" t="str">
        <f>"－"</f>
        <v>－</v>
      </c>
      <c r="J175" s="10"/>
      <c r="K175" s="2" t="n">
        <f>82</f>
        <v>82.0</v>
      </c>
    </row>
    <row r="176">
      <c r="A176" s="8" t="s">
        <v>35</v>
      </c>
      <c r="B176" s="9" t="s">
        <v>59</v>
      </c>
      <c r="C176" s="9" t="s">
        <v>60</v>
      </c>
      <c r="D176" s="10"/>
      <c r="E176" s="2" t="n">
        <f>27</f>
        <v>27.0</v>
      </c>
      <c r="F176" s="10"/>
      <c r="G176" s="2" t="n">
        <f>19869250</f>
        <v>1.986925E7</v>
      </c>
      <c r="H176" s="10"/>
      <c r="I176" s="2" t="str">
        <f>"－"</f>
        <v>－</v>
      </c>
      <c r="J176" s="10" t="s">
        <v>19</v>
      </c>
      <c r="K176" s="2" t="n">
        <f>57</f>
        <v>57.0</v>
      </c>
    </row>
    <row r="177">
      <c r="A177" s="8" t="s">
        <v>36</v>
      </c>
      <c r="B177" s="9" t="s">
        <v>59</v>
      </c>
      <c r="C177" s="9" t="s">
        <v>60</v>
      </c>
      <c r="D177" s="10"/>
      <c r="E177" s="2" t="str">
        <f>"－"</f>
        <v>－</v>
      </c>
      <c r="F177" s="10"/>
      <c r="G177" s="2" t="str">
        <f>"－"</f>
        <v>－</v>
      </c>
      <c r="H177" s="10"/>
      <c r="I177" s="2" t="str">
        <f>"－"</f>
        <v>－</v>
      </c>
      <c r="J177" s="10"/>
      <c r="K177" s="2" t="n">
        <f>57</f>
        <v>57.0</v>
      </c>
    </row>
    <row r="178">
      <c r="A178" s="8" t="s">
        <v>37</v>
      </c>
      <c r="B178" s="9" t="s">
        <v>59</v>
      </c>
      <c r="C178" s="9" t="s">
        <v>60</v>
      </c>
      <c r="D178" s="10"/>
      <c r="E178" s="2"/>
      <c r="F178" s="10"/>
      <c r="G178" s="2"/>
      <c r="H178" s="10"/>
      <c r="I178" s="2"/>
      <c r="J178" s="10"/>
      <c r="K178" s="2"/>
    </row>
    <row r="179">
      <c r="A179" s="8" t="s">
        <v>38</v>
      </c>
      <c r="B179" s="9" t="s">
        <v>59</v>
      </c>
      <c r="C179" s="9" t="s">
        <v>60</v>
      </c>
      <c r="D179" s="10"/>
      <c r="E179" s="2"/>
      <c r="F179" s="10"/>
      <c r="G179" s="2"/>
      <c r="H179" s="10"/>
      <c r="I179" s="2"/>
      <c r="J179" s="10"/>
      <c r="K179" s="2"/>
    </row>
    <row r="180">
      <c r="A180" s="8" t="s">
        <v>39</v>
      </c>
      <c r="B180" s="9" t="s">
        <v>59</v>
      </c>
      <c r="C180" s="9" t="s">
        <v>60</v>
      </c>
      <c r="D180" s="10"/>
      <c r="E180" s="2" t="str">
        <f>"－"</f>
        <v>－</v>
      </c>
      <c r="F180" s="10"/>
      <c r="G180" s="2" t="str">
        <f>"－"</f>
        <v>－</v>
      </c>
      <c r="H180" s="10"/>
      <c r="I180" s="2" t="str">
        <f>"－"</f>
        <v>－</v>
      </c>
      <c r="J180" s="10"/>
      <c r="K180" s="2" t="n">
        <f>57</f>
        <v>57.0</v>
      </c>
    </row>
    <row r="181">
      <c r="A181" s="8" t="s">
        <v>40</v>
      </c>
      <c r="B181" s="9" t="s">
        <v>59</v>
      </c>
      <c r="C181" s="9" t="s">
        <v>60</v>
      </c>
      <c r="D181" s="10"/>
      <c r="E181" s="2" t="str">
        <f>"－"</f>
        <v>－</v>
      </c>
      <c r="F181" s="10"/>
      <c r="G181" s="2" t="str">
        <f>"－"</f>
        <v>－</v>
      </c>
      <c r="H181" s="10"/>
      <c r="I181" s="2" t="str">
        <f>"－"</f>
        <v>－</v>
      </c>
      <c r="J181" s="10"/>
      <c r="K181" s="2" t="n">
        <f>57</f>
        <v>57.0</v>
      </c>
    </row>
    <row r="182">
      <c r="A182" s="8" t="s">
        <v>41</v>
      </c>
      <c r="B182" s="9" t="s">
        <v>59</v>
      </c>
      <c r="C182" s="9" t="s">
        <v>60</v>
      </c>
      <c r="D182" s="10"/>
      <c r="E182" s="2" t="str">
        <f>"－"</f>
        <v>－</v>
      </c>
      <c r="F182" s="10"/>
      <c r="G182" s="2" t="str">
        <f>"－"</f>
        <v>－</v>
      </c>
      <c r="H182" s="10"/>
      <c r="I182" s="2" t="str">
        <f>"－"</f>
        <v>－</v>
      </c>
      <c r="J182" s="10"/>
      <c r="K182" s="2" t="n">
        <f>57</f>
        <v>57.0</v>
      </c>
    </row>
    <row r="183">
      <c r="A183" s="8" t="s">
        <v>42</v>
      </c>
      <c r="B183" s="9" t="s">
        <v>59</v>
      </c>
      <c r="C183" s="9" t="s">
        <v>60</v>
      </c>
      <c r="D183" s="10"/>
      <c r="E183" s="2"/>
      <c r="F183" s="10"/>
      <c r="G183" s="2"/>
      <c r="H183" s="10"/>
      <c r="I183" s="2"/>
      <c r="J183" s="10"/>
      <c r="K183" s="2"/>
    </row>
    <row r="184">
      <c r="A184" s="8" t="s">
        <v>43</v>
      </c>
      <c r="B184" s="9" t="s">
        <v>59</v>
      </c>
      <c r="C184" s="9" t="s">
        <v>60</v>
      </c>
      <c r="D184" s="10"/>
      <c r="E184" s="2"/>
      <c r="F184" s="10"/>
      <c r="G184" s="2"/>
      <c r="H184" s="10"/>
      <c r="I184" s="2"/>
      <c r="J184" s="10"/>
      <c r="K184" s="2"/>
    </row>
    <row r="185">
      <c r="A185" s="8" t="s">
        <v>44</v>
      </c>
      <c r="B185" s="9" t="s">
        <v>59</v>
      </c>
      <c r="C185" s="9" t="s">
        <v>60</v>
      </c>
      <c r="D185" s="10"/>
      <c r="E185" s="2"/>
      <c r="F185" s="10"/>
      <c r="G185" s="2"/>
      <c r="H185" s="10"/>
      <c r="I185" s="2"/>
      <c r="J185" s="10"/>
      <c r="K185" s="2"/>
    </row>
    <row r="186">
      <c r="A186" s="8" t="s">
        <v>45</v>
      </c>
      <c r="B186" s="9" t="s">
        <v>59</v>
      </c>
      <c r="C186" s="9" t="s">
        <v>60</v>
      </c>
      <c r="D186" s="10"/>
      <c r="E186" s="2"/>
      <c r="F186" s="10"/>
      <c r="G186" s="2"/>
      <c r="H186" s="10"/>
      <c r="I186" s="2"/>
      <c r="J186" s="10"/>
      <c r="K186" s="2"/>
    </row>
    <row r="187">
      <c r="A187" s="8" t="s">
        <v>46</v>
      </c>
      <c r="B187" s="9" t="s">
        <v>59</v>
      </c>
      <c r="C187" s="9" t="s">
        <v>60</v>
      </c>
      <c r="D187" s="10"/>
      <c r="E187" s="2" t="str">
        <f>"－"</f>
        <v>－</v>
      </c>
      <c r="F187" s="10"/>
      <c r="G187" s="2" t="str">
        <f>"－"</f>
        <v>－</v>
      </c>
      <c r="H187" s="10"/>
      <c r="I187" s="2" t="str">
        <f>"－"</f>
        <v>－</v>
      </c>
      <c r="J187" s="10"/>
      <c r="K187" s="2" t="n">
        <f>57</f>
        <v>57.0</v>
      </c>
    </row>
    <row r="188">
      <c r="A188" s="8" t="s">
        <v>47</v>
      </c>
      <c r="B188" s="9" t="s">
        <v>59</v>
      </c>
      <c r="C188" s="9" t="s">
        <v>60</v>
      </c>
      <c r="D188" s="10"/>
      <c r="E188" s="2" t="str">
        <f>"－"</f>
        <v>－</v>
      </c>
      <c r="F188" s="10"/>
      <c r="G188" s="2" t="str">
        <f>"－"</f>
        <v>－</v>
      </c>
      <c r="H188" s="10"/>
      <c r="I188" s="2" t="str">
        <f>"－"</f>
        <v>－</v>
      </c>
      <c r="J188" s="10"/>
      <c r="K188" s="2" t="n">
        <f>57</f>
        <v>57.0</v>
      </c>
    </row>
    <row r="189">
      <c r="A189" s="8" t="s">
        <v>48</v>
      </c>
      <c r="B189" s="9" t="s">
        <v>59</v>
      </c>
      <c r="C189" s="9" t="s">
        <v>60</v>
      </c>
      <c r="D189" s="10"/>
      <c r="E189" s="2" t="str">
        <f>"－"</f>
        <v>－</v>
      </c>
      <c r="F189" s="10"/>
      <c r="G189" s="2" t="str">
        <f>"－"</f>
        <v>－</v>
      </c>
      <c r="H189" s="10"/>
      <c r="I189" s="2" t="str">
        <f>"－"</f>
        <v>－</v>
      </c>
      <c r="J189" s="10"/>
      <c r="K189" s="2" t="n">
        <f>57</f>
        <v>57.0</v>
      </c>
    </row>
    <row r="190">
      <c r="A190" s="8" t="s">
        <v>49</v>
      </c>
      <c r="B190" s="9" t="s">
        <v>59</v>
      </c>
      <c r="C190" s="9" t="s">
        <v>60</v>
      </c>
      <c r="D190" s="10"/>
      <c r="E190" s="2" t="n">
        <f>1</f>
        <v>1.0</v>
      </c>
      <c r="F190" s="10"/>
      <c r="G190" s="2" t="n">
        <f>722500</f>
        <v>722500.0</v>
      </c>
      <c r="H190" s="10"/>
      <c r="I190" s="2" t="str">
        <f>"－"</f>
        <v>－</v>
      </c>
      <c r="J190" s="10"/>
      <c r="K190" s="2" t="n">
        <f>57</f>
        <v>57.0</v>
      </c>
    </row>
    <row r="191">
      <c r="A191" s="8" t="s">
        <v>50</v>
      </c>
      <c r="B191" s="9" t="s">
        <v>59</v>
      </c>
      <c r="C191" s="9" t="s">
        <v>60</v>
      </c>
      <c r="D191" s="10"/>
      <c r="E191" s="2" t="str">
        <f>"－"</f>
        <v>－</v>
      </c>
      <c r="F191" s="10"/>
      <c r="G191" s="2" t="str">
        <f>"－"</f>
        <v>－</v>
      </c>
      <c r="H191" s="10"/>
      <c r="I191" s="2" t="str">
        <f>"－"</f>
        <v>－</v>
      </c>
      <c r="J191" s="10"/>
      <c r="K191" s="2" t="n">
        <f>57</f>
        <v>57.0</v>
      </c>
    </row>
    <row r="192">
      <c r="A192" s="8" t="s">
        <v>16</v>
      </c>
      <c r="B192" s="9" t="s">
        <v>62</v>
      </c>
      <c r="C192" s="9" t="s">
        <v>63</v>
      </c>
      <c r="D192" s="10" t="s">
        <v>19</v>
      </c>
      <c r="E192" s="2" t="str">
        <f>"－"</f>
        <v>－</v>
      </c>
      <c r="F192" s="10" t="s">
        <v>19</v>
      </c>
      <c r="G192" s="2" t="str">
        <f>"－"</f>
        <v>－</v>
      </c>
      <c r="H192" s="10" t="s">
        <v>61</v>
      </c>
      <c r="I192" s="2" t="str">
        <f>"－"</f>
        <v>－</v>
      </c>
      <c r="J192" s="10" t="s">
        <v>19</v>
      </c>
      <c r="K192" s="2" t="n">
        <f>20485</f>
        <v>20485.0</v>
      </c>
    </row>
    <row r="193">
      <c r="A193" s="8" t="s">
        <v>20</v>
      </c>
      <c r="B193" s="9" t="s">
        <v>62</v>
      </c>
      <c r="C193" s="9" t="s">
        <v>63</v>
      </c>
      <c r="D193" s="10"/>
      <c r="E193" s="2" t="str">
        <f>"－"</f>
        <v>－</v>
      </c>
      <c r="F193" s="10"/>
      <c r="G193" s="2" t="str">
        <f>"－"</f>
        <v>－</v>
      </c>
      <c r="H193" s="10"/>
      <c r="I193" s="2" t="str">
        <f>"－"</f>
        <v>－</v>
      </c>
      <c r="J193" s="10"/>
      <c r="K193" s="2" t="n">
        <f>20485</f>
        <v>20485.0</v>
      </c>
    </row>
    <row r="194">
      <c r="A194" s="8" t="s">
        <v>22</v>
      </c>
      <c r="B194" s="9" t="s">
        <v>62</v>
      </c>
      <c r="C194" s="9" t="s">
        <v>63</v>
      </c>
      <c r="D194" s="10"/>
      <c r="E194" s="2" t="str">
        <f>"－"</f>
        <v>－</v>
      </c>
      <c r="F194" s="10"/>
      <c r="G194" s="2" t="str">
        <f>"－"</f>
        <v>－</v>
      </c>
      <c r="H194" s="10"/>
      <c r="I194" s="2" t="str">
        <f>"－"</f>
        <v>－</v>
      </c>
      <c r="J194" s="10"/>
      <c r="K194" s="2" t="n">
        <f>20485</f>
        <v>20485.0</v>
      </c>
    </row>
    <row r="195">
      <c r="A195" s="8" t="s">
        <v>23</v>
      </c>
      <c r="B195" s="9" t="s">
        <v>62</v>
      </c>
      <c r="C195" s="9" t="s">
        <v>63</v>
      </c>
      <c r="D195" s="10"/>
      <c r="E195" s="2"/>
      <c r="F195" s="10"/>
      <c r="G195" s="2"/>
      <c r="H195" s="10"/>
      <c r="I195" s="2"/>
      <c r="J195" s="10"/>
      <c r="K195" s="2"/>
    </row>
    <row r="196">
      <c r="A196" s="8" t="s">
        <v>24</v>
      </c>
      <c r="B196" s="9" t="s">
        <v>62</v>
      </c>
      <c r="C196" s="9" t="s">
        <v>63</v>
      </c>
      <c r="D196" s="10"/>
      <c r="E196" s="2"/>
      <c r="F196" s="10"/>
      <c r="G196" s="2"/>
      <c r="H196" s="10"/>
      <c r="I196" s="2"/>
      <c r="J196" s="10"/>
      <c r="K196" s="2"/>
    </row>
    <row r="197">
      <c r="A197" s="8" t="s">
        <v>25</v>
      </c>
      <c r="B197" s="9" t="s">
        <v>62</v>
      </c>
      <c r="C197" s="9" t="s">
        <v>63</v>
      </c>
      <c r="D197" s="10"/>
      <c r="E197" s="2" t="str">
        <f>"－"</f>
        <v>－</v>
      </c>
      <c r="F197" s="10"/>
      <c r="G197" s="2" t="str">
        <f>"－"</f>
        <v>－</v>
      </c>
      <c r="H197" s="10"/>
      <c r="I197" s="2" t="str">
        <f>"－"</f>
        <v>－</v>
      </c>
      <c r="J197" s="10"/>
      <c r="K197" s="2" t="n">
        <f>20485</f>
        <v>20485.0</v>
      </c>
    </row>
    <row r="198">
      <c r="A198" s="8" t="s">
        <v>26</v>
      </c>
      <c r="B198" s="9" t="s">
        <v>62</v>
      </c>
      <c r="C198" s="9" t="s">
        <v>63</v>
      </c>
      <c r="D198" s="10"/>
      <c r="E198" s="2" t="str">
        <f>"－"</f>
        <v>－</v>
      </c>
      <c r="F198" s="10"/>
      <c r="G198" s="2" t="str">
        <f>"－"</f>
        <v>－</v>
      </c>
      <c r="H198" s="10"/>
      <c r="I198" s="2" t="str">
        <f>"－"</f>
        <v>－</v>
      </c>
      <c r="J198" s="10"/>
      <c r="K198" s="2" t="n">
        <f>20485</f>
        <v>20485.0</v>
      </c>
    </row>
    <row r="199">
      <c r="A199" s="8" t="s">
        <v>27</v>
      </c>
      <c r="B199" s="9" t="s">
        <v>62</v>
      </c>
      <c r="C199" s="9" t="s">
        <v>63</v>
      </c>
      <c r="D199" s="10"/>
      <c r="E199" s="2" t="str">
        <f>"－"</f>
        <v>－</v>
      </c>
      <c r="F199" s="10"/>
      <c r="G199" s="2" t="str">
        <f>"－"</f>
        <v>－</v>
      </c>
      <c r="H199" s="10"/>
      <c r="I199" s="2" t="str">
        <f>"－"</f>
        <v>－</v>
      </c>
      <c r="J199" s="10"/>
      <c r="K199" s="2" t="n">
        <f>20485</f>
        <v>20485.0</v>
      </c>
    </row>
    <row r="200">
      <c r="A200" s="8" t="s">
        <v>28</v>
      </c>
      <c r="B200" s="9" t="s">
        <v>62</v>
      </c>
      <c r="C200" s="9" t="s">
        <v>63</v>
      </c>
      <c r="D200" s="10"/>
      <c r="E200" s="2" t="str">
        <f>"－"</f>
        <v>－</v>
      </c>
      <c r="F200" s="10"/>
      <c r="G200" s="2" t="str">
        <f>"－"</f>
        <v>－</v>
      </c>
      <c r="H200" s="10"/>
      <c r="I200" s="2" t="str">
        <f>"－"</f>
        <v>－</v>
      </c>
      <c r="J200" s="10"/>
      <c r="K200" s="2" t="n">
        <f>20485</f>
        <v>20485.0</v>
      </c>
    </row>
    <row r="201">
      <c r="A201" s="8" t="s">
        <v>29</v>
      </c>
      <c r="B201" s="9" t="s">
        <v>62</v>
      </c>
      <c r="C201" s="9" t="s">
        <v>63</v>
      </c>
      <c r="D201" s="10"/>
      <c r="E201" s="2" t="str">
        <f>"－"</f>
        <v>－</v>
      </c>
      <c r="F201" s="10"/>
      <c r="G201" s="2" t="str">
        <f>"－"</f>
        <v>－</v>
      </c>
      <c r="H201" s="10"/>
      <c r="I201" s="2" t="str">
        <f>"－"</f>
        <v>－</v>
      </c>
      <c r="J201" s="10"/>
      <c r="K201" s="2" t="n">
        <f>20485</f>
        <v>20485.0</v>
      </c>
    </row>
    <row r="202">
      <c r="A202" s="8" t="s">
        <v>30</v>
      </c>
      <c r="B202" s="9" t="s">
        <v>62</v>
      </c>
      <c r="C202" s="9" t="s">
        <v>63</v>
      </c>
      <c r="D202" s="10"/>
      <c r="E202" s="2"/>
      <c r="F202" s="10"/>
      <c r="G202" s="2"/>
      <c r="H202" s="10"/>
      <c r="I202" s="2"/>
      <c r="J202" s="10"/>
      <c r="K202" s="2"/>
    </row>
    <row r="203">
      <c r="A203" s="8" t="s">
        <v>31</v>
      </c>
      <c r="B203" s="9" t="s">
        <v>62</v>
      </c>
      <c r="C203" s="9" t="s">
        <v>63</v>
      </c>
      <c r="D203" s="10"/>
      <c r="E203" s="2"/>
      <c r="F203" s="10"/>
      <c r="G203" s="2"/>
      <c r="H203" s="10"/>
      <c r="I203" s="2"/>
      <c r="J203" s="10"/>
      <c r="K203" s="2"/>
    </row>
    <row r="204">
      <c r="A204" s="8" t="s">
        <v>32</v>
      </c>
      <c r="B204" s="9" t="s">
        <v>62</v>
      </c>
      <c r="C204" s="9" t="s">
        <v>63</v>
      </c>
      <c r="D204" s="10"/>
      <c r="E204" s="2" t="str">
        <f>"－"</f>
        <v>－</v>
      </c>
      <c r="F204" s="10"/>
      <c r="G204" s="2" t="str">
        <f>"－"</f>
        <v>－</v>
      </c>
      <c r="H204" s="10"/>
      <c r="I204" s="2" t="str">
        <f>"－"</f>
        <v>－</v>
      </c>
      <c r="J204" s="10"/>
      <c r="K204" s="2" t="n">
        <f>20485</f>
        <v>20485.0</v>
      </c>
    </row>
    <row r="205">
      <c r="A205" s="8" t="s">
        <v>33</v>
      </c>
      <c r="B205" s="9" t="s">
        <v>62</v>
      </c>
      <c r="C205" s="9" t="s">
        <v>63</v>
      </c>
      <c r="D205" s="10"/>
      <c r="E205" s="2" t="str">
        <f>"－"</f>
        <v>－</v>
      </c>
      <c r="F205" s="10"/>
      <c r="G205" s="2" t="str">
        <f>"－"</f>
        <v>－</v>
      </c>
      <c r="H205" s="10"/>
      <c r="I205" s="2" t="str">
        <f>"－"</f>
        <v>－</v>
      </c>
      <c r="J205" s="10"/>
      <c r="K205" s="2" t="n">
        <f>20485</f>
        <v>20485.0</v>
      </c>
    </row>
    <row r="206">
      <c r="A206" s="8" t="s">
        <v>34</v>
      </c>
      <c r="B206" s="9" t="s">
        <v>62</v>
      </c>
      <c r="C206" s="9" t="s">
        <v>63</v>
      </c>
      <c r="D206" s="10"/>
      <c r="E206" s="2" t="str">
        <f>"－"</f>
        <v>－</v>
      </c>
      <c r="F206" s="10"/>
      <c r="G206" s="2" t="str">
        <f>"－"</f>
        <v>－</v>
      </c>
      <c r="H206" s="10"/>
      <c r="I206" s="2" t="str">
        <f>"－"</f>
        <v>－</v>
      </c>
      <c r="J206" s="10"/>
      <c r="K206" s="2" t="n">
        <f>20485</f>
        <v>20485.0</v>
      </c>
    </row>
    <row r="207">
      <c r="A207" s="8" t="s">
        <v>35</v>
      </c>
      <c r="B207" s="9" t="s">
        <v>62</v>
      </c>
      <c r="C207" s="9" t="s">
        <v>63</v>
      </c>
      <c r="D207" s="10"/>
      <c r="E207" s="2" t="str">
        <f>"－"</f>
        <v>－</v>
      </c>
      <c r="F207" s="10"/>
      <c r="G207" s="2" t="str">
        <f>"－"</f>
        <v>－</v>
      </c>
      <c r="H207" s="10"/>
      <c r="I207" s="2" t="str">
        <f>"－"</f>
        <v>－</v>
      </c>
      <c r="J207" s="10"/>
      <c r="K207" s="2" t="n">
        <f>20485</f>
        <v>20485.0</v>
      </c>
    </row>
    <row r="208">
      <c r="A208" s="8" t="s">
        <v>36</v>
      </c>
      <c r="B208" s="9" t="s">
        <v>62</v>
      </c>
      <c r="C208" s="9" t="s">
        <v>63</v>
      </c>
      <c r="D208" s="10"/>
      <c r="E208" s="2" t="str">
        <f>"－"</f>
        <v>－</v>
      </c>
      <c r="F208" s="10"/>
      <c r="G208" s="2" t="str">
        <f>"－"</f>
        <v>－</v>
      </c>
      <c r="H208" s="10"/>
      <c r="I208" s="2" t="str">
        <f>"－"</f>
        <v>－</v>
      </c>
      <c r="J208" s="10"/>
      <c r="K208" s="2" t="n">
        <f>20485</f>
        <v>20485.0</v>
      </c>
    </row>
    <row r="209">
      <c r="A209" s="8" t="s">
        <v>37</v>
      </c>
      <c r="B209" s="9" t="s">
        <v>62</v>
      </c>
      <c r="C209" s="9" t="s">
        <v>63</v>
      </c>
      <c r="D209" s="10"/>
      <c r="E209" s="2"/>
      <c r="F209" s="10"/>
      <c r="G209" s="2"/>
      <c r="H209" s="10"/>
      <c r="I209" s="2"/>
      <c r="J209" s="10"/>
      <c r="K209" s="2"/>
    </row>
    <row r="210">
      <c r="A210" s="8" t="s">
        <v>38</v>
      </c>
      <c r="B210" s="9" t="s">
        <v>62</v>
      </c>
      <c r="C210" s="9" t="s">
        <v>63</v>
      </c>
      <c r="D210" s="10"/>
      <c r="E210" s="2"/>
      <c r="F210" s="10"/>
      <c r="G210" s="2"/>
      <c r="H210" s="10"/>
      <c r="I210" s="2"/>
      <c r="J210" s="10"/>
      <c r="K210" s="2"/>
    </row>
    <row r="211">
      <c r="A211" s="8" t="s">
        <v>39</v>
      </c>
      <c r="B211" s="9" t="s">
        <v>62</v>
      </c>
      <c r="C211" s="9" t="s">
        <v>63</v>
      </c>
      <c r="D211" s="10"/>
      <c r="E211" s="2" t="str">
        <f>"－"</f>
        <v>－</v>
      </c>
      <c r="F211" s="10"/>
      <c r="G211" s="2" t="str">
        <f>"－"</f>
        <v>－</v>
      </c>
      <c r="H211" s="10"/>
      <c r="I211" s="2" t="str">
        <f>"－"</f>
        <v>－</v>
      </c>
      <c r="J211" s="10"/>
      <c r="K211" s="2" t="n">
        <f>20485</f>
        <v>20485.0</v>
      </c>
    </row>
    <row r="212">
      <c r="A212" s="8" t="s">
        <v>40</v>
      </c>
      <c r="B212" s="9" t="s">
        <v>62</v>
      </c>
      <c r="C212" s="9" t="s">
        <v>63</v>
      </c>
      <c r="D212" s="10"/>
      <c r="E212" s="2" t="str">
        <f>"－"</f>
        <v>－</v>
      </c>
      <c r="F212" s="10"/>
      <c r="G212" s="2" t="str">
        <f>"－"</f>
        <v>－</v>
      </c>
      <c r="H212" s="10"/>
      <c r="I212" s="2" t="str">
        <f>"－"</f>
        <v>－</v>
      </c>
      <c r="J212" s="10"/>
      <c r="K212" s="2" t="n">
        <f>20485</f>
        <v>20485.0</v>
      </c>
    </row>
    <row r="213">
      <c r="A213" s="8" t="s">
        <v>41</v>
      </c>
      <c r="B213" s="9" t="s">
        <v>62</v>
      </c>
      <c r="C213" s="9" t="s">
        <v>63</v>
      </c>
      <c r="D213" s="10"/>
      <c r="E213" s="2" t="str">
        <f>"－"</f>
        <v>－</v>
      </c>
      <c r="F213" s="10"/>
      <c r="G213" s="2" t="str">
        <f>"－"</f>
        <v>－</v>
      </c>
      <c r="H213" s="10"/>
      <c r="I213" s="2" t="str">
        <f>"－"</f>
        <v>－</v>
      </c>
      <c r="J213" s="10"/>
      <c r="K213" s="2" t="n">
        <f>20485</f>
        <v>20485.0</v>
      </c>
    </row>
    <row r="214">
      <c r="A214" s="8" t="s">
        <v>42</v>
      </c>
      <c r="B214" s="9" t="s">
        <v>62</v>
      </c>
      <c r="C214" s="9" t="s">
        <v>63</v>
      </c>
      <c r="D214" s="10"/>
      <c r="E214" s="2"/>
      <c r="F214" s="10"/>
      <c r="G214" s="2"/>
      <c r="H214" s="10"/>
      <c r="I214" s="2"/>
      <c r="J214" s="10"/>
      <c r="K214" s="2"/>
    </row>
    <row r="215">
      <c r="A215" s="8" t="s">
        <v>43</v>
      </c>
      <c r="B215" s="9" t="s">
        <v>62</v>
      </c>
      <c r="C215" s="9" t="s">
        <v>63</v>
      </c>
      <c r="D215" s="10"/>
      <c r="E215" s="2"/>
      <c r="F215" s="10"/>
      <c r="G215" s="2"/>
      <c r="H215" s="10"/>
      <c r="I215" s="2"/>
      <c r="J215" s="10"/>
      <c r="K215" s="2"/>
    </row>
    <row r="216">
      <c r="A216" s="8" t="s">
        <v>44</v>
      </c>
      <c r="B216" s="9" t="s">
        <v>62</v>
      </c>
      <c r="C216" s="9" t="s">
        <v>63</v>
      </c>
      <c r="D216" s="10"/>
      <c r="E216" s="2"/>
      <c r="F216" s="10"/>
      <c r="G216" s="2"/>
      <c r="H216" s="10"/>
      <c r="I216" s="2"/>
      <c r="J216" s="10"/>
      <c r="K216" s="2"/>
    </row>
    <row r="217">
      <c r="A217" s="8" t="s">
        <v>45</v>
      </c>
      <c r="B217" s="9" t="s">
        <v>62</v>
      </c>
      <c r="C217" s="9" t="s">
        <v>63</v>
      </c>
      <c r="D217" s="10"/>
      <c r="E217" s="2"/>
      <c r="F217" s="10"/>
      <c r="G217" s="2"/>
      <c r="H217" s="10"/>
      <c r="I217" s="2"/>
      <c r="J217" s="10"/>
      <c r="K217" s="2"/>
    </row>
    <row r="218">
      <c r="A218" s="8" t="s">
        <v>46</v>
      </c>
      <c r="B218" s="9" t="s">
        <v>62</v>
      </c>
      <c r="C218" s="9" t="s">
        <v>63</v>
      </c>
      <c r="D218" s="10" t="s">
        <v>21</v>
      </c>
      <c r="E218" s="2" t="n">
        <f>150</f>
        <v>150.0</v>
      </c>
      <c r="F218" s="10" t="s">
        <v>21</v>
      </c>
      <c r="G218" s="2" t="n">
        <f>172895000</f>
        <v>1.72895E8</v>
      </c>
      <c r="H218" s="10"/>
      <c r="I218" s="2" t="str">
        <f>"－"</f>
        <v>－</v>
      </c>
      <c r="J218" s="10" t="s">
        <v>21</v>
      </c>
      <c r="K218" s="2" t="n">
        <f>20635</f>
        <v>20635.0</v>
      </c>
    </row>
    <row r="219">
      <c r="A219" s="8" t="s">
        <v>47</v>
      </c>
      <c r="B219" s="9" t="s">
        <v>62</v>
      </c>
      <c r="C219" s="9" t="s">
        <v>63</v>
      </c>
      <c r="D219" s="10"/>
      <c r="E219" s="2" t="str">
        <f>"－"</f>
        <v>－</v>
      </c>
      <c r="F219" s="10"/>
      <c r="G219" s="2" t="str">
        <f>"－"</f>
        <v>－</v>
      </c>
      <c r="H219" s="10"/>
      <c r="I219" s="2" t="str">
        <f>"－"</f>
        <v>－</v>
      </c>
      <c r="J219" s="10"/>
      <c r="K219" s="2" t="n">
        <f>20635</f>
        <v>20635.0</v>
      </c>
    </row>
    <row r="220">
      <c r="A220" s="8" t="s">
        <v>48</v>
      </c>
      <c r="B220" s="9" t="s">
        <v>62</v>
      </c>
      <c r="C220" s="9" t="s">
        <v>63</v>
      </c>
      <c r="D220" s="10"/>
      <c r="E220" s="2" t="str">
        <f>"－"</f>
        <v>－</v>
      </c>
      <c r="F220" s="10"/>
      <c r="G220" s="2" t="str">
        <f>"－"</f>
        <v>－</v>
      </c>
      <c r="H220" s="10"/>
      <c r="I220" s="2" t="str">
        <f>"－"</f>
        <v>－</v>
      </c>
      <c r="J220" s="10"/>
      <c r="K220" s="2" t="n">
        <f>20635</f>
        <v>20635.0</v>
      </c>
    </row>
    <row r="221">
      <c r="A221" s="8" t="s">
        <v>49</v>
      </c>
      <c r="B221" s="9" t="s">
        <v>62</v>
      </c>
      <c r="C221" s="9" t="s">
        <v>63</v>
      </c>
      <c r="D221" s="10"/>
      <c r="E221" s="2" t="str">
        <f>"－"</f>
        <v>－</v>
      </c>
      <c r="F221" s="10"/>
      <c r="G221" s="2" t="str">
        <f>"－"</f>
        <v>－</v>
      </c>
      <c r="H221" s="10"/>
      <c r="I221" s="2" t="str">
        <f>"－"</f>
        <v>－</v>
      </c>
      <c r="J221" s="10"/>
      <c r="K221" s="2" t="n">
        <f>20635</f>
        <v>20635.0</v>
      </c>
    </row>
    <row r="222">
      <c r="A222" s="8" t="s">
        <v>50</v>
      </c>
      <c r="B222" s="9" t="s">
        <v>62</v>
      </c>
      <c r="C222" s="9" t="s">
        <v>63</v>
      </c>
      <c r="D222" s="10"/>
      <c r="E222" s="2" t="str">
        <f>"－"</f>
        <v>－</v>
      </c>
      <c r="F222" s="10"/>
      <c r="G222" s="2" t="str">
        <f>"－"</f>
        <v>－</v>
      </c>
      <c r="H222" s="10"/>
      <c r="I222" s="2" t="str">
        <f>"－"</f>
        <v>－</v>
      </c>
      <c r="J222" s="10"/>
      <c r="K222" s="2" t="n">
        <f>20635</f>
        <v>20635.0</v>
      </c>
    </row>
    <row r="223">
      <c r="A223" s="8" t="s">
        <v>16</v>
      </c>
      <c r="B223" s="9" t="s">
        <v>64</v>
      </c>
      <c r="C223" s="9" t="s">
        <v>65</v>
      </c>
      <c r="D223" s="10"/>
      <c r="E223" s="2" t="n">
        <f>475</f>
        <v>475.0</v>
      </c>
      <c r="F223" s="10"/>
      <c r="G223" s="2" t="n">
        <f>784287100</f>
        <v>7.842871E8</v>
      </c>
      <c r="H223" s="10" t="s">
        <v>19</v>
      </c>
      <c r="I223" s="2" t="str">
        <f>"－"</f>
        <v>－</v>
      </c>
      <c r="J223" s="10"/>
      <c r="K223" s="2" t="n">
        <f>67313</f>
        <v>67313.0</v>
      </c>
    </row>
    <row r="224">
      <c r="A224" s="8" t="s">
        <v>20</v>
      </c>
      <c r="B224" s="9" t="s">
        <v>64</v>
      </c>
      <c r="C224" s="9" t="s">
        <v>65</v>
      </c>
      <c r="D224" s="10"/>
      <c r="E224" s="2" t="n">
        <f>241</f>
        <v>241.0</v>
      </c>
      <c r="F224" s="10"/>
      <c r="G224" s="2" t="n">
        <f>400929920</f>
        <v>4.0092992E8</v>
      </c>
      <c r="H224" s="10"/>
      <c r="I224" s="2" t="str">
        <f>"－"</f>
        <v>－</v>
      </c>
      <c r="J224" s="10"/>
      <c r="K224" s="2" t="n">
        <f>67324</f>
        <v>67324.0</v>
      </c>
    </row>
    <row r="225">
      <c r="A225" s="8" t="s">
        <v>22</v>
      </c>
      <c r="B225" s="9" t="s">
        <v>64</v>
      </c>
      <c r="C225" s="9" t="s">
        <v>65</v>
      </c>
      <c r="D225" s="10"/>
      <c r="E225" s="2" t="n">
        <f>306</f>
        <v>306.0</v>
      </c>
      <c r="F225" s="10"/>
      <c r="G225" s="2" t="n">
        <f>512649450</f>
        <v>5.1264945E8</v>
      </c>
      <c r="H225" s="10"/>
      <c r="I225" s="2" t="str">
        <f>"－"</f>
        <v>－</v>
      </c>
      <c r="J225" s="10"/>
      <c r="K225" s="2" t="n">
        <f>67267</f>
        <v>67267.0</v>
      </c>
    </row>
    <row r="226">
      <c r="A226" s="8" t="s">
        <v>23</v>
      </c>
      <c r="B226" s="9" t="s">
        <v>64</v>
      </c>
      <c r="C226" s="9" t="s">
        <v>65</v>
      </c>
      <c r="D226" s="10"/>
      <c r="E226" s="2"/>
      <c r="F226" s="10"/>
      <c r="G226" s="2"/>
      <c r="H226" s="10"/>
      <c r="I226" s="2"/>
      <c r="J226" s="10"/>
      <c r="K226" s="2"/>
    </row>
    <row r="227">
      <c r="A227" s="8" t="s">
        <v>24</v>
      </c>
      <c r="B227" s="9" t="s">
        <v>64</v>
      </c>
      <c r="C227" s="9" t="s">
        <v>65</v>
      </c>
      <c r="D227" s="10"/>
      <c r="E227" s="2"/>
      <c r="F227" s="10"/>
      <c r="G227" s="2"/>
      <c r="H227" s="10"/>
      <c r="I227" s="2"/>
      <c r="J227" s="10"/>
      <c r="K227" s="2"/>
    </row>
    <row r="228">
      <c r="A228" s="8" t="s">
        <v>25</v>
      </c>
      <c r="B228" s="9" t="s">
        <v>64</v>
      </c>
      <c r="C228" s="9" t="s">
        <v>65</v>
      </c>
      <c r="D228" s="10"/>
      <c r="E228" s="2" t="n">
        <f>349</f>
        <v>349.0</v>
      </c>
      <c r="F228" s="10"/>
      <c r="G228" s="2" t="n">
        <f>587714760</f>
        <v>5.8771476E8</v>
      </c>
      <c r="H228" s="10"/>
      <c r="I228" s="2" t="n">
        <f>3</f>
        <v>3.0</v>
      </c>
      <c r="J228" s="10"/>
      <c r="K228" s="2" t="n">
        <f>67282</f>
        <v>67282.0</v>
      </c>
    </row>
    <row r="229">
      <c r="A229" s="8" t="s">
        <v>26</v>
      </c>
      <c r="B229" s="9" t="s">
        <v>64</v>
      </c>
      <c r="C229" s="9" t="s">
        <v>65</v>
      </c>
      <c r="D229" s="10"/>
      <c r="E229" s="2" t="n">
        <f>459</f>
        <v>459.0</v>
      </c>
      <c r="F229" s="10"/>
      <c r="G229" s="2" t="n">
        <f>765172820</f>
        <v>7.6517282E8</v>
      </c>
      <c r="H229" s="10"/>
      <c r="I229" s="2" t="n">
        <f>2</f>
        <v>2.0</v>
      </c>
      <c r="J229" s="10"/>
      <c r="K229" s="2" t="n">
        <f>67285</f>
        <v>67285.0</v>
      </c>
    </row>
    <row r="230">
      <c r="A230" s="8" t="s">
        <v>27</v>
      </c>
      <c r="B230" s="9" t="s">
        <v>64</v>
      </c>
      <c r="C230" s="9" t="s">
        <v>65</v>
      </c>
      <c r="D230" s="10"/>
      <c r="E230" s="2" t="n">
        <f>844</f>
        <v>844.0</v>
      </c>
      <c r="F230" s="10"/>
      <c r="G230" s="2" t="n">
        <f>1413138020</f>
        <v>1.41313802E9</v>
      </c>
      <c r="H230" s="10"/>
      <c r="I230" s="2" t="str">
        <f>"－"</f>
        <v>－</v>
      </c>
      <c r="J230" s="10"/>
      <c r="K230" s="2" t="n">
        <f>66961</f>
        <v>66961.0</v>
      </c>
    </row>
    <row r="231">
      <c r="A231" s="8" t="s">
        <v>28</v>
      </c>
      <c r="B231" s="9" t="s">
        <v>64</v>
      </c>
      <c r="C231" s="9" t="s">
        <v>65</v>
      </c>
      <c r="D231" s="10"/>
      <c r="E231" s="2" t="n">
        <f>408</f>
        <v>408.0</v>
      </c>
      <c r="F231" s="10"/>
      <c r="G231" s="2" t="n">
        <f>679146000</f>
        <v>6.79146E8</v>
      </c>
      <c r="H231" s="10"/>
      <c r="I231" s="2" t="str">
        <f>"－"</f>
        <v>－</v>
      </c>
      <c r="J231" s="10"/>
      <c r="K231" s="2" t="n">
        <f>66955</f>
        <v>66955.0</v>
      </c>
    </row>
    <row r="232">
      <c r="A232" s="8" t="s">
        <v>29</v>
      </c>
      <c r="B232" s="9" t="s">
        <v>64</v>
      </c>
      <c r="C232" s="9" t="s">
        <v>65</v>
      </c>
      <c r="D232" s="10"/>
      <c r="E232" s="2" t="n">
        <f>512</f>
        <v>512.0</v>
      </c>
      <c r="F232" s="10"/>
      <c r="G232" s="2" t="n">
        <f>845645300</f>
        <v>8.456453E8</v>
      </c>
      <c r="H232" s="10"/>
      <c r="I232" s="2" t="str">
        <f>"－"</f>
        <v>－</v>
      </c>
      <c r="J232" s="10"/>
      <c r="K232" s="2" t="n">
        <f>67014</f>
        <v>67014.0</v>
      </c>
    </row>
    <row r="233">
      <c r="A233" s="8" t="s">
        <v>30</v>
      </c>
      <c r="B233" s="9" t="s">
        <v>64</v>
      </c>
      <c r="C233" s="9" t="s">
        <v>65</v>
      </c>
      <c r="D233" s="10"/>
      <c r="E233" s="2"/>
      <c r="F233" s="10"/>
      <c r="G233" s="2"/>
      <c r="H233" s="10"/>
      <c r="I233" s="2"/>
      <c r="J233" s="10"/>
      <c r="K233" s="2"/>
    </row>
    <row r="234">
      <c r="A234" s="8" t="s">
        <v>31</v>
      </c>
      <c r="B234" s="9" t="s">
        <v>64</v>
      </c>
      <c r="C234" s="9" t="s">
        <v>65</v>
      </c>
      <c r="D234" s="10"/>
      <c r="E234" s="2"/>
      <c r="F234" s="10"/>
      <c r="G234" s="2"/>
      <c r="H234" s="10"/>
      <c r="I234" s="2"/>
      <c r="J234" s="10"/>
      <c r="K234" s="2"/>
    </row>
    <row r="235">
      <c r="A235" s="8" t="s">
        <v>32</v>
      </c>
      <c r="B235" s="9" t="s">
        <v>64</v>
      </c>
      <c r="C235" s="9" t="s">
        <v>65</v>
      </c>
      <c r="D235" s="10"/>
      <c r="E235" s="2" t="n">
        <f>312</f>
        <v>312.0</v>
      </c>
      <c r="F235" s="10"/>
      <c r="G235" s="2" t="n">
        <f>516350320</f>
        <v>5.1635032E8</v>
      </c>
      <c r="H235" s="10"/>
      <c r="I235" s="2" t="n">
        <f>3</f>
        <v>3.0</v>
      </c>
      <c r="J235" s="10"/>
      <c r="K235" s="2" t="n">
        <f>66800</f>
        <v>66800.0</v>
      </c>
    </row>
    <row r="236">
      <c r="A236" s="8" t="s">
        <v>33</v>
      </c>
      <c r="B236" s="9" t="s">
        <v>64</v>
      </c>
      <c r="C236" s="9" t="s">
        <v>65</v>
      </c>
      <c r="D236" s="10"/>
      <c r="E236" s="2" t="n">
        <f>576</f>
        <v>576.0</v>
      </c>
      <c r="F236" s="10"/>
      <c r="G236" s="2" t="n">
        <f>956673850</f>
        <v>9.5667385E8</v>
      </c>
      <c r="H236" s="10"/>
      <c r="I236" s="2" t="n">
        <f>2</f>
        <v>2.0</v>
      </c>
      <c r="J236" s="10"/>
      <c r="K236" s="2" t="n">
        <f>66961</f>
        <v>66961.0</v>
      </c>
    </row>
    <row r="237">
      <c r="A237" s="8" t="s">
        <v>34</v>
      </c>
      <c r="B237" s="9" t="s">
        <v>64</v>
      </c>
      <c r="C237" s="9" t="s">
        <v>65</v>
      </c>
      <c r="D237" s="10"/>
      <c r="E237" s="2" t="n">
        <f>1557</f>
        <v>1557.0</v>
      </c>
      <c r="F237" s="10"/>
      <c r="G237" s="2" t="n">
        <f>2578262790</f>
        <v>2.57826279E9</v>
      </c>
      <c r="H237" s="10"/>
      <c r="I237" s="2" t="str">
        <f>"－"</f>
        <v>－</v>
      </c>
      <c r="J237" s="10"/>
      <c r="K237" s="2" t="n">
        <f>65811</f>
        <v>65811.0</v>
      </c>
    </row>
    <row r="238">
      <c r="A238" s="8" t="s">
        <v>35</v>
      </c>
      <c r="B238" s="9" t="s">
        <v>64</v>
      </c>
      <c r="C238" s="9" t="s">
        <v>65</v>
      </c>
      <c r="D238" s="10"/>
      <c r="E238" s="2" t="n">
        <f>560</f>
        <v>560.0</v>
      </c>
      <c r="F238" s="10"/>
      <c r="G238" s="2" t="n">
        <f>921501200</f>
        <v>9.215012E8</v>
      </c>
      <c r="H238" s="10"/>
      <c r="I238" s="2" t="n">
        <f>4</f>
        <v>4.0</v>
      </c>
      <c r="J238" s="10"/>
      <c r="K238" s="2" t="n">
        <f>65461</f>
        <v>65461.0</v>
      </c>
    </row>
    <row r="239">
      <c r="A239" s="8" t="s">
        <v>36</v>
      </c>
      <c r="B239" s="9" t="s">
        <v>64</v>
      </c>
      <c r="C239" s="9" t="s">
        <v>65</v>
      </c>
      <c r="D239" s="10"/>
      <c r="E239" s="2" t="n">
        <f>1601</f>
        <v>1601.0</v>
      </c>
      <c r="F239" s="10"/>
      <c r="G239" s="2" t="n">
        <f>2627973500</f>
        <v>2.6279735E9</v>
      </c>
      <c r="H239" s="10"/>
      <c r="I239" s="2" t="n">
        <f>4</f>
        <v>4.0</v>
      </c>
      <c r="J239" s="10"/>
      <c r="K239" s="2" t="n">
        <f>65511</f>
        <v>65511.0</v>
      </c>
    </row>
    <row r="240">
      <c r="A240" s="8" t="s">
        <v>37</v>
      </c>
      <c r="B240" s="9" t="s">
        <v>64</v>
      </c>
      <c r="C240" s="9" t="s">
        <v>65</v>
      </c>
      <c r="D240" s="10"/>
      <c r="E240" s="2"/>
      <c r="F240" s="10"/>
      <c r="G240" s="2"/>
      <c r="H240" s="10"/>
      <c r="I240" s="2"/>
      <c r="J240" s="10"/>
      <c r="K240" s="2"/>
    </row>
    <row r="241">
      <c r="A241" s="8" t="s">
        <v>38</v>
      </c>
      <c r="B241" s="9" t="s">
        <v>64</v>
      </c>
      <c r="C241" s="9" t="s">
        <v>65</v>
      </c>
      <c r="D241" s="10"/>
      <c r="E241" s="2"/>
      <c r="F241" s="10"/>
      <c r="G241" s="2"/>
      <c r="H241" s="10"/>
      <c r="I241" s="2"/>
      <c r="J241" s="10"/>
      <c r="K241" s="2"/>
    </row>
    <row r="242">
      <c r="A242" s="8" t="s">
        <v>39</v>
      </c>
      <c r="B242" s="9" t="s">
        <v>64</v>
      </c>
      <c r="C242" s="9" t="s">
        <v>65</v>
      </c>
      <c r="D242" s="10"/>
      <c r="E242" s="2" t="n">
        <f>1452</f>
        <v>1452.0</v>
      </c>
      <c r="F242" s="10"/>
      <c r="G242" s="2" t="n">
        <f>2369876660</f>
        <v>2.36987666E9</v>
      </c>
      <c r="H242" s="10"/>
      <c r="I242" s="2" t="str">
        <f>"－"</f>
        <v>－</v>
      </c>
      <c r="J242" s="10" t="s">
        <v>19</v>
      </c>
      <c r="K242" s="2" t="n">
        <f>65111</f>
        <v>65111.0</v>
      </c>
    </row>
    <row r="243">
      <c r="A243" s="8" t="s">
        <v>40</v>
      </c>
      <c r="B243" s="9" t="s">
        <v>64</v>
      </c>
      <c r="C243" s="9" t="s">
        <v>65</v>
      </c>
      <c r="D243" s="10" t="s">
        <v>19</v>
      </c>
      <c r="E243" s="2" t="n">
        <f>174</f>
        <v>174.0</v>
      </c>
      <c r="F243" s="10" t="s">
        <v>19</v>
      </c>
      <c r="G243" s="2" t="n">
        <f>285540000</f>
        <v>2.8554E8</v>
      </c>
      <c r="H243" s="10"/>
      <c r="I243" s="2" t="n">
        <f>2</f>
        <v>2.0</v>
      </c>
      <c r="J243" s="10"/>
      <c r="K243" s="2" t="n">
        <f>65168</f>
        <v>65168.0</v>
      </c>
    </row>
    <row r="244">
      <c r="A244" s="8" t="s">
        <v>41</v>
      </c>
      <c r="B244" s="9" t="s">
        <v>64</v>
      </c>
      <c r="C244" s="9" t="s">
        <v>65</v>
      </c>
      <c r="D244" s="10"/>
      <c r="E244" s="2" t="n">
        <f>893</f>
        <v>893.0</v>
      </c>
      <c r="F244" s="10"/>
      <c r="G244" s="2" t="n">
        <f>1468194400</f>
        <v>1.4681944E9</v>
      </c>
      <c r="H244" s="10"/>
      <c r="I244" s="2" t="str">
        <f>"－"</f>
        <v>－</v>
      </c>
      <c r="J244" s="10"/>
      <c r="K244" s="2" t="n">
        <f>65211</f>
        <v>65211.0</v>
      </c>
    </row>
    <row r="245">
      <c r="A245" s="8" t="s">
        <v>42</v>
      </c>
      <c r="B245" s="9" t="s">
        <v>64</v>
      </c>
      <c r="C245" s="9" t="s">
        <v>65</v>
      </c>
      <c r="D245" s="10"/>
      <c r="E245" s="2"/>
      <c r="F245" s="10"/>
      <c r="G245" s="2"/>
      <c r="H245" s="10"/>
      <c r="I245" s="2"/>
      <c r="J245" s="10"/>
      <c r="K245" s="2"/>
    </row>
    <row r="246">
      <c r="A246" s="8" t="s">
        <v>43</v>
      </c>
      <c r="B246" s="9" t="s">
        <v>64</v>
      </c>
      <c r="C246" s="9" t="s">
        <v>65</v>
      </c>
      <c r="D246" s="10"/>
      <c r="E246" s="2"/>
      <c r="F246" s="10"/>
      <c r="G246" s="2"/>
      <c r="H246" s="10"/>
      <c r="I246" s="2"/>
      <c r="J246" s="10"/>
      <c r="K246" s="2"/>
    </row>
    <row r="247">
      <c r="A247" s="8" t="s">
        <v>44</v>
      </c>
      <c r="B247" s="9" t="s">
        <v>64</v>
      </c>
      <c r="C247" s="9" t="s">
        <v>65</v>
      </c>
      <c r="D247" s="10"/>
      <c r="E247" s="2"/>
      <c r="F247" s="10"/>
      <c r="G247" s="2"/>
      <c r="H247" s="10"/>
      <c r="I247" s="2"/>
      <c r="J247" s="10"/>
      <c r="K247" s="2"/>
    </row>
    <row r="248">
      <c r="A248" s="8" t="s">
        <v>45</v>
      </c>
      <c r="B248" s="9" t="s">
        <v>64</v>
      </c>
      <c r="C248" s="9" t="s">
        <v>65</v>
      </c>
      <c r="D248" s="10"/>
      <c r="E248" s="2"/>
      <c r="F248" s="10"/>
      <c r="G248" s="2"/>
      <c r="H248" s="10"/>
      <c r="I248" s="2"/>
      <c r="J248" s="10"/>
      <c r="K248" s="2"/>
    </row>
    <row r="249">
      <c r="A249" s="8" t="s">
        <v>46</v>
      </c>
      <c r="B249" s="9" t="s">
        <v>64</v>
      </c>
      <c r="C249" s="9" t="s">
        <v>65</v>
      </c>
      <c r="D249" s="10"/>
      <c r="E249" s="2" t="n">
        <f>430</f>
        <v>430.0</v>
      </c>
      <c r="F249" s="10"/>
      <c r="G249" s="2" t="n">
        <f>713572820</f>
        <v>7.1357282E8</v>
      </c>
      <c r="H249" s="10"/>
      <c r="I249" s="2" t="str">
        <f>"－"</f>
        <v>－</v>
      </c>
      <c r="J249" s="10"/>
      <c r="K249" s="2" t="n">
        <f>65225</f>
        <v>65225.0</v>
      </c>
    </row>
    <row r="250">
      <c r="A250" s="8" t="s">
        <v>47</v>
      </c>
      <c r="B250" s="9" t="s">
        <v>64</v>
      </c>
      <c r="C250" s="9" t="s">
        <v>65</v>
      </c>
      <c r="D250" s="10"/>
      <c r="E250" s="2" t="n">
        <f>223</f>
        <v>223.0</v>
      </c>
      <c r="F250" s="10"/>
      <c r="G250" s="2" t="n">
        <f>369785080</f>
        <v>3.6978508E8</v>
      </c>
      <c r="H250" s="10"/>
      <c r="I250" s="2" t="n">
        <f>2</f>
        <v>2.0</v>
      </c>
      <c r="J250" s="10"/>
      <c r="K250" s="2" t="n">
        <f>65259</f>
        <v>65259.0</v>
      </c>
    </row>
    <row r="251">
      <c r="A251" s="8" t="s">
        <v>48</v>
      </c>
      <c r="B251" s="9" t="s">
        <v>64</v>
      </c>
      <c r="C251" s="9" t="s">
        <v>65</v>
      </c>
      <c r="D251" s="10"/>
      <c r="E251" s="2" t="n">
        <f>2274</f>
        <v>2274.0</v>
      </c>
      <c r="F251" s="10"/>
      <c r="G251" s="2" t="n">
        <f>3784609500</f>
        <v>3.7846095E9</v>
      </c>
      <c r="H251" s="10" t="s">
        <v>21</v>
      </c>
      <c r="I251" s="2" t="n">
        <f>6</f>
        <v>6.0</v>
      </c>
      <c r="J251" s="10"/>
      <c r="K251" s="2" t="n">
        <f>66248</f>
        <v>66248.0</v>
      </c>
    </row>
    <row r="252">
      <c r="A252" s="8" t="s">
        <v>49</v>
      </c>
      <c r="B252" s="9" t="s">
        <v>64</v>
      </c>
      <c r="C252" s="9" t="s">
        <v>65</v>
      </c>
      <c r="D252" s="10" t="s">
        <v>21</v>
      </c>
      <c r="E252" s="2" t="n">
        <f>2882</f>
        <v>2882.0</v>
      </c>
      <c r="F252" s="10" t="s">
        <v>21</v>
      </c>
      <c r="G252" s="2" t="n">
        <f>4785836530</f>
        <v>4.78583653E9</v>
      </c>
      <c r="H252" s="10"/>
      <c r="I252" s="2" t="str">
        <f>"－"</f>
        <v>－</v>
      </c>
      <c r="J252" s="10"/>
      <c r="K252" s="2" t="n">
        <f>67986</f>
        <v>67986.0</v>
      </c>
    </row>
    <row r="253">
      <c r="A253" s="8" t="s">
        <v>50</v>
      </c>
      <c r="B253" s="9" t="s">
        <v>64</v>
      </c>
      <c r="C253" s="9" t="s">
        <v>65</v>
      </c>
      <c r="D253" s="10"/>
      <c r="E253" s="2" t="n">
        <f>1615</f>
        <v>1615.0</v>
      </c>
      <c r="F253" s="10"/>
      <c r="G253" s="2" t="n">
        <f>2654275680</f>
        <v>2.65427568E9</v>
      </c>
      <c r="H253" s="10"/>
      <c r="I253" s="2" t="str">
        <f>"－"</f>
        <v>－</v>
      </c>
      <c r="J253" s="10" t="s">
        <v>21</v>
      </c>
      <c r="K253" s="2" t="n">
        <f>68237</f>
        <v>68237.0</v>
      </c>
    </row>
    <row r="254">
      <c r="A254" s="8" t="s">
        <v>16</v>
      </c>
      <c r="B254" s="9" t="s">
        <v>66</v>
      </c>
      <c r="C254" s="9" t="s">
        <v>67</v>
      </c>
      <c r="D254" s="10" t="s">
        <v>61</v>
      </c>
      <c r="E254" s="2" t="str">
        <f>"－"</f>
        <v>－</v>
      </c>
      <c r="F254" s="10" t="s">
        <v>61</v>
      </c>
      <c r="G254" s="2" t="str">
        <f>"－"</f>
        <v>－</v>
      </c>
      <c r="H254" s="10" t="s">
        <v>61</v>
      </c>
      <c r="I254" s="2" t="str">
        <f>"－"</f>
        <v>－</v>
      </c>
      <c r="J254" s="10" t="s">
        <v>61</v>
      </c>
      <c r="K254" s="2" t="str">
        <f>"－"</f>
        <v>－</v>
      </c>
    </row>
    <row r="255">
      <c r="A255" s="8" t="s">
        <v>20</v>
      </c>
      <c r="B255" s="9" t="s">
        <v>66</v>
      </c>
      <c r="C255" s="9" t="s">
        <v>67</v>
      </c>
      <c r="D255" s="10"/>
      <c r="E255" s="2" t="str">
        <f>"－"</f>
        <v>－</v>
      </c>
      <c r="F255" s="10"/>
      <c r="G255" s="2" t="str">
        <f>"－"</f>
        <v>－</v>
      </c>
      <c r="H255" s="10"/>
      <c r="I255" s="2" t="str">
        <f>"－"</f>
        <v>－</v>
      </c>
      <c r="J255" s="10"/>
      <c r="K255" s="2" t="str">
        <f>"－"</f>
        <v>－</v>
      </c>
    </row>
    <row r="256">
      <c r="A256" s="8" t="s">
        <v>22</v>
      </c>
      <c r="B256" s="9" t="s">
        <v>66</v>
      </c>
      <c r="C256" s="9" t="s">
        <v>67</v>
      </c>
      <c r="D256" s="10"/>
      <c r="E256" s="2" t="str">
        <f>"－"</f>
        <v>－</v>
      </c>
      <c r="F256" s="10"/>
      <c r="G256" s="2" t="str">
        <f>"－"</f>
        <v>－</v>
      </c>
      <c r="H256" s="10"/>
      <c r="I256" s="2" t="str">
        <f>"－"</f>
        <v>－</v>
      </c>
      <c r="J256" s="10"/>
      <c r="K256" s="2" t="str">
        <f>"－"</f>
        <v>－</v>
      </c>
    </row>
    <row r="257">
      <c r="A257" s="8" t="s">
        <v>23</v>
      </c>
      <c r="B257" s="9" t="s">
        <v>66</v>
      </c>
      <c r="C257" s="9" t="s">
        <v>67</v>
      </c>
      <c r="D257" s="10"/>
      <c r="E257" s="2"/>
      <c r="F257" s="10"/>
      <c r="G257" s="2"/>
      <c r="H257" s="10"/>
      <c r="I257" s="2"/>
      <c r="J257" s="10"/>
      <c r="K257" s="2"/>
    </row>
    <row r="258">
      <c r="A258" s="8" t="s">
        <v>24</v>
      </c>
      <c r="B258" s="9" t="s">
        <v>66</v>
      </c>
      <c r="C258" s="9" t="s">
        <v>67</v>
      </c>
      <c r="D258" s="10"/>
      <c r="E258" s="2"/>
      <c r="F258" s="10"/>
      <c r="G258" s="2"/>
      <c r="H258" s="10"/>
      <c r="I258" s="2"/>
      <c r="J258" s="10"/>
      <c r="K258" s="2"/>
    </row>
    <row r="259">
      <c r="A259" s="8" t="s">
        <v>25</v>
      </c>
      <c r="B259" s="9" t="s">
        <v>66</v>
      </c>
      <c r="C259" s="9" t="s">
        <v>67</v>
      </c>
      <c r="D259" s="10"/>
      <c r="E259" s="2" t="str">
        <f>"－"</f>
        <v>－</v>
      </c>
      <c r="F259" s="10"/>
      <c r="G259" s="2" t="str">
        <f>"－"</f>
        <v>－</v>
      </c>
      <c r="H259" s="10"/>
      <c r="I259" s="2" t="str">
        <f>"－"</f>
        <v>－</v>
      </c>
      <c r="J259" s="10"/>
      <c r="K259" s="2" t="str">
        <f>"－"</f>
        <v>－</v>
      </c>
    </row>
    <row r="260">
      <c r="A260" s="8" t="s">
        <v>26</v>
      </c>
      <c r="B260" s="9" t="s">
        <v>66</v>
      </c>
      <c r="C260" s="9" t="s">
        <v>67</v>
      </c>
      <c r="D260" s="10"/>
      <c r="E260" s="2" t="str">
        <f>"－"</f>
        <v>－</v>
      </c>
      <c r="F260" s="10"/>
      <c r="G260" s="2" t="str">
        <f>"－"</f>
        <v>－</v>
      </c>
      <c r="H260" s="10"/>
      <c r="I260" s="2" t="str">
        <f>"－"</f>
        <v>－</v>
      </c>
      <c r="J260" s="10"/>
      <c r="K260" s="2" t="str">
        <f>"－"</f>
        <v>－</v>
      </c>
    </row>
    <row r="261">
      <c r="A261" s="8" t="s">
        <v>27</v>
      </c>
      <c r="B261" s="9" t="s">
        <v>66</v>
      </c>
      <c r="C261" s="9" t="s">
        <v>67</v>
      </c>
      <c r="D261" s="10"/>
      <c r="E261" s="2" t="str">
        <f>"－"</f>
        <v>－</v>
      </c>
      <c r="F261" s="10"/>
      <c r="G261" s="2" t="str">
        <f>"－"</f>
        <v>－</v>
      </c>
      <c r="H261" s="10"/>
      <c r="I261" s="2" t="str">
        <f>"－"</f>
        <v>－</v>
      </c>
      <c r="J261" s="10"/>
      <c r="K261" s="2" t="str">
        <f>"－"</f>
        <v>－</v>
      </c>
    </row>
    <row r="262">
      <c r="A262" s="8" t="s">
        <v>28</v>
      </c>
      <c r="B262" s="9" t="s">
        <v>66</v>
      </c>
      <c r="C262" s="9" t="s">
        <v>67</v>
      </c>
      <c r="D262" s="10"/>
      <c r="E262" s="2" t="str">
        <f>"－"</f>
        <v>－</v>
      </c>
      <c r="F262" s="10"/>
      <c r="G262" s="2" t="str">
        <f>"－"</f>
        <v>－</v>
      </c>
      <c r="H262" s="10"/>
      <c r="I262" s="2" t="str">
        <f>"－"</f>
        <v>－</v>
      </c>
      <c r="J262" s="10"/>
      <c r="K262" s="2" t="str">
        <f>"－"</f>
        <v>－</v>
      </c>
    </row>
    <row r="263">
      <c r="A263" s="8" t="s">
        <v>29</v>
      </c>
      <c r="B263" s="9" t="s">
        <v>66</v>
      </c>
      <c r="C263" s="9" t="s">
        <v>67</v>
      </c>
      <c r="D263" s="10"/>
      <c r="E263" s="2" t="str">
        <f>"－"</f>
        <v>－</v>
      </c>
      <c r="F263" s="10"/>
      <c r="G263" s="2" t="str">
        <f>"－"</f>
        <v>－</v>
      </c>
      <c r="H263" s="10"/>
      <c r="I263" s="2" t="str">
        <f>"－"</f>
        <v>－</v>
      </c>
      <c r="J263" s="10"/>
      <c r="K263" s="2" t="str">
        <f>"－"</f>
        <v>－</v>
      </c>
    </row>
    <row r="264">
      <c r="A264" s="8" t="s">
        <v>30</v>
      </c>
      <c r="B264" s="9" t="s">
        <v>66</v>
      </c>
      <c r="C264" s="9" t="s">
        <v>67</v>
      </c>
      <c r="D264" s="10"/>
      <c r="E264" s="2"/>
      <c r="F264" s="10"/>
      <c r="G264" s="2"/>
      <c r="H264" s="10"/>
      <c r="I264" s="2"/>
      <c r="J264" s="10"/>
      <c r="K264" s="2"/>
    </row>
    <row r="265">
      <c r="A265" s="8" t="s">
        <v>31</v>
      </c>
      <c r="B265" s="9" t="s">
        <v>66</v>
      </c>
      <c r="C265" s="9" t="s">
        <v>67</v>
      </c>
      <c r="D265" s="10"/>
      <c r="E265" s="2"/>
      <c r="F265" s="10"/>
      <c r="G265" s="2"/>
      <c r="H265" s="10"/>
      <c r="I265" s="2"/>
      <c r="J265" s="10"/>
      <c r="K265" s="2"/>
    </row>
    <row r="266">
      <c r="A266" s="8" t="s">
        <v>32</v>
      </c>
      <c r="B266" s="9" t="s">
        <v>66</v>
      </c>
      <c r="C266" s="9" t="s">
        <v>67</v>
      </c>
      <c r="D266" s="10"/>
      <c r="E266" s="2" t="str">
        <f>"－"</f>
        <v>－</v>
      </c>
      <c r="F266" s="10"/>
      <c r="G266" s="2" t="str">
        <f>"－"</f>
        <v>－</v>
      </c>
      <c r="H266" s="10"/>
      <c r="I266" s="2" t="str">
        <f>"－"</f>
        <v>－</v>
      </c>
      <c r="J266" s="10"/>
      <c r="K266" s="2" t="str">
        <f>"－"</f>
        <v>－</v>
      </c>
    </row>
    <row r="267">
      <c r="A267" s="8" t="s">
        <v>33</v>
      </c>
      <c r="B267" s="9" t="s">
        <v>66</v>
      </c>
      <c r="C267" s="9" t="s">
        <v>67</v>
      </c>
      <c r="D267" s="10"/>
      <c r="E267" s="2" t="str">
        <f>"－"</f>
        <v>－</v>
      </c>
      <c r="F267" s="10"/>
      <c r="G267" s="2" t="str">
        <f>"－"</f>
        <v>－</v>
      </c>
      <c r="H267" s="10"/>
      <c r="I267" s="2" t="str">
        <f>"－"</f>
        <v>－</v>
      </c>
      <c r="J267" s="10"/>
      <c r="K267" s="2" t="str">
        <f>"－"</f>
        <v>－</v>
      </c>
    </row>
    <row r="268">
      <c r="A268" s="8" t="s">
        <v>34</v>
      </c>
      <c r="B268" s="9" t="s">
        <v>66</v>
      </c>
      <c r="C268" s="9" t="s">
        <v>67</v>
      </c>
      <c r="D268" s="10"/>
      <c r="E268" s="2" t="str">
        <f>"－"</f>
        <v>－</v>
      </c>
      <c r="F268" s="10"/>
      <c r="G268" s="2" t="str">
        <f>"－"</f>
        <v>－</v>
      </c>
      <c r="H268" s="10"/>
      <c r="I268" s="2" t="str">
        <f>"－"</f>
        <v>－</v>
      </c>
      <c r="J268" s="10"/>
      <c r="K268" s="2" t="str">
        <f>"－"</f>
        <v>－</v>
      </c>
    </row>
    <row r="269">
      <c r="A269" s="8" t="s">
        <v>35</v>
      </c>
      <c r="B269" s="9" t="s">
        <v>66</v>
      </c>
      <c r="C269" s="9" t="s">
        <v>67</v>
      </c>
      <c r="D269" s="10"/>
      <c r="E269" s="2" t="str">
        <f>"－"</f>
        <v>－</v>
      </c>
      <c r="F269" s="10"/>
      <c r="G269" s="2" t="str">
        <f>"－"</f>
        <v>－</v>
      </c>
      <c r="H269" s="10"/>
      <c r="I269" s="2" t="str">
        <f>"－"</f>
        <v>－</v>
      </c>
      <c r="J269" s="10"/>
      <c r="K269" s="2" t="str">
        <f>"－"</f>
        <v>－</v>
      </c>
    </row>
    <row r="270">
      <c r="A270" s="8" t="s">
        <v>36</v>
      </c>
      <c r="B270" s="9" t="s">
        <v>66</v>
      </c>
      <c r="C270" s="9" t="s">
        <v>67</v>
      </c>
      <c r="D270" s="10"/>
      <c r="E270" s="2" t="str">
        <f>"－"</f>
        <v>－</v>
      </c>
      <c r="F270" s="10"/>
      <c r="G270" s="2" t="str">
        <f>"－"</f>
        <v>－</v>
      </c>
      <c r="H270" s="10"/>
      <c r="I270" s="2" t="str">
        <f>"－"</f>
        <v>－</v>
      </c>
      <c r="J270" s="10"/>
      <c r="K270" s="2" t="str">
        <f>"－"</f>
        <v>－</v>
      </c>
    </row>
    <row r="271">
      <c r="A271" s="8" t="s">
        <v>37</v>
      </c>
      <c r="B271" s="9" t="s">
        <v>66</v>
      </c>
      <c r="C271" s="9" t="s">
        <v>67</v>
      </c>
      <c r="D271" s="10"/>
      <c r="E271" s="2"/>
      <c r="F271" s="10"/>
      <c r="G271" s="2"/>
      <c r="H271" s="10"/>
      <c r="I271" s="2"/>
      <c r="J271" s="10"/>
      <c r="K271" s="2"/>
    </row>
    <row r="272">
      <c r="A272" s="8" t="s">
        <v>38</v>
      </c>
      <c r="B272" s="9" t="s">
        <v>66</v>
      </c>
      <c r="C272" s="9" t="s">
        <v>67</v>
      </c>
      <c r="D272" s="10"/>
      <c r="E272" s="2"/>
      <c r="F272" s="10"/>
      <c r="G272" s="2"/>
      <c r="H272" s="10"/>
      <c r="I272" s="2"/>
      <c r="J272" s="10"/>
      <c r="K272" s="2"/>
    </row>
    <row r="273">
      <c r="A273" s="8" t="s">
        <v>39</v>
      </c>
      <c r="B273" s="9" t="s">
        <v>66</v>
      </c>
      <c r="C273" s="9" t="s">
        <v>67</v>
      </c>
      <c r="D273" s="10"/>
      <c r="E273" s="2" t="str">
        <f>"－"</f>
        <v>－</v>
      </c>
      <c r="F273" s="10"/>
      <c r="G273" s="2" t="str">
        <f>"－"</f>
        <v>－</v>
      </c>
      <c r="H273" s="10"/>
      <c r="I273" s="2" t="str">
        <f>"－"</f>
        <v>－</v>
      </c>
      <c r="J273" s="10"/>
      <c r="K273" s="2" t="str">
        <f>"－"</f>
        <v>－</v>
      </c>
    </row>
    <row r="274">
      <c r="A274" s="8" t="s">
        <v>40</v>
      </c>
      <c r="B274" s="9" t="s">
        <v>66</v>
      </c>
      <c r="C274" s="9" t="s">
        <v>67</v>
      </c>
      <c r="D274" s="10"/>
      <c r="E274" s="2" t="str">
        <f>"－"</f>
        <v>－</v>
      </c>
      <c r="F274" s="10"/>
      <c r="G274" s="2" t="str">
        <f>"－"</f>
        <v>－</v>
      </c>
      <c r="H274" s="10"/>
      <c r="I274" s="2" t="str">
        <f>"－"</f>
        <v>－</v>
      </c>
      <c r="J274" s="10"/>
      <c r="K274" s="2" t="str">
        <f>"－"</f>
        <v>－</v>
      </c>
    </row>
    <row r="275">
      <c r="A275" s="8" t="s">
        <v>41</v>
      </c>
      <c r="B275" s="9" t="s">
        <v>66</v>
      </c>
      <c r="C275" s="9" t="s">
        <v>67</v>
      </c>
      <c r="D275" s="10"/>
      <c r="E275" s="2" t="str">
        <f>"－"</f>
        <v>－</v>
      </c>
      <c r="F275" s="10"/>
      <c r="G275" s="2" t="str">
        <f>"－"</f>
        <v>－</v>
      </c>
      <c r="H275" s="10"/>
      <c r="I275" s="2" t="str">
        <f>"－"</f>
        <v>－</v>
      </c>
      <c r="J275" s="10"/>
      <c r="K275" s="2" t="str">
        <f>"－"</f>
        <v>－</v>
      </c>
    </row>
    <row r="276">
      <c r="A276" s="8" t="s">
        <v>42</v>
      </c>
      <c r="B276" s="9" t="s">
        <v>66</v>
      </c>
      <c r="C276" s="9" t="s">
        <v>67</v>
      </c>
      <c r="D276" s="10"/>
      <c r="E276" s="2"/>
      <c r="F276" s="10"/>
      <c r="G276" s="2"/>
      <c r="H276" s="10"/>
      <c r="I276" s="2"/>
      <c r="J276" s="10"/>
      <c r="K276" s="2"/>
    </row>
    <row r="277">
      <c r="A277" s="8" t="s">
        <v>43</v>
      </c>
      <c r="B277" s="9" t="s">
        <v>66</v>
      </c>
      <c r="C277" s="9" t="s">
        <v>67</v>
      </c>
      <c r="D277" s="10"/>
      <c r="E277" s="2"/>
      <c r="F277" s="10"/>
      <c r="G277" s="2"/>
      <c r="H277" s="10"/>
      <c r="I277" s="2"/>
      <c r="J277" s="10"/>
      <c r="K277" s="2"/>
    </row>
    <row r="278">
      <c r="A278" s="8" t="s">
        <v>44</v>
      </c>
      <c r="B278" s="9" t="s">
        <v>66</v>
      </c>
      <c r="C278" s="9" t="s">
        <v>67</v>
      </c>
      <c r="D278" s="10"/>
      <c r="E278" s="2"/>
      <c r="F278" s="10"/>
      <c r="G278" s="2"/>
      <c r="H278" s="10"/>
      <c r="I278" s="2"/>
      <c r="J278" s="10"/>
      <c r="K278" s="2"/>
    </row>
    <row r="279">
      <c r="A279" s="8" t="s">
        <v>45</v>
      </c>
      <c r="B279" s="9" t="s">
        <v>66</v>
      </c>
      <c r="C279" s="9" t="s">
        <v>67</v>
      </c>
      <c r="D279" s="10"/>
      <c r="E279" s="2"/>
      <c r="F279" s="10"/>
      <c r="G279" s="2"/>
      <c r="H279" s="10"/>
      <c r="I279" s="2"/>
      <c r="J279" s="10"/>
      <c r="K279" s="2"/>
    </row>
    <row r="280">
      <c r="A280" s="8" t="s">
        <v>46</v>
      </c>
      <c r="B280" s="9" t="s">
        <v>66</v>
      </c>
      <c r="C280" s="9" t="s">
        <v>67</v>
      </c>
      <c r="D280" s="10"/>
      <c r="E280" s="2" t="str">
        <f>"－"</f>
        <v>－</v>
      </c>
      <c r="F280" s="10"/>
      <c r="G280" s="2" t="str">
        <f>"－"</f>
        <v>－</v>
      </c>
      <c r="H280" s="10"/>
      <c r="I280" s="2" t="str">
        <f>"－"</f>
        <v>－</v>
      </c>
      <c r="J280" s="10"/>
      <c r="K280" s="2" t="str">
        <f>"－"</f>
        <v>－</v>
      </c>
    </row>
    <row r="281">
      <c r="A281" s="8" t="s">
        <v>47</v>
      </c>
      <c r="B281" s="9" t="s">
        <v>66</v>
      </c>
      <c r="C281" s="9" t="s">
        <v>67</v>
      </c>
      <c r="D281" s="10"/>
      <c r="E281" s="2" t="str">
        <f>"－"</f>
        <v>－</v>
      </c>
      <c r="F281" s="10"/>
      <c r="G281" s="2" t="str">
        <f>"－"</f>
        <v>－</v>
      </c>
      <c r="H281" s="10"/>
      <c r="I281" s="2" t="str">
        <f>"－"</f>
        <v>－</v>
      </c>
      <c r="J281" s="10"/>
      <c r="K281" s="2" t="str">
        <f>"－"</f>
        <v>－</v>
      </c>
    </row>
    <row r="282">
      <c r="A282" s="8" t="s">
        <v>48</v>
      </c>
      <c r="B282" s="9" t="s">
        <v>66</v>
      </c>
      <c r="C282" s="9" t="s">
        <v>67</v>
      </c>
      <c r="D282" s="10"/>
      <c r="E282" s="2" t="str">
        <f>"－"</f>
        <v>－</v>
      </c>
      <c r="F282" s="10"/>
      <c r="G282" s="2" t="str">
        <f>"－"</f>
        <v>－</v>
      </c>
      <c r="H282" s="10"/>
      <c r="I282" s="2" t="str">
        <f>"－"</f>
        <v>－</v>
      </c>
      <c r="J282" s="10"/>
      <c r="K282" s="2" t="str">
        <f>"－"</f>
        <v>－</v>
      </c>
    </row>
    <row r="283">
      <c r="A283" s="8" t="s">
        <v>49</v>
      </c>
      <c r="B283" s="9" t="s">
        <v>66</v>
      </c>
      <c r="C283" s="9" t="s">
        <v>67</v>
      </c>
      <c r="D283" s="10"/>
      <c r="E283" s="2" t="str">
        <f>"－"</f>
        <v>－</v>
      </c>
      <c r="F283" s="10"/>
      <c r="G283" s="2" t="str">
        <f>"－"</f>
        <v>－</v>
      </c>
      <c r="H283" s="10"/>
      <c r="I283" s="2" t="str">
        <f>"－"</f>
        <v>－</v>
      </c>
      <c r="J283" s="10"/>
      <c r="K283" s="2" t="str">
        <f>"－"</f>
        <v>－</v>
      </c>
    </row>
    <row r="284">
      <c r="A284" s="8" t="s">
        <v>50</v>
      </c>
      <c r="B284" s="9" t="s">
        <v>66</v>
      </c>
      <c r="C284" s="9" t="s">
        <v>67</v>
      </c>
      <c r="D284" s="10"/>
      <c r="E284" s="2" t="str">
        <f>"－"</f>
        <v>－</v>
      </c>
      <c r="F284" s="10"/>
      <c r="G284" s="2" t="str">
        <f>"－"</f>
        <v>－</v>
      </c>
      <c r="H284" s="10"/>
      <c r="I284" s="2" t="str">
        <f>"－"</f>
        <v>－</v>
      </c>
      <c r="J284" s="10"/>
      <c r="K284" s="2" t="str">
        <f>"－"</f>
        <v>－</v>
      </c>
    </row>
    <row r="285">
      <c r="A285" s="8" t="s">
        <v>16</v>
      </c>
      <c r="B285" s="9" t="s">
        <v>68</v>
      </c>
      <c r="C285" s="9" t="s">
        <v>69</v>
      </c>
      <c r="D285" s="10"/>
      <c r="E285" s="2" t="n">
        <f>9309</f>
        <v>9309.0</v>
      </c>
      <c r="F285" s="10"/>
      <c r="G285" s="2" t="n">
        <f>8846824000</f>
        <v>8.846824E9</v>
      </c>
      <c r="H285" s="10"/>
      <c r="I285" s="2" t="n">
        <f>523</f>
        <v>523.0</v>
      </c>
      <c r="J285" s="10" t="s">
        <v>19</v>
      </c>
      <c r="K285" s="2" t="n">
        <f>19396</f>
        <v>19396.0</v>
      </c>
    </row>
    <row r="286">
      <c r="A286" s="8" t="s">
        <v>20</v>
      </c>
      <c r="B286" s="9" t="s">
        <v>68</v>
      </c>
      <c r="C286" s="9" t="s">
        <v>69</v>
      </c>
      <c r="D286" s="10" t="s">
        <v>21</v>
      </c>
      <c r="E286" s="2" t="n">
        <f>15065</f>
        <v>15065.0</v>
      </c>
      <c r="F286" s="10" t="s">
        <v>21</v>
      </c>
      <c r="G286" s="2" t="n">
        <f>13815462760</f>
        <v>1.381546276E10</v>
      </c>
      <c r="H286" s="10" t="s">
        <v>21</v>
      </c>
      <c r="I286" s="2" t="n">
        <f>919</f>
        <v>919.0</v>
      </c>
      <c r="J286" s="10"/>
      <c r="K286" s="2" t="n">
        <f>21785</f>
        <v>21785.0</v>
      </c>
    </row>
    <row r="287">
      <c r="A287" s="8" t="s">
        <v>22</v>
      </c>
      <c r="B287" s="9" t="s">
        <v>68</v>
      </c>
      <c r="C287" s="9" t="s">
        <v>69</v>
      </c>
      <c r="D287" s="10"/>
      <c r="E287" s="2" t="n">
        <f>10199</f>
        <v>10199.0</v>
      </c>
      <c r="F287" s="10"/>
      <c r="G287" s="2" t="n">
        <f>9496121450</f>
        <v>9.49612145E9</v>
      </c>
      <c r="H287" s="10"/>
      <c r="I287" s="2" t="n">
        <f>295</f>
        <v>295.0</v>
      </c>
      <c r="J287" s="10"/>
      <c r="K287" s="2" t="n">
        <f>21266</f>
        <v>21266.0</v>
      </c>
    </row>
    <row r="288">
      <c r="A288" s="8" t="s">
        <v>23</v>
      </c>
      <c r="B288" s="9" t="s">
        <v>68</v>
      </c>
      <c r="C288" s="9" t="s">
        <v>69</v>
      </c>
      <c r="D288" s="10"/>
      <c r="E288" s="2"/>
      <c r="F288" s="10"/>
      <c r="G288" s="2"/>
      <c r="H288" s="10"/>
      <c r="I288" s="2"/>
      <c r="J288" s="10"/>
      <c r="K288" s="2"/>
    </row>
    <row r="289">
      <c r="A289" s="8" t="s">
        <v>24</v>
      </c>
      <c r="B289" s="9" t="s">
        <v>68</v>
      </c>
      <c r="C289" s="9" t="s">
        <v>69</v>
      </c>
      <c r="D289" s="10"/>
      <c r="E289" s="2"/>
      <c r="F289" s="10"/>
      <c r="G289" s="2"/>
      <c r="H289" s="10"/>
      <c r="I289" s="2"/>
      <c r="J289" s="10"/>
      <c r="K289" s="2"/>
    </row>
    <row r="290">
      <c r="A290" s="8" t="s">
        <v>25</v>
      </c>
      <c r="B290" s="9" t="s">
        <v>68</v>
      </c>
      <c r="C290" s="9" t="s">
        <v>69</v>
      </c>
      <c r="D290" s="10"/>
      <c r="E290" s="2" t="n">
        <f>6510</f>
        <v>6510.0</v>
      </c>
      <c r="F290" s="10"/>
      <c r="G290" s="2" t="n">
        <f>6212367920</f>
        <v>6.21236792E9</v>
      </c>
      <c r="H290" s="10"/>
      <c r="I290" s="2" t="n">
        <f>120</f>
        <v>120.0</v>
      </c>
      <c r="J290" s="10"/>
      <c r="K290" s="2" t="n">
        <f>20783</f>
        <v>20783.0</v>
      </c>
    </row>
    <row r="291">
      <c r="A291" s="8" t="s">
        <v>26</v>
      </c>
      <c r="B291" s="9" t="s">
        <v>68</v>
      </c>
      <c r="C291" s="9" t="s">
        <v>69</v>
      </c>
      <c r="D291" s="10"/>
      <c r="E291" s="2" t="n">
        <f>6775</f>
        <v>6775.0</v>
      </c>
      <c r="F291" s="10"/>
      <c r="G291" s="2" t="n">
        <f>6567969580</f>
        <v>6.56796958E9</v>
      </c>
      <c r="H291" s="10"/>
      <c r="I291" s="2" t="n">
        <f>68</f>
        <v>68.0</v>
      </c>
      <c r="J291" s="10"/>
      <c r="K291" s="2" t="n">
        <f>21241</f>
        <v>21241.0</v>
      </c>
    </row>
    <row r="292">
      <c r="A292" s="8" t="s">
        <v>27</v>
      </c>
      <c r="B292" s="9" t="s">
        <v>68</v>
      </c>
      <c r="C292" s="9" t="s">
        <v>69</v>
      </c>
      <c r="D292" s="10"/>
      <c r="E292" s="2" t="n">
        <f>4298</f>
        <v>4298.0</v>
      </c>
      <c r="F292" s="10"/>
      <c r="G292" s="2" t="n">
        <f>4149132710</f>
        <v>4.14913271E9</v>
      </c>
      <c r="H292" s="10"/>
      <c r="I292" s="2" t="n">
        <f>58</f>
        <v>58.0</v>
      </c>
      <c r="J292" s="10"/>
      <c r="K292" s="2" t="n">
        <f>21362</f>
        <v>21362.0</v>
      </c>
    </row>
    <row r="293">
      <c r="A293" s="8" t="s">
        <v>28</v>
      </c>
      <c r="B293" s="9" t="s">
        <v>68</v>
      </c>
      <c r="C293" s="9" t="s">
        <v>69</v>
      </c>
      <c r="D293" s="10"/>
      <c r="E293" s="2" t="n">
        <f>4917</f>
        <v>4917.0</v>
      </c>
      <c r="F293" s="10"/>
      <c r="G293" s="2" t="n">
        <f>4711649400</f>
        <v>4.7116494E9</v>
      </c>
      <c r="H293" s="10"/>
      <c r="I293" s="2" t="n">
        <f>50</f>
        <v>50.0</v>
      </c>
      <c r="J293" s="10"/>
      <c r="K293" s="2" t="n">
        <f>21714</f>
        <v>21714.0</v>
      </c>
    </row>
    <row r="294">
      <c r="A294" s="8" t="s">
        <v>29</v>
      </c>
      <c r="B294" s="9" t="s">
        <v>68</v>
      </c>
      <c r="C294" s="9" t="s">
        <v>69</v>
      </c>
      <c r="D294" s="10"/>
      <c r="E294" s="2" t="n">
        <f>6283</f>
        <v>6283.0</v>
      </c>
      <c r="F294" s="10"/>
      <c r="G294" s="2" t="n">
        <f>6000708620</f>
        <v>6.00070862E9</v>
      </c>
      <c r="H294" s="10"/>
      <c r="I294" s="2" t="n">
        <f>92</f>
        <v>92.0</v>
      </c>
      <c r="J294" s="10"/>
      <c r="K294" s="2" t="n">
        <f>22788</f>
        <v>22788.0</v>
      </c>
    </row>
    <row r="295">
      <c r="A295" s="8" t="s">
        <v>30</v>
      </c>
      <c r="B295" s="9" t="s">
        <v>68</v>
      </c>
      <c r="C295" s="9" t="s">
        <v>69</v>
      </c>
      <c r="D295" s="10"/>
      <c r="E295" s="2"/>
      <c r="F295" s="10"/>
      <c r="G295" s="2"/>
      <c r="H295" s="10"/>
      <c r="I295" s="2"/>
      <c r="J295" s="10"/>
      <c r="K295" s="2"/>
    </row>
    <row r="296">
      <c r="A296" s="8" t="s">
        <v>31</v>
      </c>
      <c r="B296" s="9" t="s">
        <v>68</v>
      </c>
      <c r="C296" s="9" t="s">
        <v>69</v>
      </c>
      <c r="D296" s="10"/>
      <c r="E296" s="2"/>
      <c r="F296" s="10"/>
      <c r="G296" s="2"/>
      <c r="H296" s="10"/>
      <c r="I296" s="2"/>
      <c r="J296" s="10"/>
      <c r="K296" s="2"/>
    </row>
    <row r="297">
      <c r="A297" s="8" t="s">
        <v>32</v>
      </c>
      <c r="B297" s="9" t="s">
        <v>68</v>
      </c>
      <c r="C297" s="9" t="s">
        <v>69</v>
      </c>
      <c r="D297" s="10"/>
      <c r="E297" s="2" t="n">
        <f>4629</f>
        <v>4629.0</v>
      </c>
      <c r="F297" s="10"/>
      <c r="G297" s="2" t="n">
        <f>4495755880</f>
        <v>4.49575588E9</v>
      </c>
      <c r="H297" s="10"/>
      <c r="I297" s="2" t="n">
        <f>63</f>
        <v>63.0</v>
      </c>
      <c r="J297" s="10"/>
      <c r="K297" s="2" t="n">
        <f>22587</f>
        <v>22587.0</v>
      </c>
    </row>
    <row r="298">
      <c r="A298" s="8" t="s">
        <v>33</v>
      </c>
      <c r="B298" s="9" t="s">
        <v>68</v>
      </c>
      <c r="C298" s="9" t="s">
        <v>69</v>
      </c>
      <c r="D298" s="10"/>
      <c r="E298" s="2" t="n">
        <f>6423</f>
        <v>6423.0</v>
      </c>
      <c r="F298" s="10"/>
      <c r="G298" s="2" t="n">
        <f>6225837500</f>
        <v>6.2258375E9</v>
      </c>
      <c r="H298" s="10"/>
      <c r="I298" s="2" t="n">
        <f>58</f>
        <v>58.0</v>
      </c>
      <c r="J298" s="10"/>
      <c r="K298" s="2" t="n">
        <f>22579</f>
        <v>22579.0</v>
      </c>
    </row>
    <row r="299">
      <c r="A299" s="8" t="s">
        <v>34</v>
      </c>
      <c r="B299" s="9" t="s">
        <v>68</v>
      </c>
      <c r="C299" s="9" t="s">
        <v>69</v>
      </c>
      <c r="D299" s="10"/>
      <c r="E299" s="2" t="n">
        <f>5691</f>
        <v>5691.0</v>
      </c>
      <c r="F299" s="10"/>
      <c r="G299" s="2" t="n">
        <f>5533191360</f>
        <v>5.53319136E9</v>
      </c>
      <c r="H299" s="10"/>
      <c r="I299" s="2" t="n">
        <f>58</f>
        <v>58.0</v>
      </c>
      <c r="J299" s="10"/>
      <c r="K299" s="2" t="n">
        <f>22570</f>
        <v>22570.0</v>
      </c>
    </row>
    <row r="300">
      <c r="A300" s="8" t="s">
        <v>35</v>
      </c>
      <c r="B300" s="9" t="s">
        <v>68</v>
      </c>
      <c r="C300" s="9" t="s">
        <v>69</v>
      </c>
      <c r="D300" s="10"/>
      <c r="E300" s="2" t="n">
        <f>4551</f>
        <v>4551.0</v>
      </c>
      <c r="F300" s="10"/>
      <c r="G300" s="2" t="n">
        <f>4467030000</f>
        <v>4.46703E9</v>
      </c>
      <c r="H300" s="10"/>
      <c r="I300" s="2" t="n">
        <f>69</f>
        <v>69.0</v>
      </c>
      <c r="J300" s="10"/>
      <c r="K300" s="2" t="n">
        <f>22495</f>
        <v>22495.0</v>
      </c>
    </row>
    <row r="301">
      <c r="A301" s="8" t="s">
        <v>36</v>
      </c>
      <c r="B301" s="9" t="s">
        <v>68</v>
      </c>
      <c r="C301" s="9" t="s">
        <v>69</v>
      </c>
      <c r="D301" s="10"/>
      <c r="E301" s="2" t="n">
        <f>7645</f>
        <v>7645.0</v>
      </c>
      <c r="F301" s="10"/>
      <c r="G301" s="2" t="n">
        <f>7323736520</f>
        <v>7.32373652E9</v>
      </c>
      <c r="H301" s="10"/>
      <c r="I301" s="2" t="n">
        <f>118</f>
        <v>118.0</v>
      </c>
      <c r="J301" s="10"/>
      <c r="K301" s="2" t="n">
        <f>22378</f>
        <v>22378.0</v>
      </c>
    </row>
    <row r="302">
      <c r="A302" s="8" t="s">
        <v>37</v>
      </c>
      <c r="B302" s="9" t="s">
        <v>68</v>
      </c>
      <c r="C302" s="9" t="s">
        <v>69</v>
      </c>
      <c r="D302" s="10"/>
      <c r="E302" s="2"/>
      <c r="F302" s="10"/>
      <c r="G302" s="2"/>
      <c r="H302" s="10"/>
      <c r="I302" s="2"/>
      <c r="J302" s="10"/>
      <c r="K302" s="2"/>
    </row>
    <row r="303">
      <c r="A303" s="8" t="s">
        <v>38</v>
      </c>
      <c r="B303" s="9" t="s">
        <v>68</v>
      </c>
      <c r="C303" s="9" t="s">
        <v>69</v>
      </c>
      <c r="D303" s="10"/>
      <c r="E303" s="2"/>
      <c r="F303" s="10"/>
      <c r="G303" s="2"/>
      <c r="H303" s="10"/>
      <c r="I303" s="2"/>
      <c r="J303" s="10"/>
      <c r="K303" s="2"/>
    </row>
    <row r="304">
      <c r="A304" s="8" t="s">
        <v>39</v>
      </c>
      <c r="B304" s="9" t="s">
        <v>68</v>
      </c>
      <c r="C304" s="9" t="s">
        <v>69</v>
      </c>
      <c r="D304" s="10"/>
      <c r="E304" s="2" t="n">
        <f>4999</f>
        <v>4999.0</v>
      </c>
      <c r="F304" s="10"/>
      <c r="G304" s="2" t="n">
        <f>4782344520</f>
        <v>4.78234452E9</v>
      </c>
      <c r="H304" s="10"/>
      <c r="I304" s="2" t="n">
        <f>50</f>
        <v>50.0</v>
      </c>
      <c r="J304" s="10"/>
      <c r="K304" s="2" t="n">
        <f>22402</f>
        <v>22402.0</v>
      </c>
    </row>
    <row r="305">
      <c r="A305" s="8" t="s">
        <v>40</v>
      </c>
      <c r="B305" s="9" t="s">
        <v>68</v>
      </c>
      <c r="C305" s="9" t="s">
        <v>69</v>
      </c>
      <c r="D305" s="10"/>
      <c r="E305" s="2" t="n">
        <f>4711</f>
        <v>4711.0</v>
      </c>
      <c r="F305" s="10"/>
      <c r="G305" s="2" t="n">
        <f>4596035560</f>
        <v>4.59603556E9</v>
      </c>
      <c r="H305" s="10"/>
      <c r="I305" s="2" t="n">
        <f>229</f>
        <v>229.0</v>
      </c>
      <c r="J305" s="10"/>
      <c r="K305" s="2" t="n">
        <f>22500</f>
        <v>22500.0</v>
      </c>
    </row>
    <row r="306">
      <c r="A306" s="8" t="s">
        <v>41</v>
      </c>
      <c r="B306" s="9" t="s">
        <v>68</v>
      </c>
      <c r="C306" s="9" t="s">
        <v>69</v>
      </c>
      <c r="D306" s="10"/>
      <c r="E306" s="2" t="n">
        <f>4370</f>
        <v>4370.0</v>
      </c>
      <c r="F306" s="10"/>
      <c r="G306" s="2" t="n">
        <f>4272014960</f>
        <v>4.27201496E9</v>
      </c>
      <c r="H306" s="10" t="s">
        <v>19</v>
      </c>
      <c r="I306" s="2" t="n">
        <f>36</f>
        <v>36.0</v>
      </c>
      <c r="J306" s="10"/>
      <c r="K306" s="2" t="n">
        <f>22434</f>
        <v>22434.0</v>
      </c>
    </row>
    <row r="307">
      <c r="A307" s="8" t="s">
        <v>42</v>
      </c>
      <c r="B307" s="9" t="s">
        <v>68</v>
      </c>
      <c r="C307" s="9" t="s">
        <v>69</v>
      </c>
      <c r="D307" s="10"/>
      <c r="E307" s="2"/>
      <c r="F307" s="10"/>
      <c r="G307" s="2"/>
      <c r="H307" s="10"/>
      <c r="I307" s="2"/>
      <c r="J307" s="10"/>
      <c r="K307" s="2"/>
    </row>
    <row r="308">
      <c r="A308" s="8" t="s">
        <v>43</v>
      </c>
      <c r="B308" s="9" t="s">
        <v>68</v>
      </c>
      <c r="C308" s="9" t="s">
        <v>69</v>
      </c>
      <c r="D308" s="10"/>
      <c r="E308" s="2"/>
      <c r="F308" s="10"/>
      <c r="G308" s="2"/>
      <c r="H308" s="10"/>
      <c r="I308" s="2"/>
      <c r="J308" s="10"/>
      <c r="K308" s="2"/>
    </row>
    <row r="309">
      <c r="A309" s="8" t="s">
        <v>44</v>
      </c>
      <c r="B309" s="9" t="s">
        <v>68</v>
      </c>
      <c r="C309" s="9" t="s">
        <v>69</v>
      </c>
      <c r="D309" s="10"/>
      <c r="E309" s="2"/>
      <c r="F309" s="10"/>
      <c r="G309" s="2"/>
      <c r="H309" s="10"/>
      <c r="I309" s="2"/>
      <c r="J309" s="10"/>
      <c r="K309" s="2"/>
    </row>
    <row r="310">
      <c r="A310" s="8" t="s">
        <v>45</v>
      </c>
      <c r="B310" s="9" t="s">
        <v>68</v>
      </c>
      <c r="C310" s="9" t="s">
        <v>69</v>
      </c>
      <c r="D310" s="10"/>
      <c r="E310" s="2"/>
      <c r="F310" s="10"/>
      <c r="G310" s="2"/>
      <c r="H310" s="10"/>
      <c r="I310" s="2"/>
      <c r="J310" s="10"/>
      <c r="K310" s="2"/>
    </row>
    <row r="311">
      <c r="A311" s="8" t="s">
        <v>46</v>
      </c>
      <c r="B311" s="9" t="s">
        <v>68</v>
      </c>
      <c r="C311" s="9" t="s">
        <v>69</v>
      </c>
      <c r="D311" s="10"/>
      <c r="E311" s="2" t="n">
        <f>3873</f>
        <v>3873.0</v>
      </c>
      <c r="F311" s="10"/>
      <c r="G311" s="2" t="n">
        <f>3747307980</f>
        <v>3.74730798E9</v>
      </c>
      <c r="H311" s="10"/>
      <c r="I311" s="2" t="n">
        <f>48</f>
        <v>48.0</v>
      </c>
      <c r="J311" s="10"/>
      <c r="K311" s="2" t="n">
        <f>22261</f>
        <v>22261.0</v>
      </c>
    </row>
    <row r="312">
      <c r="A312" s="8" t="s">
        <v>47</v>
      </c>
      <c r="B312" s="9" t="s">
        <v>68</v>
      </c>
      <c r="C312" s="9" t="s">
        <v>69</v>
      </c>
      <c r="D312" s="10" t="s">
        <v>19</v>
      </c>
      <c r="E312" s="2" t="n">
        <f>3583</f>
        <v>3583.0</v>
      </c>
      <c r="F312" s="10" t="s">
        <v>19</v>
      </c>
      <c r="G312" s="2" t="n">
        <f>3432676840</f>
        <v>3.43267684E9</v>
      </c>
      <c r="H312" s="10"/>
      <c r="I312" s="2" t="n">
        <f>37</f>
        <v>37.0</v>
      </c>
      <c r="J312" s="10"/>
      <c r="K312" s="2" t="n">
        <f>22621</f>
        <v>22621.0</v>
      </c>
    </row>
    <row r="313">
      <c r="A313" s="8" t="s">
        <v>48</v>
      </c>
      <c r="B313" s="9" t="s">
        <v>68</v>
      </c>
      <c r="C313" s="9" t="s">
        <v>69</v>
      </c>
      <c r="D313" s="10"/>
      <c r="E313" s="2" t="n">
        <f>5542</f>
        <v>5542.0</v>
      </c>
      <c r="F313" s="10"/>
      <c r="G313" s="2" t="n">
        <f>5177585560</f>
        <v>5.17758556E9</v>
      </c>
      <c r="H313" s="10"/>
      <c r="I313" s="2" t="n">
        <f>57</f>
        <v>57.0</v>
      </c>
      <c r="J313" s="10"/>
      <c r="K313" s="2" t="n">
        <f>23363</f>
        <v>23363.0</v>
      </c>
    </row>
    <row r="314">
      <c r="A314" s="8" t="s">
        <v>49</v>
      </c>
      <c r="B314" s="9" t="s">
        <v>68</v>
      </c>
      <c r="C314" s="9" t="s">
        <v>69</v>
      </c>
      <c r="D314" s="10"/>
      <c r="E314" s="2" t="n">
        <f>6064</f>
        <v>6064.0</v>
      </c>
      <c r="F314" s="10"/>
      <c r="G314" s="2" t="n">
        <f>5637457920</f>
        <v>5.63745792E9</v>
      </c>
      <c r="H314" s="10"/>
      <c r="I314" s="2" t="n">
        <f>70</f>
        <v>70.0</v>
      </c>
      <c r="J314" s="10" t="s">
        <v>21</v>
      </c>
      <c r="K314" s="2" t="n">
        <f>23896</f>
        <v>23896.0</v>
      </c>
    </row>
    <row r="315">
      <c r="A315" s="8" t="s">
        <v>50</v>
      </c>
      <c r="B315" s="9" t="s">
        <v>68</v>
      </c>
      <c r="C315" s="9" t="s">
        <v>69</v>
      </c>
      <c r="D315" s="10"/>
      <c r="E315" s="2" t="n">
        <f>7436</f>
        <v>7436.0</v>
      </c>
      <c r="F315" s="10"/>
      <c r="G315" s="2" t="n">
        <f>6915425600</f>
        <v>6.9154256E9</v>
      </c>
      <c r="H315" s="10"/>
      <c r="I315" s="2" t="n">
        <f>127</f>
        <v>127.0</v>
      </c>
      <c r="J315" s="10"/>
      <c r="K315" s="2" t="n">
        <f>23751</f>
        <v>23751.0</v>
      </c>
    </row>
    <row r="316">
      <c r="A316" s="8" t="s">
        <v>16</v>
      </c>
      <c r="B316" s="9" t="s">
        <v>70</v>
      </c>
      <c r="C316" s="9" t="s">
        <v>71</v>
      </c>
      <c r="D316" s="10"/>
      <c r="E316" s="2" t="n">
        <f>1000</f>
        <v>1000.0</v>
      </c>
      <c r="F316" s="10"/>
      <c r="G316" s="2" t="n">
        <f>2543996300</f>
        <v>2.5439963E9</v>
      </c>
      <c r="H316" s="10"/>
      <c r="I316" s="2" t="n">
        <f>47</f>
        <v>47.0</v>
      </c>
      <c r="J316" s="10"/>
      <c r="K316" s="2" t="n">
        <f>935</f>
        <v>935.0</v>
      </c>
    </row>
    <row r="317">
      <c r="A317" s="8" t="s">
        <v>20</v>
      </c>
      <c r="B317" s="9" t="s">
        <v>70</v>
      </c>
      <c r="C317" s="9" t="s">
        <v>71</v>
      </c>
      <c r="D317" s="10"/>
      <c r="E317" s="2" t="n">
        <f>1052</f>
        <v>1052.0</v>
      </c>
      <c r="F317" s="10"/>
      <c r="G317" s="2" t="n">
        <f>2693349200</f>
        <v>2.6933492E9</v>
      </c>
      <c r="H317" s="10" t="s">
        <v>19</v>
      </c>
      <c r="I317" s="2" t="n">
        <f>13</f>
        <v>13.0</v>
      </c>
      <c r="J317" s="10" t="s">
        <v>21</v>
      </c>
      <c r="K317" s="2" t="n">
        <f>1356</f>
        <v>1356.0</v>
      </c>
    </row>
    <row r="318">
      <c r="A318" s="8" t="s">
        <v>22</v>
      </c>
      <c r="B318" s="9" t="s">
        <v>70</v>
      </c>
      <c r="C318" s="9" t="s">
        <v>71</v>
      </c>
      <c r="D318" s="10"/>
      <c r="E318" s="2" t="n">
        <f>1108</f>
        <v>1108.0</v>
      </c>
      <c r="F318" s="10"/>
      <c r="G318" s="2" t="n">
        <f>2861045300</f>
        <v>2.8610453E9</v>
      </c>
      <c r="H318" s="10"/>
      <c r="I318" s="2" t="n">
        <f>28</f>
        <v>28.0</v>
      </c>
      <c r="J318" s="10"/>
      <c r="K318" s="2" t="n">
        <f>749</f>
        <v>749.0</v>
      </c>
    </row>
    <row r="319">
      <c r="A319" s="8" t="s">
        <v>23</v>
      </c>
      <c r="B319" s="9" t="s">
        <v>70</v>
      </c>
      <c r="C319" s="9" t="s">
        <v>71</v>
      </c>
      <c r="D319" s="10"/>
      <c r="E319" s="2"/>
      <c r="F319" s="10"/>
      <c r="G319" s="2"/>
      <c r="H319" s="10"/>
      <c r="I319" s="2"/>
      <c r="J319" s="10"/>
      <c r="K319" s="2"/>
    </row>
    <row r="320">
      <c r="A320" s="8" t="s">
        <v>24</v>
      </c>
      <c r="B320" s="9" t="s">
        <v>70</v>
      </c>
      <c r="C320" s="9" t="s">
        <v>71</v>
      </c>
      <c r="D320" s="10"/>
      <c r="E320" s="2"/>
      <c r="F320" s="10"/>
      <c r="G320" s="2"/>
      <c r="H320" s="10"/>
      <c r="I320" s="2"/>
      <c r="J320" s="10"/>
      <c r="K320" s="2"/>
    </row>
    <row r="321">
      <c r="A321" s="8" t="s">
        <v>25</v>
      </c>
      <c r="B321" s="9" t="s">
        <v>70</v>
      </c>
      <c r="C321" s="9" t="s">
        <v>71</v>
      </c>
      <c r="D321" s="10"/>
      <c r="E321" s="2" t="n">
        <f>506</f>
        <v>506.0</v>
      </c>
      <c r="F321" s="10"/>
      <c r="G321" s="2" t="n">
        <f>1308690900</f>
        <v>1.3086909E9</v>
      </c>
      <c r="H321" s="10"/>
      <c r="I321" s="2" t="n">
        <f>61</f>
        <v>61.0</v>
      </c>
      <c r="J321" s="10"/>
      <c r="K321" s="2" t="n">
        <f>797</f>
        <v>797.0</v>
      </c>
    </row>
    <row r="322">
      <c r="A322" s="8" t="s">
        <v>26</v>
      </c>
      <c r="B322" s="9" t="s">
        <v>70</v>
      </c>
      <c r="C322" s="9" t="s">
        <v>71</v>
      </c>
      <c r="D322" s="10"/>
      <c r="E322" s="2" t="n">
        <f>1091</f>
        <v>1091.0</v>
      </c>
      <c r="F322" s="10"/>
      <c r="G322" s="2" t="n">
        <f>2846407600</f>
        <v>2.8464076E9</v>
      </c>
      <c r="H322" s="10"/>
      <c r="I322" s="2" t="n">
        <f>116</f>
        <v>116.0</v>
      </c>
      <c r="J322" s="10"/>
      <c r="K322" s="2" t="n">
        <f>726</f>
        <v>726.0</v>
      </c>
    </row>
    <row r="323">
      <c r="A323" s="8" t="s">
        <v>27</v>
      </c>
      <c r="B323" s="9" t="s">
        <v>70</v>
      </c>
      <c r="C323" s="9" t="s">
        <v>71</v>
      </c>
      <c r="D323" s="10"/>
      <c r="E323" s="2" t="n">
        <f>1041</f>
        <v>1041.0</v>
      </c>
      <c r="F323" s="10"/>
      <c r="G323" s="2" t="n">
        <f>2691360600</f>
        <v>2.6913606E9</v>
      </c>
      <c r="H323" s="10"/>
      <c r="I323" s="2" t="n">
        <f>137</f>
        <v>137.0</v>
      </c>
      <c r="J323" s="10"/>
      <c r="K323" s="2" t="n">
        <f>817</f>
        <v>817.0</v>
      </c>
    </row>
    <row r="324">
      <c r="A324" s="8" t="s">
        <v>28</v>
      </c>
      <c r="B324" s="9" t="s">
        <v>70</v>
      </c>
      <c r="C324" s="9" t="s">
        <v>71</v>
      </c>
      <c r="D324" s="10"/>
      <c r="E324" s="2" t="n">
        <f>999</f>
        <v>999.0</v>
      </c>
      <c r="F324" s="10"/>
      <c r="G324" s="2" t="n">
        <f>2583160700</f>
        <v>2.5831607E9</v>
      </c>
      <c r="H324" s="10"/>
      <c r="I324" s="2" t="n">
        <f>63</f>
        <v>63.0</v>
      </c>
      <c r="J324" s="10"/>
      <c r="K324" s="2" t="n">
        <f>792</f>
        <v>792.0</v>
      </c>
    </row>
    <row r="325">
      <c r="A325" s="8" t="s">
        <v>29</v>
      </c>
      <c r="B325" s="9" t="s">
        <v>70</v>
      </c>
      <c r="C325" s="9" t="s">
        <v>71</v>
      </c>
      <c r="D325" s="10"/>
      <c r="E325" s="2" t="n">
        <f>1353</f>
        <v>1353.0</v>
      </c>
      <c r="F325" s="10"/>
      <c r="G325" s="2" t="n">
        <f>3455556100</f>
        <v>3.4555561E9</v>
      </c>
      <c r="H325" s="10"/>
      <c r="I325" s="2" t="n">
        <f>133</f>
        <v>133.0</v>
      </c>
      <c r="J325" s="10"/>
      <c r="K325" s="2" t="n">
        <f>765</f>
        <v>765.0</v>
      </c>
    </row>
    <row r="326">
      <c r="A326" s="8" t="s">
        <v>30</v>
      </c>
      <c r="B326" s="9" t="s">
        <v>70</v>
      </c>
      <c r="C326" s="9" t="s">
        <v>71</v>
      </c>
      <c r="D326" s="10"/>
      <c r="E326" s="2"/>
      <c r="F326" s="10"/>
      <c r="G326" s="2"/>
      <c r="H326" s="10"/>
      <c r="I326" s="2"/>
      <c r="J326" s="10"/>
      <c r="K326" s="2"/>
    </row>
    <row r="327">
      <c r="A327" s="8" t="s">
        <v>31</v>
      </c>
      <c r="B327" s="9" t="s">
        <v>70</v>
      </c>
      <c r="C327" s="9" t="s">
        <v>71</v>
      </c>
      <c r="D327" s="10"/>
      <c r="E327" s="2"/>
      <c r="F327" s="10"/>
      <c r="G327" s="2"/>
      <c r="H327" s="10"/>
      <c r="I327" s="2"/>
      <c r="J327" s="10"/>
      <c r="K327" s="2"/>
    </row>
    <row r="328">
      <c r="A328" s="8" t="s">
        <v>32</v>
      </c>
      <c r="B328" s="9" t="s">
        <v>70</v>
      </c>
      <c r="C328" s="9" t="s">
        <v>71</v>
      </c>
      <c r="D328" s="10"/>
      <c r="E328" s="2" t="n">
        <f>1670</f>
        <v>1670.0</v>
      </c>
      <c r="F328" s="10"/>
      <c r="G328" s="2" t="n">
        <f>4294131500</f>
        <v>4.2941315E9</v>
      </c>
      <c r="H328" s="10"/>
      <c r="I328" s="2" t="n">
        <f>108</f>
        <v>108.0</v>
      </c>
      <c r="J328" s="10"/>
      <c r="K328" s="2" t="n">
        <f>766</f>
        <v>766.0</v>
      </c>
    </row>
    <row r="329">
      <c r="A329" s="8" t="s">
        <v>33</v>
      </c>
      <c r="B329" s="9" t="s">
        <v>70</v>
      </c>
      <c r="C329" s="9" t="s">
        <v>71</v>
      </c>
      <c r="D329" s="10"/>
      <c r="E329" s="2" t="n">
        <f>1109</f>
        <v>1109.0</v>
      </c>
      <c r="F329" s="10"/>
      <c r="G329" s="2" t="n">
        <f>2904217100</f>
        <v>2.9042171E9</v>
      </c>
      <c r="H329" s="10"/>
      <c r="I329" s="2" t="n">
        <f>91</f>
        <v>91.0</v>
      </c>
      <c r="J329" s="10"/>
      <c r="K329" s="2" t="n">
        <f>754</f>
        <v>754.0</v>
      </c>
    </row>
    <row r="330">
      <c r="A330" s="8" t="s">
        <v>34</v>
      </c>
      <c r="B330" s="9" t="s">
        <v>70</v>
      </c>
      <c r="C330" s="9" t="s">
        <v>71</v>
      </c>
      <c r="D330" s="10"/>
      <c r="E330" s="2" t="n">
        <f>1735</f>
        <v>1735.0</v>
      </c>
      <c r="F330" s="10"/>
      <c r="G330" s="2" t="n">
        <f>4561202200</f>
        <v>4.5612022E9</v>
      </c>
      <c r="H330" s="10"/>
      <c r="I330" s="2" t="n">
        <f>141</f>
        <v>141.0</v>
      </c>
      <c r="J330" s="10"/>
      <c r="K330" s="2" t="n">
        <f>869</f>
        <v>869.0</v>
      </c>
    </row>
    <row r="331">
      <c r="A331" s="8" t="s">
        <v>35</v>
      </c>
      <c r="B331" s="9" t="s">
        <v>70</v>
      </c>
      <c r="C331" s="9" t="s">
        <v>71</v>
      </c>
      <c r="D331" s="10" t="s">
        <v>21</v>
      </c>
      <c r="E331" s="2" t="n">
        <f>1945</f>
        <v>1945.0</v>
      </c>
      <c r="F331" s="10" t="s">
        <v>21</v>
      </c>
      <c r="G331" s="2" t="n">
        <f>5209317400</f>
        <v>5.2093174E9</v>
      </c>
      <c r="H331" s="10"/>
      <c r="I331" s="2" t="n">
        <f>106</f>
        <v>106.0</v>
      </c>
      <c r="J331" s="10"/>
      <c r="K331" s="2" t="n">
        <f>938</f>
        <v>938.0</v>
      </c>
    </row>
    <row r="332">
      <c r="A332" s="8" t="s">
        <v>36</v>
      </c>
      <c r="B332" s="9" t="s">
        <v>70</v>
      </c>
      <c r="C332" s="9" t="s">
        <v>71</v>
      </c>
      <c r="D332" s="10"/>
      <c r="E332" s="2" t="n">
        <f>970</f>
        <v>970.0</v>
      </c>
      <c r="F332" s="10"/>
      <c r="G332" s="2" t="n">
        <f>2579382200</f>
        <v>2.5793822E9</v>
      </c>
      <c r="H332" s="10"/>
      <c r="I332" s="2" t="n">
        <f>86</f>
        <v>86.0</v>
      </c>
      <c r="J332" s="10"/>
      <c r="K332" s="2" t="n">
        <f>874</f>
        <v>874.0</v>
      </c>
    </row>
    <row r="333">
      <c r="A333" s="8" t="s">
        <v>37</v>
      </c>
      <c r="B333" s="9" t="s">
        <v>70</v>
      </c>
      <c r="C333" s="9" t="s">
        <v>71</v>
      </c>
      <c r="D333" s="10"/>
      <c r="E333" s="2"/>
      <c r="F333" s="10"/>
      <c r="G333" s="2"/>
      <c r="H333" s="10"/>
      <c r="I333" s="2"/>
      <c r="J333" s="10"/>
      <c r="K333" s="2"/>
    </row>
    <row r="334">
      <c r="A334" s="8" t="s">
        <v>38</v>
      </c>
      <c r="B334" s="9" t="s">
        <v>70</v>
      </c>
      <c r="C334" s="9" t="s">
        <v>71</v>
      </c>
      <c r="D334" s="10"/>
      <c r="E334" s="2"/>
      <c r="F334" s="10"/>
      <c r="G334" s="2"/>
      <c r="H334" s="10"/>
      <c r="I334" s="2"/>
      <c r="J334" s="10"/>
      <c r="K334" s="2"/>
    </row>
    <row r="335">
      <c r="A335" s="8" t="s">
        <v>39</v>
      </c>
      <c r="B335" s="9" t="s">
        <v>70</v>
      </c>
      <c r="C335" s="9" t="s">
        <v>71</v>
      </c>
      <c r="D335" s="10"/>
      <c r="E335" s="2" t="n">
        <f>965</f>
        <v>965.0</v>
      </c>
      <c r="F335" s="10"/>
      <c r="G335" s="2" t="n">
        <f>2558636100</f>
        <v>2.5586361E9</v>
      </c>
      <c r="H335" s="10"/>
      <c r="I335" s="2" t="n">
        <f>91</f>
        <v>91.0</v>
      </c>
      <c r="J335" s="10"/>
      <c r="K335" s="2" t="n">
        <f>773</f>
        <v>773.0</v>
      </c>
    </row>
    <row r="336">
      <c r="A336" s="8" t="s">
        <v>40</v>
      </c>
      <c r="B336" s="9" t="s">
        <v>70</v>
      </c>
      <c r="C336" s="9" t="s">
        <v>71</v>
      </c>
      <c r="D336" s="10"/>
      <c r="E336" s="2" t="n">
        <f>479</f>
        <v>479.0</v>
      </c>
      <c r="F336" s="10"/>
      <c r="G336" s="2" t="n">
        <f>1269495900</f>
        <v>1.2694959E9</v>
      </c>
      <c r="H336" s="10"/>
      <c r="I336" s="2" t="n">
        <f>39</f>
        <v>39.0</v>
      </c>
      <c r="J336" s="10"/>
      <c r="K336" s="2" t="n">
        <f>805</f>
        <v>805.0</v>
      </c>
    </row>
    <row r="337">
      <c r="A337" s="8" t="s">
        <v>41</v>
      </c>
      <c r="B337" s="9" t="s">
        <v>70</v>
      </c>
      <c r="C337" s="9" t="s">
        <v>71</v>
      </c>
      <c r="D337" s="10"/>
      <c r="E337" s="2" t="n">
        <f>480</f>
        <v>480.0</v>
      </c>
      <c r="F337" s="10"/>
      <c r="G337" s="2" t="n">
        <f>1285938800</f>
        <v>1.2859388E9</v>
      </c>
      <c r="H337" s="10"/>
      <c r="I337" s="2" t="n">
        <f>40</f>
        <v>40.0</v>
      </c>
      <c r="J337" s="10"/>
      <c r="K337" s="2" t="n">
        <f>824</f>
        <v>824.0</v>
      </c>
    </row>
    <row r="338">
      <c r="A338" s="8" t="s">
        <v>42</v>
      </c>
      <c r="B338" s="9" t="s">
        <v>70</v>
      </c>
      <c r="C338" s="9" t="s">
        <v>71</v>
      </c>
      <c r="D338" s="10"/>
      <c r="E338" s="2"/>
      <c r="F338" s="10"/>
      <c r="G338" s="2"/>
      <c r="H338" s="10"/>
      <c r="I338" s="2"/>
      <c r="J338" s="10"/>
      <c r="K338" s="2"/>
    </row>
    <row r="339">
      <c r="A339" s="8" t="s">
        <v>43</v>
      </c>
      <c r="B339" s="9" t="s">
        <v>70</v>
      </c>
      <c r="C339" s="9" t="s">
        <v>71</v>
      </c>
      <c r="D339" s="10"/>
      <c r="E339" s="2"/>
      <c r="F339" s="10"/>
      <c r="G339" s="2"/>
      <c r="H339" s="10"/>
      <c r="I339" s="2"/>
      <c r="J339" s="10"/>
      <c r="K339" s="2"/>
    </row>
    <row r="340">
      <c r="A340" s="8" t="s">
        <v>44</v>
      </c>
      <c r="B340" s="9" t="s">
        <v>70</v>
      </c>
      <c r="C340" s="9" t="s">
        <v>71</v>
      </c>
      <c r="D340" s="10"/>
      <c r="E340" s="2"/>
      <c r="F340" s="10"/>
      <c r="G340" s="2"/>
      <c r="H340" s="10"/>
      <c r="I340" s="2"/>
      <c r="J340" s="10"/>
      <c r="K340" s="2"/>
    </row>
    <row r="341">
      <c r="A341" s="8" t="s">
        <v>45</v>
      </c>
      <c r="B341" s="9" t="s">
        <v>70</v>
      </c>
      <c r="C341" s="9" t="s">
        <v>71</v>
      </c>
      <c r="D341" s="10"/>
      <c r="E341" s="2"/>
      <c r="F341" s="10"/>
      <c r="G341" s="2"/>
      <c r="H341" s="10"/>
      <c r="I341" s="2"/>
      <c r="J341" s="10"/>
      <c r="K341" s="2"/>
    </row>
    <row r="342">
      <c r="A342" s="8" t="s">
        <v>46</v>
      </c>
      <c r="B342" s="9" t="s">
        <v>70</v>
      </c>
      <c r="C342" s="9" t="s">
        <v>71</v>
      </c>
      <c r="D342" s="10"/>
      <c r="E342" s="2" t="n">
        <f>1182</f>
        <v>1182.0</v>
      </c>
      <c r="F342" s="10"/>
      <c r="G342" s="2" t="n">
        <f>3140782200</f>
        <v>3.1407822E9</v>
      </c>
      <c r="H342" s="10"/>
      <c r="I342" s="2" t="n">
        <f>84</f>
        <v>84.0</v>
      </c>
      <c r="J342" s="10"/>
      <c r="K342" s="2" t="n">
        <f>842</f>
        <v>842.0</v>
      </c>
    </row>
    <row r="343">
      <c r="A343" s="8" t="s">
        <v>47</v>
      </c>
      <c r="B343" s="9" t="s">
        <v>70</v>
      </c>
      <c r="C343" s="9" t="s">
        <v>71</v>
      </c>
      <c r="D343" s="10"/>
      <c r="E343" s="2" t="n">
        <f>534</f>
        <v>534.0</v>
      </c>
      <c r="F343" s="10"/>
      <c r="G343" s="2" t="n">
        <f>1411659480</f>
        <v>1.41165948E9</v>
      </c>
      <c r="H343" s="10"/>
      <c r="I343" s="2" t="n">
        <f>48</f>
        <v>48.0</v>
      </c>
      <c r="J343" s="10"/>
      <c r="K343" s="2" t="n">
        <f>779</f>
        <v>779.0</v>
      </c>
    </row>
    <row r="344">
      <c r="A344" s="8" t="s">
        <v>48</v>
      </c>
      <c r="B344" s="9" t="s">
        <v>70</v>
      </c>
      <c r="C344" s="9" t="s">
        <v>71</v>
      </c>
      <c r="D344" s="10"/>
      <c r="E344" s="2" t="n">
        <f>431</f>
        <v>431.0</v>
      </c>
      <c r="F344" s="10"/>
      <c r="G344" s="2" t="n">
        <f>1134853400</f>
        <v>1.1348534E9</v>
      </c>
      <c r="H344" s="10"/>
      <c r="I344" s="2" t="n">
        <f>54</f>
        <v>54.0</v>
      </c>
      <c r="J344" s="10"/>
      <c r="K344" s="2" t="n">
        <f>794</f>
        <v>794.0</v>
      </c>
    </row>
    <row r="345">
      <c r="A345" s="8" t="s">
        <v>49</v>
      </c>
      <c r="B345" s="9" t="s">
        <v>70</v>
      </c>
      <c r="C345" s="9" t="s">
        <v>71</v>
      </c>
      <c r="D345" s="10" t="s">
        <v>19</v>
      </c>
      <c r="E345" s="2" t="n">
        <f>268</f>
        <v>268.0</v>
      </c>
      <c r="F345" s="10" t="s">
        <v>19</v>
      </c>
      <c r="G345" s="2" t="n">
        <f>706222800</f>
        <v>7.062228E8</v>
      </c>
      <c r="H345" s="10"/>
      <c r="I345" s="2" t="n">
        <f>49</f>
        <v>49.0</v>
      </c>
      <c r="J345" s="10"/>
      <c r="K345" s="2" t="n">
        <f>778</f>
        <v>778.0</v>
      </c>
    </row>
    <row r="346">
      <c r="A346" s="8" t="s">
        <v>50</v>
      </c>
      <c r="B346" s="9" t="s">
        <v>70</v>
      </c>
      <c r="C346" s="9" t="s">
        <v>71</v>
      </c>
      <c r="D346" s="10"/>
      <c r="E346" s="2" t="n">
        <f>1652</f>
        <v>1652.0</v>
      </c>
      <c r="F346" s="10"/>
      <c r="G346" s="2" t="n">
        <f>4320353500</f>
        <v>4.3203535E9</v>
      </c>
      <c r="H346" s="10" t="s">
        <v>21</v>
      </c>
      <c r="I346" s="2" t="n">
        <f>168</f>
        <v>168.0</v>
      </c>
      <c r="J346" s="10" t="s">
        <v>19</v>
      </c>
      <c r="K346" s="2" t="n">
        <f>720</f>
        <v>720.0</v>
      </c>
    </row>
    <row r="347">
      <c r="A347" s="8" t="s">
        <v>16</v>
      </c>
      <c r="B347" s="9" t="s">
        <v>72</v>
      </c>
      <c r="C347" s="9" t="s">
        <v>73</v>
      </c>
      <c r="D347" s="10" t="s">
        <v>19</v>
      </c>
      <c r="E347" s="2" t="str">
        <f>"－"</f>
        <v>－</v>
      </c>
      <c r="F347" s="10" t="s">
        <v>19</v>
      </c>
      <c r="G347" s="2" t="str">
        <f>"－"</f>
        <v>－</v>
      </c>
      <c r="H347" s="10" t="s">
        <v>61</v>
      </c>
      <c r="I347" s="2" t="str">
        <f>"－"</f>
        <v>－</v>
      </c>
      <c r="J347" s="10" t="s">
        <v>19</v>
      </c>
      <c r="K347" s="2" t="str">
        <f>"－"</f>
        <v>－</v>
      </c>
    </row>
    <row r="348">
      <c r="A348" s="8" t="s">
        <v>20</v>
      </c>
      <c r="B348" s="9" t="s">
        <v>72</v>
      </c>
      <c r="C348" s="9" t="s">
        <v>73</v>
      </c>
      <c r="D348" s="10"/>
      <c r="E348" s="2" t="str">
        <f>"－"</f>
        <v>－</v>
      </c>
      <c r="F348" s="10"/>
      <c r="G348" s="2" t="str">
        <f>"－"</f>
        <v>－</v>
      </c>
      <c r="H348" s="10"/>
      <c r="I348" s="2" t="str">
        <f>"－"</f>
        <v>－</v>
      </c>
      <c r="J348" s="10"/>
      <c r="K348" s="2" t="str">
        <f>"－"</f>
        <v>－</v>
      </c>
    </row>
    <row r="349">
      <c r="A349" s="8" t="s">
        <v>22</v>
      </c>
      <c r="B349" s="9" t="s">
        <v>72</v>
      </c>
      <c r="C349" s="9" t="s">
        <v>73</v>
      </c>
      <c r="D349" s="10"/>
      <c r="E349" s="2" t="str">
        <f>"－"</f>
        <v>－</v>
      </c>
      <c r="F349" s="10"/>
      <c r="G349" s="2" t="str">
        <f>"－"</f>
        <v>－</v>
      </c>
      <c r="H349" s="10"/>
      <c r="I349" s="2" t="str">
        <f>"－"</f>
        <v>－</v>
      </c>
      <c r="J349" s="10"/>
      <c r="K349" s="2" t="str">
        <f>"－"</f>
        <v>－</v>
      </c>
    </row>
    <row r="350">
      <c r="A350" s="8" t="s">
        <v>23</v>
      </c>
      <c r="B350" s="9" t="s">
        <v>72</v>
      </c>
      <c r="C350" s="9" t="s">
        <v>73</v>
      </c>
      <c r="D350" s="10"/>
      <c r="E350" s="2"/>
      <c r="F350" s="10"/>
      <c r="G350" s="2"/>
      <c r="H350" s="10"/>
      <c r="I350" s="2"/>
      <c r="J350" s="10"/>
      <c r="K350" s="2"/>
    </row>
    <row r="351">
      <c r="A351" s="8" t="s">
        <v>24</v>
      </c>
      <c r="B351" s="9" t="s">
        <v>72</v>
      </c>
      <c r="C351" s="9" t="s">
        <v>73</v>
      </c>
      <c r="D351" s="10"/>
      <c r="E351" s="2"/>
      <c r="F351" s="10"/>
      <c r="G351" s="2"/>
      <c r="H351" s="10"/>
      <c r="I351" s="2"/>
      <c r="J351" s="10"/>
      <c r="K351" s="2"/>
    </row>
    <row r="352">
      <c r="A352" s="8" t="s">
        <v>25</v>
      </c>
      <c r="B352" s="9" t="s">
        <v>72</v>
      </c>
      <c r="C352" s="9" t="s">
        <v>73</v>
      </c>
      <c r="D352" s="10"/>
      <c r="E352" s="2" t="str">
        <f>"－"</f>
        <v>－</v>
      </c>
      <c r="F352" s="10"/>
      <c r="G352" s="2" t="str">
        <f>"－"</f>
        <v>－</v>
      </c>
      <c r="H352" s="10"/>
      <c r="I352" s="2" t="str">
        <f>"－"</f>
        <v>－</v>
      </c>
      <c r="J352" s="10"/>
      <c r="K352" s="2" t="str">
        <f>"－"</f>
        <v>－</v>
      </c>
    </row>
    <row r="353">
      <c r="A353" s="8" t="s">
        <v>26</v>
      </c>
      <c r="B353" s="9" t="s">
        <v>72</v>
      </c>
      <c r="C353" s="9" t="s">
        <v>73</v>
      </c>
      <c r="D353" s="10"/>
      <c r="E353" s="2" t="str">
        <f>"－"</f>
        <v>－</v>
      </c>
      <c r="F353" s="10"/>
      <c r="G353" s="2" t="str">
        <f>"－"</f>
        <v>－</v>
      </c>
      <c r="H353" s="10"/>
      <c r="I353" s="2" t="str">
        <f>"－"</f>
        <v>－</v>
      </c>
      <c r="J353" s="10"/>
      <c r="K353" s="2" t="str">
        <f>"－"</f>
        <v>－</v>
      </c>
    </row>
    <row r="354">
      <c r="A354" s="8" t="s">
        <v>27</v>
      </c>
      <c r="B354" s="9" t="s">
        <v>72</v>
      </c>
      <c r="C354" s="9" t="s">
        <v>73</v>
      </c>
      <c r="D354" s="10"/>
      <c r="E354" s="2" t="str">
        <f>"－"</f>
        <v>－</v>
      </c>
      <c r="F354" s="10"/>
      <c r="G354" s="2" t="str">
        <f>"－"</f>
        <v>－</v>
      </c>
      <c r="H354" s="10"/>
      <c r="I354" s="2" t="str">
        <f>"－"</f>
        <v>－</v>
      </c>
      <c r="J354" s="10"/>
      <c r="K354" s="2" t="str">
        <f>"－"</f>
        <v>－</v>
      </c>
    </row>
    <row r="355">
      <c r="A355" s="8" t="s">
        <v>28</v>
      </c>
      <c r="B355" s="9" t="s">
        <v>72</v>
      </c>
      <c r="C355" s="9" t="s">
        <v>73</v>
      </c>
      <c r="D355" s="10"/>
      <c r="E355" s="2" t="str">
        <f>"－"</f>
        <v>－</v>
      </c>
      <c r="F355" s="10"/>
      <c r="G355" s="2" t="str">
        <f>"－"</f>
        <v>－</v>
      </c>
      <c r="H355" s="10"/>
      <c r="I355" s="2" t="str">
        <f>"－"</f>
        <v>－</v>
      </c>
      <c r="J355" s="10"/>
      <c r="K355" s="2" t="str">
        <f>"－"</f>
        <v>－</v>
      </c>
    </row>
    <row r="356">
      <c r="A356" s="8" t="s">
        <v>29</v>
      </c>
      <c r="B356" s="9" t="s">
        <v>72</v>
      </c>
      <c r="C356" s="9" t="s">
        <v>73</v>
      </c>
      <c r="D356" s="10"/>
      <c r="E356" s="2" t="n">
        <f>15</f>
        <v>15.0</v>
      </c>
      <c r="F356" s="10"/>
      <c r="G356" s="2" t="n">
        <f>18080500</f>
        <v>1.80805E7</v>
      </c>
      <c r="H356" s="10"/>
      <c r="I356" s="2" t="str">
        <f>"－"</f>
        <v>－</v>
      </c>
      <c r="J356" s="10" t="s">
        <v>21</v>
      </c>
      <c r="K356" s="2" t="n">
        <f>5</f>
        <v>5.0</v>
      </c>
    </row>
    <row r="357">
      <c r="A357" s="8" t="s">
        <v>30</v>
      </c>
      <c r="B357" s="9" t="s">
        <v>72</v>
      </c>
      <c r="C357" s="9" t="s">
        <v>73</v>
      </c>
      <c r="D357" s="10"/>
      <c r="E357" s="2"/>
      <c r="F357" s="10"/>
      <c r="G357" s="2"/>
      <c r="H357" s="10"/>
      <c r="I357" s="2"/>
      <c r="J357" s="10"/>
      <c r="K357" s="2"/>
    </row>
    <row r="358">
      <c r="A358" s="8" t="s">
        <v>31</v>
      </c>
      <c r="B358" s="9" t="s">
        <v>72</v>
      </c>
      <c r="C358" s="9" t="s">
        <v>73</v>
      </c>
      <c r="D358" s="10"/>
      <c r="E358" s="2"/>
      <c r="F358" s="10"/>
      <c r="G358" s="2"/>
      <c r="H358" s="10"/>
      <c r="I358" s="2"/>
      <c r="J358" s="10"/>
      <c r="K358" s="2"/>
    </row>
    <row r="359">
      <c r="A359" s="8" t="s">
        <v>32</v>
      </c>
      <c r="B359" s="9" t="s">
        <v>72</v>
      </c>
      <c r="C359" s="9" t="s">
        <v>73</v>
      </c>
      <c r="D359" s="10"/>
      <c r="E359" s="2" t="n">
        <f>14</f>
        <v>14.0</v>
      </c>
      <c r="F359" s="10"/>
      <c r="G359" s="2" t="n">
        <f>16993200</f>
        <v>1.69932E7</v>
      </c>
      <c r="H359" s="10"/>
      <c r="I359" s="2" t="str">
        <f>"－"</f>
        <v>－</v>
      </c>
      <c r="J359" s="10"/>
      <c r="K359" s="2" t="n">
        <f>2</f>
        <v>2.0</v>
      </c>
    </row>
    <row r="360">
      <c r="A360" s="8" t="s">
        <v>33</v>
      </c>
      <c r="B360" s="9" t="s">
        <v>72</v>
      </c>
      <c r="C360" s="9" t="s">
        <v>73</v>
      </c>
      <c r="D360" s="10"/>
      <c r="E360" s="2" t="n">
        <f>6</f>
        <v>6.0</v>
      </c>
      <c r="F360" s="10"/>
      <c r="G360" s="2" t="n">
        <f>7283600</f>
        <v>7283600.0</v>
      </c>
      <c r="H360" s="10"/>
      <c r="I360" s="2" t="str">
        <f>"－"</f>
        <v>－</v>
      </c>
      <c r="J360" s="10"/>
      <c r="K360" s="2" t="n">
        <f>5</f>
        <v>5.0</v>
      </c>
    </row>
    <row r="361">
      <c r="A361" s="8" t="s">
        <v>34</v>
      </c>
      <c r="B361" s="9" t="s">
        <v>72</v>
      </c>
      <c r="C361" s="9" t="s">
        <v>73</v>
      </c>
      <c r="D361" s="10"/>
      <c r="E361" s="2" t="str">
        <f>"－"</f>
        <v>－</v>
      </c>
      <c r="F361" s="10"/>
      <c r="G361" s="2" t="str">
        <f>"－"</f>
        <v>－</v>
      </c>
      <c r="H361" s="10"/>
      <c r="I361" s="2" t="str">
        <f>"－"</f>
        <v>－</v>
      </c>
      <c r="J361" s="10"/>
      <c r="K361" s="2" t="n">
        <f>5</f>
        <v>5.0</v>
      </c>
    </row>
    <row r="362">
      <c r="A362" s="8" t="s">
        <v>35</v>
      </c>
      <c r="B362" s="9" t="s">
        <v>72</v>
      </c>
      <c r="C362" s="9" t="s">
        <v>73</v>
      </c>
      <c r="D362" s="10"/>
      <c r="E362" s="2" t="str">
        <f>"－"</f>
        <v>－</v>
      </c>
      <c r="F362" s="10"/>
      <c r="G362" s="2" t="str">
        <f>"－"</f>
        <v>－</v>
      </c>
      <c r="H362" s="10"/>
      <c r="I362" s="2" t="str">
        <f>"－"</f>
        <v>－</v>
      </c>
      <c r="J362" s="10"/>
      <c r="K362" s="2" t="str">
        <f>"－"</f>
        <v>－</v>
      </c>
    </row>
    <row r="363">
      <c r="A363" s="8" t="s">
        <v>36</v>
      </c>
      <c r="B363" s="9" t="s">
        <v>72</v>
      </c>
      <c r="C363" s="9" t="s">
        <v>73</v>
      </c>
      <c r="D363" s="10"/>
      <c r="E363" s="2" t="str">
        <f>"－"</f>
        <v>－</v>
      </c>
      <c r="F363" s="10"/>
      <c r="G363" s="2" t="str">
        <f>"－"</f>
        <v>－</v>
      </c>
      <c r="H363" s="10"/>
      <c r="I363" s="2" t="str">
        <f>"－"</f>
        <v>－</v>
      </c>
      <c r="J363" s="10"/>
      <c r="K363" s="2" t="str">
        <f>"－"</f>
        <v>－</v>
      </c>
    </row>
    <row r="364">
      <c r="A364" s="8" t="s">
        <v>37</v>
      </c>
      <c r="B364" s="9" t="s">
        <v>72</v>
      </c>
      <c r="C364" s="9" t="s">
        <v>73</v>
      </c>
      <c r="D364" s="10"/>
      <c r="E364" s="2"/>
      <c r="F364" s="10"/>
      <c r="G364" s="2"/>
      <c r="H364" s="10"/>
      <c r="I364" s="2"/>
      <c r="J364" s="10"/>
      <c r="K364" s="2"/>
    </row>
    <row r="365">
      <c r="A365" s="8" t="s">
        <v>38</v>
      </c>
      <c r="B365" s="9" t="s">
        <v>72</v>
      </c>
      <c r="C365" s="9" t="s">
        <v>73</v>
      </c>
      <c r="D365" s="10"/>
      <c r="E365" s="2"/>
      <c r="F365" s="10"/>
      <c r="G365" s="2"/>
      <c r="H365" s="10"/>
      <c r="I365" s="2"/>
      <c r="J365" s="10"/>
      <c r="K365" s="2"/>
    </row>
    <row r="366">
      <c r="A366" s="8" t="s">
        <v>39</v>
      </c>
      <c r="B366" s="9" t="s">
        <v>72</v>
      </c>
      <c r="C366" s="9" t="s">
        <v>73</v>
      </c>
      <c r="D366" s="10"/>
      <c r="E366" s="2" t="str">
        <f>"－"</f>
        <v>－</v>
      </c>
      <c r="F366" s="10"/>
      <c r="G366" s="2" t="str">
        <f>"－"</f>
        <v>－</v>
      </c>
      <c r="H366" s="10"/>
      <c r="I366" s="2" t="str">
        <f>"－"</f>
        <v>－</v>
      </c>
      <c r="J366" s="10"/>
      <c r="K366" s="2" t="str">
        <f>"－"</f>
        <v>－</v>
      </c>
    </row>
    <row r="367">
      <c r="A367" s="8" t="s">
        <v>40</v>
      </c>
      <c r="B367" s="9" t="s">
        <v>72</v>
      </c>
      <c r="C367" s="9" t="s">
        <v>73</v>
      </c>
      <c r="D367" s="10"/>
      <c r="E367" s="2" t="str">
        <f>"－"</f>
        <v>－</v>
      </c>
      <c r="F367" s="10"/>
      <c r="G367" s="2" t="str">
        <f>"－"</f>
        <v>－</v>
      </c>
      <c r="H367" s="10"/>
      <c r="I367" s="2" t="str">
        <f>"－"</f>
        <v>－</v>
      </c>
      <c r="J367" s="10"/>
      <c r="K367" s="2" t="str">
        <f>"－"</f>
        <v>－</v>
      </c>
    </row>
    <row r="368">
      <c r="A368" s="8" t="s">
        <v>41</v>
      </c>
      <c r="B368" s="9" t="s">
        <v>72</v>
      </c>
      <c r="C368" s="9" t="s">
        <v>73</v>
      </c>
      <c r="D368" s="10"/>
      <c r="E368" s="2" t="str">
        <f>"－"</f>
        <v>－</v>
      </c>
      <c r="F368" s="10"/>
      <c r="G368" s="2" t="str">
        <f>"－"</f>
        <v>－</v>
      </c>
      <c r="H368" s="10"/>
      <c r="I368" s="2" t="str">
        <f>"－"</f>
        <v>－</v>
      </c>
      <c r="J368" s="10"/>
      <c r="K368" s="2" t="str">
        <f>"－"</f>
        <v>－</v>
      </c>
    </row>
    <row r="369">
      <c r="A369" s="8" t="s">
        <v>42</v>
      </c>
      <c r="B369" s="9" t="s">
        <v>72</v>
      </c>
      <c r="C369" s="9" t="s">
        <v>73</v>
      </c>
      <c r="D369" s="10"/>
      <c r="E369" s="2"/>
      <c r="F369" s="10"/>
      <c r="G369" s="2"/>
      <c r="H369" s="10"/>
      <c r="I369" s="2"/>
      <c r="J369" s="10"/>
      <c r="K369" s="2"/>
    </row>
    <row r="370">
      <c r="A370" s="8" t="s">
        <v>43</v>
      </c>
      <c r="B370" s="9" t="s">
        <v>72</v>
      </c>
      <c r="C370" s="9" t="s">
        <v>73</v>
      </c>
      <c r="D370" s="10"/>
      <c r="E370" s="2"/>
      <c r="F370" s="10"/>
      <c r="G370" s="2"/>
      <c r="H370" s="10"/>
      <c r="I370" s="2"/>
      <c r="J370" s="10"/>
      <c r="K370" s="2"/>
    </row>
    <row r="371">
      <c r="A371" s="8" t="s">
        <v>44</v>
      </c>
      <c r="B371" s="9" t="s">
        <v>72</v>
      </c>
      <c r="C371" s="9" t="s">
        <v>73</v>
      </c>
      <c r="D371" s="10"/>
      <c r="E371" s="2"/>
      <c r="F371" s="10"/>
      <c r="G371" s="2"/>
      <c r="H371" s="10"/>
      <c r="I371" s="2"/>
      <c r="J371" s="10"/>
      <c r="K371" s="2"/>
    </row>
    <row r="372">
      <c r="A372" s="8" t="s">
        <v>45</v>
      </c>
      <c r="B372" s="9" t="s">
        <v>72</v>
      </c>
      <c r="C372" s="9" t="s">
        <v>73</v>
      </c>
      <c r="D372" s="10"/>
      <c r="E372" s="2"/>
      <c r="F372" s="10"/>
      <c r="G372" s="2"/>
      <c r="H372" s="10"/>
      <c r="I372" s="2"/>
      <c r="J372" s="10"/>
      <c r="K372" s="2"/>
    </row>
    <row r="373">
      <c r="A373" s="8" t="s">
        <v>46</v>
      </c>
      <c r="B373" s="9" t="s">
        <v>72</v>
      </c>
      <c r="C373" s="9" t="s">
        <v>73</v>
      </c>
      <c r="D373" s="10"/>
      <c r="E373" s="2" t="str">
        <f>"－"</f>
        <v>－</v>
      </c>
      <c r="F373" s="10"/>
      <c r="G373" s="2" t="str">
        <f>"－"</f>
        <v>－</v>
      </c>
      <c r="H373" s="10"/>
      <c r="I373" s="2" t="str">
        <f>"－"</f>
        <v>－</v>
      </c>
      <c r="J373" s="10"/>
      <c r="K373" s="2" t="str">
        <f>"－"</f>
        <v>－</v>
      </c>
    </row>
    <row r="374">
      <c r="A374" s="8" t="s">
        <v>47</v>
      </c>
      <c r="B374" s="9" t="s">
        <v>72</v>
      </c>
      <c r="C374" s="9" t="s">
        <v>73</v>
      </c>
      <c r="D374" s="10" t="s">
        <v>21</v>
      </c>
      <c r="E374" s="2" t="n">
        <f>30</f>
        <v>30.0</v>
      </c>
      <c r="F374" s="10" t="s">
        <v>21</v>
      </c>
      <c r="G374" s="2" t="n">
        <f>37961500</f>
        <v>3.79615E7</v>
      </c>
      <c r="H374" s="10"/>
      <c r="I374" s="2" t="str">
        <f>"－"</f>
        <v>－</v>
      </c>
      <c r="J374" s="10"/>
      <c r="K374" s="2" t="str">
        <f>"－"</f>
        <v>－</v>
      </c>
    </row>
    <row r="375">
      <c r="A375" s="8" t="s">
        <v>48</v>
      </c>
      <c r="B375" s="9" t="s">
        <v>72</v>
      </c>
      <c r="C375" s="9" t="s">
        <v>73</v>
      </c>
      <c r="D375" s="10"/>
      <c r="E375" s="2" t="str">
        <f>"－"</f>
        <v>－</v>
      </c>
      <c r="F375" s="10"/>
      <c r="G375" s="2" t="str">
        <f>"－"</f>
        <v>－</v>
      </c>
      <c r="H375" s="10"/>
      <c r="I375" s="2" t="str">
        <f>"－"</f>
        <v>－</v>
      </c>
      <c r="J375" s="10"/>
      <c r="K375" s="2" t="str">
        <f>"－"</f>
        <v>－</v>
      </c>
    </row>
    <row r="376">
      <c r="A376" s="8" t="s">
        <v>49</v>
      </c>
      <c r="B376" s="9" t="s">
        <v>72</v>
      </c>
      <c r="C376" s="9" t="s">
        <v>73</v>
      </c>
      <c r="D376" s="10"/>
      <c r="E376" s="2" t="str">
        <f>"－"</f>
        <v>－</v>
      </c>
      <c r="F376" s="10"/>
      <c r="G376" s="2" t="str">
        <f>"－"</f>
        <v>－</v>
      </c>
      <c r="H376" s="10"/>
      <c r="I376" s="2" t="str">
        <f>"－"</f>
        <v>－</v>
      </c>
      <c r="J376" s="10"/>
      <c r="K376" s="2" t="str">
        <f>"－"</f>
        <v>－</v>
      </c>
    </row>
    <row r="377">
      <c r="A377" s="8" t="s">
        <v>50</v>
      </c>
      <c r="B377" s="9" t="s">
        <v>72</v>
      </c>
      <c r="C377" s="9" t="s">
        <v>73</v>
      </c>
      <c r="D377" s="10"/>
      <c r="E377" s="2" t="str">
        <f>"－"</f>
        <v>－</v>
      </c>
      <c r="F377" s="10"/>
      <c r="G377" s="2" t="str">
        <f>"－"</f>
        <v>－</v>
      </c>
      <c r="H377" s="10"/>
      <c r="I377" s="2" t="str">
        <f>"－"</f>
        <v>－</v>
      </c>
      <c r="J377" s="10"/>
      <c r="K377" s="2" t="str">
        <f>"－"</f>
        <v>－</v>
      </c>
    </row>
    <row r="378">
      <c r="A378" s="8" t="s">
        <v>16</v>
      </c>
      <c r="B378" s="9" t="s">
        <v>74</v>
      </c>
      <c r="C378" s="9" t="s">
        <v>75</v>
      </c>
      <c r="D378" s="10" t="s">
        <v>19</v>
      </c>
      <c r="E378" s="2" t="str">
        <f>"－"</f>
        <v>－</v>
      </c>
      <c r="F378" s="10" t="s">
        <v>19</v>
      </c>
      <c r="G378" s="2" t="str">
        <f>"－"</f>
        <v>－</v>
      </c>
      <c r="H378" s="10" t="s">
        <v>61</v>
      </c>
      <c r="I378" s="2" t="str">
        <f>"－"</f>
        <v>－</v>
      </c>
      <c r="J378" s="10" t="s">
        <v>19</v>
      </c>
      <c r="K378" s="2" t="str">
        <f>"－"</f>
        <v>－</v>
      </c>
    </row>
    <row r="379">
      <c r="A379" s="8" t="s">
        <v>20</v>
      </c>
      <c r="B379" s="9" t="s">
        <v>74</v>
      </c>
      <c r="C379" s="9" t="s">
        <v>75</v>
      </c>
      <c r="D379" s="10" t="s">
        <v>21</v>
      </c>
      <c r="E379" s="2" t="n">
        <f>11</f>
        <v>11.0</v>
      </c>
      <c r="F379" s="10" t="s">
        <v>21</v>
      </c>
      <c r="G379" s="2" t="n">
        <f>19732500</f>
        <v>1.97325E7</v>
      </c>
      <c r="H379" s="10"/>
      <c r="I379" s="2" t="str">
        <f>"－"</f>
        <v>－</v>
      </c>
      <c r="J379" s="10" t="s">
        <v>21</v>
      </c>
      <c r="K379" s="2" t="n">
        <f>6</f>
        <v>6.0</v>
      </c>
    </row>
    <row r="380">
      <c r="A380" s="8" t="s">
        <v>22</v>
      </c>
      <c r="B380" s="9" t="s">
        <v>74</v>
      </c>
      <c r="C380" s="9" t="s">
        <v>75</v>
      </c>
      <c r="D380" s="10"/>
      <c r="E380" s="2" t="n">
        <f>1</f>
        <v>1.0</v>
      </c>
      <c r="F380" s="10"/>
      <c r="G380" s="2" t="n">
        <f>1861500</f>
        <v>1861500.0</v>
      </c>
      <c r="H380" s="10"/>
      <c r="I380" s="2" t="str">
        <f>"－"</f>
        <v>－</v>
      </c>
      <c r="J380" s="10"/>
      <c r="K380" s="2" t="n">
        <f>1</f>
        <v>1.0</v>
      </c>
    </row>
    <row r="381">
      <c r="A381" s="8" t="s">
        <v>23</v>
      </c>
      <c r="B381" s="9" t="s">
        <v>74</v>
      </c>
      <c r="C381" s="9" t="s">
        <v>75</v>
      </c>
      <c r="D381" s="10"/>
      <c r="E381" s="2"/>
      <c r="F381" s="10"/>
      <c r="G381" s="2"/>
      <c r="H381" s="10"/>
      <c r="I381" s="2"/>
      <c r="J381" s="10"/>
      <c r="K381" s="2"/>
    </row>
    <row r="382">
      <c r="A382" s="8" t="s">
        <v>24</v>
      </c>
      <c r="B382" s="9" t="s">
        <v>74</v>
      </c>
      <c r="C382" s="9" t="s">
        <v>75</v>
      </c>
      <c r="D382" s="10"/>
      <c r="E382" s="2"/>
      <c r="F382" s="10"/>
      <c r="G382" s="2"/>
      <c r="H382" s="10"/>
      <c r="I382" s="2"/>
      <c r="J382" s="10"/>
      <c r="K382" s="2"/>
    </row>
    <row r="383">
      <c r="A383" s="8" t="s">
        <v>25</v>
      </c>
      <c r="B383" s="9" t="s">
        <v>74</v>
      </c>
      <c r="C383" s="9" t="s">
        <v>75</v>
      </c>
      <c r="D383" s="10"/>
      <c r="E383" s="2" t="n">
        <f>1</f>
        <v>1.0</v>
      </c>
      <c r="F383" s="10"/>
      <c r="G383" s="2" t="n">
        <f>1913500</f>
        <v>1913500.0</v>
      </c>
      <c r="H383" s="10"/>
      <c r="I383" s="2" t="str">
        <f>"－"</f>
        <v>－</v>
      </c>
      <c r="J383" s="10"/>
      <c r="K383" s="2" t="n">
        <f>1</f>
        <v>1.0</v>
      </c>
    </row>
    <row r="384">
      <c r="A384" s="8" t="s">
        <v>26</v>
      </c>
      <c r="B384" s="9" t="s">
        <v>74</v>
      </c>
      <c r="C384" s="9" t="s">
        <v>75</v>
      </c>
      <c r="D384" s="10"/>
      <c r="E384" s="2" t="str">
        <f>"－"</f>
        <v>－</v>
      </c>
      <c r="F384" s="10"/>
      <c r="G384" s="2" t="str">
        <f>"－"</f>
        <v>－</v>
      </c>
      <c r="H384" s="10"/>
      <c r="I384" s="2" t="str">
        <f>"－"</f>
        <v>－</v>
      </c>
      <c r="J384" s="10"/>
      <c r="K384" s="2" t="n">
        <f>1</f>
        <v>1.0</v>
      </c>
    </row>
    <row r="385">
      <c r="A385" s="8" t="s">
        <v>27</v>
      </c>
      <c r="B385" s="9" t="s">
        <v>74</v>
      </c>
      <c r="C385" s="9" t="s">
        <v>75</v>
      </c>
      <c r="D385" s="10"/>
      <c r="E385" s="2" t="str">
        <f>"－"</f>
        <v>－</v>
      </c>
      <c r="F385" s="10"/>
      <c r="G385" s="2" t="str">
        <f>"－"</f>
        <v>－</v>
      </c>
      <c r="H385" s="10"/>
      <c r="I385" s="2" t="str">
        <f>"－"</f>
        <v>－</v>
      </c>
      <c r="J385" s="10"/>
      <c r="K385" s="2" t="n">
        <f>1</f>
        <v>1.0</v>
      </c>
    </row>
    <row r="386">
      <c r="A386" s="8" t="s">
        <v>28</v>
      </c>
      <c r="B386" s="9" t="s">
        <v>74</v>
      </c>
      <c r="C386" s="9" t="s">
        <v>75</v>
      </c>
      <c r="D386" s="10"/>
      <c r="E386" s="2" t="n">
        <f>2</f>
        <v>2.0</v>
      </c>
      <c r="F386" s="10"/>
      <c r="G386" s="2" t="n">
        <f>3980500</f>
        <v>3980500.0</v>
      </c>
      <c r="H386" s="10"/>
      <c r="I386" s="2" t="str">
        <f>"－"</f>
        <v>－</v>
      </c>
      <c r="J386" s="10"/>
      <c r="K386" s="2" t="n">
        <f>1</f>
        <v>1.0</v>
      </c>
    </row>
    <row r="387">
      <c r="A387" s="8" t="s">
        <v>29</v>
      </c>
      <c r="B387" s="9" t="s">
        <v>74</v>
      </c>
      <c r="C387" s="9" t="s">
        <v>75</v>
      </c>
      <c r="D387" s="10"/>
      <c r="E387" s="2" t="str">
        <f>"－"</f>
        <v>－</v>
      </c>
      <c r="F387" s="10"/>
      <c r="G387" s="2" t="str">
        <f>"－"</f>
        <v>－</v>
      </c>
      <c r="H387" s="10"/>
      <c r="I387" s="2" t="str">
        <f>"－"</f>
        <v>－</v>
      </c>
      <c r="J387" s="10"/>
      <c r="K387" s="2" t="n">
        <f>1</f>
        <v>1.0</v>
      </c>
    </row>
    <row r="388">
      <c r="A388" s="8" t="s">
        <v>30</v>
      </c>
      <c r="B388" s="9" t="s">
        <v>74</v>
      </c>
      <c r="C388" s="9" t="s">
        <v>75</v>
      </c>
      <c r="D388" s="10"/>
      <c r="E388" s="2"/>
      <c r="F388" s="10"/>
      <c r="G388" s="2"/>
      <c r="H388" s="10"/>
      <c r="I388" s="2"/>
      <c r="J388" s="10"/>
      <c r="K388" s="2"/>
    </row>
    <row r="389">
      <c r="A389" s="8" t="s">
        <v>31</v>
      </c>
      <c r="B389" s="9" t="s">
        <v>74</v>
      </c>
      <c r="C389" s="9" t="s">
        <v>75</v>
      </c>
      <c r="D389" s="10"/>
      <c r="E389" s="2"/>
      <c r="F389" s="10"/>
      <c r="G389" s="2"/>
      <c r="H389" s="10"/>
      <c r="I389" s="2"/>
      <c r="J389" s="10"/>
      <c r="K389" s="2"/>
    </row>
    <row r="390">
      <c r="A390" s="8" t="s">
        <v>32</v>
      </c>
      <c r="B390" s="9" t="s">
        <v>74</v>
      </c>
      <c r="C390" s="9" t="s">
        <v>75</v>
      </c>
      <c r="D390" s="10"/>
      <c r="E390" s="2" t="str">
        <f>"－"</f>
        <v>－</v>
      </c>
      <c r="F390" s="10"/>
      <c r="G390" s="2" t="str">
        <f>"－"</f>
        <v>－</v>
      </c>
      <c r="H390" s="10"/>
      <c r="I390" s="2" t="str">
        <f>"－"</f>
        <v>－</v>
      </c>
      <c r="J390" s="10"/>
      <c r="K390" s="2" t="n">
        <f>1</f>
        <v>1.0</v>
      </c>
    </row>
    <row r="391">
      <c r="A391" s="8" t="s">
        <v>33</v>
      </c>
      <c r="B391" s="9" t="s">
        <v>74</v>
      </c>
      <c r="C391" s="9" t="s">
        <v>75</v>
      </c>
      <c r="D391" s="10"/>
      <c r="E391" s="2" t="str">
        <f>"－"</f>
        <v>－</v>
      </c>
      <c r="F391" s="10"/>
      <c r="G391" s="2" t="str">
        <f>"－"</f>
        <v>－</v>
      </c>
      <c r="H391" s="10"/>
      <c r="I391" s="2" t="str">
        <f>"－"</f>
        <v>－</v>
      </c>
      <c r="J391" s="10"/>
      <c r="K391" s="2" t="n">
        <f>1</f>
        <v>1.0</v>
      </c>
    </row>
    <row r="392">
      <c r="A392" s="8" t="s">
        <v>34</v>
      </c>
      <c r="B392" s="9" t="s">
        <v>74</v>
      </c>
      <c r="C392" s="9" t="s">
        <v>75</v>
      </c>
      <c r="D392" s="10"/>
      <c r="E392" s="2" t="str">
        <f>"－"</f>
        <v>－</v>
      </c>
      <c r="F392" s="10"/>
      <c r="G392" s="2" t="str">
        <f>"－"</f>
        <v>－</v>
      </c>
      <c r="H392" s="10"/>
      <c r="I392" s="2" t="str">
        <f>"－"</f>
        <v>－</v>
      </c>
      <c r="J392" s="10"/>
      <c r="K392" s="2" t="n">
        <f>1</f>
        <v>1.0</v>
      </c>
    </row>
    <row r="393">
      <c r="A393" s="8" t="s">
        <v>35</v>
      </c>
      <c r="B393" s="9" t="s">
        <v>74</v>
      </c>
      <c r="C393" s="9" t="s">
        <v>75</v>
      </c>
      <c r="D393" s="10"/>
      <c r="E393" s="2" t="str">
        <f>"－"</f>
        <v>－</v>
      </c>
      <c r="F393" s="10"/>
      <c r="G393" s="2" t="str">
        <f>"－"</f>
        <v>－</v>
      </c>
      <c r="H393" s="10"/>
      <c r="I393" s="2" t="str">
        <f>"－"</f>
        <v>－</v>
      </c>
      <c r="J393" s="10"/>
      <c r="K393" s="2" t="n">
        <f>1</f>
        <v>1.0</v>
      </c>
    </row>
    <row r="394">
      <c r="A394" s="8" t="s">
        <v>36</v>
      </c>
      <c r="B394" s="9" t="s">
        <v>74</v>
      </c>
      <c r="C394" s="9" t="s">
        <v>75</v>
      </c>
      <c r="D394" s="10"/>
      <c r="E394" s="2" t="str">
        <f>"－"</f>
        <v>－</v>
      </c>
      <c r="F394" s="10"/>
      <c r="G394" s="2" t="str">
        <f>"－"</f>
        <v>－</v>
      </c>
      <c r="H394" s="10"/>
      <c r="I394" s="2" t="str">
        <f>"－"</f>
        <v>－</v>
      </c>
      <c r="J394" s="10"/>
      <c r="K394" s="2" t="n">
        <f>1</f>
        <v>1.0</v>
      </c>
    </row>
    <row r="395">
      <c r="A395" s="8" t="s">
        <v>37</v>
      </c>
      <c r="B395" s="9" t="s">
        <v>74</v>
      </c>
      <c r="C395" s="9" t="s">
        <v>75</v>
      </c>
      <c r="D395" s="10"/>
      <c r="E395" s="2"/>
      <c r="F395" s="10"/>
      <c r="G395" s="2"/>
      <c r="H395" s="10"/>
      <c r="I395" s="2"/>
      <c r="J395" s="10"/>
      <c r="K395" s="2"/>
    </row>
    <row r="396">
      <c r="A396" s="8" t="s">
        <v>38</v>
      </c>
      <c r="B396" s="9" t="s">
        <v>74</v>
      </c>
      <c r="C396" s="9" t="s">
        <v>75</v>
      </c>
      <c r="D396" s="10"/>
      <c r="E396" s="2"/>
      <c r="F396" s="10"/>
      <c r="G396" s="2"/>
      <c r="H396" s="10"/>
      <c r="I396" s="2"/>
      <c r="J396" s="10"/>
      <c r="K396" s="2"/>
    </row>
    <row r="397">
      <c r="A397" s="8" t="s">
        <v>39</v>
      </c>
      <c r="B397" s="9" t="s">
        <v>74</v>
      </c>
      <c r="C397" s="9" t="s">
        <v>75</v>
      </c>
      <c r="D397" s="10"/>
      <c r="E397" s="2" t="str">
        <f>"－"</f>
        <v>－</v>
      </c>
      <c r="F397" s="10"/>
      <c r="G397" s="2" t="str">
        <f>"－"</f>
        <v>－</v>
      </c>
      <c r="H397" s="10"/>
      <c r="I397" s="2" t="str">
        <f>"－"</f>
        <v>－</v>
      </c>
      <c r="J397" s="10"/>
      <c r="K397" s="2" t="n">
        <f>1</f>
        <v>1.0</v>
      </c>
    </row>
    <row r="398">
      <c r="A398" s="8" t="s">
        <v>40</v>
      </c>
      <c r="B398" s="9" t="s">
        <v>74</v>
      </c>
      <c r="C398" s="9" t="s">
        <v>75</v>
      </c>
      <c r="D398" s="10"/>
      <c r="E398" s="2" t="str">
        <f>"－"</f>
        <v>－</v>
      </c>
      <c r="F398" s="10"/>
      <c r="G398" s="2" t="str">
        <f>"－"</f>
        <v>－</v>
      </c>
      <c r="H398" s="10"/>
      <c r="I398" s="2" t="str">
        <f>"－"</f>
        <v>－</v>
      </c>
      <c r="J398" s="10"/>
      <c r="K398" s="2" t="n">
        <f>1</f>
        <v>1.0</v>
      </c>
    </row>
    <row r="399">
      <c r="A399" s="8" t="s">
        <v>41</v>
      </c>
      <c r="B399" s="9" t="s">
        <v>74</v>
      </c>
      <c r="C399" s="9" t="s">
        <v>75</v>
      </c>
      <c r="D399" s="10"/>
      <c r="E399" s="2" t="str">
        <f>"－"</f>
        <v>－</v>
      </c>
      <c r="F399" s="10"/>
      <c r="G399" s="2" t="str">
        <f>"－"</f>
        <v>－</v>
      </c>
      <c r="H399" s="10"/>
      <c r="I399" s="2" t="str">
        <f>"－"</f>
        <v>－</v>
      </c>
      <c r="J399" s="10"/>
      <c r="K399" s="2" t="n">
        <f>1</f>
        <v>1.0</v>
      </c>
    </row>
    <row r="400">
      <c r="A400" s="8" t="s">
        <v>42</v>
      </c>
      <c r="B400" s="9" t="s">
        <v>74</v>
      </c>
      <c r="C400" s="9" t="s">
        <v>75</v>
      </c>
      <c r="D400" s="10"/>
      <c r="E400" s="2"/>
      <c r="F400" s="10"/>
      <c r="G400" s="2"/>
      <c r="H400" s="10"/>
      <c r="I400" s="2"/>
      <c r="J400" s="10"/>
      <c r="K400" s="2"/>
    </row>
    <row r="401">
      <c r="A401" s="8" t="s">
        <v>43</v>
      </c>
      <c r="B401" s="9" t="s">
        <v>74</v>
      </c>
      <c r="C401" s="9" t="s">
        <v>75</v>
      </c>
      <c r="D401" s="10"/>
      <c r="E401" s="2"/>
      <c r="F401" s="10"/>
      <c r="G401" s="2"/>
      <c r="H401" s="10"/>
      <c r="I401" s="2"/>
      <c r="J401" s="10"/>
      <c r="K401" s="2"/>
    </row>
    <row r="402">
      <c r="A402" s="8" t="s">
        <v>44</v>
      </c>
      <c r="B402" s="9" t="s">
        <v>74</v>
      </c>
      <c r="C402" s="9" t="s">
        <v>75</v>
      </c>
      <c r="D402" s="10"/>
      <c r="E402" s="2"/>
      <c r="F402" s="10"/>
      <c r="G402" s="2"/>
      <c r="H402" s="10"/>
      <c r="I402" s="2"/>
      <c r="J402" s="10"/>
      <c r="K402" s="2"/>
    </row>
    <row r="403">
      <c r="A403" s="8" t="s">
        <v>45</v>
      </c>
      <c r="B403" s="9" t="s">
        <v>74</v>
      </c>
      <c r="C403" s="9" t="s">
        <v>75</v>
      </c>
      <c r="D403" s="10"/>
      <c r="E403" s="2"/>
      <c r="F403" s="10"/>
      <c r="G403" s="2"/>
      <c r="H403" s="10"/>
      <c r="I403" s="2"/>
      <c r="J403" s="10"/>
      <c r="K403" s="2"/>
    </row>
    <row r="404">
      <c r="A404" s="8" t="s">
        <v>46</v>
      </c>
      <c r="B404" s="9" t="s">
        <v>74</v>
      </c>
      <c r="C404" s="9" t="s">
        <v>75</v>
      </c>
      <c r="D404" s="10"/>
      <c r="E404" s="2" t="str">
        <f>"－"</f>
        <v>－</v>
      </c>
      <c r="F404" s="10"/>
      <c r="G404" s="2" t="str">
        <f>"－"</f>
        <v>－</v>
      </c>
      <c r="H404" s="10"/>
      <c r="I404" s="2" t="str">
        <f>"－"</f>
        <v>－</v>
      </c>
      <c r="J404" s="10"/>
      <c r="K404" s="2" t="n">
        <f>1</f>
        <v>1.0</v>
      </c>
    </row>
    <row r="405">
      <c r="A405" s="8" t="s">
        <v>47</v>
      </c>
      <c r="B405" s="9" t="s">
        <v>74</v>
      </c>
      <c r="C405" s="9" t="s">
        <v>75</v>
      </c>
      <c r="D405" s="10"/>
      <c r="E405" s="2" t="str">
        <f>"－"</f>
        <v>－</v>
      </c>
      <c r="F405" s="10"/>
      <c r="G405" s="2" t="str">
        <f>"－"</f>
        <v>－</v>
      </c>
      <c r="H405" s="10"/>
      <c r="I405" s="2" t="str">
        <f>"－"</f>
        <v>－</v>
      </c>
      <c r="J405" s="10"/>
      <c r="K405" s="2" t="n">
        <f>1</f>
        <v>1.0</v>
      </c>
    </row>
    <row r="406">
      <c r="A406" s="8" t="s">
        <v>48</v>
      </c>
      <c r="B406" s="9" t="s">
        <v>74</v>
      </c>
      <c r="C406" s="9" t="s">
        <v>75</v>
      </c>
      <c r="D406" s="10"/>
      <c r="E406" s="2" t="str">
        <f>"－"</f>
        <v>－</v>
      </c>
      <c r="F406" s="10"/>
      <c r="G406" s="2" t="str">
        <f>"－"</f>
        <v>－</v>
      </c>
      <c r="H406" s="10"/>
      <c r="I406" s="2" t="str">
        <f>"－"</f>
        <v>－</v>
      </c>
      <c r="J406" s="10"/>
      <c r="K406" s="2" t="n">
        <f>1</f>
        <v>1.0</v>
      </c>
    </row>
    <row r="407">
      <c r="A407" s="8" t="s">
        <v>49</v>
      </c>
      <c r="B407" s="9" t="s">
        <v>74</v>
      </c>
      <c r="C407" s="9" t="s">
        <v>75</v>
      </c>
      <c r="D407" s="10"/>
      <c r="E407" s="2" t="str">
        <f>"－"</f>
        <v>－</v>
      </c>
      <c r="F407" s="10"/>
      <c r="G407" s="2" t="str">
        <f>"－"</f>
        <v>－</v>
      </c>
      <c r="H407" s="10"/>
      <c r="I407" s="2" t="str">
        <f>"－"</f>
        <v>－</v>
      </c>
      <c r="J407" s="10"/>
      <c r="K407" s="2" t="n">
        <f>1</f>
        <v>1.0</v>
      </c>
    </row>
    <row r="408">
      <c r="A408" s="8" t="s">
        <v>50</v>
      </c>
      <c r="B408" s="9" t="s">
        <v>74</v>
      </c>
      <c r="C408" s="9" t="s">
        <v>75</v>
      </c>
      <c r="D408" s="10"/>
      <c r="E408" s="2" t="str">
        <f>"－"</f>
        <v>－</v>
      </c>
      <c r="F408" s="10"/>
      <c r="G408" s="2" t="str">
        <f>"－"</f>
        <v>－</v>
      </c>
      <c r="H408" s="10"/>
      <c r="I408" s="2" t="str">
        <f>"－"</f>
        <v>－</v>
      </c>
      <c r="J408" s="10"/>
      <c r="K408" s="2" t="n">
        <f>1</f>
        <v>1.0</v>
      </c>
    </row>
    <row r="409">
      <c r="A409" s="8" t="s">
        <v>16</v>
      </c>
      <c r="B409" s="9" t="s">
        <v>76</v>
      </c>
      <c r="C409" s="9" t="s">
        <v>77</v>
      </c>
      <c r="D409" s="10" t="s">
        <v>19</v>
      </c>
      <c r="E409" s="2" t="str">
        <f>"－"</f>
        <v>－</v>
      </c>
      <c r="F409" s="10" t="s">
        <v>19</v>
      </c>
      <c r="G409" s="2" t="str">
        <f>"－"</f>
        <v>－</v>
      </c>
      <c r="H409" s="10" t="s">
        <v>61</v>
      </c>
      <c r="I409" s="2" t="str">
        <f>"－"</f>
        <v>－</v>
      </c>
      <c r="J409" s="10" t="s">
        <v>21</v>
      </c>
      <c r="K409" s="2" t="n">
        <f>32380</f>
        <v>32380.0</v>
      </c>
    </row>
    <row r="410">
      <c r="A410" s="8" t="s">
        <v>20</v>
      </c>
      <c r="B410" s="9" t="s">
        <v>76</v>
      </c>
      <c r="C410" s="9" t="s">
        <v>77</v>
      </c>
      <c r="D410" s="10"/>
      <c r="E410" s="2" t="str">
        <f>"－"</f>
        <v>－</v>
      </c>
      <c r="F410" s="10"/>
      <c r="G410" s="2" t="str">
        <f>"－"</f>
        <v>－</v>
      </c>
      <c r="H410" s="10"/>
      <c r="I410" s="2" t="str">
        <f>"－"</f>
        <v>－</v>
      </c>
      <c r="J410" s="10"/>
      <c r="K410" s="2" t="n">
        <f>32380</f>
        <v>32380.0</v>
      </c>
    </row>
    <row r="411">
      <c r="A411" s="8" t="s">
        <v>22</v>
      </c>
      <c r="B411" s="9" t="s">
        <v>76</v>
      </c>
      <c r="C411" s="9" t="s">
        <v>77</v>
      </c>
      <c r="D411" s="10"/>
      <c r="E411" s="2" t="str">
        <f>"－"</f>
        <v>－</v>
      </c>
      <c r="F411" s="10"/>
      <c r="G411" s="2" t="str">
        <f>"－"</f>
        <v>－</v>
      </c>
      <c r="H411" s="10"/>
      <c r="I411" s="2" t="str">
        <f>"－"</f>
        <v>－</v>
      </c>
      <c r="J411" s="10"/>
      <c r="K411" s="2" t="n">
        <f>32380</f>
        <v>32380.0</v>
      </c>
    </row>
    <row r="412">
      <c r="A412" s="8" t="s">
        <v>23</v>
      </c>
      <c r="B412" s="9" t="s">
        <v>76</v>
      </c>
      <c r="C412" s="9" t="s">
        <v>77</v>
      </c>
      <c r="D412" s="10"/>
      <c r="E412" s="2"/>
      <c r="F412" s="10"/>
      <c r="G412" s="2"/>
      <c r="H412" s="10"/>
      <c r="I412" s="2"/>
      <c r="J412" s="10"/>
      <c r="K412" s="2"/>
    </row>
    <row r="413">
      <c r="A413" s="8" t="s">
        <v>24</v>
      </c>
      <c r="B413" s="9" t="s">
        <v>76</v>
      </c>
      <c r="C413" s="9" t="s">
        <v>77</v>
      </c>
      <c r="D413" s="10"/>
      <c r="E413" s="2"/>
      <c r="F413" s="10"/>
      <c r="G413" s="2"/>
      <c r="H413" s="10"/>
      <c r="I413" s="2"/>
      <c r="J413" s="10"/>
      <c r="K413" s="2"/>
    </row>
    <row r="414">
      <c r="A414" s="8" t="s">
        <v>25</v>
      </c>
      <c r="B414" s="9" t="s">
        <v>76</v>
      </c>
      <c r="C414" s="9" t="s">
        <v>77</v>
      </c>
      <c r="D414" s="10"/>
      <c r="E414" s="2" t="str">
        <f>"－"</f>
        <v>－</v>
      </c>
      <c r="F414" s="10"/>
      <c r="G414" s="2" t="str">
        <f>"－"</f>
        <v>－</v>
      </c>
      <c r="H414" s="10"/>
      <c r="I414" s="2" t="str">
        <f>"－"</f>
        <v>－</v>
      </c>
      <c r="J414" s="10"/>
      <c r="K414" s="2" t="n">
        <f>32380</f>
        <v>32380.0</v>
      </c>
    </row>
    <row r="415">
      <c r="A415" s="8" t="s">
        <v>26</v>
      </c>
      <c r="B415" s="9" t="s">
        <v>76</v>
      </c>
      <c r="C415" s="9" t="s">
        <v>77</v>
      </c>
      <c r="D415" s="10"/>
      <c r="E415" s="2" t="str">
        <f>"－"</f>
        <v>－</v>
      </c>
      <c r="F415" s="10"/>
      <c r="G415" s="2" t="str">
        <f>"－"</f>
        <v>－</v>
      </c>
      <c r="H415" s="10"/>
      <c r="I415" s="2" t="str">
        <f>"－"</f>
        <v>－</v>
      </c>
      <c r="J415" s="10"/>
      <c r="K415" s="2" t="n">
        <f>32380</f>
        <v>32380.0</v>
      </c>
    </row>
    <row r="416">
      <c r="A416" s="8" t="s">
        <v>27</v>
      </c>
      <c r="B416" s="9" t="s">
        <v>76</v>
      </c>
      <c r="C416" s="9" t="s">
        <v>77</v>
      </c>
      <c r="D416" s="10"/>
      <c r="E416" s="2" t="str">
        <f>"－"</f>
        <v>－</v>
      </c>
      <c r="F416" s="10"/>
      <c r="G416" s="2" t="str">
        <f>"－"</f>
        <v>－</v>
      </c>
      <c r="H416" s="10"/>
      <c r="I416" s="2" t="str">
        <f>"－"</f>
        <v>－</v>
      </c>
      <c r="J416" s="10"/>
      <c r="K416" s="2" t="n">
        <f>32380</f>
        <v>32380.0</v>
      </c>
    </row>
    <row r="417">
      <c r="A417" s="8" t="s">
        <v>28</v>
      </c>
      <c r="B417" s="9" t="s">
        <v>76</v>
      </c>
      <c r="C417" s="9" t="s">
        <v>77</v>
      </c>
      <c r="D417" s="10"/>
      <c r="E417" s="2" t="str">
        <f>"－"</f>
        <v>－</v>
      </c>
      <c r="F417" s="10"/>
      <c r="G417" s="2" t="str">
        <f>"－"</f>
        <v>－</v>
      </c>
      <c r="H417" s="10"/>
      <c r="I417" s="2" t="str">
        <f>"－"</f>
        <v>－</v>
      </c>
      <c r="J417" s="10"/>
      <c r="K417" s="2" t="n">
        <f>32380</f>
        <v>32380.0</v>
      </c>
    </row>
    <row r="418">
      <c r="A418" s="8" t="s">
        <v>29</v>
      </c>
      <c r="B418" s="9" t="s">
        <v>76</v>
      </c>
      <c r="C418" s="9" t="s">
        <v>77</v>
      </c>
      <c r="D418" s="10"/>
      <c r="E418" s="2" t="str">
        <f>"－"</f>
        <v>－</v>
      </c>
      <c r="F418" s="10"/>
      <c r="G418" s="2" t="str">
        <f>"－"</f>
        <v>－</v>
      </c>
      <c r="H418" s="10"/>
      <c r="I418" s="2" t="str">
        <f>"－"</f>
        <v>－</v>
      </c>
      <c r="J418" s="10"/>
      <c r="K418" s="2" t="n">
        <f>32380</f>
        <v>32380.0</v>
      </c>
    </row>
    <row r="419">
      <c r="A419" s="8" t="s">
        <v>30</v>
      </c>
      <c r="B419" s="9" t="s">
        <v>76</v>
      </c>
      <c r="C419" s="9" t="s">
        <v>77</v>
      </c>
      <c r="D419" s="10"/>
      <c r="E419" s="2"/>
      <c r="F419" s="10"/>
      <c r="G419" s="2"/>
      <c r="H419" s="10"/>
      <c r="I419" s="2"/>
      <c r="J419" s="10"/>
      <c r="K419" s="2"/>
    </row>
    <row r="420">
      <c r="A420" s="8" t="s">
        <v>31</v>
      </c>
      <c r="B420" s="9" t="s">
        <v>76</v>
      </c>
      <c r="C420" s="9" t="s">
        <v>77</v>
      </c>
      <c r="D420" s="10"/>
      <c r="E420" s="2"/>
      <c r="F420" s="10"/>
      <c r="G420" s="2"/>
      <c r="H420" s="10"/>
      <c r="I420" s="2"/>
      <c r="J420" s="10"/>
      <c r="K420" s="2"/>
    </row>
    <row r="421">
      <c r="A421" s="8" t="s">
        <v>32</v>
      </c>
      <c r="B421" s="9" t="s">
        <v>76</v>
      </c>
      <c r="C421" s="9" t="s">
        <v>77</v>
      </c>
      <c r="D421" s="10" t="s">
        <v>21</v>
      </c>
      <c r="E421" s="2" t="n">
        <f>1030</f>
        <v>1030.0</v>
      </c>
      <c r="F421" s="10" t="s">
        <v>21</v>
      </c>
      <c r="G421" s="2" t="n">
        <f>392018000</f>
        <v>3.92018E8</v>
      </c>
      <c r="H421" s="10"/>
      <c r="I421" s="2" t="str">
        <f>"－"</f>
        <v>－</v>
      </c>
      <c r="J421" s="10" t="s">
        <v>19</v>
      </c>
      <c r="K421" s="2" t="n">
        <f>31350</f>
        <v>31350.0</v>
      </c>
    </row>
    <row r="422">
      <c r="A422" s="8" t="s">
        <v>33</v>
      </c>
      <c r="B422" s="9" t="s">
        <v>76</v>
      </c>
      <c r="C422" s="9" t="s">
        <v>77</v>
      </c>
      <c r="D422" s="10"/>
      <c r="E422" s="2" t="str">
        <f>"－"</f>
        <v>－</v>
      </c>
      <c r="F422" s="10"/>
      <c r="G422" s="2" t="str">
        <f>"－"</f>
        <v>－</v>
      </c>
      <c r="H422" s="10"/>
      <c r="I422" s="2" t="str">
        <f>"－"</f>
        <v>－</v>
      </c>
      <c r="J422" s="10"/>
      <c r="K422" s="2" t="n">
        <f>31350</f>
        <v>31350.0</v>
      </c>
    </row>
    <row r="423">
      <c r="A423" s="8" t="s">
        <v>34</v>
      </c>
      <c r="B423" s="9" t="s">
        <v>76</v>
      </c>
      <c r="C423" s="9" t="s">
        <v>77</v>
      </c>
      <c r="D423" s="10"/>
      <c r="E423" s="2" t="str">
        <f>"－"</f>
        <v>－</v>
      </c>
      <c r="F423" s="10"/>
      <c r="G423" s="2" t="str">
        <f>"－"</f>
        <v>－</v>
      </c>
      <c r="H423" s="10"/>
      <c r="I423" s="2" t="str">
        <f>"－"</f>
        <v>－</v>
      </c>
      <c r="J423" s="10"/>
      <c r="K423" s="2" t="n">
        <f>31350</f>
        <v>31350.0</v>
      </c>
    </row>
    <row r="424">
      <c r="A424" s="8" t="s">
        <v>35</v>
      </c>
      <c r="B424" s="9" t="s">
        <v>76</v>
      </c>
      <c r="C424" s="9" t="s">
        <v>77</v>
      </c>
      <c r="D424" s="10"/>
      <c r="E424" s="2" t="str">
        <f>"－"</f>
        <v>－</v>
      </c>
      <c r="F424" s="10"/>
      <c r="G424" s="2" t="str">
        <f>"－"</f>
        <v>－</v>
      </c>
      <c r="H424" s="10"/>
      <c r="I424" s="2" t="str">
        <f>"－"</f>
        <v>－</v>
      </c>
      <c r="J424" s="10"/>
      <c r="K424" s="2" t="n">
        <f>31350</f>
        <v>31350.0</v>
      </c>
    </row>
    <row r="425">
      <c r="A425" s="8" t="s">
        <v>36</v>
      </c>
      <c r="B425" s="9" t="s">
        <v>76</v>
      </c>
      <c r="C425" s="9" t="s">
        <v>77</v>
      </c>
      <c r="D425" s="10"/>
      <c r="E425" s="2" t="str">
        <f>"－"</f>
        <v>－</v>
      </c>
      <c r="F425" s="10"/>
      <c r="G425" s="2" t="str">
        <f>"－"</f>
        <v>－</v>
      </c>
      <c r="H425" s="10"/>
      <c r="I425" s="2" t="str">
        <f>"－"</f>
        <v>－</v>
      </c>
      <c r="J425" s="10"/>
      <c r="K425" s="2" t="n">
        <f>31350</f>
        <v>31350.0</v>
      </c>
    </row>
    <row r="426">
      <c r="A426" s="8" t="s">
        <v>37</v>
      </c>
      <c r="B426" s="9" t="s">
        <v>76</v>
      </c>
      <c r="C426" s="9" t="s">
        <v>77</v>
      </c>
      <c r="D426" s="10"/>
      <c r="E426" s="2"/>
      <c r="F426" s="10"/>
      <c r="G426" s="2"/>
      <c r="H426" s="10"/>
      <c r="I426" s="2"/>
      <c r="J426" s="10"/>
      <c r="K426" s="2"/>
    </row>
    <row r="427">
      <c r="A427" s="8" t="s">
        <v>38</v>
      </c>
      <c r="B427" s="9" t="s">
        <v>76</v>
      </c>
      <c r="C427" s="9" t="s">
        <v>77</v>
      </c>
      <c r="D427" s="10"/>
      <c r="E427" s="2"/>
      <c r="F427" s="10"/>
      <c r="G427" s="2"/>
      <c r="H427" s="10"/>
      <c r="I427" s="2"/>
      <c r="J427" s="10"/>
      <c r="K427" s="2"/>
    </row>
    <row r="428">
      <c r="A428" s="8" t="s">
        <v>39</v>
      </c>
      <c r="B428" s="9" t="s">
        <v>76</v>
      </c>
      <c r="C428" s="9" t="s">
        <v>77</v>
      </c>
      <c r="D428" s="10"/>
      <c r="E428" s="2" t="str">
        <f>"－"</f>
        <v>－</v>
      </c>
      <c r="F428" s="10"/>
      <c r="G428" s="2" t="str">
        <f>"－"</f>
        <v>－</v>
      </c>
      <c r="H428" s="10"/>
      <c r="I428" s="2" t="str">
        <f>"－"</f>
        <v>－</v>
      </c>
      <c r="J428" s="10"/>
      <c r="K428" s="2" t="n">
        <f>31350</f>
        <v>31350.0</v>
      </c>
    </row>
    <row r="429">
      <c r="A429" s="8" t="s">
        <v>40</v>
      </c>
      <c r="B429" s="9" t="s">
        <v>76</v>
      </c>
      <c r="C429" s="9" t="s">
        <v>77</v>
      </c>
      <c r="D429" s="10"/>
      <c r="E429" s="2" t="str">
        <f>"－"</f>
        <v>－</v>
      </c>
      <c r="F429" s="10"/>
      <c r="G429" s="2" t="str">
        <f>"－"</f>
        <v>－</v>
      </c>
      <c r="H429" s="10"/>
      <c r="I429" s="2" t="str">
        <f>"－"</f>
        <v>－</v>
      </c>
      <c r="J429" s="10"/>
      <c r="K429" s="2" t="n">
        <f>31350</f>
        <v>31350.0</v>
      </c>
    </row>
    <row r="430">
      <c r="A430" s="8" t="s">
        <v>41</v>
      </c>
      <c r="B430" s="9" t="s">
        <v>76</v>
      </c>
      <c r="C430" s="9" t="s">
        <v>77</v>
      </c>
      <c r="D430" s="10"/>
      <c r="E430" s="2" t="str">
        <f>"－"</f>
        <v>－</v>
      </c>
      <c r="F430" s="10"/>
      <c r="G430" s="2" t="str">
        <f>"－"</f>
        <v>－</v>
      </c>
      <c r="H430" s="10"/>
      <c r="I430" s="2" t="str">
        <f>"－"</f>
        <v>－</v>
      </c>
      <c r="J430" s="10"/>
      <c r="K430" s="2" t="n">
        <f>31350</f>
        <v>31350.0</v>
      </c>
    </row>
    <row r="431">
      <c r="A431" s="8" t="s">
        <v>42</v>
      </c>
      <c r="B431" s="9" t="s">
        <v>76</v>
      </c>
      <c r="C431" s="9" t="s">
        <v>77</v>
      </c>
      <c r="D431" s="10"/>
      <c r="E431" s="2"/>
      <c r="F431" s="10"/>
      <c r="G431" s="2"/>
      <c r="H431" s="10"/>
      <c r="I431" s="2"/>
      <c r="J431" s="10"/>
      <c r="K431" s="2"/>
    </row>
    <row r="432">
      <c r="A432" s="8" t="s">
        <v>43</v>
      </c>
      <c r="B432" s="9" t="s">
        <v>76</v>
      </c>
      <c r="C432" s="9" t="s">
        <v>77</v>
      </c>
      <c r="D432" s="10"/>
      <c r="E432" s="2"/>
      <c r="F432" s="10"/>
      <c r="G432" s="2"/>
      <c r="H432" s="10"/>
      <c r="I432" s="2"/>
      <c r="J432" s="10"/>
      <c r="K432" s="2"/>
    </row>
    <row r="433">
      <c r="A433" s="8" t="s">
        <v>44</v>
      </c>
      <c r="B433" s="9" t="s">
        <v>76</v>
      </c>
      <c r="C433" s="9" t="s">
        <v>77</v>
      </c>
      <c r="D433" s="10"/>
      <c r="E433" s="2"/>
      <c r="F433" s="10"/>
      <c r="G433" s="2"/>
      <c r="H433" s="10"/>
      <c r="I433" s="2"/>
      <c r="J433" s="10"/>
      <c r="K433" s="2"/>
    </row>
    <row r="434">
      <c r="A434" s="8" t="s">
        <v>45</v>
      </c>
      <c r="B434" s="9" t="s">
        <v>76</v>
      </c>
      <c r="C434" s="9" t="s">
        <v>77</v>
      </c>
      <c r="D434" s="10"/>
      <c r="E434" s="2"/>
      <c r="F434" s="10"/>
      <c r="G434" s="2"/>
      <c r="H434" s="10"/>
      <c r="I434" s="2"/>
      <c r="J434" s="10"/>
      <c r="K434" s="2"/>
    </row>
    <row r="435">
      <c r="A435" s="8" t="s">
        <v>46</v>
      </c>
      <c r="B435" s="9" t="s">
        <v>76</v>
      </c>
      <c r="C435" s="9" t="s">
        <v>77</v>
      </c>
      <c r="D435" s="10"/>
      <c r="E435" s="2" t="str">
        <f>"－"</f>
        <v>－</v>
      </c>
      <c r="F435" s="10"/>
      <c r="G435" s="2" t="str">
        <f>"－"</f>
        <v>－</v>
      </c>
      <c r="H435" s="10"/>
      <c r="I435" s="2" t="str">
        <f>"－"</f>
        <v>－</v>
      </c>
      <c r="J435" s="10"/>
      <c r="K435" s="2" t="n">
        <f>31350</f>
        <v>31350.0</v>
      </c>
    </row>
    <row r="436">
      <c r="A436" s="8" t="s">
        <v>47</v>
      </c>
      <c r="B436" s="9" t="s">
        <v>76</v>
      </c>
      <c r="C436" s="9" t="s">
        <v>77</v>
      </c>
      <c r="D436" s="10"/>
      <c r="E436" s="2" t="str">
        <f>"－"</f>
        <v>－</v>
      </c>
      <c r="F436" s="10"/>
      <c r="G436" s="2" t="str">
        <f>"－"</f>
        <v>－</v>
      </c>
      <c r="H436" s="10"/>
      <c r="I436" s="2" t="str">
        <f>"－"</f>
        <v>－</v>
      </c>
      <c r="J436" s="10"/>
      <c r="K436" s="2" t="n">
        <f>31350</f>
        <v>31350.0</v>
      </c>
    </row>
    <row r="437">
      <c r="A437" s="8" t="s">
        <v>48</v>
      </c>
      <c r="B437" s="9" t="s">
        <v>76</v>
      </c>
      <c r="C437" s="9" t="s">
        <v>77</v>
      </c>
      <c r="D437" s="10"/>
      <c r="E437" s="2" t="str">
        <f>"－"</f>
        <v>－</v>
      </c>
      <c r="F437" s="10"/>
      <c r="G437" s="2" t="str">
        <f>"－"</f>
        <v>－</v>
      </c>
      <c r="H437" s="10"/>
      <c r="I437" s="2" t="str">
        <f>"－"</f>
        <v>－</v>
      </c>
      <c r="J437" s="10"/>
      <c r="K437" s="2" t="n">
        <f>31350</f>
        <v>31350.0</v>
      </c>
    </row>
    <row r="438">
      <c r="A438" s="8" t="s">
        <v>49</v>
      </c>
      <c r="B438" s="9" t="s">
        <v>76</v>
      </c>
      <c r="C438" s="9" t="s">
        <v>77</v>
      </c>
      <c r="D438" s="10"/>
      <c r="E438" s="2" t="str">
        <f>"－"</f>
        <v>－</v>
      </c>
      <c r="F438" s="10"/>
      <c r="G438" s="2" t="str">
        <f>"－"</f>
        <v>－</v>
      </c>
      <c r="H438" s="10"/>
      <c r="I438" s="2" t="str">
        <f>"－"</f>
        <v>－</v>
      </c>
      <c r="J438" s="10"/>
      <c r="K438" s="2" t="n">
        <f>31350</f>
        <v>31350.0</v>
      </c>
    </row>
    <row r="439">
      <c r="A439" s="8" t="s">
        <v>50</v>
      </c>
      <c r="B439" s="9" t="s">
        <v>76</v>
      </c>
      <c r="C439" s="9" t="s">
        <v>77</v>
      </c>
      <c r="D439" s="10"/>
      <c r="E439" s="2" t="str">
        <f>"－"</f>
        <v>－</v>
      </c>
      <c r="F439" s="10"/>
      <c r="G439" s="2" t="str">
        <f>"－"</f>
        <v>－</v>
      </c>
      <c r="H439" s="10"/>
      <c r="I439" s="2" t="str">
        <f>"－"</f>
        <v>－</v>
      </c>
      <c r="J439" s="10"/>
      <c r="K439" s="2" t="n">
        <f>31350</f>
        <v>31350.0</v>
      </c>
    </row>
    <row r="440">
      <c r="A440" s="8" t="s">
        <v>16</v>
      </c>
      <c r="B440" s="9" t="s">
        <v>78</v>
      </c>
      <c r="C440" s="9" t="s">
        <v>79</v>
      </c>
      <c r="D440" s="10" t="s">
        <v>61</v>
      </c>
      <c r="E440" s="2" t="str">
        <f>"－"</f>
        <v>－</v>
      </c>
      <c r="F440" s="10" t="s">
        <v>61</v>
      </c>
      <c r="G440" s="2" t="str">
        <f>"－"</f>
        <v>－</v>
      </c>
      <c r="H440" s="10" t="s">
        <v>61</v>
      </c>
      <c r="I440" s="2" t="str">
        <f>"－"</f>
        <v>－</v>
      </c>
      <c r="J440" s="10" t="s">
        <v>61</v>
      </c>
      <c r="K440" s="2" t="str">
        <f>"－"</f>
        <v>－</v>
      </c>
    </row>
    <row r="441">
      <c r="A441" s="8" t="s">
        <v>20</v>
      </c>
      <c r="B441" s="9" t="s">
        <v>78</v>
      </c>
      <c r="C441" s="9" t="s">
        <v>79</v>
      </c>
      <c r="D441" s="10"/>
      <c r="E441" s="2" t="str">
        <f>"－"</f>
        <v>－</v>
      </c>
      <c r="F441" s="10"/>
      <c r="G441" s="2" t="str">
        <f>"－"</f>
        <v>－</v>
      </c>
      <c r="H441" s="10"/>
      <c r="I441" s="2" t="str">
        <f>"－"</f>
        <v>－</v>
      </c>
      <c r="J441" s="10"/>
      <c r="K441" s="2" t="str">
        <f>"－"</f>
        <v>－</v>
      </c>
    </row>
    <row r="442">
      <c r="A442" s="8" t="s">
        <v>22</v>
      </c>
      <c r="B442" s="9" t="s">
        <v>78</v>
      </c>
      <c r="C442" s="9" t="s">
        <v>79</v>
      </c>
      <c r="D442" s="10"/>
      <c r="E442" s="2" t="str">
        <f>"－"</f>
        <v>－</v>
      </c>
      <c r="F442" s="10"/>
      <c r="G442" s="2" t="str">
        <f>"－"</f>
        <v>－</v>
      </c>
      <c r="H442" s="10"/>
      <c r="I442" s="2" t="str">
        <f>"－"</f>
        <v>－</v>
      </c>
      <c r="J442" s="10"/>
      <c r="K442" s="2" t="str">
        <f>"－"</f>
        <v>－</v>
      </c>
    </row>
    <row r="443">
      <c r="A443" s="8" t="s">
        <v>23</v>
      </c>
      <c r="B443" s="9" t="s">
        <v>78</v>
      </c>
      <c r="C443" s="9" t="s">
        <v>79</v>
      </c>
      <c r="D443" s="10"/>
      <c r="E443" s="2"/>
      <c r="F443" s="10"/>
      <c r="G443" s="2"/>
      <c r="H443" s="10"/>
      <c r="I443" s="2"/>
      <c r="J443" s="10"/>
      <c r="K443" s="2"/>
    </row>
    <row r="444">
      <c r="A444" s="8" t="s">
        <v>24</v>
      </c>
      <c r="B444" s="9" t="s">
        <v>78</v>
      </c>
      <c r="C444" s="9" t="s">
        <v>79</v>
      </c>
      <c r="D444" s="10"/>
      <c r="E444" s="2"/>
      <c r="F444" s="10"/>
      <c r="G444" s="2"/>
      <c r="H444" s="10"/>
      <c r="I444" s="2"/>
      <c r="J444" s="10"/>
      <c r="K444" s="2"/>
    </row>
    <row r="445">
      <c r="A445" s="8" t="s">
        <v>25</v>
      </c>
      <c r="B445" s="9" t="s">
        <v>78</v>
      </c>
      <c r="C445" s="9" t="s">
        <v>79</v>
      </c>
      <c r="D445" s="10"/>
      <c r="E445" s="2" t="str">
        <f>"－"</f>
        <v>－</v>
      </c>
      <c r="F445" s="10"/>
      <c r="G445" s="2" t="str">
        <f>"－"</f>
        <v>－</v>
      </c>
      <c r="H445" s="10"/>
      <c r="I445" s="2" t="str">
        <f>"－"</f>
        <v>－</v>
      </c>
      <c r="J445" s="10"/>
      <c r="K445" s="2" t="str">
        <f>"－"</f>
        <v>－</v>
      </c>
    </row>
    <row r="446">
      <c r="A446" s="8" t="s">
        <v>26</v>
      </c>
      <c r="B446" s="9" t="s">
        <v>78</v>
      </c>
      <c r="C446" s="9" t="s">
        <v>79</v>
      </c>
      <c r="D446" s="10"/>
      <c r="E446" s="2" t="str">
        <f>"－"</f>
        <v>－</v>
      </c>
      <c r="F446" s="10"/>
      <c r="G446" s="2" t="str">
        <f>"－"</f>
        <v>－</v>
      </c>
      <c r="H446" s="10"/>
      <c r="I446" s="2" t="str">
        <f>"－"</f>
        <v>－</v>
      </c>
      <c r="J446" s="10"/>
      <c r="K446" s="2" t="str">
        <f>"－"</f>
        <v>－</v>
      </c>
    </row>
    <row r="447">
      <c r="A447" s="8" t="s">
        <v>27</v>
      </c>
      <c r="B447" s="9" t="s">
        <v>78</v>
      </c>
      <c r="C447" s="9" t="s">
        <v>79</v>
      </c>
      <c r="D447" s="10"/>
      <c r="E447" s="2" t="str">
        <f>"－"</f>
        <v>－</v>
      </c>
      <c r="F447" s="10"/>
      <c r="G447" s="2" t="str">
        <f>"－"</f>
        <v>－</v>
      </c>
      <c r="H447" s="10"/>
      <c r="I447" s="2" t="str">
        <f>"－"</f>
        <v>－</v>
      </c>
      <c r="J447" s="10"/>
      <c r="K447" s="2" t="str">
        <f>"－"</f>
        <v>－</v>
      </c>
    </row>
    <row r="448">
      <c r="A448" s="8" t="s">
        <v>28</v>
      </c>
      <c r="B448" s="9" t="s">
        <v>78</v>
      </c>
      <c r="C448" s="9" t="s">
        <v>79</v>
      </c>
      <c r="D448" s="10"/>
      <c r="E448" s="2" t="str">
        <f>"－"</f>
        <v>－</v>
      </c>
      <c r="F448" s="10"/>
      <c r="G448" s="2" t="str">
        <f>"－"</f>
        <v>－</v>
      </c>
      <c r="H448" s="10"/>
      <c r="I448" s="2" t="str">
        <f>"－"</f>
        <v>－</v>
      </c>
      <c r="J448" s="10"/>
      <c r="K448" s="2" t="str">
        <f>"－"</f>
        <v>－</v>
      </c>
    </row>
    <row r="449">
      <c r="A449" s="8" t="s">
        <v>29</v>
      </c>
      <c r="B449" s="9" t="s">
        <v>78</v>
      </c>
      <c r="C449" s="9" t="s">
        <v>79</v>
      </c>
      <c r="D449" s="10"/>
      <c r="E449" s="2" t="str">
        <f>"－"</f>
        <v>－</v>
      </c>
      <c r="F449" s="10"/>
      <c r="G449" s="2" t="str">
        <f>"－"</f>
        <v>－</v>
      </c>
      <c r="H449" s="10"/>
      <c r="I449" s="2" t="str">
        <f>"－"</f>
        <v>－</v>
      </c>
      <c r="J449" s="10"/>
      <c r="K449" s="2" t="str">
        <f>"－"</f>
        <v>－</v>
      </c>
    </row>
    <row r="450">
      <c r="A450" s="8" t="s">
        <v>30</v>
      </c>
      <c r="B450" s="9" t="s">
        <v>78</v>
      </c>
      <c r="C450" s="9" t="s">
        <v>79</v>
      </c>
      <c r="D450" s="10"/>
      <c r="E450" s="2"/>
      <c r="F450" s="10"/>
      <c r="G450" s="2"/>
      <c r="H450" s="10"/>
      <c r="I450" s="2"/>
      <c r="J450" s="10"/>
      <c r="K450" s="2"/>
    </row>
    <row r="451">
      <c r="A451" s="8" t="s">
        <v>31</v>
      </c>
      <c r="B451" s="9" t="s">
        <v>78</v>
      </c>
      <c r="C451" s="9" t="s">
        <v>79</v>
      </c>
      <c r="D451" s="10"/>
      <c r="E451" s="2"/>
      <c r="F451" s="10"/>
      <c r="G451" s="2"/>
      <c r="H451" s="10"/>
      <c r="I451" s="2"/>
      <c r="J451" s="10"/>
      <c r="K451" s="2"/>
    </row>
    <row r="452">
      <c r="A452" s="8" t="s">
        <v>32</v>
      </c>
      <c r="B452" s="9" t="s">
        <v>78</v>
      </c>
      <c r="C452" s="9" t="s">
        <v>79</v>
      </c>
      <c r="D452" s="10"/>
      <c r="E452" s="2" t="str">
        <f>"－"</f>
        <v>－</v>
      </c>
      <c r="F452" s="10"/>
      <c r="G452" s="2" t="str">
        <f>"－"</f>
        <v>－</v>
      </c>
      <c r="H452" s="10"/>
      <c r="I452" s="2" t="str">
        <f>"－"</f>
        <v>－</v>
      </c>
      <c r="J452" s="10"/>
      <c r="K452" s="2" t="str">
        <f>"－"</f>
        <v>－</v>
      </c>
    </row>
    <row r="453">
      <c r="A453" s="8" t="s">
        <v>33</v>
      </c>
      <c r="B453" s="9" t="s">
        <v>78</v>
      </c>
      <c r="C453" s="9" t="s">
        <v>79</v>
      </c>
      <c r="D453" s="10"/>
      <c r="E453" s="2" t="str">
        <f>"－"</f>
        <v>－</v>
      </c>
      <c r="F453" s="10"/>
      <c r="G453" s="2" t="str">
        <f>"－"</f>
        <v>－</v>
      </c>
      <c r="H453" s="10"/>
      <c r="I453" s="2" t="str">
        <f>"－"</f>
        <v>－</v>
      </c>
      <c r="J453" s="10"/>
      <c r="K453" s="2" t="str">
        <f>"－"</f>
        <v>－</v>
      </c>
    </row>
    <row r="454">
      <c r="A454" s="8" t="s">
        <v>34</v>
      </c>
      <c r="B454" s="9" t="s">
        <v>78</v>
      </c>
      <c r="C454" s="9" t="s">
        <v>79</v>
      </c>
      <c r="D454" s="10"/>
      <c r="E454" s="2" t="str">
        <f>"－"</f>
        <v>－</v>
      </c>
      <c r="F454" s="10"/>
      <c r="G454" s="2" t="str">
        <f>"－"</f>
        <v>－</v>
      </c>
      <c r="H454" s="10"/>
      <c r="I454" s="2" t="str">
        <f>"－"</f>
        <v>－</v>
      </c>
      <c r="J454" s="10"/>
      <c r="K454" s="2" t="str">
        <f>"－"</f>
        <v>－</v>
      </c>
    </row>
    <row r="455">
      <c r="A455" s="8" t="s">
        <v>35</v>
      </c>
      <c r="B455" s="9" t="s">
        <v>78</v>
      </c>
      <c r="C455" s="9" t="s">
        <v>79</v>
      </c>
      <c r="D455" s="10"/>
      <c r="E455" s="2" t="str">
        <f>"－"</f>
        <v>－</v>
      </c>
      <c r="F455" s="10"/>
      <c r="G455" s="2" t="str">
        <f>"－"</f>
        <v>－</v>
      </c>
      <c r="H455" s="10"/>
      <c r="I455" s="2" t="str">
        <f>"－"</f>
        <v>－</v>
      </c>
      <c r="J455" s="10"/>
      <c r="K455" s="2" t="str">
        <f>"－"</f>
        <v>－</v>
      </c>
    </row>
    <row r="456">
      <c r="A456" s="8" t="s">
        <v>36</v>
      </c>
      <c r="B456" s="9" t="s">
        <v>78</v>
      </c>
      <c r="C456" s="9" t="s">
        <v>79</v>
      </c>
      <c r="D456" s="10"/>
      <c r="E456" s="2" t="str">
        <f>"－"</f>
        <v>－</v>
      </c>
      <c r="F456" s="10"/>
      <c r="G456" s="2" t="str">
        <f>"－"</f>
        <v>－</v>
      </c>
      <c r="H456" s="10"/>
      <c r="I456" s="2" t="str">
        <f>"－"</f>
        <v>－</v>
      </c>
      <c r="J456" s="10"/>
      <c r="K456" s="2" t="str">
        <f>"－"</f>
        <v>－</v>
      </c>
    </row>
    <row r="457">
      <c r="A457" s="8" t="s">
        <v>37</v>
      </c>
      <c r="B457" s="9" t="s">
        <v>78</v>
      </c>
      <c r="C457" s="9" t="s">
        <v>79</v>
      </c>
      <c r="D457" s="10"/>
      <c r="E457" s="2"/>
      <c r="F457" s="10"/>
      <c r="G457" s="2"/>
      <c r="H457" s="10"/>
      <c r="I457" s="2"/>
      <c r="J457" s="10"/>
      <c r="K457" s="2"/>
    </row>
    <row r="458">
      <c r="A458" s="8" t="s">
        <v>38</v>
      </c>
      <c r="B458" s="9" t="s">
        <v>78</v>
      </c>
      <c r="C458" s="9" t="s">
        <v>79</v>
      </c>
      <c r="D458" s="10"/>
      <c r="E458" s="2"/>
      <c r="F458" s="10"/>
      <c r="G458" s="2"/>
      <c r="H458" s="10"/>
      <c r="I458" s="2"/>
      <c r="J458" s="10"/>
      <c r="K458" s="2"/>
    </row>
    <row r="459">
      <c r="A459" s="8" t="s">
        <v>39</v>
      </c>
      <c r="B459" s="9" t="s">
        <v>78</v>
      </c>
      <c r="C459" s="9" t="s">
        <v>79</v>
      </c>
      <c r="D459" s="10"/>
      <c r="E459" s="2" t="str">
        <f>"－"</f>
        <v>－</v>
      </c>
      <c r="F459" s="10"/>
      <c r="G459" s="2" t="str">
        <f>"－"</f>
        <v>－</v>
      </c>
      <c r="H459" s="10"/>
      <c r="I459" s="2" t="str">
        <f>"－"</f>
        <v>－</v>
      </c>
      <c r="J459" s="10"/>
      <c r="K459" s="2" t="str">
        <f>"－"</f>
        <v>－</v>
      </c>
    </row>
    <row r="460">
      <c r="A460" s="8" t="s">
        <v>40</v>
      </c>
      <c r="B460" s="9" t="s">
        <v>78</v>
      </c>
      <c r="C460" s="9" t="s">
        <v>79</v>
      </c>
      <c r="D460" s="10"/>
      <c r="E460" s="2" t="str">
        <f>"－"</f>
        <v>－</v>
      </c>
      <c r="F460" s="10"/>
      <c r="G460" s="2" t="str">
        <f>"－"</f>
        <v>－</v>
      </c>
      <c r="H460" s="10"/>
      <c r="I460" s="2" t="str">
        <f>"－"</f>
        <v>－</v>
      </c>
      <c r="J460" s="10"/>
      <c r="K460" s="2" t="str">
        <f>"－"</f>
        <v>－</v>
      </c>
    </row>
    <row r="461">
      <c r="A461" s="8" t="s">
        <v>41</v>
      </c>
      <c r="B461" s="9" t="s">
        <v>78</v>
      </c>
      <c r="C461" s="9" t="s">
        <v>79</v>
      </c>
      <c r="D461" s="10"/>
      <c r="E461" s="2" t="str">
        <f>"－"</f>
        <v>－</v>
      </c>
      <c r="F461" s="10"/>
      <c r="G461" s="2" t="str">
        <f>"－"</f>
        <v>－</v>
      </c>
      <c r="H461" s="10"/>
      <c r="I461" s="2" t="str">
        <f>"－"</f>
        <v>－</v>
      </c>
      <c r="J461" s="10"/>
      <c r="K461" s="2" t="str">
        <f>"－"</f>
        <v>－</v>
      </c>
    </row>
    <row r="462">
      <c r="A462" s="8" t="s">
        <v>42</v>
      </c>
      <c r="B462" s="9" t="s">
        <v>78</v>
      </c>
      <c r="C462" s="9" t="s">
        <v>79</v>
      </c>
      <c r="D462" s="10"/>
      <c r="E462" s="2"/>
      <c r="F462" s="10"/>
      <c r="G462" s="2"/>
      <c r="H462" s="10"/>
      <c r="I462" s="2"/>
      <c r="J462" s="10"/>
      <c r="K462" s="2"/>
    </row>
    <row r="463">
      <c r="A463" s="8" t="s">
        <v>43</v>
      </c>
      <c r="B463" s="9" t="s">
        <v>78</v>
      </c>
      <c r="C463" s="9" t="s">
        <v>79</v>
      </c>
      <c r="D463" s="10"/>
      <c r="E463" s="2"/>
      <c r="F463" s="10"/>
      <c r="G463" s="2"/>
      <c r="H463" s="10"/>
      <c r="I463" s="2"/>
      <c r="J463" s="10"/>
      <c r="K463" s="2"/>
    </row>
    <row r="464">
      <c r="A464" s="8" t="s">
        <v>44</v>
      </c>
      <c r="B464" s="9" t="s">
        <v>78</v>
      </c>
      <c r="C464" s="9" t="s">
        <v>79</v>
      </c>
      <c r="D464" s="10"/>
      <c r="E464" s="2"/>
      <c r="F464" s="10"/>
      <c r="G464" s="2"/>
      <c r="H464" s="10"/>
      <c r="I464" s="2"/>
      <c r="J464" s="10"/>
      <c r="K464" s="2"/>
    </row>
    <row r="465">
      <c r="A465" s="8" t="s">
        <v>45</v>
      </c>
      <c r="B465" s="9" t="s">
        <v>78</v>
      </c>
      <c r="C465" s="9" t="s">
        <v>79</v>
      </c>
      <c r="D465" s="10"/>
      <c r="E465" s="2"/>
      <c r="F465" s="10"/>
      <c r="G465" s="2"/>
      <c r="H465" s="10"/>
      <c r="I465" s="2"/>
      <c r="J465" s="10"/>
      <c r="K465" s="2"/>
    </row>
    <row r="466">
      <c r="A466" s="8" t="s">
        <v>46</v>
      </c>
      <c r="B466" s="9" t="s">
        <v>78</v>
      </c>
      <c r="C466" s="9" t="s">
        <v>79</v>
      </c>
      <c r="D466" s="10"/>
      <c r="E466" s="2" t="str">
        <f>"－"</f>
        <v>－</v>
      </c>
      <c r="F466" s="10"/>
      <c r="G466" s="2" t="str">
        <f>"－"</f>
        <v>－</v>
      </c>
      <c r="H466" s="10"/>
      <c r="I466" s="2" t="str">
        <f>"－"</f>
        <v>－</v>
      </c>
      <c r="J466" s="10"/>
      <c r="K466" s="2" t="str">
        <f>"－"</f>
        <v>－</v>
      </c>
    </row>
    <row r="467">
      <c r="A467" s="8" t="s">
        <v>47</v>
      </c>
      <c r="B467" s="9" t="s">
        <v>78</v>
      </c>
      <c r="C467" s="9" t="s">
        <v>79</v>
      </c>
      <c r="D467" s="10"/>
      <c r="E467" s="2" t="str">
        <f>"－"</f>
        <v>－</v>
      </c>
      <c r="F467" s="10"/>
      <c r="G467" s="2" t="str">
        <f>"－"</f>
        <v>－</v>
      </c>
      <c r="H467" s="10"/>
      <c r="I467" s="2" t="str">
        <f>"－"</f>
        <v>－</v>
      </c>
      <c r="J467" s="10"/>
      <c r="K467" s="2" t="str">
        <f>"－"</f>
        <v>－</v>
      </c>
    </row>
    <row r="468">
      <c r="A468" s="8" t="s">
        <v>48</v>
      </c>
      <c r="B468" s="9" t="s">
        <v>78</v>
      </c>
      <c r="C468" s="9" t="s">
        <v>79</v>
      </c>
      <c r="D468" s="10"/>
      <c r="E468" s="2" t="str">
        <f>"－"</f>
        <v>－</v>
      </c>
      <c r="F468" s="10"/>
      <c r="G468" s="2" t="str">
        <f>"－"</f>
        <v>－</v>
      </c>
      <c r="H468" s="10"/>
      <c r="I468" s="2" t="str">
        <f>"－"</f>
        <v>－</v>
      </c>
      <c r="J468" s="10"/>
      <c r="K468" s="2" t="str">
        <f>"－"</f>
        <v>－</v>
      </c>
    </row>
    <row r="469">
      <c r="A469" s="8" t="s">
        <v>49</v>
      </c>
      <c r="B469" s="9" t="s">
        <v>78</v>
      </c>
      <c r="C469" s="9" t="s">
        <v>79</v>
      </c>
      <c r="D469" s="10"/>
      <c r="E469" s="2" t="str">
        <f>"－"</f>
        <v>－</v>
      </c>
      <c r="F469" s="10"/>
      <c r="G469" s="2" t="str">
        <f>"－"</f>
        <v>－</v>
      </c>
      <c r="H469" s="10"/>
      <c r="I469" s="2" t="str">
        <f>"－"</f>
        <v>－</v>
      </c>
      <c r="J469" s="10"/>
      <c r="K469" s="2" t="str">
        <f>"－"</f>
        <v>－</v>
      </c>
    </row>
    <row r="470">
      <c r="A470" s="8" t="s">
        <v>50</v>
      </c>
      <c r="B470" s="9" t="s">
        <v>78</v>
      </c>
      <c r="C470" s="9" t="s">
        <v>79</v>
      </c>
      <c r="D470" s="10"/>
      <c r="E470" s="2" t="str">
        <f>"－"</f>
        <v>－</v>
      </c>
      <c r="F470" s="10"/>
      <c r="G470" s="2" t="str">
        <f>"－"</f>
        <v>－</v>
      </c>
      <c r="H470" s="10"/>
      <c r="I470" s="2" t="str">
        <f>"－"</f>
        <v>－</v>
      </c>
      <c r="J470" s="10"/>
      <c r="K470" s="2" t="str">
        <f>"－"</f>
        <v>－</v>
      </c>
    </row>
    <row r="471">
      <c r="A471" s="8" t="s">
        <v>16</v>
      </c>
      <c r="B471" s="9" t="s">
        <v>80</v>
      </c>
      <c r="C471" s="9" t="s">
        <v>81</v>
      </c>
      <c r="D471" s="10" t="s">
        <v>61</v>
      </c>
      <c r="E471" s="2" t="str">
        <f>"－"</f>
        <v>－</v>
      </c>
      <c r="F471" s="10" t="s">
        <v>61</v>
      </c>
      <c r="G471" s="2" t="str">
        <f>"－"</f>
        <v>－</v>
      </c>
      <c r="H471" s="10" t="s">
        <v>61</v>
      </c>
      <c r="I471" s="2" t="str">
        <f>"－"</f>
        <v>－</v>
      </c>
      <c r="J471" s="10" t="s">
        <v>61</v>
      </c>
      <c r="K471" s="2" t="str">
        <f>"－"</f>
        <v>－</v>
      </c>
    </row>
    <row r="472">
      <c r="A472" s="8" t="s">
        <v>20</v>
      </c>
      <c r="B472" s="9" t="s">
        <v>80</v>
      </c>
      <c r="C472" s="9" t="s">
        <v>81</v>
      </c>
      <c r="D472" s="10"/>
      <c r="E472" s="2" t="str">
        <f>"－"</f>
        <v>－</v>
      </c>
      <c r="F472" s="10"/>
      <c r="G472" s="2" t="str">
        <f>"－"</f>
        <v>－</v>
      </c>
      <c r="H472" s="10"/>
      <c r="I472" s="2" t="str">
        <f>"－"</f>
        <v>－</v>
      </c>
      <c r="J472" s="10"/>
      <c r="K472" s="2" t="str">
        <f>"－"</f>
        <v>－</v>
      </c>
    </row>
    <row r="473">
      <c r="A473" s="8" t="s">
        <v>22</v>
      </c>
      <c r="B473" s="9" t="s">
        <v>80</v>
      </c>
      <c r="C473" s="9" t="s">
        <v>81</v>
      </c>
      <c r="D473" s="10"/>
      <c r="E473" s="2" t="str">
        <f>"－"</f>
        <v>－</v>
      </c>
      <c r="F473" s="10"/>
      <c r="G473" s="2" t="str">
        <f>"－"</f>
        <v>－</v>
      </c>
      <c r="H473" s="10"/>
      <c r="I473" s="2" t="str">
        <f>"－"</f>
        <v>－</v>
      </c>
      <c r="J473" s="10"/>
      <c r="K473" s="2" t="str">
        <f>"－"</f>
        <v>－</v>
      </c>
    </row>
    <row r="474">
      <c r="A474" s="8" t="s">
        <v>23</v>
      </c>
      <c r="B474" s="9" t="s">
        <v>80</v>
      </c>
      <c r="C474" s="9" t="s">
        <v>81</v>
      </c>
      <c r="D474" s="10"/>
      <c r="E474" s="2"/>
      <c r="F474" s="10"/>
      <c r="G474" s="2"/>
      <c r="H474" s="10"/>
      <c r="I474" s="2"/>
      <c r="J474" s="10"/>
      <c r="K474" s="2"/>
    </row>
    <row r="475">
      <c r="A475" s="8" t="s">
        <v>24</v>
      </c>
      <c r="B475" s="9" t="s">
        <v>80</v>
      </c>
      <c r="C475" s="9" t="s">
        <v>81</v>
      </c>
      <c r="D475" s="10"/>
      <c r="E475" s="2"/>
      <c r="F475" s="10"/>
      <c r="G475" s="2"/>
      <c r="H475" s="10"/>
      <c r="I475" s="2"/>
      <c r="J475" s="10"/>
      <c r="K475" s="2"/>
    </row>
    <row r="476">
      <c r="A476" s="8" t="s">
        <v>25</v>
      </c>
      <c r="B476" s="9" t="s">
        <v>80</v>
      </c>
      <c r="C476" s="9" t="s">
        <v>81</v>
      </c>
      <c r="D476" s="10"/>
      <c r="E476" s="2" t="str">
        <f>"－"</f>
        <v>－</v>
      </c>
      <c r="F476" s="10"/>
      <c r="G476" s="2" t="str">
        <f>"－"</f>
        <v>－</v>
      </c>
      <c r="H476" s="10"/>
      <c r="I476" s="2" t="str">
        <f>"－"</f>
        <v>－</v>
      </c>
      <c r="J476" s="10"/>
      <c r="K476" s="2" t="str">
        <f>"－"</f>
        <v>－</v>
      </c>
    </row>
    <row r="477">
      <c r="A477" s="8" t="s">
        <v>26</v>
      </c>
      <c r="B477" s="9" t="s">
        <v>80</v>
      </c>
      <c r="C477" s="9" t="s">
        <v>81</v>
      </c>
      <c r="D477" s="10"/>
      <c r="E477" s="2" t="str">
        <f>"－"</f>
        <v>－</v>
      </c>
      <c r="F477" s="10"/>
      <c r="G477" s="2" t="str">
        <f>"－"</f>
        <v>－</v>
      </c>
      <c r="H477" s="10"/>
      <c r="I477" s="2" t="str">
        <f>"－"</f>
        <v>－</v>
      </c>
      <c r="J477" s="10"/>
      <c r="K477" s="2" t="str">
        <f>"－"</f>
        <v>－</v>
      </c>
    </row>
    <row r="478">
      <c r="A478" s="8" t="s">
        <v>27</v>
      </c>
      <c r="B478" s="9" t="s">
        <v>80</v>
      </c>
      <c r="C478" s="9" t="s">
        <v>81</v>
      </c>
      <c r="D478" s="10"/>
      <c r="E478" s="2" t="str">
        <f>"－"</f>
        <v>－</v>
      </c>
      <c r="F478" s="10"/>
      <c r="G478" s="2" t="str">
        <f>"－"</f>
        <v>－</v>
      </c>
      <c r="H478" s="10"/>
      <c r="I478" s="2" t="str">
        <f>"－"</f>
        <v>－</v>
      </c>
      <c r="J478" s="10"/>
      <c r="K478" s="2" t="str">
        <f>"－"</f>
        <v>－</v>
      </c>
    </row>
    <row r="479">
      <c r="A479" s="8" t="s">
        <v>28</v>
      </c>
      <c r="B479" s="9" t="s">
        <v>80</v>
      </c>
      <c r="C479" s="9" t="s">
        <v>81</v>
      </c>
      <c r="D479" s="10"/>
      <c r="E479" s="2" t="str">
        <f>"－"</f>
        <v>－</v>
      </c>
      <c r="F479" s="10"/>
      <c r="G479" s="2" t="str">
        <f>"－"</f>
        <v>－</v>
      </c>
      <c r="H479" s="10"/>
      <c r="I479" s="2" t="str">
        <f>"－"</f>
        <v>－</v>
      </c>
      <c r="J479" s="10"/>
      <c r="K479" s="2" t="str">
        <f>"－"</f>
        <v>－</v>
      </c>
    </row>
    <row r="480">
      <c r="A480" s="8" t="s">
        <v>29</v>
      </c>
      <c r="B480" s="9" t="s">
        <v>80</v>
      </c>
      <c r="C480" s="9" t="s">
        <v>81</v>
      </c>
      <c r="D480" s="10"/>
      <c r="E480" s="2" t="str">
        <f>"－"</f>
        <v>－</v>
      </c>
      <c r="F480" s="10"/>
      <c r="G480" s="2" t="str">
        <f>"－"</f>
        <v>－</v>
      </c>
      <c r="H480" s="10"/>
      <c r="I480" s="2" t="str">
        <f>"－"</f>
        <v>－</v>
      </c>
      <c r="J480" s="10"/>
      <c r="K480" s="2" t="str">
        <f>"－"</f>
        <v>－</v>
      </c>
    </row>
    <row r="481">
      <c r="A481" s="8" t="s">
        <v>30</v>
      </c>
      <c r="B481" s="9" t="s">
        <v>80</v>
      </c>
      <c r="C481" s="9" t="s">
        <v>81</v>
      </c>
      <c r="D481" s="10"/>
      <c r="E481" s="2"/>
      <c r="F481" s="10"/>
      <c r="G481" s="2"/>
      <c r="H481" s="10"/>
      <c r="I481" s="2"/>
      <c r="J481" s="10"/>
      <c r="K481" s="2"/>
    </row>
    <row r="482">
      <c r="A482" s="8" t="s">
        <v>31</v>
      </c>
      <c r="B482" s="9" t="s">
        <v>80</v>
      </c>
      <c r="C482" s="9" t="s">
        <v>81</v>
      </c>
      <c r="D482" s="10"/>
      <c r="E482" s="2"/>
      <c r="F482" s="10"/>
      <c r="G482" s="2"/>
      <c r="H482" s="10"/>
      <c r="I482" s="2"/>
      <c r="J482" s="10"/>
      <c r="K482" s="2"/>
    </row>
    <row r="483">
      <c r="A483" s="8" t="s">
        <v>32</v>
      </c>
      <c r="B483" s="9" t="s">
        <v>80</v>
      </c>
      <c r="C483" s="9" t="s">
        <v>81</v>
      </c>
      <c r="D483" s="10"/>
      <c r="E483" s="2" t="str">
        <f>"－"</f>
        <v>－</v>
      </c>
      <c r="F483" s="10"/>
      <c r="G483" s="2" t="str">
        <f>"－"</f>
        <v>－</v>
      </c>
      <c r="H483" s="10"/>
      <c r="I483" s="2" t="str">
        <f>"－"</f>
        <v>－</v>
      </c>
      <c r="J483" s="10"/>
      <c r="K483" s="2" t="str">
        <f>"－"</f>
        <v>－</v>
      </c>
    </row>
    <row r="484">
      <c r="A484" s="8" t="s">
        <v>33</v>
      </c>
      <c r="B484" s="9" t="s">
        <v>80</v>
      </c>
      <c r="C484" s="9" t="s">
        <v>81</v>
      </c>
      <c r="D484" s="10"/>
      <c r="E484" s="2" t="str">
        <f>"－"</f>
        <v>－</v>
      </c>
      <c r="F484" s="10"/>
      <c r="G484" s="2" t="str">
        <f>"－"</f>
        <v>－</v>
      </c>
      <c r="H484" s="10"/>
      <c r="I484" s="2" t="str">
        <f>"－"</f>
        <v>－</v>
      </c>
      <c r="J484" s="10"/>
      <c r="K484" s="2" t="str">
        <f>"－"</f>
        <v>－</v>
      </c>
    </row>
    <row r="485">
      <c r="A485" s="8" t="s">
        <v>34</v>
      </c>
      <c r="B485" s="9" t="s">
        <v>80</v>
      </c>
      <c r="C485" s="9" t="s">
        <v>81</v>
      </c>
      <c r="D485" s="10"/>
      <c r="E485" s="2" t="str">
        <f>"－"</f>
        <v>－</v>
      </c>
      <c r="F485" s="10"/>
      <c r="G485" s="2" t="str">
        <f>"－"</f>
        <v>－</v>
      </c>
      <c r="H485" s="10"/>
      <c r="I485" s="2" t="str">
        <f>"－"</f>
        <v>－</v>
      </c>
      <c r="J485" s="10"/>
      <c r="K485" s="2" t="str">
        <f>"－"</f>
        <v>－</v>
      </c>
    </row>
    <row r="486">
      <c r="A486" s="8" t="s">
        <v>35</v>
      </c>
      <c r="B486" s="9" t="s">
        <v>80</v>
      </c>
      <c r="C486" s="9" t="s">
        <v>81</v>
      </c>
      <c r="D486" s="10"/>
      <c r="E486" s="2" t="str">
        <f>"－"</f>
        <v>－</v>
      </c>
      <c r="F486" s="10"/>
      <c r="G486" s="2" t="str">
        <f>"－"</f>
        <v>－</v>
      </c>
      <c r="H486" s="10"/>
      <c r="I486" s="2" t="str">
        <f>"－"</f>
        <v>－</v>
      </c>
      <c r="J486" s="10"/>
      <c r="K486" s="2" t="str">
        <f>"－"</f>
        <v>－</v>
      </c>
    </row>
    <row r="487">
      <c r="A487" s="8" t="s">
        <v>36</v>
      </c>
      <c r="B487" s="9" t="s">
        <v>80</v>
      </c>
      <c r="C487" s="9" t="s">
        <v>81</v>
      </c>
      <c r="D487" s="10"/>
      <c r="E487" s="2" t="str">
        <f>"－"</f>
        <v>－</v>
      </c>
      <c r="F487" s="10"/>
      <c r="G487" s="2" t="str">
        <f>"－"</f>
        <v>－</v>
      </c>
      <c r="H487" s="10"/>
      <c r="I487" s="2" t="str">
        <f>"－"</f>
        <v>－</v>
      </c>
      <c r="J487" s="10"/>
      <c r="K487" s="2" t="str">
        <f>"－"</f>
        <v>－</v>
      </c>
    </row>
    <row r="488">
      <c r="A488" s="8" t="s">
        <v>37</v>
      </c>
      <c r="B488" s="9" t="s">
        <v>80</v>
      </c>
      <c r="C488" s="9" t="s">
        <v>81</v>
      </c>
      <c r="D488" s="10"/>
      <c r="E488" s="2"/>
      <c r="F488" s="10"/>
      <c r="G488" s="2"/>
      <c r="H488" s="10"/>
      <c r="I488" s="2"/>
      <c r="J488" s="10"/>
      <c r="K488" s="2"/>
    </row>
    <row r="489">
      <c r="A489" s="8" t="s">
        <v>38</v>
      </c>
      <c r="B489" s="9" t="s">
        <v>80</v>
      </c>
      <c r="C489" s="9" t="s">
        <v>81</v>
      </c>
      <c r="D489" s="10"/>
      <c r="E489" s="2"/>
      <c r="F489" s="10"/>
      <c r="G489" s="2"/>
      <c r="H489" s="10"/>
      <c r="I489" s="2"/>
      <c r="J489" s="10"/>
      <c r="K489" s="2"/>
    </row>
    <row r="490">
      <c r="A490" s="8" t="s">
        <v>39</v>
      </c>
      <c r="B490" s="9" t="s">
        <v>80</v>
      </c>
      <c r="C490" s="9" t="s">
        <v>81</v>
      </c>
      <c r="D490" s="10"/>
      <c r="E490" s="2" t="str">
        <f>"－"</f>
        <v>－</v>
      </c>
      <c r="F490" s="10"/>
      <c r="G490" s="2" t="str">
        <f>"－"</f>
        <v>－</v>
      </c>
      <c r="H490" s="10"/>
      <c r="I490" s="2" t="str">
        <f>"－"</f>
        <v>－</v>
      </c>
      <c r="J490" s="10"/>
      <c r="K490" s="2" t="str">
        <f>"－"</f>
        <v>－</v>
      </c>
    </row>
    <row r="491">
      <c r="A491" s="8" t="s">
        <v>40</v>
      </c>
      <c r="B491" s="9" t="s">
        <v>80</v>
      </c>
      <c r="C491" s="9" t="s">
        <v>81</v>
      </c>
      <c r="D491" s="10"/>
      <c r="E491" s="2" t="str">
        <f>"－"</f>
        <v>－</v>
      </c>
      <c r="F491" s="10"/>
      <c r="G491" s="2" t="str">
        <f>"－"</f>
        <v>－</v>
      </c>
      <c r="H491" s="10"/>
      <c r="I491" s="2" t="str">
        <f>"－"</f>
        <v>－</v>
      </c>
      <c r="J491" s="10"/>
      <c r="K491" s="2" t="str">
        <f>"－"</f>
        <v>－</v>
      </c>
    </row>
    <row r="492">
      <c r="A492" s="8" t="s">
        <v>41</v>
      </c>
      <c r="B492" s="9" t="s">
        <v>80</v>
      </c>
      <c r="C492" s="9" t="s">
        <v>81</v>
      </c>
      <c r="D492" s="10"/>
      <c r="E492" s="2" t="str">
        <f>"－"</f>
        <v>－</v>
      </c>
      <c r="F492" s="10"/>
      <c r="G492" s="2" t="str">
        <f>"－"</f>
        <v>－</v>
      </c>
      <c r="H492" s="10"/>
      <c r="I492" s="2" t="str">
        <f>"－"</f>
        <v>－</v>
      </c>
      <c r="J492" s="10"/>
      <c r="K492" s="2" t="str">
        <f>"－"</f>
        <v>－</v>
      </c>
    </row>
    <row r="493">
      <c r="A493" s="8" t="s">
        <v>42</v>
      </c>
      <c r="B493" s="9" t="s">
        <v>80</v>
      </c>
      <c r="C493" s="9" t="s">
        <v>81</v>
      </c>
      <c r="D493" s="10"/>
      <c r="E493" s="2"/>
      <c r="F493" s="10"/>
      <c r="G493" s="2"/>
      <c r="H493" s="10"/>
      <c r="I493" s="2"/>
      <c r="J493" s="10"/>
      <c r="K493" s="2"/>
    </row>
    <row r="494">
      <c r="A494" s="8" t="s">
        <v>43</v>
      </c>
      <c r="B494" s="9" t="s">
        <v>80</v>
      </c>
      <c r="C494" s="9" t="s">
        <v>81</v>
      </c>
      <c r="D494" s="10"/>
      <c r="E494" s="2"/>
      <c r="F494" s="10"/>
      <c r="G494" s="2"/>
      <c r="H494" s="10"/>
      <c r="I494" s="2"/>
      <c r="J494" s="10"/>
      <c r="K494" s="2"/>
    </row>
    <row r="495">
      <c r="A495" s="8" t="s">
        <v>44</v>
      </c>
      <c r="B495" s="9" t="s">
        <v>80</v>
      </c>
      <c r="C495" s="9" t="s">
        <v>81</v>
      </c>
      <c r="D495" s="10"/>
      <c r="E495" s="2"/>
      <c r="F495" s="10"/>
      <c r="G495" s="2"/>
      <c r="H495" s="10"/>
      <c r="I495" s="2"/>
      <c r="J495" s="10"/>
      <c r="K495" s="2"/>
    </row>
    <row r="496">
      <c r="A496" s="8" t="s">
        <v>45</v>
      </c>
      <c r="B496" s="9" t="s">
        <v>80</v>
      </c>
      <c r="C496" s="9" t="s">
        <v>81</v>
      </c>
      <c r="D496" s="10"/>
      <c r="E496" s="2"/>
      <c r="F496" s="10"/>
      <c r="G496" s="2"/>
      <c r="H496" s="10"/>
      <c r="I496" s="2"/>
      <c r="J496" s="10"/>
      <c r="K496" s="2"/>
    </row>
    <row r="497">
      <c r="A497" s="8" t="s">
        <v>46</v>
      </c>
      <c r="B497" s="9" t="s">
        <v>80</v>
      </c>
      <c r="C497" s="9" t="s">
        <v>81</v>
      </c>
      <c r="D497" s="10"/>
      <c r="E497" s="2" t="str">
        <f>"－"</f>
        <v>－</v>
      </c>
      <c r="F497" s="10"/>
      <c r="G497" s="2" t="str">
        <f>"－"</f>
        <v>－</v>
      </c>
      <c r="H497" s="10"/>
      <c r="I497" s="2" t="str">
        <f>"－"</f>
        <v>－</v>
      </c>
      <c r="J497" s="10"/>
      <c r="K497" s="2" t="str">
        <f>"－"</f>
        <v>－</v>
      </c>
    </row>
    <row r="498">
      <c r="A498" s="8" t="s">
        <v>47</v>
      </c>
      <c r="B498" s="9" t="s">
        <v>80</v>
      </c>
      <c r="C498" s="9" t="s">
        <v>81</v>
      </c>
      <c r="D498" s="10"/>
      <c r="E498" s="2" t="str">
        <f>"－"</f>
        <v>－</v>
      </c>
      <c r="F498" s="10"/>
      <c r="G498" s="2" t="str">
        <f>"－"</f>
        <v>－</v>
      </c>
      <c r="H498" s="10"/>
      <c r="I498" s="2" t="str">
        <f>"－"</f>
        <v>－</v>
      </c>
      <c r="J498" s="10"/>
      <c r="K498" s="2" t="str">
        <f>"－"</f>
        <v>－</v>
      </c>
    </row>
    <row r="499">
      <c r="A499" s="8" t="s">
        <v>48</v>
      </c>
      <c r="B499" s="9" t="s">
        <v>80</v>
      </c>
      <c r="C499" s="9" t="s">
        <v>81</v>
      </c>
      <c r="D499" s="10"/>
      <c r="E499" s="2" t="str">
        <f>"－"</f>
        <v>－</v>
      </c>
      <c r="F499" s="10"/>
      <c r="G499" s="2" t="str">
        <f>"－"</f>
        <v>－</v>
      </c>
      <c r="H499" s="10"/>
      <c r="I499" s="2" t="str">
        <f>"－"</f>
        <v>－</v>
      </c>
      <c r="J499" s="10"/>
      <c r="K499" s="2" t="str">
        <f>"－"</f>
        <v>－</v>
      </c>
    </row>
    <row r="500">
      <c r="A500" s="8" t="s">
        <v>49</v>
      </c>
      <c r="B500" s="9" t="s">
        <v>80</v>
      </c>
      <c r="C500" s="9" t="s">
        <v>81</v>
      </c>
      <c r="D500" s="10"/>
      <c r="E500" s="2" t="str">
        <f>"－"</f>
        <v>－</v>
      </c>
      <c r="F500" s="10"/>
      <c r="G500" s="2" t="str">
        <f>"－"</f>
        <v>－</v>
      </c>
      <c r="H500" s="10"/>
      <c r="I500" s="2" t="str">
        <f>"－"</f>
        <v>－</v>
      </c>
      <c r="J500" s="10"/>
      <c r="K500" s="2" t="str">
        <f>"－"</f>
        <v>－</v>
      </c>
    </row>
    <row r="501">
      <c r="A501" s="8" t="s">
        <v>50</v>
      </c>
      <c r="B501" s="9" t="s">
        <v>80</v>
      </c>
      <c r="C501" s="9" t="s">
        <v>81</v>
      </c>
      <c r="D501" s="10"/>
      <c r="E501" s="2" t="str">
        <f>"－"</f>
        <v>－</v>
      </c>
      <c r="F501" s="10"/>
      <c r="G501" s="2" t="str">
        <f>"－"</f>
        <v>－</v>
      </c>
      <c r="H501" s="10"/>
      <c r="I501" s="2" t="str">
        <f>"－"</f>
        <v>－</v>
      </c>
      <c r="J501" s="10"/>
      <c r="K501" s="2" t="str">
        <f>"－"</f>
        <v>－</v>
      </c>
    </row>
    <row r="502">
      <c r="A502" s="8" t="s">
        <v>16</v>
      </c>
      <c r="B502" s="9" t="s">
        <v>82</v>
      </c>
      <c r="C502" s="9" t="s">
        <v>83</v>
      </c>
      <c r="D502" s="10"/>
      <c r="E502" s="2" t="n">
        <f>59</f>
        <v>59.0</v>
      </c>
      <c r="F502" s="10"/>
      <c r="G502" s="2" t="n">
        <f>17588500</f>
        <v>1.75885E7</v>
      </c>
      <c r="H502" s="10" t="s">
        <v>61</v>
      </c>
      <c r="I502" s="2" t="str">
        <f>"－"</f>
        <v>－</v>
      </c>
      <c r="J502" s="10"/>
      <c r="K502" s="2" t="n">
        <f>360</f>
        <v>360.0</v>
      </c>
    </row>
    <row r="503">
      <c r="A503" s="8" t="s">
        <v>20</v>
      </c>
      <c r="B503" s="9" t="s">
        <v>82</v>
      </c>
      <c r="C503" s="9" t="s">
        <v>83</v>
      </c>
      <c r="D503" s="10"/>
      <c r="E503" s="2" t="n">
        <f>46</f>
        <v>46.0</v>
      </c>
      <c r="F503" s="10"/>
      <c r="G503" s="2" t="n">
        <f>13250500</f>
        <v>1.32505E7</v>
      </c>
      <c r="H503" s="10"/>
      <c r="I503" s="2" t="str">
        <f>"－"</f>
        <v>－</v>
      </c>
      <c r="J503" s="10"/>
      <c r="K503" s="2" t="n">
        <f>389</f>
        <v>389.0</v>
      </c>
    </row>
    <row r="504">
      <c r="A504" s="8" t="s">
        <v>22</v>
      </c>
      <c r="B504" s="9" t="s">
        <v>82</v>
      </c>
      <c r="C504" s="9" t="s">
        <v>83</v>
      </c>
      <c r="D504" s="10"/>
      <c r="E504" s="2" t="n">
        <f>67</f>
        <v>67.0</v>
      </c>
      <c r="F504" s="10"/>
      <c r="G504" s="2" t="n">
        <f>18338500</f>
        <v>1.83385E7</v>
      </c>
      <c r="H504" s="10"/>
      <c r="I504" s="2" t="str">
        <f>"－"</f>
        <v>－</v>
      </c>
      <c r="J504" s="10"/>
      <c r="K504" s="2" t="n">
        <f>431</f>
        <v>431.0</v>
      </c>
    </row>
    <row r="505">
      <c r="A505" s="8" t="s">
        <v>23</v>
      </c>
      <c r="B505" s="9" t="s">
        <v>82</v>
      </c>
      <c r="C505" s="9" t="s">
        <v>83</v>
      </c>
      <c r="D505" s="10"/>
      <c r="E505" s="2"/>
      <c r="F505" s="10"/>
      <c r="G505" s="2"/>
      <c r="H505" s="10"/>
      <c r="I505" s="2"/>
      <c r="J505" s="10"/>
      <c r="K505" s="2"/>
    </row>
    <row r="506">
      <c r="A506" s="8" t="s">
        <v>24</v>
      </c>
      <c r="B506" s="9" t="s">
        <v>82</v>
      </c>
      <c r="C506" s="9" t="s">
        <v>83</v>
      </c>
      <c r="D506" s="10"/>
      <c r="E506" s="2"/>
      <c r="F506" s="10"/>
      <c r="G506" s="2"/>
      <c r="H506" s="10"/>
      <c r="I506" s="2"/>
      <c r="J506" s="10"/>
      <c r="K506" s="2"/>
    </row>
    <row r="507">
      <c r="A507" s="8" t="s">
        <v>25</v>
      </c>
      <c r="B507" s="9" t="s">
        <v>82</v>
      </c>
      <c r="C507" s="9" t="s">
        <v>83</v>
      </c>
      <c r="D507" s="10"/>
      <c r="E507" s="2" t="n">
        <f>33</f>
        <v>33.0</v>
      </c>
      <c r="F507" s="10"/>
      <c r="G507" s="2" t="n">
        <f>7975500</f>
        <v>7975500.0</v>
      </c>
      <c r="H507" s="10"/>
      <c r="I507" s="2" t="str">
        <f>"－"</f>
        <v>－</v>
      </c>
      <c r="J507" s="10"/>
      <c r="K507" s="2" t="n">
        <f>442</f>
        <v>442.0</v>
      </c>
    </row>
    <row r="508">
      <c r="A508" s="8" t="s">
        <v>26</v>
      </c>
      <c r="B508" s="9" t="s">
        <v>82</v>
      </c>
      <c r="C508" s="9" t="s">
        <v>83</v>
      </c>
      <c r="D508" s="10" t="s">
        <v>19</v>
      </c>
      <c r="E508" s="2" t="n">
        <f>12</f>
        <v>12.0</v>
      </c>
      <c r="F508" s="10" t="s">
        <v>19</v>
      </c>
      <c r="G508" s="2" t="n">
        <f>2809000</f>
        <v>2809000.0</v>
      </c>
      <c r="H508" s="10"/>
      <c r="I508" s="2" t="str">
        <f>"－"</f>
        <v>－</v>
      </c>
      <c r="J508" s="10"/>
      <c r="K508" s="2" t="n">
        <f>448</f>
        <v>448.0</v>
      </c>
    </row>
    <row r="509">
      <c r="A509" s="8" t="s">
        <v>27</v>
      </c>
      <c r="B509" s="9" t="s">
        <v>82</v>
      </c>
      <c r="C509" s="9" t="s">
        <v>83</v>
      </c>
      <c r="D509" s="10"/>
      <c r="E509" s="2" t="n">
        <f>14</f>
        <v>14.0</v>
      </c>
      <c r="F509" s="10"/>
      <c r="G509" s="2" t="n">
        <f>3706000</f>
        <v>3706000.0</v>
      </c>
      <c r="H509" s="10"/>
      <c r="I509" s="2" t="str">
        <f>"－"</f>
        <v>－</v>
      </c>
      <c r="J509" s="10"/>
      <c r="K509" s="2" t="n">
        <f>461</f>
        <v>461.0</v>
      </c>
    </row>
    <row r="510">
      <c r="A510" s="8" t="s">
        <v>28</v>
      </c>
      <c r="B510" s="9" t="s">
        <v>82</v>
      </c>
      <c r="C510" s="9" t="s">
        <v>83</v>
      </c>
      <c r="D510" s="10"/>
      <c r="E510" s="2" t="n">
        <f>22</f>
        <v>22.0</v>
      </c>
      <c r="F510" s="10"/>
      <c r="G510" s="2" t="n">
        <f>5872500</f>
        <v>5872500.0</v>
      </c>
      <c r="H510" s="10"/>
      <c r="I510" s="2" t="str">
        <f>"－"</f>
        <v>－</v>
      </c>
      <c r="J510" s="10"/>
      <c r="K510" s="2" t="n">
        <f>470</f>
        <v>470.0</v>
      </c>
    </row>
    <row r="511">
      <c r="A511" s="8" t="s">
        <v>29</v>
      </c>
      <c r="B511" s="9" t="s">
        <v>82</v>
      </c>
      <c r="C511" s="9" t="s">
        <v>83</v>
      </c>
      <c r="D511" s="10"/>
      <c r="E511" s="2" t="n">
        <f>16</f>
        <v>16.0</v>
      </c>
      <c r="F511" s="10"/>
      <c r="G511" s="2" t="n">
        <f>4293000</f>
        <v>4293000.0</v>
      </c>
      <c r="H511" s="10"/>
      <c r="I511" s="2" t="str">
        <f>"－"</f>
        <v>－</v>
      </c>
      <c r="J511" s="10"/>
      <c r="K511" s="2" t="n">
        <f>477</f>
        <v>477.0</v>
      </c>
    </row>
    <row r="512">
      <c r="A512" s="8" t="s">
        <v>30</v>
      </c>
      <c r="B512" s="9" t="s">
        <v>82</v>
      </c>
      <c r="C512" s="9" t="s">
        <v>83</v>
      </c>
      <c r="D512" s="10"/>
      <c r="E512" s="2"/>
      <c r="F512" s="10"/>
      <c r="G512" s="2"/>
      <c r="H512" s="10"/>
      <c r="I512" s="2"/>
      <c r="J512" s="10"/>
      <c r="K512" s="2"/>
    </row>
    <row r="513">
      <c r="A513" s="8" t="s">
        <v>31</v>
      </c>
      <c r="B513" s="9" t="s">
        <v>82</v>
      </c>
      <c r="C513" s="9" t="s">
        <v>83</v>
      </c>
      <c r="D513" s="10"/>
      <c r="E513" s="2"/>
      <c r="F513" s="10"/>
      <c r="G513" s="2"/>
      <c r="H513" s="10"/>
      <c r="I513" s="2"/>
      <c r="J513" s="10"/>
      <c r="K513" s="2"/>
    </row>
    <row r="514">
      <c r="A514" s="8" t="s">
        <v>32</v>
      </c>
      <c r="B514" s="9" t="s">
        <v>82</v>
      </c>
      <c r="C514" s="9" t="s">
        <v>83</v>
      </c>
      <c r="D514" s="10"/>
      <c r="E514" s="2" t="n">
        <f>18</f>
        <v>18.0</v>
      </c>
      <c r="F514" s="10"/>
      <c r="G514" s="2" t="n">
        <f>4878500</f>
        <v>4878500.0</v>
      </c>
      <c r="H514" s="10"/>
      <c r="I514" s="2" t="str">
        <f>"－"</f>
        <v>－</v>
      </c>
      <c r="J514" s="10" t="s">
        <v>21</v>
      </c>
      <c r="K514" s="2" t="n">
        <f>486</f>
        <v>486.0</v>
      </c>
    </row>
    <row r="515">
      <c r="A515" s="8" t="s">
        <v>33</v>
      </c>
      <c r="B515" s="9" t="s">
        <v>82</v>
      </c>
      <c r="C515" s="9" t="s">
        <v>83</v>
      </c>
      <c r="D515" s="10"/>
      <c r="E515" s="2" t="n">
        <f>26</f>
        <v>26.0</v>
      </c>
      <c r="F515" s="10"/>
      <c r="G515" s="2" t="n">
        <f>6746000</f>
        <v>6746000.0</v>
      </c>
      <c r="H515" s="10"/>
      <c r="I515" s="2" t="str">
        <f>"－"</f>
        <v>－</v>
      </c>
      <c r="J515" s="10"/>
      <c r="K515" s="2" t="n">
        <f>486</f>
        <v>486.0</v>
      </c>
    </row>
    <row r="516">
      <c r="A516" s="8" t="s">
        <v>34</v>
      </c>
      <c r="B516" s="9" t="s">
        <v>82</v>
      </c>
      <c r="C516" s="9" t="s">
        <v>83</v>
      </c>
      <c r="D516" s="10"/>
      <c r="E516" s="2" t="n">
        <f>59</f>
        <v>59.0</v>
      </c>
      <c r="F516" s="10"/>
      <c r="G516" s="2" t="n">
        <f>16129000</f>
        <v>1.6129E7</v>
      </c>
      <c r="H516" s="10"/>
      <c r="I516" s="2" t="str">
        <f>"－"</f>
        <v>－</v>
      </c>
      <c r="J516" s="10"/>
      <c r="K516" s="2" t="n">
        <f>434</f>
        <v>434.0</v>
      </c>
    </row>
    <row r="517">
      <c r="A517" s="8" t="s">
        <v>35</v>
      </c>
      <c r="B517" s="9" t="s">
        <v>82</v>
      </c>
      <c r="C517" s="9" t="s">
        <v>83</v>
      </c>
      <c r="D517" s="10"/>
      <c r="E517" s="2" t="n">
        <f>25</f>
        <v>25.0</v>
      </c>
      <c r="F517" s="10"/>
      <c r="G517" s="2" t="n">
        <f>6833000</f>
        <v>6833000.0</v>
      </c>
      <c r="H517" s="10"/>
      <c r="I517" s="2" t="str">
        <f>"－"</f>
        <v>－</v>
      </c>
      <c r="J517" s="10"/>
      <c r="K517" s="2" t="n">
        <f>265</f>
        <v>265.0</v>
      </c>
    </row>
    <row r="518">
      <c r="A518" s="8" t="s">
        <v>36</v>
      </c>
      <c r="B518" s="9" t="s">
        <v>82</v>
      </c>
      <c r="C518" s="9" t="s">
        <v>83</v>
      </c>
      <c r="D518" s="10"/>
      <c r="E518" s="2" t="n">
        <f>30</f>
        <v>30.0</v>
      </c>
      <c r="F518" s="10"/>
      <c r="G518" s="2" t="n">
        <f>7986500</f>
        <v>7986500.0</v>
      </c>
      <c r="H518" s="10"/>
      <c r="I518" s="2" t="str">
        <f>"－"</f>
        <v>－</v>
      </c>
      <c r="J518" s="10"/>
      <c r="K518" s="2" t="n">
        <f>249</f>
        <v>249.0</v>
      </c>
    </row>
    <row r="519">
      <c r="A519" s="8" t="s">
        <v>37</v>
      </c>
      <c r="B519" s="9" t="s">
        <v>82</v>
      </c>
      <c r="C519" s="9" t="s">
        <v>83</v>
      </c>
      <c r="D519" s="10"/>
      <c r="E519" s="2"/>
      <c r="F519" s="10"/>
      <c r="G519" s="2"/>
      <c r="H519" s="10"/>
      <c r="I519" s="2"/>
      <c r="J519" s="10"/>
      <c r="K519" s="2"/>
    </row>
    <row r="520">
      <c r="A520" s="8" t="s">
        <v>38</v>
      </c>
      <c r="B520" s="9" t="s">
        <v>82</v>
      </c>
      <c r="C520" s="9" t="s">
        <v>83</v>
      </c>
      <c r="D520" s="10"/>
      <c r="E520" s="2"/>
      <c r="F520" s="10"/>
      <c r="G520" s="2"/>
      <c r="H520" s="10"/>
      <c r="I520" s="2"/>
      <c r="J520" s="10"/>
      <c r="K520" s="2"/>
    </row>
    <row r="521">
      <c r="A521" s="8" t="s">
        <v>39</v>
      </c>
      <c r="B521" s="9" t="s">
        <v>82</v>
      </c>
      <c r="C521" s="9" t="s">
        <v>83</v>
      </c>
      <c r="D521" s="10"/>
      <c r="E521" s="2" t="n">
        <f>68</f>
        <v>68.0</v>
      </c>
      <c r="F521" s="10"/>
      <c r="G521" s="2" t="n">
        <f>17944000</f>
        <v>1.7944E7</v>
      </c>
      <c r="H521" s="10"/>
      <c r="I521" s="2" t="str">
        <f>"－"</f>
        <v>－</v>
      </c>
      <c r="J521" s="10"/>
      <c r="K521" s="2" t="n">
        <f>262</f>
        <v>262.0</v>
      </c>
    </row>
    <row r="522">
      <c r="A522" s="8" t="s">
        <v>40</v>
      </c>
      <c r="B522" s="9" t="s">
        <v>82</v>
      </c>
      <c r="C522" s="9" t="s">
        <v>83</v>
      </c>
      <c r="D522" s="10"/>
      <c r="E522" s="2" t="n">
        <f>82</f>
        <v>82.0</v>
      </c>
      <c r="F522" s="10"/>
      <c r="G522" s="2" t="n">
        <f>20117500</f>
        <v>2.01175E7</v>
      </c>
      <c r="H522" s="10"/>
      <c r="I522" s="2" t="str">
        <f>"－"</f>
        <v>－</v>
      </c>
      <c r="J522" s="10"/>
      <c r="K522" s="2" t="n">
        <f>270</f>
        <v>270.0</v>
      </c>
    </row>
    <row r="523">
      <c r="A523" s="8" t="s">
        <v>41</v>
      </c>
      <c r="B523" s="9" t="s">
        <v>82</v>
      </c>
      <c r="C523" s="9" t="s">
        <v>83</v>
      </c>
      <c r="D523" s="10"/>
      <c r="E523" s="2" t="n">
        <f>91</f>
        <v>91.0</v>
      </c>
      <c r="F523" s="10"/>
      <c r="G523" s="2" t="n">
        <f>21914500</f>
        <v>2.19145E7</v>
      </c>
      <c r="H523" s="10"/>
      <c r="I523" s="2" t="str">
        <f>"－"</f>
        <v>－</v>
      </c>
      <c r="J523" s="10"/>
      <c r="K523" s="2" t="n">
        <f>278</f>
        <v>278.0</v>
      </c>
    </row>
    <row r="524">
      <c r="A524" s="8" t="s">
        <v>42</v>
      </c>
      <c r="B524" s="9" t="s">
        <v>82</v>
      </c>
      <c r="C524" s="9" t="s">
        <v>83</v>
      </c>
      <c r="D524" s="10"/>
      <c r="E524" s="2"/>
      <c r="F524" s="10"/>
      <c r="G524" s="2"/>
      <c r="H524" s="10"/>
      <c r="I524" s="2"/>
      <c r="J524" s="10"/>
      <c r="K524" s="2"/>
    </row>
    <row r="525">
      <c r="A525" s="8" t="s">
        <v>43</v>
      </c>
      <c r="B525" s="9" t="s">
        <v>82</v>
      </c>
      <c r="C525" s="9" t="s">
        <v>83</v>
      </c>
      <c r="D525" s="10"/>
      <c r="E525" s="2"/>
      <c r="F525" s="10"/>
      <c r="G525" s="2"/>
      <c r="H525" s="10"/>
      <c r="I525" s="2"/>
      <c r="J525" s="10"/>
      <c r="K525" s="2"/>
    </row>
    <row r="526">
      <c r="A526" s="8" t="s">
        <v>44</v>
      </c>
      <c r="B526" s="9" t="s">
        <v>82</v>
      </c>
      <c r="C526" s="9" t="s">
        <v>83</v>
      </c>
      <c r="D526" s="10"/>
      <c r="E526" s="2"/>
      <c r="F526" s="10"/>
      <c r="G526" s="2"/>
      <c r="H526" s="10"/>
      <c r="I526" s="2"/>
      <c r="J526" s="10"/>
      <c r="K526" s="2"/>
    </row>
    <row r="527">
      <c r="A527" s="8" t="s">
        <v>45</v>
      </c>
      <c r="B527" s="9" t="s">
        <v>82</v>
      </c>
      <c r="C527" s="9" t="s">
        <v>83</v>
      </c>
      <c r="D527" s="10"/>
      <c r="E527" s="2"/>
      <c r="F527" s="10"/>
      <c r="G527" s="2"/>
      <c r="H527" s="10"/>
      <c r="I527" s="2"/>
      <c r="J527" s="10"/>
      <c r="K527" s="2"/>
    </row>
    <row r="528">
      <c r="A528" s="8" t="s">
        <v>46</v>
      </c>
      <c r="B528" s="9" t="s">
        <v>82</v>
      </c>
      <c r="C528" s="9" t="s">
        <v>83</v>
      </c>
      <c r="D528" s="10"/>
      <c r="E528" s="2" t="n">
        <f>47</f>
        <v>47.0</v>
      </c>
      <c r="F528" s="10"/>
      <c r="G528" s="2" t="n">
        <f>11295000</f>
        <v>1.1295E7</v>
      </c>
      <c r="H528" s="10"/>
      <c r="I528" s="2" t="str">
        <f>"－"</f>
        <v>－</v>
      </c>
      <c r="J528" s="10"/>
      <c r="K528" s="2" t="n">
        <f>250</f>
        <v>250.0</v>
      </c>
    </row>
    <row r="529">
      <c r="A529" s="8" t="s">
        <v>47</v>
      </c>
      <c r="B529" s="9" t="s">
        <v>82</v>
      </c>
      <c r="C529" s="9" t="s">
        <v>83</v>
      </c>
      <c r="D529" s="10"/>
      <c r="E529" s="2" t="n">
        <f>64</f>
        <v>64.0</v>
      </c>
      <c r="F529" s="10"/>
      <c r="G529" s="2" t="n">
        <f>14679500</f>
        <v>1.46795E7</v>
      </c>
      <c r="H529" s="10"/>
      <c r="I529" s="2" t="str">
        <f>"－"</f>
        <v>－</v>
      </c>
      <c r="J529" s="10"/>
      <c r="K529" s="2" t="n">
        <f>213</f>
        <v>213.0</v>
      </c>
    </row>
    <row r="530">
      <c r="A530" s="8" t="s">
        <v>48</v>
      </c>
      <c r="B530" s="9" t="s">
        <v>82</v>
      </c>
      <c r="C530" s="9" t="s">
        <v>83</v>
      </c>
      <c r="D530" s="10"/>
      <c r="E530" s="2" t="n">
        <f>27</f>
        <v>27.0</v>
      </c>
      <c r="F530" s="10"/>
      <c r="G530" s="2" t="n">
        <f>6503500</f>
        <v>6503500.0</v>
      </c>
      <c r="H530" s="10"/>
      <c r="I530" s="2" t="str">
        <f>"－"</f>
        <v>－</v>
      </c>
      <c r="J530" s="10"/>
      <c r="K530" s="2" t="n">
        <f>205</f>
        <v>205.0</v>
      </c>
    </row>
    <row r="531">
      <c r="A531" s="8" t="s">
        <v>49</v>
      </c>
      <c r="B531" s="9" t="s">
        <v>82</v>
      </c>
      <c r="C531" s="9" t="s">
        <v>83</v>
      </c>
      <c r="D531" s="10" t="s">
        <v>21</v>
      </c>
      <c r="E531" s="2" t="n">
        <f>95</f>
        <v>95.0</v>
      </c>
      <c r="F531" s="10" t="s">
        <v>21</v>
      </c>
      <c r="G531" s="2" t="n">
        <f>23209500</f>
        <v>2.32095E7</v>
      </c>
      <c r="H531" s="10"/>
      <c r="I531" s="2" t="str">
        <f>"－"</f>
        <v>－</v>
      </c>
      <c r="J531" s="10"/>
      <c r="K531" s="2" t="n">
        <f>170</f>
        <v>170.0</v>
      </c>
    </row>
    <row r="532">
      <c r="A532" s="8" t="s">
        <v>50</v>
      </c>
      <c r="B532" s="9" t="s">
        <v>82</v>
      </c>
      <c r="C532" s="9" t="s">
        <v>83</v>
      </c>
      <c r="D532" s="10"/>
      <c r="E532" s="2" t="n">
        <f>79</f>
        <v>79.0</v>
      </c>
      <c r="F532" s="10"/>
      <c r="G532" s="2" t="n">
        <f>20596500</f>
        <v>2.05965E7</v>
      </c>
      <c r="H532" s="10"/>
      <c r="I532" s="2" t="str">
        <f>"－"</f>
        <v>－</v>
      </c>
      <c r="J532" s="10" t="s">
        <v>19</v>
      </c>
      <c r="K532" s="2" t="n">
        <f>157</f>
        <v>157.0</v>
      </c>
    </row>
  </sheetData>
  <mergeCells count="12">
    <mergeCell ref="H4:I4"/>
    <mergeCell ref="J4:K4"/>
    <mergeCell ref="D5:E5"/>
    <mergeCell ref="F5:G5"/>
    <mergeCell ref="H5:I5"/>
    <mergeCell ref="J5:K5"/>
    <mergeCell ref="F4:G4"/>
    <mergeCell ref="A1:C1"/>
    <mergeCell ref="A2:C2"/>
    <mergeCell ref="B4:B5"/>
    <mergeCell ref="C4:C5"/>
    <mergeCell ref="D4:E4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6" useFirstPageNumber="1"/>
  <headerFooter>
    <oddFooter>&amp;C&amp;P / &amp;N&amp;RCopyright (c) Osaka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BO_DM0030</vt:lpstr>
      <vt:lpstr>BO_DM0030!Print_Titles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2018-10-19T05:56:44Z</dcterms:created>
  <dcterms:modified xsi:type="dcterms:W3CDTF">2020-05-11T05:25:59Z</dcterms:modified>
</cp:coreProperties>
</file>