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<sst xmlns="http://schemas.openxmlformats.org/spreadsheetml/2006/main" count="512" uniqueCount="68">
  <si>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</si>
  <si>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</si>
  <si>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</si>
  <si>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</si>
  <si>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</si>
  <si>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</si>
  <si>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</si>
  <si>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</si>
  <si>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</si>
  <si>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</si>
  <si>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</si>
  <si>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</si>
  <si>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</si>
  <si>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</si>
  <si>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</si>
  <si>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</si>
  <si>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</si>
  <si>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</si>
  <si>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</si>
  <si>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</si>
  <si>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</si>
  <si>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</si>
  <si>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</si>
  <si>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</si>
  <si>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</si>
  <si>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</si>
  <si>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7.1</t>
  </si>
  <si>
    <t>日経225オプション</t>
  </si>
  <si>
    <t>Nikkei 225 Options</t>
  </si>
  <si>
    <t>2</t>
  </si>
  <si>
    <t>3</t>
  </si>
  <si>
    <t>4</t>
  </si>
  <si>
    <t>5</t>
  </si>
  <si>
    <t>6</t>
  </si>
  <si>
    <t>7</t>
  </si>
  <si>
    <t>◎</t>
  </si>
  <si>
    <t>8</t>
  </si>
  <si>
    <t>9</t>
  </si>
  <si>
    <t>10</t>
  </si>
  <si>
    <t>●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</si>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</sst>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33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47" t="s">
        <v>6</v>
      </c>
      <c r="D5" s="47" t="s">
        <v>7</v>
      </c>
      <c r="E5" s="50"/>
      <c r="F5" s="50" t="s">
        <v>8</v>
      </c>
      <c r="G5" s="50"/>
      <c r="H5" s="50" t="s">
        <v>8</v>
      </c>
      <c r="I5" s="51"/>
      <c r="J5" s="47" t="s">
        <v>9</v>
      </c>
      <c r="K5" s="50"/>
      <c r="L5" s="50" t="s">
        <v>8</v>
      </c>
      <c r="M5" s="50"/>
      <c r="N5" s="50" t="s">
        <v>8</v>
      </c>
      <c r="O5" s="51"/>
      <c r="P5" s="50" t="s">
        <v>10</v>
      </c>
      <c r="Q5" s="50"/>
      <c r="R5" s="51"/>
      <c r="S5" s="47" t="s">
        <v>11</v>
      </c>
      <c r="T5" s="50"/>
      <c r="U5" s="50" t="s">
        <v>8</v>
      </c>
      <c r="V5" s="50"/>
      <c r="W5" s="50" t="s">
        <v>8</v>
      </c>
      <c r="X5" s="51"/>
      <c r="Y5" s="47" t="s">
        <v>12</v>
      </c>
      <c r="Z5" s="50"/>
      <c r="AA5" s="50" t="s">
        <v>8</v>
      </c>
      <c r="AB5" s="50"/>
      <c r="AC5" s="50" t="s">
        <v>8</v>
      </c>
      <c r="AD5" s="51"/>
    </row>
    <row customFormat="1" customHeight="1" ht="17.100000000000001" r="6" s="12" spans="1:30">
      <c r="A6" s="41"/>
      <c r="B6" s="41"/>
      <c r="C6" s="48"/>
      <c r="D6" s="52" t="s">
        <v>13</v>
      </c>
      <c r="E6" s="39"/>
      <c r="F6" s="37" t="s">
        <v>14</v>
      </c>
      <c r="G6" s="38"/>
      <c r="H6" s="39" t="s">
        <v>15</v>
      </c>
      <c r="I6" s="40"/>
      <c r="J6" s="52" t="s">
        <v>13</v>
      </c>
      <c r="K6" s="39"/>
      <c r="L6" s="37" t="s">
        <v>14</v>
      </c>
      <c r="M6" s="38"/>
      <c r="N6" s="39" t="s">
        <v>15</v>
      </c>
      <c r="O6" s="40"/>
      <c r="P6" s="13" t="s">
        <v>13</v>
      </c>
      <c r="Q6" s="14" t="s">
        <v>14</v>
      </c>
      <c r="R6" s="15" t="s">
        <v>16</v>
      </c>
      <c r="S6" s="52" t="s">
        <v>13</v>
      </c>
      <c r="T6" s="39"/>
      <c r="U6" s="37" t="s">
        <v>14</v>
      </c>
      <c r="V6" s="38"/>
      <c r="W6" s="39" t="s">
        <v>15</v>
      </c>
      <c r="X6" s="40"/>
      <c r="Y6" s="52" t="s">
        <v>13</v>
      </c>
      <c r="Z6" s="39"/>
      <c r="AA6" s="37" t="s">
        <v>14</v>
      </c>
      <c r="AB6" s="38"/>
      <c r="AC6" s="39" t="s">
        <v>15</v>
      </c>
      <c r="AD6" s="40"/>
    </row>
    <row customFormat="1" customHeight="1" ht="1.5" r="7" s="12" spans="1:30">
      <c r="A7" s="16"/>
      <c r="B7" s="41"/>
      <c r="C7" s="4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8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35"/>
      <c r="F9" s="49" t="s">
        <v>24</v>
      </c>
      <c r="G9" s="34"/>
      <c r="H9" s="35" t="s">
        <v>25</v>
      </c>
      <c r="I9" s="36"/>
      <c r="J9" s="31" t="s">
        <v>23</v>
      </c>
      <c r="K9" s="32"/>
      <c r="L9" s="33" t="s">
        <v>24</v>
      </c>
      <c r="M9" s="34"/>
      <c r="N9" s="35" t="s">
        <v>25</v>
      </c>
      <c r="O9" s="36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33" t="s">
        <v>24</v>
      </c>
      <c r="V9" s="34"/>
      <c r="W9" s="35" t="s">
        <v>25</v>
      </c>
      <c r="X9" s="36"/>
      <c r="Y9" s="31" t="s">
        <v>23</v>
      </c>
      <c r="Z9" s="32"/>
      <c r="AA9" s="33" t="s">
        <v>24</v>
      </c>
      <c r="AB9" s="34"/>
      <c r="AC9" s="35" t="s">
        <v>25</v>
      </c>
      <c r="AD9" s="36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65495</f>
        <v>65495.0</v>
      </c>
      <c r="F10" s="23"/>
      <c r="G10" s="25" t="n">
        <f>40448</f>
        <v>40448.0</v>
      </c>
      <c r="H10" s="23"/>
      <c r="I10" s="26" t="n">
        <f>105943</f>
        <v>105943.0</v>
      </c>
      <c r="J10" s="24"/>
      <c r="K10" s="25" t="n">
        <f>14531815890</f>
        <v>1.453181589E10</v>
      </c>
      <c r="L10" s="23"/>
      <c r="M10" s="25" t="n">
        <f>9062480150</f>
        <v>9.06248015E9</v>
      </c>
      <c r="N10" s="23"/>
      <c r="O10" s="26" t="n">
        <f>23594296040</f>
        <v>2.359429604E10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14050</f>
        <v>14050.0</v>
      </c>
      <c r="U10" s="23"/>
      <c r="V10" s="25" t="n">
        <f>4339</f>
        <v>4339.0</v>
      </c>
      <c r="W10" s="23"/>
      <c r="X10" s="26" t="n">
        <f>18389</f>
        <v>18389.0</v>
      </c>
      <c r="Y10" s="24"/>
      <c r="Z10" s="25" t="n">
        <f>1198979</f>
        <v>1198979.0</v>
      </c>
      <c r="AA10" s="23"/>
      <c r="AB10" s="25" t="n">
        <f>615328</f>
        <v>615328.0</v>
      </c>
      <c r="AC10" s="23"/>
      <c r="AD10" s="26" t="n">
        <f>1814307</f>
        <v>1814307.0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59727</f>
        <v>59727.0</v>
      </c>
      <c r="F11" s="23"/>
      <c r="G11" s="25" t="n">
        <f>38607</f>
        <v>38607.0</v>
      </c>
      <c r="H11" s="23"/>
      <c r="I11" s="26" t="n">
        <f>98334</f>
        <v>98334.0</v>
      </c>
      <c r="J11" s="24"/>
      <c r="K11" s="25" t="n">
        <f>9849581000</f>
        <v>9.849581E9</v>
      </c>
      <c r="L11" s="23"/>
      <c r="M11" s="25" t="n">
        <f>4698006600</f>
        <v>4.6980066E9</v>
      </c>
      <c r="N11" s="23"/>
      <c r="O11" s="26" t="n">
        <f>14547587600</f>
        <v>1.45475876E10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7045</f>
        <v>7045.0</v>
      </c>
      <c r="U11" s="23"/>
      <c r="V11" s="25" t="n">
        <f>4843</f>
        <v>4843.0</v>
      </c>
      <c r="W11" s="23"/>
      <c r="X11" s="26" t="n">
        <f>11888</f>
        <v>11888.0</v>
      </c>
      <c r="Y11" s="24"/>
      <c r="Z11" s="25" t="n">
        <f>1227264</f>
        <v>1227264.0</v>
      </c>
      <c r="AA11" s="23"/>
      <c r="AB11" s="25" t="n">
        <f>635160</f>
        <v>635160.0</v>
      </c>
      <c r="AC11" s="23"/>
      <c r="AD11" s="26" t="n">
        <f>1862424</f>
        <v>1862424.0</v>
      </c>
    </row>
    <row r="12">
      <c r="A12" s="30" t="s">
        <v>30</v>
      </c>
      <c r="B12" s="22" t="s">
        <v>27</v>
      </c>
      <c r="C12" s="22" t="s">
        <v>28</v>
      </c>
      <c r="D12" s="24"/>
      <c r="E12" s="25" t="n">
        <f>58988</f>
        <v>58988.0</v>
      </c>
      <c r="F12" s="23"/>
      <c r="G12" s="25" t="n">
        <f>36419</f>
        <v>36419.0</v>
      </c>
      <c r="H12" s="23"/>
      <c r="I12" s="26" t="n">
        <f>95407</f>
        <v>95407.0</v>
      </c>
      <c r="J12" s="24"/>
      <c r="K12" s="25" t="n">
        <f>10659143740</f>
        <v>1.065914374E10</v>
      </c>
      <c r="L12" s="23"/>
      <c r="M12" s="25" t="n">
        <f>6850202000</f>
        <v>6.850202E9</v>
      </c>
      <c r="N12" s="23"/>
      <c r="O12" s="26" t="n">
        <f>17509345740</f>
        <v>1.750934574E10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7322</f>
        <v>7322.0</v>
      </c>
      <c r="U12" s="23"/>
      <c r="V12" s="25" t="n">
        <f>4171</f>
        <v>4171.0</v>
      </c>
      <c r="W12" s="23"/>
      <c r="X12" s="26" t="n">
        <f>11493</f>
        <v>11493.0</v>
      </c>
      <c r="Y12" s="24"/>
      <c r="Z12" s="25" t="n">
        <f>1207336</f>
        <v>1207336.0</v>
      </c>
      <c r="AA12" s="23"/>
      <c r="AB12" s="25" t="n">
        <f>626707</f>
        <v>626707.0</v>
      </c>
      <c r="AC12" s="23"/>
      <c r="AD12" s="26" t="n">
        <f>1834043</f>
        <v>1834043.0</v>
      </c>
    </row>
    <row r="13">
      <c r="A13" s="30" t="s">
        <v>31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32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33</v>
      </c>
      <c r="B15" s="22" t="s">
        <v>27</v>
      </c>
      <c r="C15" s="22" t="s">
        <v>28</v>
      </c>
      <c r="D15" s="24"/>
      <c r="E15" s="25" t="n">
        <f>90188</f>
        <v>90188.0</v>
      </c>
      <c r="F15" s="23"/>
      <c r="G15" s="25" t="n">
        <f>48204</f>
        <v>48204.0</v>
      </c>
      <c r="H15" s="23"/>
      <c r="I15" s="26" t="n">
        <f>138392</f>
        <v>138392.0</v>
      </c>
      <c r="J15" s="24"/>
      <c r="K15" s="25" t="n">
        <f>18108267320</f>
        <v>1.810826732E10</v>
      </c>
      <c r="L15" s="23"/>
      <c r="M15" s="25" t="n">
        <f>19530399860</f>
        <v>1.953039986E10</v>
      </c>
      <c r="N15" s="23"/>
      <c r="O15" s="26" t="n">
        <f>37638667180</f>
        <v>3.763866718E10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28869</f>
        <v>28869.0</v>
      </c>
      <c r="U15" s="23"/>
      <c r="V15" s="25" t="n">
        <f>9186</f>
        <v>9186.0</v>
      </c>
      <c r="W15" s="23"/>
      <c r="X15" s="26" t="n">
        <f>38055</f>
        <v>38055.0</v>
      </c>
      <c r="Y15" s="24"/>
      <c r="Z15" s="25" t="n">
        <f>1222563</f>
        <v>1222563.0</v>
      </c>
      <c r="AA15" s="23"/>
      <c r="AB15" s="25" t="n">
        <f>632649</f>
        <v>632649.0</v>
      </c>
      <c r="AC15" s="23"/>
      <c r="AD15" s="26" t="n">
        <f>1855212</f>
        <v>1855212.0</v>
      </c>
    </row>
    <row r="16">
      <c r="A16" s="30" t="s">
        <v>34</v>
      </c>
      <c r="B16" s="22" t="s">
        <v>27</v>
      </c>
      <c r="C16" s="22" t="s">
        <v>28</v>
      </c>
      <c r="D16" s="24"/>
      <c r="E16" s="25" t="n">
        <f>82581</f>
        <v>82581.0</v>
      </c>
      <c r="F16" s="23"/>
      <c r="G16" s="25" t="n">
        <f>42115</f>
        <v>42115.0</v>
      </c>
      <c r="H16" s="23"/>
      <c r="I16" s="26" t="n">
        <f>124696</f>
        <v>124696.0</v>
      </c>
      <c r="J16" s="24" t="s">
        <v>35</v>
      </c>
      <c r="K16" s="25" t="n">
        <f>22069203296</f>
        <v>2.2069203296E10</v>
      </c>
      <c r="L16" s="23" t="s">
        <v>35</v>
      </c>
      <c r="M16" s="25" t="n">
        <f>24874485400</f>
        <v>2.48744854E10</v>
      </c>
      <c r="N16" s="23" t="s">
        <v>35</v>
      </c>
      <c r="O16" s="26" t="n">
        <f>46943688696</f>
        <v>4.6943688696E10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 t="s">
        <v>35</v>
      </c>
      <c r="T16" s="25" t="n">
        <f>34104</f>
        <v>34104.0</v>
      </c>
      <c r="U16" s="23" t="s">
        <v>35</v>
      </c>
      <c r="V16" s="25" t="n">
        <f>11790</f>
        <v>11790.0</v>
      </c>
      <c r="W16" s="23" t="s">
        <v>35</v>
      </c>
      <c r="X16" s="26" t="n">
        <f>45894</f>
        <v>45894.0</v>
      </c>
      <c r="Y16" s="24"/>
      <c r="Z16" s="25" t="n">
        <f>1228394</f>
        <v>1228394.0</v>
      </c>
      <c r="AA16" s="23"/>
      <c r="AB16" s="25" t="n">
        <f>631699</f>
        <v>631699.0</v>
      </c>
      <c r="AC16" s="23"/>
      <c r="AD16" s="26" t="n">
        <f>1860093</f>
        <v>1860093.0</v>
      </c>
    </row>
    <row r="17">
      <c r="A17" s="30" t="s">
        <v>36</v>
      </c>
      <c r="B17" s="22" t="s">
        <v>27</v>
      </c>
      <c r="C17" s="22" t="s">
        <v>28</v>
      </c>
      <c r="D17" s="24"/>
      <c r="E17" s="25" t="n">
        <f>61009</f>
        <v>61009.0</v>
      </c>
      <c r="F17" s="23"/>
      <c r="G17" s="25" t="n">
        <f>50372</f>
        <v>50372.0</v>
      </c>
      <c r="H17" s="23"/>
      <c r="I17" s="26" t="n">
        <f>111381</f>
        <v>111381.0</v>
      </c>
      <c r="J17" s="24"/>
      <c r="K17" s="25" t="n">
        <f>8796893436</f>
        <v>8.796893436E9</v>
      </c>
      <c r="L17" s="23"/>
      <c r="M17" s="25" t="n">
        <f>5271736500</f>
        <v>5.2717365E9</v>
      </c>
      <c r="N17" s="23"/>
      <c r="O17" s="26" t="n">
        <f>14068629936</f>
        <v>1.4068629936E10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10182</f>
        <v>10182.0</v>
      </c>
      <c r="U17" s="23"/>
      <c r="V17" s="25" t="n">
        <f>7282</f>
        <v>7282.0</v>
      </c>
      <c r="W17" s="23"/>
      <c r="X17" s="26" t="n">
        <f>17464</f>
        <v>17464.0</v>
      </c>
      <c r="Y17" s="24"/>
      <c r="Z17" s="25" t="n">
        <f>1243913</f>
        <v>1243913.0</v>
      </c>
      <c r="AA17" s="23"/>
      <c r="AB17" s="25" t="n">
        <f>643938</f>
        <v>643938.0</v>
      </c>
      <c r="AC17" s="23"/>
      <c r="AD17" s="26" t="n">
        <f>1887851</f>
        <v>1887851.0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70043</f>
        <v>70043.0</v>
      </c>
      <c r="F18" s="23"/>
      <c r="G18" s="25" t="n">
        <f>48881</f>
        <v>48881.0</v>
      </c>
      <c r="H18" s="23"/>
      <c r="I18" s="26" t="n">
        <f>118924</f>
        <v>118924.0</v>
      </c>
      <c r="J18" s="24"/>
      <c r="K18" s="25" t="n">
        <f>9936042680</f>
        <v>9.93604268E9</v>
      </c>
      <c r="L18" s="23"/>
      <c r="M18" s="25" t="n">
        <f>7119398650</f>
        <v>7.11939865E9</v>
      </c>
      <c r="N18" s="23"/>
      <c r="O18" s="26" t="n">
        <f>17055441330</f>
        <v>1.705544133E10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6261</f>
        <v>6261.0</v>
      </c>
      <c r="U18" s="23"/>
      <c r="V18" s="25" t="n">
        <f>6920</f>
        <v>6920.0</v>
      </c>
      <c r="W18" s="23"/>
      <c r="X18" s="26" t="n">
        <f>13181</f>
        <v>13181.0</v>
      </c>
      <c r="Y18" s="24" t="s">
        <v>35</v>
      </c>
      <c r="Z18" s="25" t="n">
        <f>1250835</f>
        <v>1250835.0</v>
      </c>
      <c r="AA18" s="23" t="s">
        <v>35</v>
      </c>
      <c r="AB18" s="25" t="n">
        <f>649663</f>
        <v>649663.0</v>
      </c>
      <c r="AC18" s="23" t="s">
        <v>35</v>
      </c>
      <c r="AD18" s="26" t="n">
        <f>1900498</f>
        <v>1900498.0</v>
      </c>
    </row>
    <row r="19">
      <c r="A19" s="30" t="s">
        <v>38</v>
      </c>
      <c r="B19" s="22" t="s">
        <v>27</v>
      </c>
      <c r="C19" s="22" t="s">
        <v>28</v>
      </c>
      <c r="D19" s="24"/>
      <c r="E19" s="25" t="n">
        <f>51351</f>
        <v>51351.0</v>
      </c>
      <c r="F19" s="23"/>
      <c r="G19" s="25" t="n">
        <f>24521</f>
        <v>24521.0</v>
      </c>
      <c r="H19" s="23"/>
      <c r="I19" s="26" t="n">
        <f>75872</f>
        <v>75872.0</v>
      </c>
      <c r="J19" s="24"/>
      <c r="K19" s="25" t="n">
        <f>17502657390</f>
        <v>1.750265739E10</v>
      </c>
      <c r="L19" s="23"/>
      <c r="M19" s="25" t="n">
        <f>12552278000</f>
        <v>1.2552278E10</v>
      </c>
      <c r="N19" s="23"/>
      <c r="O19" s="26" t="n">
        <f>30054935390</f>
        <v>3.005493539E10</v>
      </c>
      <c r="P19" s="27" t="n">
        <f>7782</f>
        <v>7782.0</v>
      </c>
      <c r="Q19" s="28" t="n">
        <f>33483</f>
        <v>33483.0</v>
      </c>
      <c r="R19" s="29" t="n">
        <f>41265</f>
        <v>41265.0</v>
      </c>
      <c r="S19" s="24"/>
      <c r="T19" s="25" t="n">
        <f>4630</f>
        <v>4630.0</v>
      </c>
      <c r="U19" s="23"/>
      <c r="V19" s="25" t="n">
        <f>3051</f>
        <v>3051.0</v>
      </c>
      <c r="W19" s="23"/>
      <c r="X19" s="26" t="n">
        <f>7681</f>
        <v>7681.0</v>
      </c>
      <c r="Y19" s="24" t="s">
        <v>39</v>
      </c>
      <c r="Z19" s="25" t="n">
        <f>1055364</f>
        <v>1055364.0</v>
      </c>
      <c r="AA19" s="23" t="s">
        <v>39</v>
      </c>
      <c r="AB19" s="25" t="n">
        <f>561540</f>
        <v>561540.0</v>
      </c>
      <c r="AC19" s="23" t="s">
        <v>39</v>
      </c>
      <c r="AD19" s="26" t="n">
        <f>1616904</f>
        <v>1616904.0</v>
      </c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/>
      <c r="E22" s="25" t="n">
        <f>47736</f>
        <v>47736.0</v>
      </c>
      <c r="F22" s="23"/>
      <c r="G22" s="25" t="n">
        <f>25125</f>
        <v>25125.0</v>
      </c>
      <c r="H22" s="23"/>
      <c r="I22" s="26" t="n">
        <f>72861</f>
        <v>72861.0</v>
      </c>
      <c r="J22" s="24"/>
      <c r="K22" s="25" t="n">
        <f>9131380690</f>
        <v>9.13138069E9</v>
      </c>
      <c r="L22" s="23"/>
      <c r="M22" s="25" t="n">
        <f>5346364400</f>
        <v>5.3463644E9</v>
      </c>
      <c r="N22" s="23"/>
      <c r="O22" s="26" t="n">
        <f>14477745090</f>
        <v>1.447774509E10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11377</f>
        <v>11377.0</v>
      </c>
      <c r="U22" s="23"/>
      <c r="V22" s="25" t="n">
        <f>2939</f>
        <v>2939.0</v>
      </c>
      <c r="W22" s="23"/>
      <c r="X22" s="26" t="n">
        <f>14316</f>
        <v>14316.0</v>
      </c>
      <c r="Y22" s="24"/>
      <c r="Z22" s="25" t="n">
        <f>1070154</f>
        <v>1070154.0</v>
      </c>
      <c r="AA22" s="23"/>
      <c r="AB22" s="25" t="n">
        <f>569994</f>
        <v>569994.0</v>
      </c>
      <c r="AC22" s="23"/>
      <c r="AD22" s="26" t="n">
        <f>1640148</f>
        <v>1640148.0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46934</f>
        <v>46934.0</v>
      </c>
      <c r="F23" s="23"/>
      <c r="G23" s="25" t="n">
        <f>22259</f>
        <v>22259.0</v>
      </c>
      <c r="H23" s="23"/>
      <c r="I23" s="26" t="n">
        <f>69193</f>
        <v>69193.0</v>
      </c>
      <c r="J23" s="24"/>
      <c r="K23" s="25" t="n">
        <f>14962731525</f>
        <v>1.4962731525E10</v>
      </c>
      <c r="L23" s="23"/>
      <c r="M23" s="25" t="n">
        <f>4331382300</f>
        <v>4.3313823E9</v>
      </c>
      <c r="N23" s="23"/>
      <c r="O23" s="26" t="n">
        <f>19294113825</f>
        <v>1.9294113825E10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/>
      <c r="T23" s="25" t="n">
        <f>14899</f>
        <v>14899.0</v>
      </c>
      <c r="U23" s="23"/>
      <c r="V23" s="25" t="n">
        <f>6197</f>
        <v>6197.0</v>
      </c>
      <c r="W23" s="23"/>
      <c r="X23" s="26" t="n">
        <f>21096</f>
        <v>21096.0</v>
      </c>
      <c r="Y23" s="24"/>
      <c r="Z23" s="25" t="n">
        <f>1076696</f>
        <v>1076696.0</v>
      </c>
      <c r="AA23" s="23"/>
      <c r="AB23" s="25" t="n">
        <f>573853</f>
        <v>573853.0</v>
      </c>
      <c r="AC23" s="23"/>
      <c r="AD23" s="26" t="n">
        <f>1650549</f>
        <v>1650549.0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48040</f>
        <v>48040.0</v>
      </c>
      <c r="F24" s="23"/>
      <c r="G24" s="25" t="n">
        <f>29547</f>
        <v>29547.0</v>
      </c>
      <c r="H24" s="23"/>
      <c r="I24" s="26" t="n">
        <f>77587</f>
        <v>77587.0</v>
      </c>
      <c r="J24" s="24"/>
      <c r="K24" s="25" t="n">
        <f>10441420500</f>
        <v>1.04414205E10</v>
      </c>
      <c r="L24" s="23"/>
      <c r="M24" s="25" t="n">
        <f>7666418500</f>
        <v>7.6664185E9</v>
      </c>
      <c r="N24" s="23"/>
      <c r="O24" s="26" t="n">
        <f>18107839000</f>
        <v>1.8107839E10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8077</f>
        <v>8077.0</v>
      </c>
      <c r="U24" s="23"/>
      <c r="V24" s="25" t="n">
        <f>6963</f>
        <v>6963.0</v>
      </c>
      <c r="W24" s="23"/>
      <c r="X24" s="26" t="n">
        <f>15040</f>
        <v>15040.0</v>
      </c>
      <c r="Y24" s="24"/>
      <c r="Z24" s="25" t="n">
        <f>1086842</f>
        <v>1086842.0</v>
      </c>
      <c r="AA24" s="23"/>
      <c r="AB24" s="25" t="n">
        <f>578972</f>
        <v>578972.0</v>
      </c>
      <c r="AC24" s="23"/>
      <c r="AD24" s="26" t="n">
        <f>1665814</f>
        <v>1665814.0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41796</f>
        <v>41796.0</v>
      </c>
      <c r="F25" s="23"/>
      <c r="G25" s="25" t="n">
        <f>24649</f>
        <v>24649.0</v>
      </c>
      <c r="H25" s="23"/>
      <c r="I25" s="26" t="n">
        <f>66445</f>
        <v>66445.0</v>
      </c>
      <c r="J25" s="24"/>
      <c r="K25" s="25" t="n">
        <f>8157368144</f>
        <v>8.157368144E9</v>
      </c>
      <c r="L25" s="23"/>
      <c r="M25" s="25" t="n">
        <f>8342850000</f>
        <v>8.34285E9</v>
      </c>
      <c r="N25" s="23"/>
      <c r="O25" s="26" t="n">
        <f>16500218144</f>
        <v>1.6500218144E10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6802</f>
        <v>6802.0</v>
      </c>
      <c r="U25" s="23"/>
      <c r="V25" s="25" t="n">
        <f>7240</f>
        <v>7240.0</v>
      </c>
      <c r="W25" s="23"/>
      <c r="X25" s="26" t="n">
        <f>14042</f>
        <v>14042.0</v>
      </c>
      <c r="Y25" s="24"/>
      <c r="Z25" s="25" t="n">
        <f>1095812</f>
        <v>1095812.0</v>
      </c>
      <c r="AA25" s="23"/>
      <c r="AB25" s="25" t="n">
        <f>582745</f>
        <v>582745.0</v>
      </c>
      <c r="AC25" s="23"/>
      <c r="AD25" s="26" t="n">
        <f>1678557</f>
        <v>1678557.0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41450</f>
        <v>41450.0</v>
      </c>
      <c r="F26" s="23" t="s">
        <v>39</v>
      </c>
      <c r="G26" s="25" t="n">
        <f>20965</f>
        <v>20965.0</v>
      </c>
      <c r="H26" s="23" t="s">
        <v>39</v>
      </c>
      <c r="I26" s="26" t="n">
        <f>62415</f>
        <v>62415.0</v>
      </c>
      <c r="J26" s="24"/>
      <c r="K26" s="25" t="n">
        <f>8635140120</f>
        <v>8.63514012E9</v>
      </c>
      <c r="L26" s="23"/>
      <c r="M26" s="25" t="n">
        <f>4869960658</f>
        <v>4.869960658E9</v>
      </c>
      <c r="N26" s="23"/>
      <c r="O26" s="26" t="n">
        <f>13505100778</f>
        <v>1.3505100778E10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10142</f>
        <v>10142.0</v>
      </c>
      <c r="U26" s="23"/>
      <c r="V26" s="25" t="n">
        <f>3668</f>
        <v>3668.0</v>
      </c>
      <c r="W26" s="23"/>
      <c r="X26" s="26" t="n">
        <f>13810</f>
        <v>13810.0</v>
      </c>
      <c r="Y26" s="24"/>
      <c r="Z26" s="25" t="n">
        <f>1101468</f>
        <v>1101468.0</v>
      </c>
      <c r="AA26" s="23"/>
      <c r="AB26" s="25" t="n">
        <f>585450</f>
        <v>585450.0</v>
      </c>
      <c r="AC26" s="23"/>
      <c r="AD26" s="26" t="n">
        <f>1686918</f>
        <v>1686918.0</v>
      </c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/>
      <c r="E29" s="25" t="n">
        <f>45722</f>
        <v>45722.0</v>
      </c>
      <c r="F29" s="23"/>
      <c r="G29" s="25" t="n">
        <f>23073</f>
        <v>23073.0</v>
      </c>
      <c r="H29" s="23"/>
      <c r="I29" s="26" t="n">
        <f>68795</f>
        <v>68795.0</v>
      </c>
      <c r="J29" s="24"/>
      <c r="K29" s="25" t="n">
        <f>8599002000</f>
        <v>8.599002E9</v>
      </c>
      <c r="L29" s="23"/>
      <c r="M29" s="25" t="n">
        <f>5455688000</f>
        <v>5.455688E9</v>
      </c>
      <c r="N29" s="23"/>
      <c r="O29" s="26" t="n">
        <f>14054690000</f>
        <v>1.405469E10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10784</f>
        <v>10784.0</v>
      </c>
      <c r="U29" s="23"/>
      <c r="V29" s="25" t="n">
        <f>2788</f>
        <v>2788.0</v>
      </c>
      <c r="W29" s="23"/>
      <c r="X29" s="26" t="n">
        <f>13572</f>
        <v>13572.0</v>
      </c>
      <c r="Y29" s="24"/>
      <c r="Z29" s="25" t="n">
        <f>1111321</f>
        <v>1111321.0</v>
      </c>
      <c r="AA29" s="23"/>
      <c r="AB29" s="25" t="n">
        <f>588862</f>
        <v>588862.0</v>
      </c>
      <c r="AC29" s="23"/>
      <c r="AD29" s="26" t="n">
        <f>1700183</f>
        <v>1700183.0</v>
      </c>
    </row>
    <row r="30">
      <c r="A30" s="30" t="s">
        <v>50</v>
      </c>
      <c r="B30" s="22" t="s">
        <v>27</v>
      </c>
      <c r="C30" s="22" t="s">
        <v>28</v>
      </c>
      <c r="D30" s="24" t="s">
        <v>39</v>
      </c>
      <c r="E30" s="25" t="n">
        <f>38554</f>
        <v>38554.0</v>
      </c>
      <c r="F30" s="23"/>
      <c r="G30" s="25" t="n">
        <f>29173</f>
        <v>29173.0</v>
      </c>
      <c r="H30" s="23"/>
      <c r="I30" s="26" t="n">
        <f>67727</f>
        <v>67727.0</v>
      </c>
      <c r="J30" s="24" t="s">
        <v>39</v>
      </c>
      <c r="K30" s="25" t="n">
        <f>5822210000</f>
        <v>5.82221E9</v>
      </c>
      <c r="L30" s="23"/>
      <c r="M30" s="25" t="n">
        <f>4147447500</f>
        <v>4.1474475E9</v>
      </c>
      <c r="N30" s="23" t="s">
        <v>39</v>
      </c>
      <c r="O30" s="26" t="n">
        <f>9969657500</f>
        <v>9.9696575E9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9388</f>
        <v>9388.0</v>
      </c>
      <c r="U30" s="23" t="s">
        <v>39</v>
      </c>
      <c r="V30" s="25" t="n">
        <f>2685</f>
        <v>2685.0</v>
      </c>
      <c r="W30" s="23"/>
      <c r="X30" s="26" t="n">
        <f>12073</f>
        <v>12073.0</v>
      </c>
      <c r="Y30" s="24"/>
      <c r="Z30" s="25" t="n">
        <f>1117775</f>
        <v>1117775.0</v>
      </c>
      <c r="AA30" s="23"/>
      <c r="AB30" s="25" t="n">
        <f>596120</f>
        <v>596120.0</v>
      </c>
      <c r="AC30" s="23"/>
      <c r="AD30" s="26" t="n">
        <f>1713895</f>
        <v>1713895.0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60890</f>
        <v>60890.0</v>
      </c>
      <c r="F31" s="23"/>
      <c r="G31" s="25" t="n">
        <f>32400</f>
        <v>32400.0</v>
      </c>
      <c r="H31" s="23"/>
      <c r="I31" s="26" t="n">
        <f>93290</f>
        <v>93290.0</v>
      </c>
      <c r="J31" s="24"/>
      <c r="K31" s="25" t="n">
        <f>11587519644</f>
        <v>1.1587519644E10</v>
      </c>
      <c r="L31" s="23"/>
      <c r="M31" s="25" t="n">
        <f>4789573000</f>
        <v>4.789573E9</v>
      </c>
      <c r="N31" s="23"/>
      <c r="O31" s="26" t="n">
        <f>16377092644</f>
        <v>1.6377092644E10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8187</f>
        <v>8187.0</v>
      </c>
      <c r="U31" s="23"/>
      <c r="V31" s="25" t="n">
        <f>6350</f>
        <v>6350.0</v>
      </c>
      <c r="W31" s="23"/>
      <c r="X31" s="26" t="n">
        <f>14537</f>
        <v>14537.0</v>
      </c>
      <c r="Y31" s="24"/>
      <c r="Z31" s="25" t="n">
        <f>1128648</f>
        <v>1128648.0</v>
      </c>
      <c r="AA31" s="23"/>
      <c r="AB31" s="25" t="n">
        <f>606153</f>
        <v>606153.0</v>
      </c>
      <c r="AC31" s="23"/>
      <c r="AD31" s="26" t="n">
        <f>1734801</f>
        <v>1734801.0</v>
      </c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/>
      <c r="F33" s="23"/>
      <c r="G33" s="25"/>
      <c r="H33" s="23"/>
      <c r="I33" s="26"/>
      <c r="J33" s="24"/>
      <c r="K33" s="25"/>
      <c r="L33" s="23"/>
      <c r="M33" s="25"/>
      <c r="N33" s="23"/>
      <c r="O33" s="26"/>
      <c r="P33" s="27"/>
      <c r="Q33" s="28"/>
      <c r="R33" s="29"/>
      <c r="S33" s="24"/>
      <c r="T33" s="25"/>
      <c r="U33" s="23"/>
      <c r="V33" s="25"/>
      <c r="W33" s="23"/>
      <c r="X33" s="26"/>
      <c r="Y33" s="24"/>
      <c r="Z33" s="25"/>
      <c r="AA33" s="23"/>
      <c r="AB33" s="25"/>
      <c r="AC33" s="23"/>
      <c r="AD33" s="26"/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 t="n">
        <f>64774</f>
        <v>64774.0</v>
      </c>
      <c r="F36" s="23"/>
      <c r="G36" s="25" t="n">
        <f>35544</f>
        <v>35544.0</v>
      </c>
      <c r="H36" s="23"/>
      <c r="I36" s="26" t="n">
        <f>100318</f>
        <v>100318.0</v>
      </c>
      <c r="J36" s="24"/>
      <c r="K36" s="25" t="n">
        <f>9339487000</f>
        <v>9.339487E9</v>
      </c>
      <c r="L36" s="23"/>
      <c r="M36" s="25" t="n">
        <f>4170521000</f>
        <v>4.170521E9</v>
      </c>
      <c r="N36" s="23"/>
      <c r="O36" s="26" t="n">
        <f>13510008000</f>
        <v>1.3510008E10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13219</f>
        <v>13219.0</v>
      </c>
      <c r="U36" s="23"/>
      <c r="V36" s="25" t="n">
        <f>5106</f>
        <v>5106.0</v>
      </c>
      <c r="W36" s="23"/>
      <c r="X36" s="26" t="n">
        <f>18325</f>
        <v>18325.0</v>
      </c>
      <c r="Y36" s="24"/>
      <c r="Z36" s="25" t="n">
        <f>1129841</f>
        <v>1129841.0</v>
      </c>
      <c r="AA36" s="23"/>
      <c r="AB36" s="25" t="n">
        <f>602501</f>
        <v>602501.0</v>
      </c>
      <c r="AC36" s="23"/>
      <c r="AD36" s="26" t="n">
        <f>1732342</f>
        <v>1732342.0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40801</f>
        <v>40801.0</v>
      </c>
      <c r="F37" s="23"/>
      <c r="G37" s="25" t="n">
        <f>28605</f>
        <v>28605.0</v>
      </c>
      <c r="H37" s="23"/>
      <c r="I37" s="26" t="n">
        <f>69406</f>
        <v>69406.0</v>
      </c>
      <c r="J37" s="24"/>
      <c r="K37" s="25" t="n">
        <f>7281423320</f>
        <v>7.28142332E9</v>
      </c>
      <c r="L37" s="23"/>
      <c r="M37" s="25" t="n">
        <f>4137774530</f>
        <v>4.13777453E9</v>
      </c>
      <c r="N37" s="23"/>
      <c r="O37" s="26" t="n">
        <f>11419197850</f>
        <v>1.141919785E10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4910</f>
        <v>4910.0</v>
      </c>
      <c r="U37" s="23"/>
      <c r="V37" s="25" t="n">
        <f>8080</f>
        <v>8080.0</v>
      </c>
      <c r="W37" s="23"/>
      <c r="X37" s="26" t="n">
        <f>12990</f>
        <v>12990.0</v>
      </c>
      <c r="Y37" s="24"/>
      <c r="Z37" s="25" t="n">
        <f>1139195</f>
        <v>1139195.0</v>
      </c>
      <c r="AA37" s="23"/>
      <c r="AB37" s="25" t="n">
        <f>608891</f>
        <v>608891.0</v>
      </c>
      <c r="AC37" s="23"/>
      <c r="AD37" s="26" t="n">
        <f>1748086</f>
        <v>1748086.0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69138</f>
        <v>69138.0</v>
      </c>
      <c r="F38" s="23"/>
      <c r="G38" s="25" t="n">
        <f>33950</f>
        <v>33950.0</v>
      </c>
      <c r="H38" s="23"/>
      <c r="I38" s="26" t="n">
        <f>103088</f>
        <v>103088.0</v>
      </c>
      <c r="J38" s="24"/>
      <c r="K38" s="25" t="n">
        <f>11465501980</f>
        <v>1.146550198E10</v>
      </c>
      <c r="L38" s="23" t="s">
        <v>39</v>
      </c>
      <c r="M38" s="25" t="n">
        <f>3370613000</f>
        <v>3.370613E9</v>
      </c>
      <c r="N38" s="23"/>
      <c r="O38" s="26" t="n">
        <f>14836114980</f>
        <v>1.483611498E10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4571</f>
        <v>4571.0</v>
      </c>
      <c r="U38" s="23"/>
      <c r="V38" s="25" t="n">
        <f>3927</f>
        <v>3927.0</v>
      </c>
      <c r="W38" s="23"/>
      <c r="X38" s="26" t="n">
        <f>8498</f>
        <v>8498.0</v>
      </c>
      <c r="Y38" s="24"/>
      <c r="Z38" s="25" t="n">
        <f>1149102</f>
        <v>1149102.0</v>
      </c>
      <c r="AA38" s="23"/>
      <c r="AB38" s="25" t="n">
        <f>607661</f>
        <v>607661.0</v>
      </c>
      <c r="AC38" s="23"/>
      <c r="AD38" s="26" t="n">
        <f>1756763</f>
        <v>1756763.0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43380</f>
        <v>43380.0</v>
      </c>
      <c r="F39" s="23"/>
      <c r="G39" s="25" t="n">
        <f>29739</f>
        <v>29739.0</v>
      </c>
      <c r="H39" s="23"/>
      <c r="I39" s="26" t="n">
        <f>73119</f>
        <v>73119.0</v>
      </c>
      <c r="J39" s="24"/>
      <c r="K39" s="25" t="n">
        <f>9541369240</f>
        <v>9.54136924E9</v>
      </c>
      <c r="L39" s="23"/>
      <c r="M39" s="25" t="n">
        <f>3835510000</f>
        <v>3.83551E9</v>
      </c>
      <c r="N39" s="23"/>
      <c r="O39" s="26" t="n">
        <f>13376879240</f>
        <v>1.337687924E10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 t="s">
        <v>39</v>
      </c>
      <c r="T39" s="25" t="n">
        <f>3938</f>
        <v>3938.0</v>
      </c>
      <c r="U39" s="23"/>
      <c r="V39" s="25" t="n">
        <f>3592</f>
        <v>3592.0</v>
      </c>
      <c r="W39" s="23" t="s">
        <v>39</v>
      </c>
      <c r="X39" s="26" t="n">
        <f>7530</f>
        <v>7530.0</v>
      </c>
      <c r="Y39" s="24"/>
      <c r="Z39" s="25" t="n">
        <f>1155873</f>
        <v>1155873.0</v>
      </c>
      <c r="AA39" s="23"/>
      <c r="AB39" s="25" t="n">
        <f>608863</f>
        <v>608863.0</v>
      </c>
      <c r="AC39" s="23"/>
      <c r="AD39" s="26" t="n">
        <f>1764736</f>
        <v>1764736.0</v>
      </c>
    </row>
    <row r="40">
      <c r="A40" s="30" t="s">
        <v>60</v>
      </c>
      <c r="B40" s="22" t="s">
        <v>27</v>
      </c>
      <c r="C40" s="22" t="s">
        <v>28</v>
      </c>
      <c r="D40" s="24" t="s">
        <v>35</v>
      </c>
      <c r="E40" s="25" t="n">
        <f>93726</f>
        <v>93726.0</v>
      </c>
      <c r="F40" s="23" t="s">
        <v>35</v>
      </c>
      <c r="G40" s="25" t="n">
        <f>61990</f>
        <v>61990.0</v>
      </c>
      <c r="H40" s="23" t="s">
        <v>35</v>
      </c>
      <c r="I40" s="26" t="n">
        <f>155716</f>
        <v>155716.0</v>
      </c>
      <c r="J40" s="24"/>
      <c r="K40" s="25" t="n">
        <f>21020113000</f>
        <v>2.1020113E10</v>
      </c>
      <c r="L40" s="23"/>
      <c r="M40" s="25" t="n">
        <f>6964630000</f>
        <v>6.96463E9</v>
      </c>
      <c r="N40" s="23"/>
      <c r="O40" s="26" t="n">
        <f>27984743000</f>
        <v>2.7984743E10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9923</f>
        <v>9923.0</v>
      </c>
      <c r="U40" s="23"/>
      <c r="V40" s="25" t="n">
        <f>6536</f>
        <v>6536.0</v>
      </c>
      <c r="W40" s="23"/>
      <c r="X40" s="26" t="n">
        <f>16459</f>
        <v>16459.0</v>
      </c>
      <c r="Y40" s="24"/>
      <c r="Z40" s="25" t="n">
        <f>1172519</f>
        <v>1172519.0</v>
      </c>
      <c r="AA40" s="23"/>
      <c r="AB40" s="25" t="n">
        <f>619842</f>
        <v>619842.0</v>
      </c>
      <c r="AC40" s="23"/>
      <c r="AD40" s="26" t="n">
        <f>1792361</f>
        <v>1792361.0</v>
      </c>
    </row>
    <row r="41">
      <c r="A41" s="30" t="s">
        <v>26</v>
      </c>
      <c r="B41" s="22" t="s">
        <v>61</v>
      </c>
      <c r="C41" s="22" t="s">
        <v>62</v>
      </c>
      <c r="D41" s="24"/>
      <c r="E41" s="25" t="n">
        <f>1124</f>
        <v>1124.0</v>
      </c>
      <c r="F41" s="23"/>
      <c r="G41" s="25" t="n">
        <f>825</f>
        <v>825.0</v>
      </c>
      <c r="H41" s="23"/>
      <c r="I41" s="26" t="n">
        <f>1949</f>
        <v>1949.0</v>
      </c>
      <c r="J41" s="24"/>
      <c r="K41" s="25" t="n">
        <f>108263100</f>
        <v>1.082631E8</v>
      </c>
      <c r="L41" s="23"/>
      <c r="M41" s="25" t="n">
        <f>33577000</f>
        <v>3.3577E7</v>
      </c>
      <c r="N41" s="23"/>
      <c r="O41" s="26" t="n">
        <f>141840100</f>
        <v>1.418401E8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309</f>
        <v>309.0</v>
      </c>
      <c r="U41" s="23"/>
      <c r="V41" s="25" t="n">
        <f>60</f>
        <v>60.0</v>
      </c>
      <c r="W41" s="23"/>
      <c r="X41" s="26" t="n">
        <f>369</f>
        <v>369.0</v>
      </c>
      <c r="Y41" s="24"/>
      <c r="Z41" s="25" t="n">
        <f>3046</f>
        <v>3046.0</v>
      </c>
      <c r="AA41" s="23"/>
      <c r="AB41" s="25" t="n">
        <f>1930</f>
        <v>1930.0</v>
      </c>
      <c r="AC41" s="23"/>
      <c r="AD41" s="26" t="n">
        <f>4976</f>
        <v>4976.0</v>
      </c>
    </row>
    <row r="42">
      <c r="A42" s="30" t="s">
        <v>29</v>
      </c>
      <c r="B42" s="22" t="s">
        <v>61</v>
      </c>
      <c r="C42" s="22" t="s">
        <v>62</v>
      </c>
      <c r="D42" s="24"/>
      <c r="E42" s="25" t="n">
        <f>1848</f>
        <v>1848.0</v>
      </c>
      <c r="F42" s="23"/>
      <c r="G42" s="25" t="n">
        <f>1375</f>
        <v>1375.0</v>
      </c>
      <c r="H42" s="23"/>
      <c r="I42" s="26" t="n">
        <f>3223</f>
        <v>3223.0</v>
      </c>
      <c r="J42" s="24"/>
      <c r="K42" s="25" t="n">
        <f>47627000</f>
        <v>4.7627E7</v>
      </c>
      <c r="L42" s="23"/>
      <c r="M42" s="25" t="n">
        <f>36439000</f>
        <v>3.6439E7</v>
      </c>
      <c r="N42" s="23"/>
      <c r="O42" s="26" t="n">
        <f>84066000</f>
        <v>8.4066E7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133</f>
        <v>133.0</v>
      </c>
      <c r="U42" s="23"/>
      <c r="V42" s="25" t="n">
        <f>130</f>
        <v>130.0</v>
      </c>
      <c r="W42" s="23"/>
      <c r="X42" s="26" t="n">
        <f>263</f>
        <v>263.0</v>
      </c>
      <c r="Y42" s="24"/>
      <c r="Z42" s="25" t="n">
        <f>4005</f>
        <v>4005.0</v>
      </c>
      <c r="AA42" s="23"/>
      <c r="AB42" s="25" t="n">
        <f>2846</f>
        <v>2846.0</v>
      </c>
      <c r="AC42" s="23"/>
      <c r="AD42" s="26" t="n">
        <f>6851</f>
        <v>6851.0</v>
      </c>
    </row>
    <row r="43">
      <c r="A43" s="30" t="s">
        <v>30</v>
      </c>
      <c r="B43" s="22" t="s">
        <v>61</v>
      </c>
      <c r="C43" s="22" t="s">
        <v>62</v>
      </c>
      <c r="D43" s="24"/>
      <c r="E43" s="25" t="n">
        <f>229</f>
        <v>229.0</v>
      </c>
      <c r="F43" s="23" t="s">
        <v>39</v>
      </c>
      <c r="G43" s="25" t="n">
        <f>56</f>
        <v>56.0</v>
      </c>
      <c r="H43" s="23" t="s">
        <v>39</v>
      </c>
      <c r="I43" s="26" t="n">
        <f>285</f>
        <v>285.0</v>
      </c>
      <c r="J43" s="24"/>
      <c r="K43" s="25" t="n">
        <f>69404000</f>
        <v>6.9404E7</v>
      </c>
      <c r="L43" s="23" t="s">
        <v>39</v>
      </c>
      <c r="M43" s="25" t="n">
        <f>19617000</f>
        <v>1.9617E7</v>
      </c>
      <c r="N43" s="23"/>
      <c r="O43" s="26" t="n">
        <f>89021000</f>
        <v>8.9021E7</v>
      </c>
      <c r="P43" s="27" t="n">
        <f>547</f>
        <v>547.0</v>
      </c>
      <c r="Q43" s="28" t="n">
        <f>38</f>
        <v>38.0</v>
      </c>
      <c r="R43" s="29" t="n">
        <f>585</f>
        <v>585.0</v>
      </c>
      <c r="S43" s="24"/>
      <c r="T43" s="25" t="n">
        <f>216</f>
        <v>216.0</v>
      </c>
      <c r="U43" s="23"/>
      <c r="V43" s="25" t="n">
        <f>45</f>
        <v>45.0</v>
      </c>
      <c r="W43" s="23"/>
      <c r="X43" s="26" t="n">
        <f>261</f>
        <v>261.0</v>
      </c>
      <c r="Y43" s="24" t="s">
        <v>39</v>
      </c>
      <c r="Z43" s="25" t="n">
        <f>760</f>
        <v>760.0</v>
      </c>
      <c r="AA43" s="23" t="s">
        <v>39</v>
      </c>
      <c r="AB43" s="25" t="n">
        <f>560</f>
        <v>560.0</v>
      </c>
      <c r="AC43" s="23" t="s">
        <v>39</v>
      </c>
      <c r="AD43" s="26" t="n">
        <f>1320</f>
        <v>1320.0</v>
      </c>
    </row>
    <row r="44">
      <c r="A44" s="30" t="s">
        <v>31</v>
      </c>
      <c r="B44" s="22" t="s">
        <v>61</v>
      </c>
      <c r="C44" s="22" t="s">
        <v>62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>
      <c r="A45" s="30" t="s">
        <v>32</v>
      </c>
      <c r="B45" s="22" t="s">
        <v>61</v>
      </c>
      <c r="C45" s="22" t="s">
        <v>62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>
      <c r="A46" s="30" t="s">
        <v>33</v>
      </c>
      <c r="B46" s="22" t="s">
        <v>61</v>
      </c>
      <c r="C46" s="22" t="s">
        <v>62</v>
      </c>
      <c r="D46" s="24"/>
      <c r="E46" s="25" t="n">
        <f>108</f>
        <v>108.0</v>
      </c>
      <c r="F46" s="23"/>
      <c r="G46" s="25" t="n">
        <f>404</f>
        <v>404.0</v>
      </c>
      <c r="H46" s="23"/>
      <c r="I46" s="26" t="n">
        <f>512</f>
        <v>512.0</v>
      </c>
      <c r="J46" s="24" t="s">
        <v>39</v>
      </c>
      <c r="K46" s="25" t="n">
        <f>16730000</f>
        <v>1.673E7</v>
      </c>
      <c r="L46" s="23"/>
      <c r="M46" s="25" t="n">
        <f>108324000</f>
        <v>1.08324E8</v>
      </c>
      <c r="N46" s="23"/>
      <c r="O46" s="26" t="n">
        <f>125054000</f>
        <v>1.25054E8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 t="s">
        <v>39</v>
      </c>
      <c r="T46" s="25" t="n">
        <f>4</f>
        <v>4.0</v>
      </c>
      <c r="U46" s="23"/>
      <c r="V46" s="25" t="n">
        <f>248</f>
        <v>248.0</v>
      </c>
      <c r="W46" s="23"/>
      <c r="X46" s="26" t="n">
        <f>252</f>
        <v>252.0</v>
      </c>
      <c r="Y46" s="24"/>
      <c r="Z46" s="25" t="n">
        <f>859</f>
        <v>859.0</v>
      </c>
      <c r="AA46" s="23"/>
      <c r="AB46" s="25" t="n">
        <f>918</f>
        <v>918.0</v>
      </c>
      <c r="AC46" s="23"/>
      <c r="AD46" s="26" t="n">
        <f>1777</f>
        <v>1777.0</v>
      </c>
    </row>
    <row r="47">
      <c r="A47" s="30" t="s">
        <v>34</v>
      </c>
      <c r="B47" s="22" t="s">
        <v>61</v>
      </c>
      <c r="C47" s="22" t="s">
        <v>62</v>
      </c>
      <c r="D47" s="24" t="s">
        <v>39</v>
      </c>
      <c r="E47" s="25" t="n">
        <f>100</f>
        <v>100.0</v>
      </c>
      <c r="F47" s="23"/>
      <c r="G47" s="25" t="n">
        <f>185</f>
        <v>185.0</v>
      </c>
      <c r="H47" s="23"/>
      <c r="I47" s="26" t="n">
        <f>285</f>
        <v>285.0</v>
      </c>
      <c r="J47" s="24"/>
      <c r="K47" s="25" t="n">
        <f>29627000</f>
        <v>2.9627E7</v>
      </c>
      <c r="L47" s="23"/>
      <c r="M47" s="25" t="n">
        <f>39491000</f>
        <v>3.9491E7</v>
      </c>
      <c r="N47" s="23" t="s">
        <v>39</v>
      </c>
      <c r="O47" s="26" t="n">
        <f>69118000</f>
        <v>6.9118E7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47</f>
        <v>47.0</v>
      </c>
      <c r="U47" s="23"/>
      <c r="V47" s="25" t="n">
        <f>45</f>
        <v>45.0</v>
      </c>
      <c r="W47" s="23"/>
      <c r="X47" s="26" t="n">
        <f>92</f>
        <v>92.0</v>
      </c>
      <c r="Y47" s="24"/>
      <c r="Z47" s="25" t="n">
        <f>950</f>
        <v>950.0</v>
      </c>
      <c r="AA47" s="23"/>
      <c r="AB47" s="25" t="n">
        <f>1030</f>
        <v>1030.0</v>
      </c>
      <c r="AC47" s="23"/>
      <c r="AD47" s="26" t="n">
        <f>1980</f>
        <v>1980.0</v>
      </c>
    </row>
    <row r="48">
      <c r="A48" s="30" t="s">
        <v>36</v>
      </c>
      <c r="B48" s="22" t="s">
        <v>61</v>
      </c>
      <c r="C48" s="22" t="s">
        <v>62</v>
      </c>
      <c r="D48" s="24"/>
      <c r="E48" s="25" t="n">
        <f>266</f>
        <v>266.0</v>
      </c>
      <c r="F48" s="23"/>
      <c r="G48" s="25" t="n">
        <f>265</f>
        <v>265.0</v>
      </c>
      <c r="H48" s="23"/>
      <c r="I48" s="26" t="n">
        <f>531</f>
        <v>531.0</v>
      </c>
      <c r="J48" s="24"/>
      <c r="K48" s="25" t="n">
        <f>50474000</f>
        <v>5.0474E7</v>
      </c>
      <c r="L48" s="23"/>
      <c r="M48" s="25" t="n">
        <f>66019000</f>
        <v>6.6019E7</v>
      </c>
      <c r="N48" s="23"/>
      <c r="O48" s="26" t="n">
        <f>116493000</f>
        <v>1.16493E8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5</f>
        <v>5.0</v>
      </c>
      <c r="U48" s="23" t="s">
        <v>39</v>
      </c>
      <c r="V48" s="25" t="n">
        <f>3</f>
        <v>3.0</v>
      </c>
      <c r="W48" s="23" t="s">
        <v>39</v>
      </c>
      <c r="X48" s="26" t="n">
        <f>8</f>
        <v>8.0</v>
      </c>
      <c r="Y48" s="24"/>
      <c r="Z48" s="25" t="n">
        <f>1192</f>
        <v>1192.0</v>
      </c>
      <c r="AA48" s="23"/>
      <c r="AB48" s="25" t="n">
        <f>1225</f>
        <v>1225.0</v>
      </c>
      <c r="AC48" s="23"/>
      <c r="AD48" s="26" t="n">
        <f>2417</f>
        <v>2417.0</v>
      </c>
    </row>
    <row r="49">
      <c r="A49" s="30" t="s">
        <v>37</v>
      </c>
      <c r="B49" s="22" t="s">
        <v>61</v>
      </c>
      <c r="C49" s="22" t="s">
        <v>62</v>
      </c>
      <c r="D49" s="24"/>
      <c r="E49" s="25" t="n">
        <f>467</f>
        <v>467.0</v>
      </c>
      <c r="F49" s="23"/>
      <c r="G49" s="25" t="n">
        <f>550</f>
        <v>550.0</v>
      </c>
      <c r="H49" s="23"/>
      <c r="I49" s="26" t="n">
        <f>1017</f>
        <v>1017.0</v>
      </c>
      <c r="J49" s="24"/>
      <c r="K49" s="25" t="n">
        <f>44123000</f>
        <v>4.4123E7</v>
      </c>
      <c r="L49" s="23"/>
      <c r="M49" s="25" t="n">
        <f>43668000</f>
        <v>4.3668E7</v>
      </c>
      <c r="N49" s="23"/>
      <c r="O49" s="26" t="n">
        <f>87791000</f>
        <v>8.7791E7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48</f>
        <v>48.0</v>
      </c>
      <c r="U49" s="23"/>
      <c r="V49" s="25" t="n">
        <f>35</f>
        <v>35.0</v>
      </c>
      <c r="W49" s="23"/>
      <c r="X49" s="26" t="n">
        <f>83</f>
        <v>83.0</v>
      </c>
      <c r="Y49" s="24"/>
      <c r="Z49" s="25" t="n">
        <f>1547</f>
        <v>1547.0</v>
      </c>
      <c r="AA49" s="23"/>
      <c r="AB49" s="25" t="n">
        <f>1647</f>
        <v>1647.0</v>
      </c>
      <c r="AC49" s="23"/>
      <c r="AD49" s="26" t="n">
        <f>3194</f>
        <v>3194.0</v>
      </c>
    </row>
    <row r="50">
      <c r="A50" s="30" t="s">
        <v>38</v>
      </c>
      <c r="B50" s="22" t="s">
        <v>61</v>
      </c>
      <c r="C50" s="22" t="s">
        <v>62</v>
      </c>
      <c r="D50" s="24"/>
      <c r="E50" s="25" t="n">
        <f>543</f>
        <v>543.0</v>
      </c>
      <c r="F50" s="23"/>
      <c r="G50" s="25" t="n">
        <f>784</f>
        <v>784.0</v>
      </c>
      <c r="H50" s="23"/>
      <c r="I50" s="26" t="n">
        <f>1327</f>
        <v>1327.0</v>
      </c>
      <c r="J50" s="24"/>
      <c r="K50" s="25" t="n">
        <f>61402000</f>
        <v>6.1402E7</v>
      </c>
      <c r="L50" s="23"/>
      <c r="M50" s="25" t="n">
        <f>167250400</f>
        <v>1.672504E8</v>
      </c>
      <c r="N50" s="23"/>
      <c r="O50" s="26" t="n">
        <f>228652400</f>
        <v>2.286524E8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25</f>
        <v>25.0</v>
      </c>
      <c r="U50" s="23"/>
      <c r="V50" s="25" t="n">
        <f>268</f>
        <v>268.0</v>
      </c>
      <c r="W50" s="23"/>
      <c r="X50" s="26" t="n">
        <f>293</f>
        <v>293.0</v>
      </c>
      <c r="Y50" s="24"/>
      <c r="Z50" s="25" t="n">
        <f>1724</f>
        <v>1724.0</v>
      </c>
      <c r="AA50" s="23"/>
      <c r="AB50" s="25" t="n">
        <f>2014</f>
        <v>2014.0</v>
      </c>
      <c r="AC50" s="23"/>
      <c r="AD50" s="26" t="n">
        <f>3738</f>
        <v>3738.0</v>
      </c>
    </row>
    <row r="51">
      <c r="A51" s="30" t="s">
        <v>40</v>
      </c>
      <c r="B51" s="22" t="s">
        <v>61</v>
      </c>
      <c r="C51" s="22" t="s">
        <v>62</v>
      </c>
      <c r="D51" s="24"/>
      <c r="E51" s="25"/>
      <c r="F51" s="23"/>
      <c r="G51" s="25"/>
      <c r="H51" s="23"/>
      <c r="I51" s="26"/>
      <c r="J51" s="24"/>
      <c r="K51" s="25"/>
      <c r="L51" s="23"/>
      <c r="M51" s="25"/>
      <c r="N51" s="23"/>
      <c r="O51" s="26"/>
      <c r="P51" s="27"/>
      <c r="Q51" s="28"/>
      <c r="R51" s="29"/>
      <c r="S51" s="24"/>
      <c r="T51" s="25"/>
      <c r="U51" s="23"/>
      <c r="V51" s="25"/>
      <c r="W51" s="23"/>
      <c r="X51" s="26"/>
      <c r="Y51" s="24"/>
      <c r="Z51" s="25"/>
      <c r="AA51" s="23"/>
      <c r="AB51" s="25"/>
      <c r="AC51" s="23"/>
      <c r="AD51" s="26"/>
    </row>
    <row r="52">
      <c r="A52" s="30" t="s">
        <v>41</v>
      </c>
      <c r="B52" s="22" t="s">
        <v>61</v>
      </c>
      <c r="C52" s="22" t="s">
        <v>62</v>
      </c>
      <c r="D52" s="24"/>
      <c r="E52" s="25"/>
      <c r="F52" s="23"/>
      <c r="G52" s="25"/>
      <c r="H52" s="23"/>
      <c r="I52" s="26"/>
      <c r="J52" s="24"/>
      <c r="K52" s="25"/>
      <c r="L52" s="23"/>
      <c r="M52" s="25"/>
      <c r="N52" s="23"/>
      <c r="O52" s="26"/>
      <c r="P52" s="27"/>
      <c r="Q52" s="28"/>
      <c r="R52" s="29"/>
      <c r="S52" s="24"/>
      <c r="T52" s="25"/>
      <c r="U52" s="23"/>
      <c r="V52" s="25"/>
      <c r="W52" s="23"/>
      <c r="X52" s="26"/>
      <c r="Y52" s="24"/>
      <c r="Z52" s="25"/>
      <c r="AA52" s="23"/>
      <c r="AB52" s="25"/>
      <c r="AC52" s="23"/>
      <c r="AD52" s="26"/>
    </row>
    <row r="53">
      <c r="A53" s="30" t="s">
        <v>42</v>
      </c>
      <c r="B53" s="22" t="s">
        <v>61</v>
      </c>
      <c r="C53" s="22" t="s">
        <v>62</v>
      </c>
      <c r="D53" s="24"/>
      <c r="E53" s="25" t="n">
        <f>1642</f>
        <v>1642.0</v>
      </c>
      <c r="F53" s="23"/>
      <c r="G53" s="25" t="n">
        <f>904</f>
        <v>904.0</v>
      </c>
      <c r="H53" s="23"/>
      <c r="I53" s="26" t="n">
        <f>2546</f>
        <v>2546.0</v>
      </c>
      <c r="J53" s="24"/>
      <c r="K53" s="25" t="n">
        <f>71184000</f>
        <v>7.1184E7</v>
      </c>
      <c r="L53" s="23"/>
      <c r="M53" s="25" t="n">
        <f>56335000</f>
        <v>5.6335E7</v>
      </c>
      <c r="N53" s="23"/>
      <c r="O53" s="26" t="n">
        <f>127519000</f>
        <v>1.27519E8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121</f>
        <v>121.0</v>
      </c>
      <c r="U53" s="23"/>
      <c r="V53" s="25" t="n">
        <f>116</f>
        <v>116.0</v>
      </c>
      <c r="W53" s="23"/>
      <c r="X53" s="26" t="n">
        <f>237</f>
        <v>237.0</v>
      </c>
      <c r="Y53" s="24"/>
      <c r="Z53" s="25" t="n">
        <f>2516</f>
        <v>2516.0</v>
      </c>
      <c r="AA53" s="23"/>
      <c r="AB53" s="25" t="n">
        <f>2487</f>
        <v>2487.0</v>
      </c>
      <c r="AC53" s="23"/>
      <c r="AD53" s="26" t="n">
        <f>5003</f>
        <v>5003.0</v>
      </c>
    </row>
    <row r="54">
      <c r="A54" s="30" t="s">
        <v>43</v>
      </c>
      <c r="B54" s="22" t="s">
        <v>61</v>
      </c>
      <c r="C54" s="22" t="s">
        <v>62</v>
      </c>
      <c r="D54" s="24"/>
      <c r="E54" s="25" t="n">
        <f>1350</f>
        <v>1350.0</v>
      </c>
      <c r="F54" s="23"/>
      <c r="G54" s="25" t="n">
        <f>709</f>
        <v>709.0</v>
      </c>
      <c r="H54" s="23"/>
      <c r="I54" s="26" t="n">
        <f>2059</f>
        <v>2059.0</v>
      </c>
      <c r="J54" s="24"/>
      <c r="K54" s="25" t="n">
        <f>51624000</f>
        <v>5.1624E7</v>
      </c>
      <c r="L54" s="23"/>
      <c r="M54" s="25" t="n">
        <f>41031000</f>
        <v>4.1031E7</v>
      </c>
      <c r="N54" s="23"/>
      <c r="O54" s="26" t="n">
        <f>92655000</f>
        <v>9.2655E7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91</f>
        <v>91.0</v>
      </c>
      <c r="U54" s="23"/>
      <c r="V54" s="25" t="n">
        <f>69</f>
        <v>69.0</v>
      </c>
      <c r="W54" s="23"/>
      <c r="X54" s="26" t="n">
        <f>160</f>
        <v>160.0</v>
      </c>
      <c r="Y54" s="24"/>
      <c r="Z54" s="25" t="n">
        <f>3007</f>
        <v>3007.0</v>
      </c>
      <c r="AA54" s="23"/>
      <c r="AB54" s="25" t="n">
        <f>2507</f>
        <v>2507.0</v>
      </c>
      <c r="AC54" s="23"/>
      <c r="AD54" s="26" t="n">
        <f>5514</f>
        <v>5514.0</v>
      </c>
    </row>
    <row r="55">
      <c r="A55" s="30" t="s">
        <v>44</v>
      </c>
      <c r="B55" s="22" t="s">
        <v>61</v>
      </c>
      <c r="C55" s="22" t="s">
        <v>62</v>
      </c>
      <c r="D55" s="24"/>
      <c r="E55" s="25" t="n">
        <f>2286</f>
        <v>2286.0</v>
      </c>
      <c r="F55" s="23"/>
      <c r="G55" s="25" t="n">
        <f>1281</f>
        <v>1281.0</v>
      </c>
      <c r="H55" s="23"/>
      <c r="I55" s="26" t="n">
        <f>3567</f>
        <v>3567.0</v>
      </c>
      <c r="J55" s="24"/>
      <c r="K55" s="25" t="n">
        <f>77049000</f>
        <v>7.7049E7</v>
      </c>
      <c r="L55" s="23"/>
      <c r="M55" s="25" t="n">
        <f>66555000</f>
        <v>6.6555E7</v>
      </c>
      <c r="N55" s="23"/>
      <c r="O55" s="26" t="n">
        <f>143604000</f>
        <v>1.43604E8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172</f>
        <v>172.0</v>
      </c>
      <c r="U55" s="23"/>
      <c r="V55" s="25" t="n">
        <f>85</f>
        <v>85.0</v>
      </c>
      <c r="W55" s="23"/>
      <c r="X55" s="26" t="n">
        <f>257</f>
        <v>257.0</v>
      </c>
      <c r="Y55" s="24"/>
      <c r="Z55" s="25" t="n">
        <f>3655</f>
        <v>3655.0</v>
      </c>
      <c r="AA55" s="23"/>
      <c r="AB55" s="25" t="n">
        <f>2905</f>
        <v>2905.0</v>
      </c>
      <c r="AC55" s="23"/>
      <c r="AD55" s="26" t="n">
        <f>6560</f>
        <v>6560.0</v>
      </c>
    </row>
    <row r="56">
      <c r="A56" s="30" t="s">
        <v>45</v>
      </c>
      <c r="B56" s="22" t="s">
        <v>61</v>
      </c>
      <c r="C56" s="22" t="s">
        <v>62</v>
      </c>
      <c r="D56" s="24"/>
      <c r="E56" s="25" t="n">
        <f>2621</f>
        <v>2621.0</v>
      </c>
      <c r="F56" s="23"/>
      <c r="G56" s="25" t="n">
        <f>1807</f>
        <v>1807.0</v>
      </c>
      <c r="H56" s="23"/>
      <c r="I56" s="26" t="n">
        <f>4428</f>
        <v>4428.0</v>
      </c>
      <c r="J56" s="24"/>
      <c r="K56" s="25" t="n">
        <f>86425000</f>
        <v>8.6425E7</v>
      </c>
      <c r="L56" s="23"/>
      <c r="M56" s="25" t="n">
        <f>115517000</f>
        <v>1.15517E8</v>
      </c>
      <c r="N56" s="23"/>
      <c r="O56" s="26" t="n">
        <f>201942000</f>
        <v>2.01942E8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n">
        <f>205</f>
        <v>205.0</v>
      </c>
      <c r="U56" s="23"/>
      <c r="V56" s="25" t="n">
        <f>114</f>
        <v>114.0</v>
      </c>
      <c r="W56" s="23"/>
      <c r="X56" s="26" t="n">
        <f>319</f>
        <v>319.0</v>
      </c>
      <c r="Y56" s="24"/>
      <c r="Z56" s="25" t="n">
        <f>4062</f>
        <v>4062.0</v>
      </c>
      <c r="AA56" s="23"/>
      <c r="AB56" s="25" t="n">
        <f>3352</f>
        <v>3352.0</v>
      </c>
      <c r="AC56" s="23"/>
      <c r="AD56" s="26" t="n">
        <f>7414</f>
        <v>7414.0</v>
      </c>
    </row>
    <row r="57">
      <c r="A57" s="30" t="s">
        <v>46</v>
      </c>
      <c r="B57" s="22" t="s">
        <v>61</v>
      </c>
      <c r="C57" s="22" t="s">
        <v>62</v>
      </c>
      <c r="D57" s="24"/>
      <c r="E57" s="25" t="n">
        <f>1377</f>
        <v>1377.0</v>
      </c>
      <c r="F57" s="23"/>
      <c r="G57" s="25" t="n">
        <f>465</f>
        <v>465.0</v>
      </c>
      <c r="H57" s="23"/>
      <c r="I57" s="26" t="n">
        <f>1842</f>
        <v>1842.0</v>
      </c>
      <c r="J57" s="24"/>
      <c r="K57" s="25" t="n">
        <f>112749050</f>
        <v>1.1274905E8</v>
      </c>
      <c r="L57" s="23"/>
      <c r="M57" s="25" t="n">
        <f>32734000</f>
        <v>3.2734E7</v>
      </c>
      <c r="N57" s="23"/>
      <c r="O57" s="26" t="n">
        <f>145483050</f>
        <v>1.4548305E8</v>
      </c>
      <c r="P57" s="27" t="n">
        <f>27</f>
        <v>27.0</v>
      </c>
      <c r="Q57" s="28" t="n">
        <f>572</f>
        <v>572.0</v>
      </c>
      <c r="R57" s="29" t="n">
        <f>599</f>
        <v>599.0</v>
      </c>
      <c r="S57" s="24"/>
      <c r="T57" s="25" t="n">
        <f>52</f>
        <v>52.0</v>
      </c>
      <c r="U57" s="23"/>
      <c r="V57" s="25" t="n">
        <f>63</f>
        <v>63.0</v>
      </c>
      <c r="W57" s="23"/>
      <c r="X57" s="26" t="n">
        <f>115</f>
        <v>115.0</v>
      </c>
      <c r="Y57" s="24"/>
      <c r="Z57" s="25" t="n">
        <f>1670</f>
        <v>1670.0</v>
      </c>
      <c r="AA57" s="23"/>
      <c r="AB57" s="25" t="n">
        <f>1476</f>
        <v>1476.0</v>
      </c>
      <c r="AC57" s="23"/>
      <c r="AD57" s="26" t="n">
        <f>3146</f>
        <v>3146.0</v>
      </c>
    </row>
    <row r="58">
      <c r="A58" s="30" t="s">
        <v>47</v>
      </c>
      <c r="B58" s="22" t="s">
        <v>61</v>
      </c>
      <c r="C58" s="22" t="s">
        <v>62</v>
      </c>
      <c r="D58" s="24"/>
      <c r="E58" s="25"/>
      <c r="F58" s="23"/>
      <c r="G58" s="25"/>
      <c r="H58" s="23"/>
      <c r="I58" s="26"/>
      <c r="J58" s="24"/>
      <c r="K58" s="25"/>
      <c r="L58" s="23"/>
      <c r="M58" s="25"/>
      <c r="N58" s="23"/>
      <c r="O58" s="26"/>
      <c r="P58" s="27"/>
      <c r="Q58" s="28"/>
      <c r="R58" s="29"/>
      <c r="S58" s="24"/>
      <c r="T58" s="25"/>
      <c r="U58" s="23"/>
      <c r="V58" s="25"/>
      <c r="W58" s="23"/>
      <c r="X58" s="26"/>
      <c r="Y58" s="24"/>
      <c r="Z58" s="25"/>
      <c r="AA58" s="23"/>
      <c r="AB58" s="25"/>
      <c r="AC58" s="23"/>
      <c r="AD58" s="26"/>
    </row>
    <row r="59">
      <c r="A59" s="30" t="s">
        <v>48</v>
      </c>
      <c r="B59" s="22" t="s">
        <v>61</v>
      </c>
      <c r="C59" s="22" t="s">
        <v>62</v>
      </c>
      <c r="D59" s="24"/>
      <c r="E59" s="25"/>
      <c r="F59" s="23"/>
      <c r="G59" s="25"/>
      <c r="H59" s="23"/>
      <c r="I59" s="26"/>
      <c r="J59" s="24"/>
      <c r="K59" s="25"/>
      <c r="L59" s="23"/>
      <c r="M59" s="25"/>
      <c r="N59" s="23"/>
      <c r="O59" s="26"/>
      <c r="P59" s="27"/>
      <c r="Q59" s="28"/>
      <c r="R59" s="29"/>
      <c r="S59" s="24"/>
      <c r="T59" s="25"/>
      <c r="U59" s="23"/>
      <c r="V59" s="25"/>
      <c r="W59" s="23"/>
      <c r="X59" s="26"/>
      <c r="Y59" s="24"/>
      <c r="Z59" s="25"/>
      <c r="AA59" s="23"/>
      <c r="AB59" s="25"/>
      <c r="AC59" s="23"/>
      <c r="AD59" s="26"/>
    </row>
    <row r="60">
      <c r="A60" s="30" t="s">
        <v>49</v>
      </c>
      <c r="B60" s="22" t="s">
        <v>61</v>
      </c>
      <c r="C60" s="22" t="s">
        <v>62</v>
      </c>
      <c r="D60" s="24" t="s">
        <v>35</v>
      </c>
      <c r="E60" s="25" t="n">
        <f>2677</f>
        <v>2677.0</v>
      </c>
      <c r="F60" s="23"/>
      <c r="G60" s="25" t="n">
        <f>1842</f>
        <v>1842.0</v>
      </c>
      <c r="H60" s="23"/>
      <c r="I60" s="26" t="n">
        <f>4519</f>
        <v>4519.0</v>
      </c>
      <c r="J60" s="24"/>
      <c r="K60" s="25" t="n">
        <f>152318000</f>
        <v>1.52318E8</v>
      </c>
      <c r="L60" s="23"/>
      <c r="M60" s="25" t="n">
        <f>170648000</f>
        <v>1.70648E8</v>
      </c>
      <c r="N60" s="23"/>
      <c r="O60" s="26" t="n">
        <f>322966000</f>
        <v>3.22966E8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373</f>
        <v>373.0</v>
      </c>
      <c r="U60" s="23"/>
      <c r="V60" s="25" t="n">
        <f>373</f>
        <v>373.0</v>
      </c>
      <c r="W60" s="23"/>
      <c r="X60" s="26" t="n">
        <f>746</f>
        <v>746.0</v>
      </c>
      <c r="Y60" s="24"/>
      <c r="Z60" s="25" t="n">
        <f>3054</f>
        <v>3054.0</v>
      </c>
      <c r="AA60" s="23"/>
      <c r="AB60" s="25" t="n">
        <f>2295</f>
        <v>2295.0</v>
      </c>
      <c r="AC60" s="23"/>
      <c r="AD60" s="26" t="n">
        <f>5349</f>
        <v>5349.0</v>
      </c>
    </row>
    <row r="61">
      <c r="A61" s="30" t="s">
        <v>50</v>
      </c>
      <c r="B61" s="22" t="s">
        <v>61</v>
      </c>
      <c r="C61" s="22" t="s">
        <v>62</v>
      </c>
      <c r="D61" s="24"/>
      <c r="E61" s="25" t="n">
        <f>2315</f>
        <v>2315.0</v>
      </c>
      <c r="F61" s="23"/>
      <c r="G61" s="25" t="n">
        <f>1517</f>
        <v>1517.0</v>
      </c>
      <c r="H61" s="23"/>
      <c r="I61" s="26" t="n">
        <f>3832</f>
        <v>3832.0</v>
      </c>
      <c r="J61" s="24"/>
      <c r="K61" s="25" t="n">
        <f>145620500</f>
        <v>1.456205E8</v>
      </c>
      <c r="L61" s="23"/>
      <c r="M61" s="25" t="n">
        <f>123307400</f>
        <v>1.233074E8</v>
      </c>
      <c r="N61" s="23"/>
      <c r="O61" s="26" t="n">
        <f>268927900</f>
        <v>2.689279E8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/>
      <c r="T61" s="25" t="n">
        <f>487</f>
        <v>487.0</v>
      </c>
      <c r="U61" s="23"/>
      <c r="V61" s="25" t="n">
        <f>438</f>
        <v>438.0</v>
      </c>
      <c r="W61" s="23"/>
      <c r="X61" s="26" t="n">
        <f>925</f>
        <v>925.0</v>
      </c>
      <c r="Y61" s="24"/>
      <c r="Z61" s="25" t="n">
        <f>3711</f>
        <v>3711.0</v>
      </c>
      <c r="AA61" s="23"/>
      <c r="AB61" s="25" t="n">
        <f>2845</f>
        <v>2845.0</v>
      </c>
      <c r="AC61" s="23"/>
      <c r="AD61" s="26" t="n">
        <f>6556</f>
        <v>6556.0</v>
      </c>
    </row>
    <row r="62">
      <c r="A62" s="30" t="s">
        <v>51</v>
      </c>
      <c r="B62" s="22" t="s">
        <v>61</v>
      </c>
      <c r="C62" s="22" t="s">
        <v>62</v>
      </c>
      <c r="D62" s="24"/>
      <c r="E62" s="25" t="n">
        <f>1061</f>
        <v>1061.0</v>
      </c>
      <c r="F62" s="23"/>
      <c r="G62" s="25" t="n">
        <f>1274</f>
        <v>1274.0</v>
      </c>
      <c r="H62" s="23"/>
      <c r="I62" s="26" t="n">
        <f>2335</f>
        <v>2335.0</v>
      </c>
      <c r="J62" s="24"/>
      <c r="K62" s="25" t="n">
        <f>137464000</f>
        <v>1.37464E8</v>
      </c>
      <c r="L62" s="23" t="s">
        <v>35</v>
      </c>
      <c r="M62" s="25" t="n">
        <f>219595530</f>
        <v>2.1959553E8</v>
      </c>
      <c r="N62" s="23"/>
      <c r="O62" s="26" t="n">
        <f>357059530</f>
        <v>3.5705953E8</v>
      </c>
      <c r="P62" s="27" t="n">
        <f>46</f>
        <v>46.0</v>
      </c>
      <c r="Q62" s="28" t="n">
        <f>428</f>
        <v>428.0</v>
      </c>
      <c r="R62" s="29" t="n">
        <f>474</f>
        <v>474.0</v>
      </c>
      <c r="S62" s="24"/>
      <c r="T62" s="25" t="n">
        <f>351</f>
        <v>351.0</v>
      </c>
      <c r="U62" s="23"/>
      <c r="V62" s="25" t="n">
        <f>667</f>
        <v>667.0</v>
      </c>
      <c r="W62" s="23"/>
      <c r="X62" s="26" t="n">
        <f>1018</f>
        <v>1018.0</v>
      </c>
      <c r="Y62" s="24"/>
      <c r="Z62" s="25" t="n">
        <f>2148</f>
        <v>2148.0</v>
      </c>
      <c r="AA62" s="23"/>
      <c r="AB62" s="25" t="n">
        <f>2528</f>
        <v>2528.0</v>
      </c>
      <c r="AC62" s="23"/>
      <c r="AD62" s="26" t="n">
        <f>4676</f>
        <v>4676.0</v>
      </c>
    </row>
    <row r="63">
      <c r="A63" s="30" t="s">
        <v>52</v>
      </c>
      <c r="B63" s="22" t="s">
        <v>61</v>
      </c>
      <c r="C63" s="22" t="s">
        <v>62</v>
      </c>
      <c r="D63" s="24"/>
      <c r="E63" s="25"/>
      <c r="F63" s="23"/>
      <c r="G63" s="25"/>
      <c r="H63" s="23"/>
      <c r="I63" s="26"/>
      <c r="J63" s="24"/>
      <c r="K63" s="25"/>
      <c r="L63" s="23"/>
      <c r="M63" s="25"/>
      <c r="N63" s="23"/>
      <c r="O63" s="26"/>
      <c r="P63" s="27"/>
      <c r="Q63" s="28"/>
      <c r="R63" s="29"/>
      <c r="S63" s="24"/>
      <c r="T63" s="25"/>
      <c r="U63" s="23"/>
      <c r="V63" s="25"/>
      <c r="W63" s="23"/>
      <c r="X63" s="26"/>
      <c r="Y63" s="24"/>
      <c r="Z63" s="25"/>
      <c r="AA63" s="23"/>
      <c r="AB63" s="25"/>
      <c r="AC63" s="23"/>
      <c r="AD63" s="26"/>
    </row>
    <row r="64">
      <c r="A64" s="30" t="s">
        <v>53</v>
      </c>
      <c r="B64" s="22" t="s">
        <v>61</v>
      </c>
      <c r="C64" s="22" t="s">
        <v>62</v>
      </c>
      <c r="D64" s="24"/>
      <c r="E64" s="25"/>
      <c r="F64" s="23"/>
      <c r="G64" s="25"/>
      <c r="H64" s="23"/>
      <c r="I64" s="26"/>
      <c r="J64" s="24"/>
      <c r="K64" s="25"/>
      <c r="L64" s="23"/>
      <c r="M64" s="25"/>
      <c r="N64" s="23"/>
      <c r="O64" s="26"/>
      <c r="P64" s="27"/>
      <c r="Q64" s="28"/>
      <c r="R64" s="29"/>
      <c r="S64" s="24"/>
      <c r="T64" s="25"/>
      <c r="U64" s="23"/>
      <c r="V64" s="25"/>
      <c r="W64" s="23"/>
      <c r="X64" s="26"/>
      <c r="Y64" s="24"/>
      <c r="Z64" s="25"/>
      <c r="AA64" s="23"/>
      <c r="AB64" s="25"/>
      <c r="AC64" s="23"/>
      <c r="AD64" s="26"/>
    </row>
    <row r="65">
      <c r="A65" s="30" t="s">
        <v>54</v>
      </c>
      <c r="B65" s="22" t="s">
        <v>61</v>
      </c>
      <c r="C65" s="22" t="s">
        <v>62</v>
      </c>
      <c r="D65" s="24"/>
      <c r="E65" s="25"/>
      <c r="F65" s="23"/>
      <c r="G65" s="25"/>
      <c r="H65" s="23"/>
      <c r="I65" s="26"/>
      <c r="J65" s="24"/>
      <c r="K65" s="25"/>
      <c r="L65" s="23"/>
      <c r="M65" s="25"/>
      <c r="N65" s="23"/>
      <c r="O65" s="26"/>
      <c r="P65" s="27"/>
      <c r="Q65" s="28"/>
      <c r="R65" s="29"/>
      <c r="S65" s="24"/>
      <c r="T65" s="25"/>
      <c r="U65" s="23"/>
      <c r="V65" s="25"/>
      <c r="W65" s="23"/>
      <c r="X65" s="26"/>
      <c r="Y65" s="24"/>
      <c r="Z65" s="25"/>
      <c r="AA65" s="23"/>
      <c r="AB65" s="25"/>
      <c r="AC65" s="23"/>
      <c r="AD65" s="26"/>
    </row>
    <row r="66">
      <c r="A66" s="30" t="s">
        <v>55</v>
      </c>
      <c r="B66" s="22" t="s">
        <v>61</v>
      </c>
      <c r="C66" s="22" t="s">
        <v>62</v>
      </c>
      <c r="D66" s="24"/>
      <c r="E66" s="25"/>
      <c r="F66" s="23"/>
      <c r="G66" s="25"/>
      <c r="H66" s="23"/>
      <c r="I66" s="26"/>
      <c r="J66" s="24"/>
      <c r="K66" s="25"/>
      <c r="L66" s="23"/>
      <c r="M66" s="25"/>
      <c r="N66" s="23"/>
      <c r="O66" s="26"/>
      <c r="P66" s="27"/>
      <c r="Q66" s="28"/>
      <c r="R66" s="29"/>
      <c r="S66" s="24"/>
      <c r="T66" s="25"/>
      <c r="U66" s="23"/>
      <c r="V66" s="25"/>
      <c r="W66" s="23"/>
      <c r="X66" s="26"/>
      <c r="Y66" s="24"/>
      <c r="Z66" s="25"/>
      <c r="AA66" s="23"/>
      <c r="AB66" s="25"/>
      <c r="AC66" s="23"/>
      <c r="AD66" s="26"/>
    </row>
    <row r="67">
      <c r="A67" s="30" t="s">
        <v>56</v>
      </c>
      <c r="B67" s="22" t="s">
        <v>61</v>
      </c>
      <c r="C67" s="22" t="s">
        <v>62</v>
      </c>
      <c r="D67" s="24"/>
      <c r="E67" s="25" t="n">
        <f>2267</f>
        <v>2267.0</v>
      </c>
      <c r="F67" s="23"/>
      <c r="G67" s="25" t="n">
        <f>2151</f>
        <v>2151.0</v>
      </c>
      <c r="H67" s="23"/>
      <c r="I67" s="26" t="n">
        <f>4418</f>
        <v>4418.0</v>
      </c>
      <c r="J67" s="24" t="s">
        <v>35</v>
      </c>
      <c r="K67" s="25" t="n">
        <f>290703000</f>
        <v>2.90703E8</v>
      </c>
      <c r="L67" s="23"/>
      <c r="M67" s="25" t="n">
        <f>209741220</f>
        <v>2.0974122E8</v>
      </c>
      <c r="N67" s="23" t="s">
        <v>35</v>
      </c>
      <c r="O67" s="26" t="n">
        <f>500444220</f>
        <v>5.0044422E8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 t="s">
        <v>35</v>
      </c>
      <c r="T67" s="25" t="n">
        <f>621</f>
        <v>621.0</v>
      </c>
      <c r="U67" s="23"/>
      <c r="V67" s="25" t="n">
        <f>394</f>
        <v>394.0</v>
      </c>
      <c r="W67" s="23"/>
      <c r="X67" s="26" t="n">
        <f>1015</f>
        <v>1015.0</v>
      </c>
      <c r="Y67" s="24"/>
      <c r="Z67" s="25" t="n">
        <f>3311</f>
        <v>3311.0</v>
      </c>
      <c r="AA67" s="23"/>
      <c r="AB67" s="25" t="n">
        <f>3751</f>
        <v>3751.0</v>
      </c>
      <c r="AC67" s="23"/>
      <c r="AD67" s="26" t="n">
        <f>7062</f>
        <v>7062.0</v>
      </c>
    </row>
    <row r="68">
      <c r="A68" s="30" t="s">
        <v>57</v>
      </c>
      <c r="B68" s="22" t="s">
        <v>61</v>
      </c>
      <c r="C68" s="22" t="s">
        <v>62</v>
      </c>
      <c r="D68" s="24"/>
      <c r="E68" s="25" t="n">
        <f>1143</f>
        <v>1143.0</v>
      </c>
      <c r="F68" s="23"/>
      <c r="G68" s="25" t="n">
        <f>1345</f>
        <v>1345.0</v>
      </c>
      <c r="H68" s="23"/>
      <c r="I68" s="26" t="n">
        <f>2488</f>
        <v>2488.0</v>
      </c>
      <c r="J68" s="24"/>
      <c r="K68" s="25" t="n">
        <f>72785000</f>
        <v>7.2785E7</v>
      </c>
      <c r="L68" s="23"/>
      <c r="M68" s="25" t="n">
        <f>102046000</f>
        <v>1.02046E8</v>
      </c>
      <c r="N68" s="23"/>
      <c r="O68" s="26" t="n">
        <f>174831000</f>
        <v>1.74831E8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129</f>
        <v>129.0</v>
      </c>
      <c r="U68" s="23"/>
      <c r="V68" s="25" t="n">
        <f>127</f>
        <v>127.0</v>
      </c>
      <c r="W68" s="23"/>
      <c r="X68" s="26" t="n">
        <f>256</f>
        <v>256.0</v>
      </c>
      <c r="Y68" s="24"/>
      <c r="Z68" s="25" t="n">
        <f>3839</f>
        <v>3839.0</v>
      </c>
      <c r="AA68" s="23"/>
      <c r="AB68" s="25" t="n">
        <f>4226</f>
        <v>4226.0</v>
      </c>
      <c r="AC68" s="23"/>
      <c r="AD68" s="26" t="n">
        <f>8065</f>
        <v>8065.0</v>
      </c>
    </row>
    <row r="69">
      <c r="A69" s="30" t="s">
        <v>58</v>
      </c>
      <c r="B69" s="22" t="s">
        <v>61</v>
      </c>
      <c r="C69" s="22" t="s">
        <v>62</v>
      </c>
      <c r="D69" s="24"/>
      <c r="E69" s="25" t="n">
        <f>1338</f>
        <v>1338.0</v>
      </c>
      <c r="F69" s="23"/>
      <c r="G69" s="25" t="n">
        <f>1687</f>
        <v>1687.0</v>
      </c>
      <c r="H69" s="23"/>
      <c r="I69" s="26" t="n">
        <f>3025</f>
        <v>3025.0</v>
      </c>
      <c r="J69" s="24"/>
      <c r="K69" s="25" t="n">
        <f>71716000</f>
        <v>7.1716E7</v>
      </c>
      <c r="L69" s="23"/>
      <c r="M69" s="25" t="n">
        <f>54406000</f>
        <v>5.4406E7</v>
      </c>
      <c r="N69" s="23"/>
      <c r="O69" s="26" t="n">
        <f>126122000</f>
        <v>1.26122E8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196</f>
        <v>196.0</v>
      </c>
      <c r="U69" s="23"/>
      <c r="V69" s="25" t="n">
        <f>192</f>
        <v>192.0</v>
      </c>
      <c r="W69" s="23"/>
      <c r="X69" s="26" t="n">
        <f>388</f>
        <v>388.0</v>
      </c>
      <c r="Y69" s="24"/>
      <c r="Z69" s="25" t="n">
        <f>4079</f>
        <v>4079.0</v>
      </c>
      <c r="AA69" s="23"/>
      <c r="AB69" s="25" t="n">
        <f>4519</f>
        <v>4519.0</v>
      </c>
      <c r="AC69" s="23"/>
      <c r="AD69" s="26" t="n">
        <f>8598</f>
        <v>8598.0</v>
      </c>
    </row>
    <row r="70">
      <c r="A70" s="30" t="s">
        <v>59</v>
      </c>
      <c r="B70" s="22" t="s">
        <v>61</v>
      </c>
      <c r="C70" s="22" t="s">
        <v>62</v>
      </c>
      <c r="D70" s="24"/>
      <c r="E70" s="25" t="n">
        <f>2406</f>
        <v>2406.0</v>
      </c>
      <c r="F70" s="23" t="s">
        <v>35</v>
      </c>
      <c r="G70" s="25" t="n">
        <f>3127</f>
        <v>3127.0</v>
      </c>
      <c r="H70" s="23" t="s">
        <v>35</v>
      </c>
      <c r="I70" s="26" t="n">
        <f>5533</f>
        <v>5533.0</v>
      </c>
      <c r="J70" s="24"/>
      <c r="K70" s="25" t="n">
        <f>52206000</f>
        <v>5.2206E7</v>
      </c>
      <c r="L70" s="23"/>
      <c r="M70" s="25" t="n">
        <f>111812000</f>
        <v>1.11812E8</v>
      </c>
      <c r="N70" s="23"/>
      <c r="O70" s="26" t="n">
        <f>164018000</f>
        <v>1.64018E8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268</f>
        <v>268.0</v>
      </c>
      <c r="U70" s="23" t="s">
        <v>35</v>
      </c>
      <c r="V70" s="25" t="n">
        <f>1127</f>
        <v>1127.0</v>
      </c>
      <c r="W70" s="23" t="s">
        <v>35</v>
      </c>
      <c r="X70" s="26" t="n">
        <f>1395</f>
        <v>1395.0</v>
      </c>
      <c r="Y70" s="24" t="s">
        <v>35</v>
      </c>
      <c r="Z70" s="25" t="n">
        <f>5165</f>
        <v>5165.0</v>
      </c>
      <c r="AA70" s="23" t="s">
        <v>35</v>
      </c>
      <c r="AB70" s="25" t="n">
        <f>5809</f>
        <v>5809.0</v>
      </c>
      <c r="AC70" s="23" t="s">
        <v>35</v>
      </c>
      <c r="AD70" s="26" t="n">
        <f>10974</f>
        <v>10974.0</v>
      </c>
    </row>
    <row r="71">
      <c r="A71" s="30" t="s">
        <v>60</v>
      </c>
      <c r="B71" s="22" t="s">
        <v>61</v>
      </c>
      <c r="C71" s="22" t="s">
        <v>62</v>
      </c>
      <c r="D71" s="24"/>
      <c r="E71" s="25" t="n">
        <f>1040</f>
        <v>1040.0</v>
      </c>
      <c r="F71" s="23"/>
      <c r="G71" s="25" t="n">
        <f>1384</f>
        <v>1384.0</v>
      </c>
      <c r="H71" s="23"/>
      <c r="I71" s="26" t="n">
        <f>2424</f>
        <v>2424.0</v>
      </c>
      <c r="J71" s="24"/>
      <c r="K71" s="25" t="n">
        <f>140140000</f>
        <v>1.4014E8</v>
      </c>
      <c r="L71" s="23"/>
      <c r="M71" s="25" t="n">
        <f>78454000</f>
        <v>7.8454E7</v>
      </c>
      <c r="N71" s="23"/>
      <c r="O71" s="26" t="n">
        <f>218594000</f>
        <v>2.18594E8</v>
      </c>
      <c r="P71" s="27" t="n">
        <f>1740</f>
        <v>1740.0</v>
      </c>
      <c r="Q71" s="28" t="str">
        <f>"－"</f>
        <v>－</v>
      </c>
      <c r="R71" s="29" t="n">
        <f>1740</f>
        <v>1740.0</v>
      </c>
      <c r="S71" s="24"/>
      <c r="T71" s="25" t="n">
        <f>566</f>
        <v>566.0</v>
      </c>
      <c r="U71" s="23"/>
      <c r="V71" s="25" t="n">
        <f>121</f>
        <v>121.0</v>
      </c>
      <c r="W71" s="23"/>
      <c r="X71" s="26" t="n">
        <f>687</f>
        <v>687.0</v>
      </c>
      <c r="Y71" s="24"/>
      <c r="Z71" s="25" t="n">
        <f>1209</f>
        <v>1209.0</v>
      </c>
      <c r="AA71" s="23"/>
      <c r="AB71" s="25" t="n">
        <f>2903</f>
        <v>2903.0</v>
      </c>
      <c r="AC71" s="23"/>
      <c r="AD71" s="26" t="n">
        <f>4112</f>
        <v>4112.0</v>
      </c>
    </row>
    <row r="72">
      <c r="A72" s="30" t="s">
        <v>26</v>
      </c>
      <c r="B72" s="22" t="s">
        <v>63</v>
      </c>
      <c r="C72" s="22" t="s">
        <v>64</v>
      </c>
      <c r="D72" s="24"/>
      <c r="E72" s="25" t="n">
        <f>962</f>
        <v>962.0</v>
      </c>
      <c r="F72" s="23"/>
      <c r="G72" s="25" t="n">
        <f>85</f>
        <v>85.0</v>
      </c>
      <c r="H72" s="23"/>
      <c r="I72" s="26" t="n">
        <f>1047</f>
        <v>1047.0</v>
      </c>
      <c r="J72" s="24"/>
      <c r="K72" s="25" t="n">
        <f>466516000</f>
        <v>4.66516E8</v>
      </c>
      <c r="L72" s="23"/>
      <c r="M72" s="25" t="n">
        <f>21131000</f>
        <v>2.1131E7</v>
      </c>
      <c r="N72" s="23"/>
      <c r="O72" s="26" t="n">
        <f>487647000</f>
        <v>4.87647E8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/>
      <c r="T72" s="25" t="n">
        <f>82</f>
        <v>82.0</v>
      </c>
      <c r="U72" s="23"/>
      <c r="V72" s="25" t="n">
        <f>85</f>
        <v>85.0</v>
      </c>
      <c r="W72" s="23"/>
      <c r="X72" s="26" t="n">
        <f>167</f>
        <v>167.0</v>
      </c>
      <c r="Y72" s="24" t="s">
        <v>39</v>
      </c>
      <c r="Z72" s="25" t="n">
        <f>92648</f>
        <v>92648.0</v>
      </c>
      <c r="AA72" s="23" t="s">
        <v>39</v>
      </c>
      <c r="AB72" s="25" t="n">
        <f>14584</f>
        <v>14584.0</v>
      </c>
      <c r="AC72" s="23" t="s">
        <v>39</v>
      </c>
      <c r="AD72" s="26" t="n">
        <f>107232</f>
        <v>107232.0</v>
      </c>
    </row>
    <row r="73">
      <c r="A73" s="30" t="s">
        <v>29</v>
      </c>
      <c r="B73" s="22" t="s">
        <v>63</v>
      </c>
      <c r="C73" s="22" t="s">
        <v>64</v>
      </c>
      <c r="D73" s="24"/>
      <c r="E73" s="25" t="n">
        <f>19</f>
        <v>19.0</v>
      </c>
      <c r="F73" s="23" t="s">
        <v>39</v>
      </c>
      <c r="G73" s="25" t="str">
        <f>"－"</f>
        <v>－</v>
      </c>
      <c r="H73" s="23"/>
      <c r="I73" s="26" t="n">
        <f>19</f>
        <v>19.0</v>
      </c>
      <c r="J73" s="24"/>
      <c r="K73" s="25" t="n">
        <f>15704450</f>
        <v>1.570445E7</v>
      </c>
      <c r="L73" s="23" t="s">
        <v>39</v>
      </c>
      <c r="M73" s="25" t="str">
        <f>"－"</f>
        <v>－</v>
      </c>
      <c r="N73" s="23"/>
      <c r="O73" s="26" t="n">
        <f>15704450</f>
        <v>1.570445E7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n">
        <f>19</f>
        <v>19.0</v>
      </c>
      <c r="U73" s="23" t="s">
        <v>39</v>
      </c>
      <c r="V73" s="25" t="str">
        <f>"－"</f>
        <v>－</v>
      </c>
      <c r="W73" s="23"/>
      <c r="X73" s="26" t="n">
        <f>19</f>
        <v>19.0</v>
      </c>
      <c r="Y73" s="24"/>
      <c r="Z73" s="25" t="n">
        <f>92667</f>
        <v>92667.0</v>
      </c>
      <c r="AA73" s="23"/>
      <c r="AB73" s="25" t="n">
        <f>14584</f>
        <v>14584.0</v>
      </c>
      <c r="AC73" s="23"/>
      <c r="AD73" s="26" t="n">
        <f>107251</f>
        <v>107251.0</v>
      </c>
    </row>
    <row r="74">
      <c r="A74" s="30" t="s">
        <v>30</v>
      </c>
      <c r="B74" s="22" t="s">
        <v>63</v>
      </c>
      <c r="C74" s="22" t="s">
        <v>64</v>
      </c>
      <c r="D74" s="24" t="s">
        <v>39</v>
      </c>
      <c r="E74" s="25" t="str">
        <f>"－"</f>
        <v>－</v>
      </c>
      <c r="F74" s="23"/>
      <c r="G74" s="25" t="str">
        <f>"－"</f>
        <v>－</v>
      </c>
      <c r="H74" s="23" t="s">
        <v>39</v>
      </c>
      <c r="I74" s="26" t="str">
        <f>"－"</f>
        <v>－</v>
      </c>
      <c r="J74" s="24" t="s">
        <v>39</v>
      </c>
      <c r="K74" s="25" t="str">
        <f>"－"</f>
        <v>－</v>
      </c>
      <c r="L74" s="23"/>
      <c r="M74" s="25" t="str">
        <f>"－"</f>
        <v>－</v>
      </c>
      <c r="N74" s="23" t="s">
        <v>39</v>
      </c>
      <c r="O74" s="26" t="str">
        <f>"－"</f>
        <v>－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 t="s">
        <v>39</v>
      </c>
      <c r="T74" s="25" t="str">
        <f>"－"</f>
        <v>－</v>
      </c>
      <c r="U74" s="23"/>
      <c r="V74" s="25" t="str">
        <f>"－"</f>
        <v>－</v>
      </c>
      <c r="W74" s="23" t="s">
        <v>39</v>
      </c>
      <c r="X74" s="26" t="str">
        <f>"－"</f>
        <v>－</v>
      </c>
      <c r="Y74" s="24"/>
      <c r="Z74" s="25" t="n">
        <f>92667</f>
        <v>92667.0</v>
      </c>
      <c r="AA74" s="23"/>
      <c r="AB74" s="25" t="n">
        <f>14584</f>
        <v>14584.0</v>
      </c>
      <c r="AC74" s="23"/>
      <c r="AD74" s="26" t="n">
        <f>107251</f>
        <v>107251.0</v>
      </c>
    </row>
    <row r="75">
      <c r="A75" s="30" t="s">
        <v>31</v>
      </c>
      <c r="B75" s="22" t="s">
        <v>63</v>
      </c>
      <c r="C75" s="22" t="s">
        <v>64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32</v>
      </c>
      <c r="B76" s="22" t="s">
        <v>63</v>
      </c>
      <c r="C76" s="22" t="s">
        <v>64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33</v>
      </c>
      <c r="B77" s="22" t="s">
        <v>63</v>
      </c>
      <c r="C77" s="22" t="s">
        <v>64</v>
      </c>
      <c r="D77" s="24"/>
      <c r="E77" s="25" t="n">
        <f>150</f>
        <v>150.0</v>
      </c>
      <c r="F77" s="23"/>
      <c r="G77" s="25" t="n">
        <f>150</f>
        <v>150.0</v>
      </c>
      <c r="H77" s="23"/>
      <c r="I77" s="26" t="n">
        <f>300</f>
        <v>300.0</v>
      </c>
      <c r="J77" s="24"/>
      <c r="K77" s="25" t="n">
        <f>121500000</f>
        <v>1.215E8</v>
      </c>
      <c r="L77" s="23"/>
      <c r="M77" s="25" t="n">
        <f>37500000</f>
        <v>3.75E7</v>
      </c>
      <c r="N77" s="23"/>
      <c r="O77" s="26" t="n">
        <f>159000000</f>
        <v>1.59E8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str">
        <f>"－"</f>
        <v>－</v>
      </c>
      <c r="U77" s="23"/>
      <c r="V77" s="25" t="str">
        <f>"－"</f>
        <v>－</v>
      </c>
      <c r="W77" s="23"/>
      <c r="X77" s="26" t="str">
        <f>"－"</f>
        <v>－</v>
      </c>
      <c r="Y77" s="24"/>
      <c r="Z77" s="25" t="n">
        <f>92817</f>
        <v>92817.0</v>
      </c>
      <c r="AA77" s="23"/>
      <c r="AB77" s="25" t="n">
        <f>14734</f>
        <v>14734.0</v>
      </c>
      <c r="AC77" s="23"/>
      <c r="AD77" s="26" t="n">
        <f>107551</f>
        <v>107551.0</v>
      </c>
    </row>
    <row r="78">
      <c r="A78" s="30" t="s">
        <v>34</v>
      </c>
      <c r="B78" s="22" t="s">
        <v>63</v>
      </c>
      <c r="C78" s="22" t="s">
        <v>64</v>
      </c>
      <c r="D78" s="24"/>
      <c r="E78" s="25" t="n">
        <f>920</f>
        <v>920.0</v>
      </c>
      <c r="F78" s="23"/>
      <c r="G78" s="25" t="n">
        <f>680</f>
        <v>680.0</v>
      </c>
      <c r="H78" s="23"/>
      <c r="I78" s="26" t="n">
        <f>1600</f>
        <v>1600.0</v>
      </c>
      <c r="J78" s="24"/>
      <c r="K78" s="25" t="n">
        <f>133367100</f>
        <v>1.333671E8</v>
      </c>
      <c r="L78" s="23"/>
      <c r="M78" s="25" t="n">
        <f>102615000</f>
        <v>1.02615E8</v>
      </c>
      <c r="N78" s="23"/>
      <c r="O78" s="26" t="n">
        <f>235982100</f>
        <v>2.359821E8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n">
        <f>461</f>
        <v>461.0</v>
      </c>
      <c r="U78" s="23"/>
      <c r="V78" s="25" t="n">
        <f>680</f>
        <v>680.0</v>
      </c>
      <c r="W78" s="23"/>
      <c r="X78" s="26" t="n">
        <f>1141</f>
        <v>1141.0</v>
      </c>
      <c r="Y78" s="24"/>
      <c r="Z78" s="25" t="n">
        <f>93737</f>
        <v>93737.0</v>
      </c>
      <c r="AA78" s="23"/>
      <c r="AB78" s="25" t="n">
        <f>15269</f>
        <v>15269.0</v>
      </c>
      <c r="AC78" s="23"/>
      <c r="AD78" s="26" t="n">
        <f>109006</f>
        <v>109006.0</v>
      </c>
    </row>
    <row r="79">
      <c r="A79" s="30" t="s">
        <v>36</v>
      </c>
      <c r="B79" s="22" t="s">
        <v>63</v>
      </c>
      <c r="C79" s="22" t="s">
        <v>64</v>
      </c>
      <c r="D79" s="24"/>
      <c r="E79" s="25" t="n">
        <f>926</f>
        <v>926.0</v>
      </c>
      <c r="F79" s="23"/>
      <c r="G79" s="25" t="str">
        <f>"－"</f>
        <v>－</v>
      </c>
      <c r="H79" s="23"/>
      <c r="I79" s="26" t="n">
        <f>926</f>
        <v>926.0</v>
      </c>
      <c r="J79" s="24"/>
      <c r="K79" s="25" t="n">
        <f>125758800</f>
        <v>1.257588E8</v>
      </c>
      <c r="L79" s="23"/>
      <c r="M79" s="25" t="str">
        <f>"－"</f>
        <v>－</v>
      </c>
      <c r="N79" s="23"/>
      <c r="O79" s="26" t="n">
        <f>125758800</f>
        <v>1.257588E8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str">
        <f>"－"</f>
        <v>－</v>
      </c>
      <c r="W79" s="23"/>
      <c r="X79" s="26" t="str">
        <f>"－"</f>
        <v>－</v>
      </c>
      <c r="Y79" s="24"/>
      <c r="Z79" s="25" t="n">
        <f>94663</f>
        <v>94663.0</v>
      </c>
      <c r="AA79" s="23"/>
      <c r="AB79" s="25" t="n">
        <f>15269</f>
        <v>15269.0</v>
      </c>
      <c r="AC79" s="23"/>
      <c r="AD79" s="26" t="n">
        <f>109932</f>
        <v>109932.0</v>
      </c>
    </row>
    <row r="80">
      <c r="A80" s="30" t="s">
        <v>37</v>
      </c>
      <c r="B80" s="22" t="s">
        <v>63</v>
      </c>
      <c r="C80" s="22" t="s">
        <v>64</v>
      </c>
      <c r="D80" s="24"/>
      <c r="E80" s="25" t="n">
        <f>491</f>
        <v>491.0</v>
      </c>
      <c r="F80" s="23"/>
      <c r="G80" s="25" t="str">
        <f>"－"</f>
        <v>－</v>
      </c>
      <c r="H80" s="23"/>
      <c r="I80" s="26" t="n">
        <f>491</f>
        <v>491.0</v>
      </c>
      <c r="J80" s="24"/>
      <c r="K80" s="25" t="n">
        <f>77446885</f>
        <v>7.7446885E7</v>
      </c>
      <c r="L80" s="23"/>
      <c r="M80" s="25" t="str">
        <f>"－"</f>
        <v>－</v>
      </c>
      <c r="N80" s="23"/>
      <c r="O80" s="26" t="n">
        <f>77446885</f>
        <v>7.7446885E7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n">
        <f>491</f>
        <v>491.0</v>
      </c>
      <c r="U80" s="23"/>
      <c r="V80" s="25" t="str">
        <f>"－"</f>
        <v>－</v>
      </c>
      <c r="W80" s="23"/>
      <c r="X80" s="26" t="n">
        <f>491</f>
        <v>491.0</v>
      </c>
      <c r="Y80" s="24"/>
      <c r="Z80" s="25" t="n">
        <f>95154</f>
        <v>95154.0</v>
      </c>
      <c r="AA80" s="23"/>
      <c r="AB80" s="25" t="n">
        <f>15269</f>
        <v>15269.0</v>
      </c>
      <c r="AC80" s="23"/>
      <c r="AD80" s="26" t="n">
        <f>110423</f>
        <v>110423.0</v>
      </c>
    </row>
    <row r="81">
      <c r="A81" s="30" t="s">
        <v>38</v>
      </c>
      <c r="B81" s="22" t="s">
        <v>63</v>
      </c>
      <c r="C81" s="22" t="s">
        <v>64</v>
      </c>
      <c r="D81" s="24" t="s">
        <v>35</v>
      </c>
      <c r="E81" s="25" t="n">
        <f>3522</f>
        <v>3522.0</v>
      </c>
      <c r="F81" s="23"/>
      <c r="G81" s="25" t="str">
        <f>"－"</f>
        <v>－</v>
      </c>
      <c r="H81" s="23" t="s">
        <v>35</v>
      </c>
      <c r="I81" s="26" t="n">
        <f>3522</f>
        <v>3522.0</v>
      </c>
      <c r="J81" s="24" t="s">
        <v>35</v>
      </c>
      <c r="K81" s="25" t="n">
        <f>1053501476</f>
        <v>1.053501476E9</v>
      </c>
      <c r="L81" s="23"/>
      <c r="M81" s="25" t="str">
        <f>"－"</f>
        <v>－</v>
      </c>
      <c r="N81" s="23" t="s">
        <v>35</v>
      </c>
      <c r="O81" s="26" t="n">
        <f>1053501476</f>
        <v>1.053501476E9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 t="s">
        <v>35</v>
      </c>
      <c r="T81" s="25" t="n">
        <f>763</f>
        <v>763.0</v>
      </c>
      <c r="U81" s="23"/>
      <c r="V81" s="25" t="str">
        <f>"－"</f>
        <v>－</v>
      </c>
      <c r="W81" s="23"/>
      <c r="X81" s="26" t="n">
        <f>763</f>
        <v>763.0</v>
      </c>
      <c r="Y81" s="24"/>
      <c r="Z81" s="25" t="n">
        <f>96007</f>
        <v>96007.0</v>
      </c>
      <c r="AA81" s="23"/>
      <c r="AB81" s="25" t="n">
        <f>14987</f>
        <v>14987.0</v>
      </c>
      <c r="AC81" s="23"/>
      <c r="AD81" s="26" t="n">
        <f>110994</f>
        <v>110994.0</v>
      </c>
    </row>
    <row r="82">
      <c r="A82" s="30" t="s">
        <v>40</v>
      </c>
      <c r="B82" s="22" t="s">
        <v>63</v>
      </c>
      <c r="C82" s="22" t="s">
        <v>64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41</v>
      </c>
      <c r="B83" s="22" t="s">
        <v>63</v>
      </c>
      <c r="C83" s="22" t="s">
        <v>64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42</v>
      </c>
      <c r="B84" s="22" t="s">
        <v>63</v>
      </c>
      <c r="C84" s="22" t="s">
        <v>64</v>
      </c>
      <c r="D84" s="24"/>
      <c r="E84" s="25" t="str">
        <f>"－"</f>
        <v>－</v>
      </c>
      <c r="F84" s="23"/>
      <c r="G84" s="25" t="str">
        <f>"－"</f>
        <v>－</v>
      </c>
      <c r="H84" s="23"/>
      <c r="I84" s="26" t="str">
        <f>"－"</f>
        <v>－</v>
      </c>
      <c r="J84" s="24"/>
      <c r="K84" s="25" t="str">
        <f>"－"</f>
        <v>－</v>
      </c>
      <c r="L84" s="23"/>
      <c r="M84" s="25" t="str">
        <f>"－"</f>
        <v>－</v>
      </c>
      <c r="N84" s="23"/>
      <c r="O84" s="26" t="str">
        <f>"－"</f>
        <v>－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str">
        <f>"－"</f>
        <v>－</v>
      </c>
      <c r="U84" s="23"/>
      <c r="V84" s="25" t="str">
        <f>"－"</f>
        <v>－</v>
      </c>
      <c r="W84" s="23"/>
      <c r="X84" s="26" t="str">
        <f>"－"</f>
        <v>－</v>
      </c>
      <c r="Y84" s="24"/>
      <c r="Z84" s="25" t="n">
        <f>96007</f>
        <v>96007.0</v>
      </c>
      <c r="AA84" s="23"/>
      <c r="AB84" s="25" t="n">
        <f>14987</f>
        <v>14987.0</v>
      </c>
      <c r="AC84" s="23"/>
      <c r="AD84" s="26" t="n">
        <f>110994</f>
        <v>110994.0</v>
      </c>
    </row>
    <row r="85">
      <c r="A85" s="30" t="s">
        <v>43</v>
      </c>
      <c r="B85" s="22" t="s">
        <v>63</v>
      </c>
      <c r="C85" s="22" t="s">
        <v>64</v>
      </c>
      <c r="D85" s="24"/>
      <c r="E85" s="25" t="n">
        <f>1385</f>
        <v>1385.0</v>
      </c>
      <c r="F85" s="23"/>
      <c r="G85" s="25" t="n">
        <f>273</f>
        <v>273.0</v>
      </c>
      <c r="H85" s="23"/>
      <c r="I85" s="26" t="n">
        <f>1658</f>
        <v>1658.0</v>
      </c>
      <c r="J85" s="24"/>
      <c r="K85" s="25" t="n">
        <f>191399800</f>
        <v>1.913998E8</v>
      </c>
      <c r="L85" s="23"/>
      <c r="M85" s="25" t="n">
        <f>19628700</f>
        <v>1.96287E7</v>
      </c>
      <c r="N85" s="23"/>
      <c r="O85" s="26" t="n">
        <f>211028500</f>
        <v>2.110285E8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/>
      <c r="V85" s="25" t="n">
        <f>273</f>
        <v>273.0</v>
      </c>
      <c r="W85" s="23"/>
      <c r="X85" s="26" t="n">
        <f>273</f>
        <v>273.0</v>
      </c>
      <c r="Y85" s="24"/>
      <c r="Z85" s="25" t="n">
        <f>97392</f>
        <v>97392.0</v>
      </c>
      <c r="AA85" s="23"/>
      <c r="AB85" s="25" t="n">
        <f>14987</f>
        <v>14987.0</v>
      </c>
      <c r="AC85" s="23"/>
      <c r="AD85" s="26" t="n">
        <f>112379</f>
        <v>112379.0</v>
      </c>
    </row>
    <row r="86">
      <c r="A86" s="30" t="s">
        <v>44</v>
      </c>
      <c r="B86" s="22" t="s">
        <v>63</v>
      </c>
      <c r="C86" s="22" t="s">
        <v>64</v>
      </c>
      <c r="D86" s="24"/>
      <c r="E86" s="25" t="str">
        <f>"－"</f>
        <v>－</v>
      </c>
      <c r="F86" s="23"/>
      <c r="G86" s="25" t="str">
        <f>"－"</f>
        <v>－</v>
      </c>
      <c r="H86" s="23"/>
      <c r="I86" s="26" t="str">
        <f>"－"</f>
        <v>－</v>
      </c>
      <c r="J86" s="24"/>
      <c r="K86" s="25" t="str">
        <f>"－"</f>
        <v>－</v>
      </c>
      <c r="L86" s="23"/>
      <c r="M86" s="25" t="str">
        <f>"－"</f>
        <v>－</v>
      </c>
      <c r="N86" s="23"/>
      <c r="O86" s="26" t="str">
        <f>"－"</f>
        <v>－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97392</f>
        <v>97392.0</v>
      </c>
      <c r="AA86" s="23"/>
      <c r="AB86" s="25" t="n">
        <f>14987</f>
        <v>14987.0</v>
      </c>
      <c r="AC86" s="23"/>
      <c r="AD86" s="26" t="n">
        <f>112379</f>
        <v>112379.0</v>
      </c>
    </row>
    <row r="87">
      <c r="A87" s="30" t="s">
        <v>45</v>
      </c>
      <c r="B87" s="22" t="s">
        <v>63</v>
      </c>
      <c r="C87" s="22" t="s">
        <v>64</v>
      </c>
      <c r="D87" s="24"/>
      <c r="E87" s="25" t="n">
        <f>290</f>
        <v>290.0</v>
      </c>
      <c r="F87" s="23"/>
      <c r="G87" s="25" t="n">
        <f>145</f>
        <v>145.0</v>
      </c>
      <c r="H87" s="23"/>
      <c r="I87" s="26" t="n">
        <f>435</f>
        <v>435.0</v>
      </c>
      <c r="J87" s="24"/>
      <c r="K87" s="25" t="n">
        <f>13050000</f>
        <v>1.305E7</v>
      </c>
      <c r="L87" s="23"/>
      <c r="M87" s="25" t="n">
        <f>21025000</f>
        <v>2.1025E7</v>
      </c>
      <c r="N87" s="23"/>
      <c r="O87" s="26" t="n">
        <f>34075000</f>
        <v>3.4075E7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n">
        <f>290</f>
        <v>290.0</v>
      </c>
      <c r="U87" s="23"/>
      <c r="V87" s="25" t="n">
        <f>145</f>
        <v>145.0</v>
      </c>
      <c r="W87" s="23"/>
      <c r="X87" s="26" t="n">
        <f>435</f>
        <v>435.0</v>
      </c>
      <c r="Y87" s="24"/>
      <c r="Z87" s="25" t="n">
        <f>97392</f>
        <v>97392.0</v>
      </c>
      <c r="AA87" s="23"/>
      <c r="AB87" s="25" t="n">
        <f>15132</f>
        <v>15132.0</v>
      </c>
      <c r="AC87" s="23"/>
      <c r="AD87" s="26" t="n">
        <f>112524</f>
        <v>112524.0</v>
      </c>
    </row>
    <row r="88">
      <c r="A88" s="30" t="s">
        <v>46</v>
      </c>
      <c r="B88" s="22" t="s">
        <v>63</v>
      </c>
      <c r="C88" s="22" t="s">
        <v>64</v>
      </c>
      <c r="D88" s="24"/>
      <c r="E88" s="25" t="str">
        <f>"－"</f>
        <v>－</v>
      </c>
      <c r="F88" s="23"/>
      <c r="G88" s="25" t="str">
        <f>"－"</f>
        <v>－</v>
      </c>
      <c r="H88" s="23"/>
      <c r="I88" s="26" t="str">
        <f>"－"</f>
        <v>－</v>
      </c>
      <c r="J88" s="24"/>
      <c r="K88" s="25" t="str">
        <f>"－"</f>
        <v>－</v>
      </c>
      <c r="L88" s="23"/>
      <c r="M88" s="25" t="str">
        <f>"－"</f>
        <v>－</v>
      </c>
      <c r="N88" s="23"/>
      <c r="O88" s="26" t="str">
        <f>"－"</f>
        <v>－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97392</f>
        <v>97392.0</v>
      </c>
      <c r="AA88" s="23"/>
      <c r="AB88" s="25" t="n">
        <f>15132</f>
        <v>15132.0</v>
      </c>
      <c r="AC88" s="23"/>
      <c r="AD88" s="26" t="n">
        <f>112524</f>
        <v>112524.0</v>
      </c>
    </row>
    <row r="89">
      <c r="A89" s="30" t="s">
        <v>47</v>
      </c>
      <c r="B89" s="22" t="s">
        <v>63</v>
      </c>
      <c r="C89" s="22" t="s">
        <v>64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48</v>
      </c>
      <c r="B90" s="22" t="s">
        <v>63</v>
      </c>
      <c r="C90" s="22" t="s">
        <v>64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49</v>
      </c>
      <c r="B91" s="22" t="s">
        <v>63</v>
      </c>
      <c r="C91" s="22" t="s">
        <v>64</v>
      </c>
      <c r="D91" s="24"/>
      <c r="E91" s="25" t="n">
        <f>460</f>
        <v>460.0</v>
      </c>
      <c r="F91" s="23"/>
      <c r="G91" s="25" t="str">
        <f>"－"</f>
        <v>－</v>
      </c>
      <c r="H91" s="23"/>
      <c r="I91" s="26" t="n">
        <f>460</f>
        <v>460.0</v>
      </c>
      <c r="J91" s="24"/>
      <c r="K91" s="25" t="n">
        <f>165600000</f>
        <v>1.656E8</v>
      </c>
      <c r="L91" s="23"/>
      <c r="M91" s="25" t="str">
        <f>"－"</f>
        <v>－</v>
      </c>
      <c r="N91" s="23"/>
      <c r="O91" s="26" t="n">
        <f>165600000</f>
        <v>1.656E8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str">
        <f>"－"</f>
        <v>－</v>
      </c>
      <c r="U91" s="23"/>
      <c r="V91" s="25" t="str">
        <f>"－"</f>
        <v>－</v>
      </c>
      <c r="W91" s="23"/>
      <c r="X91" s="26" t="str">
        <f>"－"</f>
        <v>－</v>
      </c>
      <c r="Y91" s="24"/>
      <c r="Z91" s="25" t="n">
        <f>97392</f>
        <v>97392.0</v>
      </c>
      <c r="AA91" s="23"/>
      <c r="AB91" s="25" t="n">
        <f>15132</f>
        <v>15132.0</v>
      </c>
      <c r="AC91" s="23"/>
      <c r="AD91" s="26" t="n">
        <f>112524</f>
        <v>112524.0</v>
      </c>
    </row>
    <row r="92">
      <c r="A92" s="30" t="s">
        <v>50</v>
      </c>
      <c r="B92" s="22" t="s">
        <v>63</v>
      </c>
      <c r="C92" s="22" t="s">
        <v>64</v>
      </c>
      <c r="D92" s="24"/>
      <c r="E92" s="25" t="str">
        <f>"－"</f>
        <v>－</v>
      </c>
      <c r="F92" s="23"/>
      <c r="G92" s="25" t="n">
        <f>300</f>
        <v>300.0</v>
      </c>
      <c r="H92" s="23"/>
      <c r="I92" s="26" t="n">
        <f>300</f>
        <v>300.0</v>
      </c>
      <c r="J92" s="24"/>
      <c r="K92" s="25" t="str">
        <f>"－"</f>
        <v>－</v>
      </c>
      <c r="L92" s="23"/>
      <c r="M92" s="25" t="n">
        <f>61800000</f>
        <v>6.18E7</v>
      </c>
      <c r="N92" s="23"/>
      <c r="O92" s="26" t="n">
        <f>61800000</f>
        <v>6.18E7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97392</f>
        <v>97392.0</v>
      </c>
      <c r="AA92" s="23"/>
      <c r="AB92" s="25" t="n">
        <f>15432</f>
        <v>15432.0</v>
      </c>
      <c r="AC92" s="23"/>
      <c r="AD92" s="26" t="n">
        <f>112824</f>
        <v>112824.0</v>
      </c>
    </row>
    <row r="93">
      <c r="A93" s="30" t="s">
        <v>51</v>
      </c>
      <c r="B93" s="22" t="s">
        <v>63</v>
      </c>
      <c r="C93" s="22" t="s">
        <v>64</v>
      </c>
      <c r="D93" s="24"/>
      <c r="E93" s="25" t="n">
        <f>912</f>
        <v>912.0</v>
      </c>
      <c r="F93" s="23"/>
      <c r="G93" s="25" t="n">
        <f>200</f>
        <v>200.0</v>
      </c>
      <c r="H93" s="23"/>
      <c r="I93" s="26" t="n">
        <f>1112</f>
        <v>1112.0</v>
      </c>
      <c r="J93" s="24"/>
      <c r="K93" s="25" t="n">
        <f>260835800</f>
        <v>2.608358E8</v>
      </c>
      <c r="L93" s="23"/>
      <c r="M93" s="25" t="n">
        <f>40000000</f>
        <v>4.0E7</v>
      </c>
      <c r="N93" s="23"/>
      <c r="O93" s="26" t="n">
        <f>300835800</f>
        <v>3.008358E8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97706</f>
        <v>97706.0</v>
      </c>
      <c r="AA93" s="23"/>
      <c r="AB93" s="25" t="n">
        <f>15632</f>
        <v>15632.0</v>
      </c>
      <c r="AC93" s="23"/>
      <c r="AD93" s="26" t="n">
        <f>113338</f>
        <v>113338.0</v>
      </c>
    </row>
    <row r="94">
      <c r="A94" s="30" t="s">
        <v>52</v>
      </c>
      <c r="B94" s="22" t="s">
        <v>63</v>
      </c>
      <c r="C94" s="22" t="s">
        <v>64</v>
      </c>
      <c r="D94" s="24"/>
      <c r="E94" s="25"/>
      <c r="F94" s="23"/>
      <c r="G94" s="25"/>
      <c r="H94" s="23"/>
      <c r="I94" s="26"/>
      <c r="J94" s="24"/>
      <c r="K94" s="25"/>
      <c r="L94" s="23"/>
      <c r="M94" s="25"/>
      <c r="N94" s="23"/>
      <c r="O94" s="26"/>
      <c r="P94" s="27"/>
      <c r="Q94" s="28"/>
      <c r="R94" s="29"/>
      <c r="S94" s="24"/>
      <c r="T94" s="25"/>
      <c r="U94" s="23"/>
      <c r="V94" s="25"/>
      <c r="W94" s="23"/>
      <c r="X94" s="26"/>
      <c r="Y94" s="24"/>
      <c r="Z94" s="25"/>
      <c r="AA94" s="23"/>
      <c r="AB94" s="25"/>
      <c r="AC94" s="23"/>
      <c r="AD94" s="26"/>
    </row>
    <row r="95">
      <c r="A95" s="30" t="s">
        <v>53</v>
      </c>
      <c r="B95" s="22" t="s">
        <v>63</v>
      </c>
      <c r="C95" s="22" t="s">
        <v>64</v>
      </c>
      <c r="D95" s="24"/>
      <c r="E95" s="25"/>
      <c r="F95" s="23"/>
      <c r="G95" s="25"/>
      <c r="H95" s="23"/>
      <c r="I95" s="26"/>
      <c r="J95" s="24"/>
      <c r="K95" s="25"/>
      <c r="L95" s="23"/>
      <c r="M95" s="25"/>
      <c r="N95" s="23"/>
      <c r="O95" s="26"/>
      <c r="P95" s="27"/>
      <c r="Q95" s="28"/>
      <c r="R95" s="29"/>
      <c r="S95" s="24"/>
      <c r="T95" s="25"/>
      <c r="U95" s="23"/>
      <c r="V95" s="25"/>
      <c r="W95" s="23"/>
      <c r="X95" s="26"/>
      <c r="Y95" s="24"/>
      <c r="Z95" s="25"/>
      <c r="AA95" s="23"/>
      <c r="AB95" s="25"/>
      <c r="AC95" s="23"/>
      <c r="AD95" s="26"/>
    </row>
    <row r="96">
      <c r="A96" s="30" t="s">
        <v>54</v>
      </c>
      <c r="B96" s="22" t="s">
        <v>63</v>
      </c>
      <c r="C96" s="22" t="s">
        <v>64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55</v>
      </c>
      <c r="B97" s="22" t="s">
        <v>63</v>
      </c>
      <c r="C97" s="22" t="s">
        <v>64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56</v>
      </c>
      <c r="B98" s="22" t="s">
        <v>63</v>
      </c>
      <c r="C98" s="22" t="s">
        <v>64</v>
      </c>
      <c r="D98" s="24"/>
      <c r="E98" s="25" t="n">
        <f>140</f>
        <v>140.0</v>
      </c>
      <c r="F98" s="23"/>
      <c r="G98" s="25" t="n">
        <f>140</f>
        <v>140.0</v>
      </c>
      <c r="H98" s="23"/>
      <c r="I98" s="26" t="n">
        <f>280</f>
        <v>280.0</v>
      </c>
      <c r="J98" s="24"/>
      <c r="K98" s="25" t="n">
        <f>60060000</f>
        <v>6.006E7</v>
      </c>
      <c r="L98" s="23"/>
      <c r="M98" s="25" t="n">
        <f>23800000</f>
        <v>2.38E7</v>
      </c>
      <c r="N98" s="23"/>
      <c r="O98" s="26" t="n">
        <f>83860000</f>
        <v>8.386E7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97566</f>
        <v>97566.0</v>
      </c>
      <c r="AA98" s="23"/>
      <c r="AB98" s="25" t="n">
        <f>15772</f>
        <v>15772.0</v>
      </c>
      <c r="AC98" s="23"/>
      <c r="AD98" s="26" t="n">
        <f>113338</f>
        <v>113338.0</v>
      </c>
    </row>
    <row r="99">
      <c r="A99" s="30" t="s">
        <v>57</v>
      </c>
      <c r="B99" s="22" t="s">
        <v>63</v>
      </c>
      <c r="C99" s="22" t="s">
        <v>64</v>
      </c>
      <c r="D99" s="24"/>
      <c r="E99" s="25" t="n">
        <f>410</f>
        <v>410.0</v>
      </c>
      <c r="F99" s="23"/>
      <c r="G99" s="25" t="n">
        <f>350</f>
        <v>350.0</v>
      </c>
      <c r="H99" s="23"/>
      <c r="I99" s="26" t="n">
        <f>760</f>
        <v>760.0</v>
      </c>
      <c r="J99" s="24"/>
      <c r="K99" s="25" t="n">
        <f>173721000</f>
        <v>1.73721E8</v>
      </c>
      <c r="L99" s="23" t="s">
        <v>35</v>
      </c>
      <c r="M99" s="25" t="n">
        <f>205327500</f>
        <v>2.053275E8</v>
      </c>
      <c r="N99" s="23"/>
      <c r="O99" s="26" t="n">
        <f>379048500</f>
        <v>3.790485E8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n">
        <f>60</f>
        <v>60.0</v>
      </c>
      <c r="U99" s="23"/>
      <c r="V99" s="25" t="str">
        <f>"－"</f>
        <v>－</v>
      </c>
      <c r="W99" s="23"/>
      <c r="X99" s="26" t="n">
        <f>60</f>
        <v>60.0</v>
      </c>
      <c r="Y99" s="24"/>
      <c r="Z99" s="25" t="n">
        <f>97521</f>
        <v>97521.0</v>
      </c>
      <c r="AA99" s="23" t="s">
        <v>35</v>
      </c>
      <c r="AB99" s="25" t="n">
        <f>16122</f>
        <v>16122.0</v>
      </c>
      <c r="AC99" s="23" t="s">
        <v>35</v>
      </c>
      <c r="AD99" s="26" t="n">
        <f>113643</f>
        <v>113643.0</v>
      </c>
    </row>
    <row r="100">
      <c r="A100" s="30" t="s">
        <v>58</v>
      </c>
      <c r="B100" s="22" t="s">
        <v>63</v>
      </c>
      <c r="C100" s="22" t="s">
        <v>64</v>
      </c>
      <c r="D100" s="24"/>
      <c r="E100" s="25" t="str">
        <f>"－"</f>
        <v>－</v>
      </c>
      <c r="F100" s="23"/>
      <c r="G100" s="25" t="str">
        <f>"－"</f>
        <v>－</v>
      </c>
      <c r="H100" s="23"/>
      <c r="I100" s="26" t="str">
        <f>"－"</f>
        <v>－</v>
      </c>
      <c r="J100" s="24"/>
      <c r="K100" s="25" t="str">
        <f>"－"</f>
        <v>－</v>
      </c>
      <c r="L100" s="23"/>
      <c r="M100" s="25" t="str">
        <f>"－"</f>
        <v>－</v>
      </c>
      <c r="N100" s="23"/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str">
        <f>"－"</f>
        <v>－</v>
      </c>
      <c r="U100" s="23"/>
      <c r="V100" s="25" t="str">
        <f>"－"</f>
        <v>－</v>
      </c>
      <c r="W100" s="23"/>
      <c r="X100" s="26" t="str">
        <f>"－"</f>
        <v>－</v>
      </c>
      <c r="Y100" s="24"/>
      <c r="Z100" s="25" t="n">
        <f>97521</f>
        <v>97521.0</v>
      </c>
      <c r="AA100" s="23"/>
      <c r="AB100" s="25" t="n">
        <f>16122</f>
        <v>16122.0</v>
      </c>
      <c r="AC100" s="23"/>
      <c r="AD100" s="26" t="n">
        <f>113643</f>
        <v>113643.0</v>
      </c>
    </row>
    <row r="101">
      <c r="A101" s="30" t="s">
        <v>59</v>
      </c>
      <c r="B101" s="22" t="s">
        <v>63</v>
      </c>
      <c r="C101" s="22" t="s">
        <v>64</v>
      </c>
      <c r="D101" s="24"/>
      <c r="E101" s="25" t="n">
        <f>114</f>
        <v>114.0</v>
      </c>
      <c r="F101" s="23" t="s">
        <v>35</v>
      </c>
      <c r="G101" s="25" t="n">
        <f>1360</f>
        <v>1360.0</v>
      </c>
      <c r="H101" s="23"/>
      <c r="I101" s="26" t="n">
        <f>1474</f>
        <v>1474.0</v>
      </c>
      <c r="J101" s="24"/>
      <c r="K101" s="25" t="n">
        <f>51776305</f>
        <v>5.1776305E7</v>
      </c>
      <c r="L101" s="23"/>
      <c r="M101" s="25" t="n">
        <f>17832600</f>
        <v>1.78326E7</v>
      </c>
      <c r="N101" s="23"/>
      <c r="O101" s="26" t="n">
        <f>69608905</f>
        <v>6.9608905E7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n">
        <f>104</f>
        <v>104.0</v>
      </c>
      <c r="U101" s="23" t="s">
        <v>35</v>
      </c>
      <c r="V101" s="25" t="n">
        <f>1360</f>
        <v>1360.0</v>
      </c>
      <c r="W101" s="23" t="s">
        <v>35</v>
      </c>
      <c r="X101" s="26" t="n">
        <f>1464</f>
        <v>1464.0</v>
      </c>
      <c r="Y101" s="24"/>
      <c r="Z101" s="25" t="n">
        <f>97635</f>
        <v>97635.0</v>
      </c>
      <c r="AA101" s="23"/>
      <c r="AB101" s="25" t="n">
        <f>14854</f>
        <v>14854.0</v>
      </c>
      <c r="AC101" s="23"/>
      <c r="AD101" s="26" t="n">
        <f>112489</f>
        <v>112489.0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 t="n">
        <f>166</f>
        <v>166.0</v>
      </c>
      <c r="F102" s="23"/>
      <c r="G102" s="25" t="n">
        <f>56</f>
        <v>56.0</v>
      </c>
      <c r="H102" s="23"/>
      <c r="I102" s="26" t="n">
        <f>222</f>
        <v>222.0</v>
      </c>
      <c r="J102" s="24"/>
      <c r="K102" s="25" t="n">
        <f>74772200</f>
        <v>7.47722E7</v>
      </c>
      <c r="L102" s="23"/>
      <c r="M102" s="25" t="n">
        <f>4250400</f>
        <v>4250400.0</v>
      </c>
      <c r="N102" s="23"/>
      <c r="O102" s="26" t="n">
        <f>79022600</f>
        <v>7.90226E7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n">
        <f>126</f>
        <v>126.0</v>
      </c>
      <c r="U102" s="23"/>
      <c r="V102" s="25" t="n">
        <f>56</f>
        <v>56.0</v>
      </c>
      <c r="W102" s="23"/>
      <c r="X102" s="26" t="n">
        <f>182</f>
        <v>182.0</v>
      </c>
      <c r="Y102" s="24" t="s">
        <v>35</v>
      </c>
      <c r="Z102" s="25" t="n">
        <f>97801</f>
        <v>97801.0</v>
      </c>
      <c r="AA102" s="23"/>
      <c r="AB102" s="25" t="n">
        <f>14910</f>
        <v>14910.0</v>
      </c>
      <c r="AC102" s="23"/>
      <c r="AD102" s="26" t="n">
        <f>112711</f>
        <v>112711.0</v>
      </c>
    </row>
    <row r="103">
      <c r="A103" s="30" t="s">
        <v>26</v>
      </c>
      <c r="B103" s="22" t="s">
        <v>65</v>
      </c>
      <c r="C103" s="22" t="s">
        <v>66</v>
      </c>
      <c r="D103" s="24" t="s">
        <v>67</v>
      </c>
      <c r="E103" s="25" t="str">
        <f>"－"</f>
        <v>－</v>
      </c>
      <c r="F103" s="23" t="s">
        <v>67</v>
      </c>
      <c r="G103" s="25" t="str">
        <f>"－"</f>
        <v>－</v>
      </c>
      <c r="H103" s="23" t="s">
        <v>67</v>
      </c>
      <c r="I103" s="26" t="str">
        <f>"－"</f>
        <v>－</v>
      </c>
      <c r="J103" s="24" t="s">
        <v>67</v>
      </c>
      <c r="K103" s="25" t="str">
        <f>"－"</f>
        <v>－</v>
      </c>
      <c r="L103" s="23" t="s">
        <v>67</v>
      </c>
      <c r="M103" s="25" t="str">
        <f>"－"</f>
        <v>－</v>
      </c>
      <c r="N103" s="23" t="s">
        <v>67</v>
      </c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 t="s">
        <v>67</v>
      </c>
      <c r="T103" s="25" t="str">
        <f>"－"</f>
        <v>－</v>
      </c>
      <c r="U103" s="23" t="s">
        <v>67</v>
      </c>
      <c r="V103" s="25" t="str">
        <f>"－"</f>
        <v>－</v>
      </c>
      <c r="W103" s="23" t="s">
        <v>67</v>
      </c>
      <c r="X103" s="26" t="str">
        <f>"－"</f>
        <v>－</v>
      </c>
      <c r="Y103" s="24" t="s">
        <v>67</v>
      </c>
      <c r="Z103" s="25" t="str">
        <f>"－"</f>
        <v>－</v>
      </c>
      <c r="AA103" s="23" t="s">
        <v>67</v>
      </c>
      <c r="AB103" s="25" t="str">
        <f>"－"</f>
        <v>－</v>
      </c>
      <c r="AC103" s="23" t="s">
        <v>67</v>
      </c>
      <c r="AD103" s="26" t="str">
        <f>"－"</f>
        <v>－</v>
      </c>
    </row>
    <row r="104">
      <c r="A104" s="30" t="s">
        <v>29</v>
      </c>
      <c r="B104" s="22" t="s">
        <v>65</v>
      </c>
      <c r="C104" s="22" t="s">
        <v>66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30</v>
      </c>
      <c r="B105" s="22" t="s">
        <v>65</v>
      </c>
      <c r="C105" s="22" t="s">
        <v>66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31</v>
      </c>
      <c r="B106" s="22" t="s">
        <v>65</v>
      </c>
      <c r="C106" s="22" t="s">
        <v>66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>
      <c r="A107" s="30" t="s">
        <v>32</v>
      </c>
      <c r="B107" s="22" t="s">
        <v>65</v>
      </c>
      <c r="C107" s="22" t="s">
        <v>66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33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34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36</v>
      </c>
      <c r="B110" s="22" t="s">
        <v>65</v>
      </c>
      <c r="C110" s="22" t="s">
        <v>66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37</v>
      </c>
      <c r="B111" s="22" t="s">
        <v>65</v>
      </c>
      <c r="C111" s="22" t="s">
        <v>66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38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40</v>
      </c>
      <c r="B113" s="22" t="s">
        <v>65</v>
      </c>
      <c r="C113" s="22" t="s">
        <v>66</v>
      </c>
      <c r="D113" s="24"/>
      <c r="E113" s="25"/>
      <c r="F113" s="23"/>
      <c r="G113" s="25"/>
      <c r="H113" s="23"/>
      <c r="I113" s="26"/>
      <c r="J113" s="24"/>
      <c r="K113" s="25"/>
      <c r="L113" s="23"/>
      <c r="M113" s="25"/>
      <c r="N113" s="23"/>
      <c r="O113" s="26"/>
      <c r="P113" s="27"/>
      <c r="Q113" s="28"/>
      <c r="R113" s="29"/>
      <c r="S113" s="24"/>
      <c r="T113" s="25"/>
      <c r="U113" s="23"/>
      <c r="V113" s="25"/>
      <c r="W113" s="23"/>
      <c r="X113" s="26"/>
      <c r="Y113" s="24"/>
      <c r="Z113" s="25"/>
      <c r="AA113" s="23"/>
      <c r="AB113" s="25"/>
      <c r="AC113" s="23"/>
      <c r="AD113" s="26"/>
    </row>
    <row r="114">
      <c r="A114" s="30" t="s">
        <v>41</v>
      </c>
      <c r="B114" s="22" t="s">
        <v>65</v>
      </c>
      <c r="C114" s="22" t="s">
        <v>66</v>
      </c>
      <c r="D114" s="24"/>
      <c r="E114" s="25"/>
      <c r="F114" s="23"/>
      <c r="G114" s="25"/>
      <c r="H114" s="23"/>
      <c r="I114" s="26"/>
      <c r="J114" s="24"/>
      <c r="K114" s="25"/>
      <c r="L114" s="23"/>
      <c r="M114" s="25"/>
      <c r="N114" s="23"/>
      <c r="O114" s="26"/>
      <c r="P114" s="27"/>
      <c r="Q114" s="28"/>
      <c r="R114" s="29"/>
      <c r="S114" s="24"/>
      <c r="T114" s="25"/>
      <c r="U114" s="23"/>
      <c r="V114" s="25"/>
      <c r="W114" s="23"/>
      <c r="X114" s="26"/>
      <c r="Y114" s="24"/>
      <c r="Z114" s="25"/>
      <c r="AA114" s="23"/>
      <c r="AB114" s="25"/>
      <c r="AC114" s="23"/>
      <c r="AD114" s="26"/>
    </row>
    <row r="115">
      <c r="A115" s="30" t="s">
        <v>42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43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48</v>
      </c>
      <c r="B121" s="22" t="s">
        <v>65</v>
      </c>
      <c r="C121" s="22" t="s">
        <v>66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51</v>
      </c>
      <c r="B124" s="22" t="s">
        <v>65</v>
      </c>
      <c r="C124" s="22" t="s">
        <v>66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52</v>
      </c>
      <c r="B125" s="22" t="s">
        <v>65</v>
      </c>
      <c r="C125" s="22" t="s">
        <v>66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  <row r="126">
      <c r="A126" s="30" t="s">
        <v>53</v>
      </c>
      <c r="B126" s="22" t="s">
        <v>65</v>
      </c>
      <c r="C126" s="22" t="s">
        <v>66</v>
      </c>
      <c r="D126" s="24"/>
      <c r="E126" s="25"/>
      <c r="F126" s="23"/>
      <c r="G126" s="25"/>
      <c r="H126" s="23"/>
      <c r="I126" s="26"/>
      <c r="J126" s="24"/>
      <c r="K126" s="25"/>
      <c r="L126" s="23"/>
      <c r="M126" s="25"/>
      <c r="N126" s="23"/>
      <c r="O126" s="26"/>
      <c r="P126" s="27"/>
      <c r="Q126" s="28"/>
      <c r="R126" s="29"/>
      <c r="S126" s="24"/>
      <c r="T126" s="25"/>
      <c r="U126" s="23"/>
      <c r="V126" s="25"/>
      <c r="W126" s="23"/>
      <c r="X126" s="26"/>
      <c r="Y126" s="24"/>
      <c r="Z126" s="25"/>
      <c r="AA126" s="23"/>
      <c r="AB126" s="25"/>
      <c r="AC126" s="23"/>
      <c r="AD126" s="26"/>
    </row>
    <row r="127">
      <c r="A127" s="30" t="s">
        <v>54</v>
      </c>
      <c r="B127" s="22" t="s">
        <v>65</v>
      </c>
      <c r="C127" s="22" t="s">
        <v>66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55</v>
      </c>
      <c r="B128" s="22" t="s">
        <v>65</v>
      </c>
      <c r="C128" s="22" t="s">
        <v>66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 t="str">
        <f>"－"</f>
        <v>－</v>
      </c>
      <c r="F131" s="23"/>
      <c r="G131" s="25" t="str">
        <f>"－"</f>
        <v>－</v>
      </c>
      <c r="H131" s="23"/>
      <c r="I131" s="26" t="str">
        <f>"－"</f>
        <v>－</v>
      </c>
      <c r="J131" s="24"/>
      <c r="K131" s="25" t="str">
        <f>"－"</f>
        <v>－</v>
      </c>
      <c r="L131" s="23"/>
      <c r="M131" s="25" t="str">
        <f>"－"</f>
        <v>－</v>
      </c>
      <c r="N131" s="23"/>
      <c r="O131" s="26" t="str">
        <f>"－"</f>
        <v>－</v>
      </c>
      <c r="P131" s="27" t="str">
        <f>"－"</f>
        <v>－</v>
      </c>
      <c r="Q131" s="28" t="str">
        <f>"－"</f>
        <v>－</v>
      </c>
      <c r="R131" s="29" t="str">
        <f>"－"</f>
        <v>－</v>
      </c>
      <c r="S131" s="24"/>
      <c r="T131" s="25" t="str">
        <f>"－"</f>
        <v>－</v>
      </c>
      <c r="U131" s="23"/>
      <c r="V131" s="25" t="str">
        <f>"－"</f>
        <v>－</v>
      </c>
      <c r="W131" s="23"/>
      <c r="X131" s="26" t="str">
        <f>"－"</f>
        <v>－</v>
      </c>
      <c r="Y131" s="24"/>
      <c r="Z131" s="25" t="str">
        <f>"－"</f>
        <v>－</v>
      </c>
      <c r="AA131" s="23"/>
      <c r="AB131" s="25" t="str">
        <f>"－"</f>
        <v>－</v>
      </c>
      <c r="AC131" s="23"/>
      <c r="AD131" s="26" t="str">
        <f>"－"</f>
        <v>－</v>
      </c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2020-05-11T05:38:57Z</dcterms:modified>
</cp:coreProperties>
</file>