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<sst xmlns="http://schemas.openxmlformats.org/spreadsheetml/2006/main" count="1311" uniqueCount="76">
  <si>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</si>
  <si>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</si>
  <si>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</si>
  <si>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</si>
  <si>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</si>
  <si>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</si>
  <si>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</si>
  <si>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</si>
  <si>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</si>
  <si>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</si>
  <si>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</si>
  <si>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</si>
  <si>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</si>
  <si>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</si>
  <si>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</si>
  <si>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</si>
  <si>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8.1</t>
  </si>
  <si>
    <t>金標準先物</t>
  </si>
  <si>
    <t>Gold Standard Futures</t>
  </si>
  <si>
    <t>2</t>
  </si>
  <si>
    <t>3</t>
  </si>
  <si>
    <t>◎●</t>
  </si>
  <si>
    <t>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</si>
  <si>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</si>
  <si>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</si>
  <si>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</si>
  <si>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</si>
  <si>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</si>
  <si>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</si>
  <si>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</si>
  <si>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</si>
  <si>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</si>
  <si>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◎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</si>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</sst>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Fill="1" applyFont="1" applyNumberFormat="1" borderId="0" fillId="0" fontId="109" numFmtId="0" xfId="1937">
      <alignment horizontal="left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408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4" t="s">
        <v>13</v>
      </c>
      <c r="B1" s="14"/>
      <c r="C1" s="14"/>
    </row>
    <row customHeight="1" ht="30" r="2" spans="1:11">
      <c r="A2" s="14" t="s">
        <v>15</v>
      </c>
      <c r="B2" s="14"/>
      <c r="C2" s="14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3" t="s">
        <v>10</v>
      </c>
      <c r="C4" s="13" t="s">
        <v>14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7" t="s">
        <v>2</v>
      </c>
      <c r="B5" s="13"/>
      <c r="C5" s="13"/>
      <c r="D5" s="13" t="s">
        <v>6</v>
      </c>
      <c r="E5" s="13"/>
      <c r="F5" s="13" t="s">
        <v>7</v>
      </c>
      <c r="G5" s="13"/>
      <c r="H5" s="13" t="s">
        <v>8</v>
      </c>
      <c r="I5" s="13"/>
      <c r="J5" s="13" t="s">
        <v>9</v>
      </c>
      <c r="K5" s="13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/>
      <c r="F7" s="10"/>
      <c r="G7" s="11"/>
      <c r="H7" s="10"/>
      <c r="I7" s="11"/>
      <c r="J7" s="10"/>
      <c r="K7" s="11"/>
    </row>
    <row r="8">
      <c r="A8" s="8" t="s">
        <v>20</v>
      </c>
      <c r="B8" s="9" t="s">
        <v>17</v>
      </c>
      <c r="C8" s="9" t="s">
        <v>18</v>
      </c>
      <c r="D8" s="10"/>
      <c r="E8" s="11" t="n">
        <f>50218</f>
        <v>50218.0</v>
      </c>
      <c r="F8" s="10"/>
      <c r="G8" s="11" t="n">
        <f>336471907000</f>
        <v>3.36471907E11</v>
      </c>
      <c r="H8" s="10" t="s">
        <v>21</v>
      </c>
      <c r="I8" s="11" t="str">
        <f>"－"</f>
        <v>－</v>
      </c>
      <c r="J8" s="10" t="s">
        <v>22</v>
      </c>
      <c r="K8" s="11" t="n">
        <f>43437</f>
        <v>43437.0</v>
      </c>
    </row>
    <row r="9">
      <c r="A9" s="8" t="s">
        <v>23</v>
      </c>
      <c r="B9" s="9" t="s">
        <v>17</v>
      </c>
      <c r="C9" s="9" t="s">
        <v>18</v>
      </c>
      <c r="D9" s="10" t="s">
        <v>22</v>
      </c>
      <c r="E9" s="11" t="n">
        <f>22832</f>
        <v>22832.0</v>
      </c>
      <c r="F9" s="10" t="s">
        <v>22</v>
      </c>
      <c r="G9" s="11" t="n">
        <f>153596005000</f>
        <v>1.53596005E11</v>
      </c>
      <c r="H9" s="10"/>
      <c r="I9" s="11" t="str">
        <f>"－"</f>
        <v>－</v>
      </c>
      <c r="J9" s="10"/>
      <c r="K9" s="11" t="n">
        <f>43691</f>
        <v>43691.0</v>
      </c>
    </row>
    <row r="10">
      <c r="A10" s="8" t="s">
        <v>24</v>
      </c>
      <c r="B10" s="9" t="s">
        <v>17</v>
      </c>
      <c r="C10" s="9" t="s">
        <v>18</v>
      </c>
      <c r="D10" s="10"/>
      <c r="E10" s="11" t="n">
        <f>55039</f>
        <v>55039.0</v>
      </c>
      <c r="F10" s="10"/>
      <c r="G10" s="11" t="n">
        <f>375508560000</f>
        <v>3.7550856E11</v>
      </c>
      <c r="H10" s="10"/>
      <c r="I10" s="11" t="str">
        <f>"－"</f>
        <v>－</v>
      </c>
      <c r="J10" s="10"/>
      <c r="K10" s="11" t="n">
        <f>45048</f>
        <v>45048.0</v>
      </c>
    </row>
    <row r="11">
      <c r="A11" s="8" t="s">
        <v>25</v>
      </c>
      <c r="B11" s="9" t="s">
        <v>17</v>
      </c>
      <c r="C11" s="9" t="s">
        <v>18</v>
      </c>
      <c r="D11" s="10"/>
      <c r="E11" s="11" t="n">
        <f>45925</f>
        <v>45925.0</v>
      </c>
      <c r="F11" s="10"/>
      <c r="G11" s="11" t="n">
        <f>318305120000</f>
        <v>3.1830512E11</v>
      </c>
      <c r="H11" s="10"/>
      <c r="I11" s="11" t="str">
        <f>"－"</f>
        <v>－</v>
      </c>
      <c r="J11" s="10"/>
      <c r="K11" s="11" t="n">
        <f>46272</f>
        <v>46272.0</v>
      </c>
    </row>
    <row r="12">
      <c r="A12" s="8" t="s">
        <v>26</v>
      </c>
      <c r="B12" s="9" t="s">
        <v>17</v>
      </c>
      <c r="C12" s="9" t="s">
        <v>18</v>
      </c>
      <c r="D12" s="10"/>
      <c r="E12" s="11" t="n">
        <f>65256</f>
        <v>65256.0</v>
      </c>
      <c r="F12" s="10"/>
      <c r="G12" s="11" t="n">
        <f>456054753000</f>
        <v>4.56054753E11</v>
      </c>
      <c r="H12" s="10"/>
      <c r="I12" s="11" t="str">
        <f>"－"</f>
        <v>－</v>
      </c>
      <c r="J12" s="10"/>
      <c r="K12" s="11" t="n">
        <f>44655</f>
        <v>44655.0</v>
      </c>
    </row>
    <row r="13">
      <c r="A13" s="8" t="s">
        <v>27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28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29</v>
      </c>
      <c r="B15" s="9" t="s">
        <v>17</v>
      </c>
      <c r="C15" s="9" t="s">
        <v>18</v>
      </c>
      <c r="D15" s="10"/>
      <c r="E15" s="11"/>
      <c r="F15" s="10"/>
      <c r="G15" s="11"/>
      <c r="H15" s="10"/>
      <c r="I15" s="11"/>
      <c r="J15" s="10"/>
      <c r="K15" s="11"/>
    </row>
    <row r="16">
      <c r="A16" s="8" t="s">
        <v>30</v>
      </c>
      <c r="B16" s="9" t="s">
        <v>17</v>
      </c>
      <c r="C16" s="9" t="s">
        <v>18</v>
      </c>
      <c r="D16" s="10"/>
      <c r="E16" s="11" t="n">
        <f>65441</f>
        <v>65441.0</v>
      </c>
      <c r="F16" s="10"/>
      <c r="G16" s="11" t="n">
        <f>452830014000</f>
        <v>4.52830014E11</v>
      </c>
      <c r="H16" s="10"/>
      <c r="I16" s="11" t="str">
        <f>"－"</f>
        <v>－</v>
      </c>
      <c r="J16" s="10"/>
      <c r="K16" s="11" t="n">
        <f>46330</f>
        <v>46330.0</v>
      </c>
    </row>
    <row r="17">
      <c r="A17" s="8" t="s">
        <v>31</v>
      </c>
      <c r="B17" s="9" t="s">
        <v>17</v>
      </c>
      <c r="C17" s="9" t="s">
        <v>18</v>
      </c>
      <c r="D17" s="10" t="s">
        <v>32</v>
      </c>
      <c r="E17" s="11" t="n">
        <f>134115</f>
        <v>134115.0</v>
      </c>
      <c r="F17" s="10" t="s">
        <v>32</v>
      </c>
      <c r="G17" s="11" t="n">
        <f>887417994000</f>
        <v>8.87417994E11</v>
      </c>
      <c r="H17" s="10"/>
      <c r="I17" s="11" t="str">
        <f>"－"</f>
        <v>－</v>
      </c>
      <c r="J17" s="10" t="s">
        <v>32</v>
      </c>
      <c r="K17" s="11" t="n">
        <f>48097</f>
        <v>48097.0</v>
      </c>
    </row>
    <row r="18">
      <c r="A18" s="8" t="s">
        <v>33</v>
      </c>
      <c r="B18" s="9" t="s">
        <v>17</v>
      </c>
      <c r="C18" s="9" t="s">
        <v>18</v>
      </c>
      <c r="D18" s="10"/>
      <c r="E18" s="11" t="n">
        <f>65850</f>
        <v>65850.0</v>
      </c>
      <c r="F18" s="10"/>
      <c r="G18" s="11" t="n">
        <f>437278952000</f>
        <v>4.37278952E11</v>
      </c>
      <c r="H18" s="10"/>
      <c r="I18" s="11" t="str">
        <f>"－"</f>
        <v>－</v>
      </c>
      <c r="J18" s="10"/>
      <c r="K18" s="11" t="n">
        <f>45427</f>
        <v>45427.0</v>
      </c>
    </row>
    <row r="19">
      <c r="A19" s="8" t="s">
        <v>34</v>
      </c>
      <c r="B19" s="9" t="s">
        <v>17</v>
      </c>
      <c r="C19" s="9" t="s">
        <v>18</v>
      </c>
      <c r="D19" s="10"/>
      <c r="E19" s="11" t="n">
        <f>48702</f>
        <v>48702.0</v>
      </c>
      <c r="F19" s="10"/>
      <c r="G19" s="11" t="n">
        <f>325938556000</f>
        <v>3.25938556E11</v>
      </c>
      <c r="H19" s="10"/>
      <c r="I19" s="11" t="str">
        <f>"－"</f>
        <v>－</v>
      </c>
      <c r="J19" s="10"/>
      <c r="K19" s="11" t="n">
        <f>44530</f>
        <v>44530.0</v>
      </c>
    </row>
    <row r="20">
      <c r="A20" s="8" t="s">
        <v>35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36</v>
      </c>
      <c r="B21" s="9" t="s">
        <v>17</v>
      </c>
      <c r="C21" s="9" t="s">
        <v>18</v>
      </c>
      <c r="D21" s="10"/>
      <c r="E21" s="11"/>
      <c r="F21" s="10"/>
      <c r="G21" s="11"/>
      <c r="H21" s="10"/>
      <c r="I21" s="11"/>
      <c r="J21" s="10"/>
      <c r="K21" s="11"/>
    </row>
    <row r="22">
      <c r="A22" s="8" t="s">
        <v>37</v>
      </c>
      <c r="B22" s="9" t="s">
        <v>17</v>
      </c>
      <c r="C22" s="9" t="s">
        <v>18</v>
      </c>
      <c r="D22" s="10"/>
      <c r="E22" s="11" t="n">
        <f>40144</f>
        <v>40144.0</v>
      </c>
      <c r="F22" s="10"/>
      <c r="G22" s="11" t="n">
        <f>267427844000</f>
        <v>2.67427844E11</v>
      </c>
      <c r="H22" s="10"/>
      <c r="I22" s="11" t="str">
        <f>"－"</f>
        <v>－</v>
      </c>
      <c r="J22" s="10"/>
      <c r="K22" s="11" t="n">
        <f>44696</f>
        <v>44696.0</v>
      </c>
    </row>
    <row r="23">
      <c r="A23" s="8" t="s">
        <v>38</v>
      </c>
      <c r="B23" s="9" t="s">
        <v>17</v>
      </c>
      <c r="C23" s="9" t="s">
        <v>18</v>
      </c>
      <c r="D23" s="10"/>
      <c r="E23" s="11" t="n">
        <f>39649</f>
        <v>39649.0</v>
      </c>
      <c r="F23" s="10"/>
      <c r="G23" s="11" t="n">
        <f>267336024000</f>
        <v>2.67336024E11</v>
      </c>
      <c r="H23" s="10"/>
      <c r="I23" s="11" t="str">
        <f>"－"</f>
        <v>－</v>
      </c>
      <c r="J23" s="10"/>
      <c r="K23" s="11" t="n">
        <f>44325</f>
        <v>44325.0</v>
      </c>
    </row>
    <row r="24">
      <c r="A24" s="8" t="s">
        <v>39</v>
      </c>
      <c r="B24" s="9" t="s">
        <v>17</v>
      </c>
      <c r="C24" s="9" t="s">
        <v>18</v>
      </c>
      <c r="D24" s="10"/>
      <c r="E24" s="11" t="n">
        <f>45181</f>
        <v>45181.0</v>
      </c>
      <c r="F24" s="10"/>
      <c r="G24" s="11" t="n">
        <f>306715996000</f>
        <v>3.06715996E11</v>
      </c>
      <c r="H24" s="10"/>
      <c r="I24" s="11" t="str">
        <f>"－"</f>
        <v>－</v>
      </c>
      <c r="J24" s="10"/>
      <c r="K24" s="11" t="n">
        <f>45217</f>
        <v>45217.0</v>
      </c>
    </row>
    <row r="25">
      <c r="A25" s="8" t="s">
        <v>40</v>
      </c>
      <c r="B25" s="9" t="s">
        <v>17</v>
      </c>
      <c r="C25" s="9" t="s">
        <v>18</v>
      </c>
      <c r="D25" s="10"/>
      <c r="E25" s="11" t="n">
        <f>55125</f>
        <v>55125.0</v>
      </c>
      <c r="F25" s="10"/>
      <c r="G25" s="11" t="n">
        <f>367653074000</f>
        <v>3.67653074E11</v>
      </c>
      <c r="H25" s="10"/>
      <c r="I25" s="11" t="str">
        <f>"－"</f>
        <v>－</v>
      </c>
      <c r="J25" s="10"/>
      <c r="K25" s="11" t="n">
        <f>45864</f>
        <v>45864.0</v>
      </c>
    </row>
    <row r="26">
      <c r="A26" s="8" t="s">
        <v>41</v>
      </c>
      <c r="B26" s="9" t="s">
        <v>17</v>
      </c>
      <c r="C26" s="9" t="s">
        <v>18</v>
      </c>
      <c r="D26" s="10"/>
      <c r="E26" s="11" t="n">
        <f>39040</f>
        <v>39040.0</v>
      </c>
      <c r="F26" s="10"/>
      <c r="G26" s="11" t="n">
        <f>257894787000</f>
        <v>2.57894787E11</v>
      </c>
      <c r="H26" s="10"/>
      <c r="I26" s="11" t="str">
        <f>"－"</f>
        <v>－</v>
      </c>
      <c r="J26" s="10"/>
      <c r="K26" s="11" t="n">
        <f>45225</f>
        <v>45225.0</v>
      </c>
    </row>
    <row r="27">
      <c r="A27" s="8" t="s">
        <v>42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43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44</v>
      </c>
      <c r="B29" s="9" t="s">
        <v>17</v>
      </c>
      <c r="C29" s="9" t="s">
        <v>18</v>
      </c>
      <c r="D29" s="10"/>
      <c r="E29" s="11" t="n">
        <f>40977</f>
        <v>40977.0</v>
      </c>
      <c r="F29" s="10"/>
      <c r="G29" s="11" t="n">
        <f>269233574000</f>
        <v>2.69233574E11</v>
      </c>
      <c r="H29" s="10"/>
      <c r="I29" s="11" t="str">
        <f>"－"</f>
        <v>－</v>
      </c>
      <c r="J29" s="10"/>
      <c r="K29" s="11" t="n">
        <f>44640</f>
        <v>44640.0</v>
      </c>
    </row>
    <row r="30">
      <c r="A30" s="8" t="s">
        <v>45</v>
      </c>
      <c r="B30" s="9" t="s">
        <v>17</v>
      </c>
      <c r="C30" s="9" t="s">
        <v>18</v>
      </c>
      <c r="D30" s="10"/>
      <c r="E30" s="11" t="n">
        <f>27567</f>
        <v>27567.0</v>
      </c>
      <c r="F30" s="10"/>
      <c r="G30" s="11" t="n">
        <f>182204349000</f>
        <v>1.82204349E11</v>
      </c>
      <c r="H30" s="10"/>
      <c r="I30" s="11" t="str">
        <f>"－"</f>
        <v>－</v>
      </c>
      <c r="J30" s="10"/>
      <c r="K30" s="11" t="n">
        <f>45276</f>
        <v>45276.0</v>
      </c>
    </row>
    <row r="31">
      <c r="A31" s="8" t="s">
        <v>46</v>
      </c>
      <c r="B31" s="9" t="s">
        <v>17</v>
      </c>
      <c r="C31" s="9" t="s">
        <v>18</v>
      </c>
      <c r="D31" s="10"/>
      <c r="E31" s="11" t="n">
        <f>25225</f>
        <v>25225.0</v>
      </c>
      <c r="F31" s="10"/>
      <c r="G31" s="11" t="n">
        <f>166098327000</f>
        <v>1.66098327E11</v>
      </c>
      <c r="H31" s="10"/>
      <c r="I31" s="11" t="str">
        <f>"－"</f>
        <v>－</v>
      </c>
      <c r="J31" s="10"/>
      <c r="K31" s="11" t="n">
        <f>45138</f>
        <v>45138.0</v>
      </c>
    </row>
    <row r="32">
      <c r="A32" s="8" t="s">
        <v>47</v>
      </c>
      <c r="B32" s="9" t="s">
        <v>17</v>
      </c>
      <c r="C32" s="9" t="s">
        <v>18</v>
      </c>
      <c r="D32" s="10"/>
      <c r="E32" s="11" t="n">
        <f>34636</f>
        <v>34636.0</v>
      </c>
      <c r="F32" s="10"/>
      <c r="G32" s="11" t="n">
        <f>228546448000</f>
        <v>2.28546448E11</v>
      </c>
      <c r="H32" s="10"/>
      <c r="I32" s="11" t="str">
        <f>"－"</f>
        <v>－</v>
      </c>
      <c r="J32" s="10"/>
      <c r="K32" s="11" t="n">
        <f>44118</f>
        <v>44118.0</v>
      </c>
    </row>
    <row r="33">
      <c r="A33" s="8" t="s">
        <v>48</v>
      </c>
      <c r="B33" s="9" t="s">
        <v>17</v>
      </c>
      <c r="C33" s="9" t="s">
        <v>18</v>
      </c>
      <c r="D33" s="10"/>
      <c r="E33" s="11" t="n">
        <f>59147</f>
        <v>59147.0</v>
      </c>
      <c r="F33" s="10"/>
      <c r="G33" s="11" t="n">
        <f>392018165000</f>
        <v>3.92018165E11</v>
      </c>
      <c r="H33" s="10"/>
      <c r="I33" s="11" t="str">
        <f>"－"</f>
        <v>－</v>
      </c>
      <c r="J33" s="10"/>
      <c r="K33" s="11" t="n">
        <f>44583</f>
        <v>44583.0</v>
      </c>
    </row>
    <row r="34">
      <c r="A34" s="8" t="s">
        <v>49</v>
      </c>
      <c r="B34" s="9" t="s">
        <v>17</v>
      </c>
      <c r="C34" s="9" t="s">
        <v>18</v>
      </c>
      <c r="D34" s="10"/>
      <c r="E34" s="11"/>
      <c r="F34" s="10"/>
      <c r="G34" s="11"/>
      <c r="H34" s="10"/>
      <c r="I34" s="11"/>
      <c r="J34" s="10"/>
      <c r="K34" s="11"/>
    </row>
    <row r="35">
      <c r="A35" s="8" t="s">
        <v>50</v>
      </c>
      <c r="B35" s="9" t="s">
        <v>17</v>
      </c>
      <c r="C35" s="9" t="s">
        <v>18</v>
      </c>
      <c r="D35" s="10"/>
      <c r="E35" s="11"/>
      <c r="F35" s="10"/>
      <c r="G35" s="11"/>
      <c r="H35" s="10"/>
      <c r="I35" s="11"/>
      <c r="J35" s="10"/>
      <c r="K35" s="11"/>
    </row>
    <row r="36">
      <c r="A36" s="8" t="s">
        <v>51</v>
      </c>
      <c r="B36" s="9" t="s">
        <v>17</v>
      </c>
      <c r="C36" s="9" t="s">
        <v>18</v>
      </c>
      <c r="D36" s="10"/>
      <c r="E36" s="11" t="n">
        <f>27794</f>
        <v>27794.0</v>
      </c>
      <c r="F36" s="10"/>
      <c r="G36" s="11" t="n">
        <f>185282427000</f>
        <v>1.85282427E11</v>
      </c>
      <c r="H36" s="10"/>
      <c r="I36" s="11" t="str">
        <f>"－"</f>
        <v>－</v>
      </c>
      <c r="J36" s="10"/>
      <c r="K36" s="11" t="n">
        <f>44387</f>
        <v>44387.0</v>
      </c>
    </row>
    <row r="37">
      <c r="A37" s="8" t="s">
        <v>16</v>
      </c>
      <c r="B37" s="9" t="s">
        <v>52</v>
      </c>
      <c r="C37" s="9" t="s">
        <v>53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19</v>
      </c>
      <c r="B38" s="9" t="s">
        <v>52</v>
      </c>
      <c r="C38" s="9" t="s">
        <v>53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20</v>
      </c>
      <c r="B39" s="9" t="s">
        <v>52</v>
      </c>
      <c r="C39" s="9" t="s">
        <v>53</v>
      </c>
      <c r="D39" s="10"/>
      <c r="E39" s="11" t="n">
        <f>6746</f>
        <v>6746.0</v>
      </c>
      <c r="F39" s="10"/>
      <c r="G39" s="11" t="n">
        <f>4520795600</f>
        <v>4.5207956E9</v>
      </c>
      <c r="H39" s="10" t="s">
        <v>21</v>
      </c>
      <c r="I39" s="11" t="str">
        <f>"－"</f>
        <v>－</v>
      </c>
      <c r="J39" s="10"/>
      <c r="K39" s="11" t="n">
        <f>14887</f>
        <v>14887.0</v>
      </c>
    </row>
    <row r="40">
      <c r="A40" s="8" t="s">
        <v>23</v>
      </c>
      <c r="B40" s="9" t="s">
        <v>52</v>
      </c>
      <c r="C40" s="9" t="s">
        <v>53</v>
      </c>
      <c r="D40" s="10" t="s">
        <v>22</v>
      </c>
      <c r="E40" s="11" t="n">
        <f>3874</f>
        <v>3874.0</v>
      </c>
      <c r="F40" s="10" t="s">
        <v>22</v>
      </c>
      <c r="G40" s="11" t="n">
        <f>2605545700</f>
        <v>2.6055457E9</v>
      </c>
      <c r="H40" s="10"/>
      <c r="I40" s="11" t="str">
        <f>"－"</f>
        <v>－</v>
      </c>
      <c r="J40" s="10"/>
      <c r="K40" s="11" t="n">
        <f>14752</f>
        <v>14752.0</v>
      </c>
    </row>
    <row r="41">
      <c r="A41" s="8" t="s">
        <v>24</v>
      </c>
      <c r="B41" s="9" t="s">
        <v>52</v>
      </c>
      <c r="C41" s="9" t="s">
        <v>53</v>
      </c>
      <c r="D41" s="10"/>
      <c r="E41" s="11" t="n">
        <f>7820</f>
        <v>7820.0</v>
      </c>
      <c r="F41" s="10"/>
      <c r="G41" s="11" t="n">
        <f>5331135600</f>
        <v>5.3311356E9</v>
      </c>
      <c r="H41" s="10"/>
      <c r="I41" s="11" t="str">
        <f>"－"</f>
        <v>－</v>
      </c>
      <c r="J41" s="10"/>
      <c r="K41" s="11" t="n">
        <f>14590</f>
        <v>14590.0</v>
      </c>
    </row>
    <row r="42">
      <c r="A42" s="8" t="s">
        <v>25</v>
      </c>
      <c r="B42" s="9" t="s">
        <v>52</v>
      </c>
      <c r="C42" s="9" t="s">
        <v>53</v>
      </c>
      <c r="D42" s="10"/>
      <c r="E42" s="11" t="n">
        <f>17389</f>
        <v>17389.0</v>
      </c>
      <c r="F42" s="10"/>
      <c r="G42" s="11" t="n">
        <f>12054483500</f>
        <v>1.20544835E10</v>
      </c>
      <c r="H42" s="10"/>
      <c r="I42" s="11" t="str">
        <f>"－"</f>
        <v>－</v>
      </c>
      <c r="J42" s="10"/>
      <c r="K42" s="11" t="n">
        <f>14811</f>
        <v>14811.0</v>
      </c>
    </row>
    <row r="43">
      <c r="A43" s="8" t="s">
        <v>26</v>
      </c>
      <c r="B43" s="9" t="s">
        <v>52</v>
      </c>
      <c r="C43" s="9" t="s">
        <v>53</v>
      </c>
      <c r="D43" s="10"/>
      <c r="E43" s="11" t="n">
        <f>15933</f>
        <v>15933.0</v>
      </c>
      <c r="F43" s="10"/>
      <c r="G43" s="11" t="n">
        <f>11132844700</f>
        <v>1.11328447E10</v>
      </c>
      <c r="H43" s="10"/>
      <c r="I43" s="11" t="str">
        <f>"－"</f>
        <v>－</v>
      </c>
      <c r="J43" s="10"/>
      <c r="K43" s="11" t="n">
        <f>14475</f>
        <v>14475.0</v>
      </c>
    </row>
    <row r="44">
      <c r="A44" s="8" t="s">
        <v>27</v>
      </c>
      <c r="B44" s="9" t="s">
        <v>52</v>
      </c>
      <c r="C44" s="9" t="s">
        <v>53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28</v>
      </c>
      <c r="B45" s="9" t="s">
        <v>52</v>
      </c>
      <c r="C45" s="9" t="s">
        <v>53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29</v>
      </c>
      <c r="B46" s="9" t="s">
        <v>52</v>
      </c>
      <c r="C46" s="9" t="s">
        <v>53</v>
      </c>
      <c r="D46" s="10"/>
      <c r="E46" s="11"/>
      <c r="F46" s="10"/>
      <c r="G46" s="11"/>
      <c r="H46" s="10"/>
      <c r="I46" s="11"/>
      <c r="J46" s="10"/>
      <c r="K46" s="11"/>
    </row>
    <row r="47">
      <c r="A47" s="8" t="s">
        <v>30</v>
      </c>
      <c r="B47" s="9" t="s">
        <v>52</v>
      </c>
      <c r="C47" s="9" t="s">
        <v>53</v>
      </c>
      <c r="D47" s="10"/>
      <c r="E47" s="11" t="n">
        <f>16627</f>
        <v>16627.0</v>
      </c>
      <c r="F47" s="10"/>
      <c r="G47" s="11" t="n">
        <f>11516878300</f>
        <v>1.15168783E10</v>
      </c>
      <c r="H47" s="10"/>
      <c r="I47" s="11" t="str">
        <f>"－"</f>
        <v>－</v>
      </c>
      <c r="J47" s="10"/>
      <c r="K47" s="11" t="n">
        <f>14917</f>
        <v>14917.0</v>
      </c>
    </row>
    <row r="48">
      <c r="A48" s="8" t="s">
        <v>31</v>
      </c>
      <c r="B48" s="9" t="s">
        <v>52</v>
      </c>
      <c r="C48" s="9" t="s">
        <v>53</v>
      </c>
      <c r="D48" s="10" t="s">
        <v>32</v>
      </c>
      <c r="E48" s="11" t="n">
        <f>24239</f>
        <v>24239.0</v>
      </c>
      <c r="F48" s="10" t="s">
        <v>32</v>
      </c>
      <c r="G48" s="11" t="n">
        <f>16098579900</f>
        <v>1.60985799E10</v>
      </c>
      <c r="H48" s="10"/>
      <c r="I48" s="11" t="str">
        <f>"－"</f>
        <v>－</v>
      </c>
      <c r="J48" s="10"/>
      <c r="K48" s="11" t="n">
        <f>14801</f>
        <v>14801.0</v>
      </c>
    </row>
    <row r="49">
      <c r="A49" s="8" t="s">
        <v>33</v>
      </c>
      <c r="B49" s="9" t="s">
        <v>52</v>
      </c>
      <c r="C49" s="9" t="s">
        <v>53</v>
      </c>
      <c r="D49" s="10"/>
      <c r="E49" s="11" t="n">
        <f>12340</f>
        <v>12340.0</v>
      </c>
      <c r="F49" s="10"/>
      <c r="G49" s="11" t="n">
        <f>8193788500</f>
        <v>8.1937885E9</v>
      </c>
      <c r="H49" s="10"/>
      <c r="I49" s="11" t="str">
        <f>"－"</f>
        <v>－</v>
      </c>
      <c r="J49" s="10"/>
      <c r="K49" s="11" t="n">
        <f>15009</f>
        <v>15009.0</v>
      </c>
    </row>
    <row r="50">
      <c r="A50" s="8" t="s">
        <v>34</v>
      </c>
      <c r="B50" s="9" t="s">
        <v>52</v>
      </c>
      <c r="C50" s="9" t="s">
        <v>53</v>
      </c>
      <c r="D50" s="10"/>
      <c r="E50" s="11" t="n">
        <f>7711</f>
        <v>7711.0</v>
      </c>
      <c r="F50" s="10"/>
      <c r="G50" s="11" t="n">
        <f>5158438000</f>
        <v>5.158438E9</v>
      </c>
      <c r="H50" s="10"/>
      <c r="I50" s="11" t="str">
        <f>"－"</f>
        <v>－</v>
      </c>
      <c r="J50" s="10"/>
      <c r="K50" s="11" t="n">
        <f>14835</f>
        <v>14835.0</v>
      </c>
    </row>
    <row r="51">
      <c r="A51" s="8" t="s">
        <v>35</v>
      </c>
      <c r="B51" s="9" t="s">
        <v>52</v>
      </c>
      <c r="C51" s="9" t="s">
        <v>53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36</v>
      </c>
      <c r="B52" s="9" t="s">
        <v>52</v>
      </c>
      <c r="C52" s="9" t="s">
        <v>53</v>
      </c>
      <c r="D52" s="10"/>
      <c r="E52" s="11"/>
      <c r="F52" s="10"/>
      <c r="G52" s="11"/>
      <c r="H52" s="10"/>
      <c r="I52" s="11"/>
      <c r="J52" s="10"/>
      <c r="K52" s="11"/>
    </row>
    <row r="53">
      <c r="A53" s="8" t="s">
        <v>37</v>
      </c>
      <c r="B53" s="9" t="s">
        <v>52</v>
      </c>
      <c r="C53" s="9" t="s">
        <v>53</v>
      </c>
      <c r="D53" s="10"/>
      <c r="E53" s="11" t="n">
        <f>5815</f>
        <v>5815.0</v>
      </c>
      <c r="F53" s="10"/>
      <c r="G53" s="11" t="n">
        <f>3874603500</f>
        <v>3.8746035E9</v>
      </c>
      <c r="H53" s="10"/>
      <c r="I53" s="11" t="str">
        <f>"－"</f>
        <v>－</v>
      </c>
      <c r="J53" s="10"/>
      <c r="K53" s="11" t="n">
        <f>14903</f>
        <v>14903.0</v>
      </c>
    </row>
    <row r="54">
      <c r="A54" s="8" t="s">
        <v>38</v>
      </c>
      <c r="B54" s="9" t="s">
        <v>52</v>
      </c>
      <c r="C54" s="9" t="s">
        <v>53</v>
      </c>
      <c r="D54" s="10"/>
      <c r="E54" s="11" t="n">
        <f>6468</f>
        <v>6468.0</v>
      </c>
      <c r="F54" s="10"/>
      <c r="G54" s="11" t="n">
        <f>4363959200</f>
        <v>4.3639592E9</v>
      </c>
      <c r="H54" s="10"/>
      <c r="I54" s="11" t="str">
        <f>"－"</f>
        <v>－</v>
      </c>
      <c r="J54" s="10"/>
      <c r="K54" s="11" t="n">
        <f>14850</f>
        <v>14850.0</v>
      </c>
    </row>
    <row r="55">
      <c r="A55" s="8" t="s">
        <v>39</v>
      </c>
      <c r="B55" s="9" t="s">
        <v>52</v>
      </c>
      <c r="C55" s="9" t="s">
        <v>53</v>
      </c>
      <c r="D55" s="10"/>
      <c r="E55" s="11" t="n">
        <f>7410</f>
        <v>7410.0</v>
      </c>
      <c r="F55" s="10"/>
      <c r="G55" s="11" t="n">
        <f>5032370800</f>
        <v>5.0323708E9</v>
      </c>
      <c r="H55" s="10"/>
      <c r="I55" s="11" t="str">
        <f>"－"</f>
        <v>－</v>
      </c>
      <c r="J55" s="10"/>
      <c r="K55" s="11" t="n">
        <f>14947</f>
        <v>14947.0</v>
      </c>
    </row>
    <row r="56">
      <c r="A56" s="8" t="s">
        <v>40</v>
      </c>
      <c r="B56" s="9" t="s">
        <v>52</v>
      </c>
      <c r="C56" s="9" t="s">
        <v>53</v>
      </c>
      <c r="D56" s="10"/>
      <c r="E56" s="11" t="n">
        <f>10289</f>
        <v>10289.0</v>
      </c>
      <c r="F56" s="10"/>
      <c r="G56" s="11" t="n">
        <f>6874347300</f>
        <v>6.8743473E9</v>
      </c>
      <c r="H56" s="10"/>
      <c r="I56" s="11" t="str">
        <f>"－"</f>
        <v>－</v>
      </c>
      <c r="J56" s="10"/>
      <c r="K56" s="11" t="n">
        <f>16541</f>
        <v>16541.0</v>
      </c>
    </row>
    <row r="57">
      <c r="A57" s="8" t="s">
        <v>41</v>
      </c>
      <c r="B57" s="9" t="s">
        <v>52</v>
      </c>
      <c r="C57" s="9" t="s">
        <v>53</v>
      </c>
      <c r="D57" s="10"/>
      <c r="E57" s="11" t="n">
        <f>5608</f>
        <v>5608.0</v>
      </c>
      <c r="F57" s="10"/>
      <c r="G57" s="11" t="n">
        <f>3704736300</f>
        <v>3.7047363E9</v>
      </c>
      <c r="H57" s="10"/>
      <c r="I57" s="11" t="str">
        <f>"－"</f>
        <v>－</v>
      </c>
      <c r="J57" s="10"/>
      <c r="K57" s="11" t="n">
        <f>16592</f>
        <v>16592.0</v>
      </c>
    </row>
    <row r="58">
      <c r="A58" s="8" t="s">
        <v>42</v>
      </c>
      <c r="B58" s="9" t="s">
        <v>52</v>
      </c>
      <c r="C58" s="9" t="s">
        <v>53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43</v>
      </c>
      <c r="B59" s="9" t="s">
        <v>52</v>
      </c>
      <c r="C59" s="9" t="s">
        <v>53</v>
      </c>
      <c r="D59" s="10"/>
      <c r="E59" s="11"/>
      <c r="F59" s="10"/>
      <c r="G59" s="11"/>
      <c r="H59" s="10"/>
      <c r="I59" s="11"/>
      <c r="J59" s="10"/>
      <c r="K59" s="11"/>
    </row>
    <row r="60">
      <c r="A60" s="8" t="s">
        <v>44</v>
      </c>
      <c r="B60" s="9" t="s">
        <v>52</v>
      </c>
      <c r="C60" s="9" t="s">
        <v>53</v>
      </c>
      <c r="D60" s="10"/>
      <c r="E60" s="11" t="n">
        <f>7295</f>
        <v>7295.0</v>
      </c>
      <c r="F60" s="10"/>
      <c r="G60" s="11" t="n">
        <f>4794855500</f>
        <v>4.7948555E9</v>
      </c>
      <c r="H60" s="10"/>
      <c r="I60" s="11" t="str">
        <f>"－"</f>
        <v>－</v>
      </c>
      <c r="J60" s="10"/>
      <c r="K60" s="11" t="n">
        <f>16866</f>
        <v>16866.0</v>
      </c>
    </row>
    <row r="61">
      <c r="A61" s="8" t="s">
        <v>45</v>
      </c>
      <c r="B61" s="9" t="s">
        <v>52</v>
      </c>
      <c r="C61" s="9" t="s">
        <v>53</v>
      </c>
      <c r="D61" s="10"/>
      <c r="E61" s="11" t="n">
        <f>6301</f>
        <v>6301.0</v>
      </c>
      <c r="F61" s="10"/>
      <c r="G61" s="11" t="n">
        <f>4165658500</f>
        <v>4.1656585E9</v>
      </c>
      <c r="H61" s="10"/>
      <c r="I61" s="11" t="str">
        <f>"－"</f>
        <v>－</v>
      </c>
      <c r="J61" s="10" t="s">
        <v>32</v>
      </c>
      <c r="K61" s="11" t="n">
        <f>17585</f>
        <v>17585.0</v>
      </c>
    </row>
    <row r="62">
      <c r="A62" s="8" t="s">
        <v>46</v>
      </c>
      <c r="B62" s="9" t="s">
        <v>52</v>
      </c>
      <c r="C62" s="9" t="s">
        <v>53</v>
      </c>
      <c r="D62" s="10"/>
      <c r="E62" s="11" t="n">
        <f>4178</f>
        <v>4178.0</v>
      </c>
      <c r="F62" s="10"/>
      <c r="G62" s="11" t="n">
        <f>2752573500</f>
        <v>2.7525735E9</v>
      </c>
      <c r="H62" s="10"/>
      <c r="I62" s="11" t="str">
        <f>"－"</f>
        <v>－</v>
      </c>
      <c r="J62" s="10"/>
      <c r="K62" s="11" t="n">
        <f>17384</f>
        <v>17384.0</v>
      </c>
    </row>
    <row r="63">
      <c r="A63" s="8" t="s">
        <v>47</v>
      </c>
      <c r="B63" s="9" t="s">
        <v>52</v>
      </c>
      <c r="C63" s="9" t="s">
        <v>53</v>
      </c>
      <c r="D63" s="10"/>
      <c r="E63" s="11" t="n">
        <f>5746</f>
        <v>5746.0</v>
      </c>
      <c r="F63" s="10"/>
      <c r="G63" s="11" t="n">
        <f>3789078100</f>
        <v>3.7890781E9</v>
      </c>
      <c r="H63" s="10"/>
      <c r="I63" s="11" t="str">
        <f>"－"</f>
        <v>－</v>
      </c>
      <c r="J63" s="10"/>
      <c r="K63" s="11" t="n">
        <f>16521</f>
        <v>16521.0</v>
      </c>
    </row>
    <row r="64">
      <c r="A64" s="8" t="s">
        <v>48</v>
      </c>
      <c r="B64" s="9" t="s">
        <v>52</v>
      </c>
      <c r="C64" s="9" t="s">
        <v>53</v>
      </c>
      <c r="D64" s="10"/>
      <c r="E64" s="11" t="n">
        <f>10368</f>
        <v>10368.0</v>
      </c>
      <c r="F64" s="10"/>
      <c r="G64" s="11" t="n">
        <f>6874909200</f>
        <v>6.8749092E9</v>
      </c>
      <c r="H64" s="10"/>
      <c r="I64" s="11" t="str">
        <f>"－"</f>
        <v>－</v>
      </c>
      <c r="J64" s="10" t="s">
        <v>22</v>
      </c>
      <c r="K64" s="11" t="n">
        <f>14457</f>
        <v>14457.0</v>
      </c>
    </row>
    <row r="65">
      <c r="A65" s="8" t="s">
        <v>49</v>
      </c>
      <c r="B65" s="9" t="s">
        <v>52</v>
      </c>
      <c r="C65" s="9" t="s">
        <v>53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50</v>
      </c>
      <c r="B66" s="9" t="s">
        <v>52</v>
      </c>
      <c r="C66" s="9" t="s">
        <v>53</v>
      </c>
      <c r="D66" s="10"/>
      <c r="E66" s="11"/>
      <c r="F66" s="10"/>
      <c r="G66" s="11"/>
      <c r="H66" s="10"/>
      <c r="I66" s="11"/>
      <c r="J66" s="10"/>
      <c r="K66" s="11"/>
    </row>
    <row r="67">
      <c r="A67" s="8" t="s">
        <v>51</v>
      </c>
      <c r="B67" s="9" t="s">
        <v>52</v>
      </c>
      <c r="C67" s="9" t="s">
        <v>53</v>
      </c>
      <c r="D67" s="10"/>
      <c r="E67" s="11" t="n">
        <f>5695</f>
        <v>5695.0</v>
      </c>
      <c r="F67" s="10"/>
      <c r="G67" s="11" t="n">
        <f>3798046900</f>
        <v>3.7980469E9</v>
      </c>
      <c r="H67" s="10"/>
      <c r="I67" s="11" t="str">
        <f>"－"</f>
        <v>－</v>
      </c>
      <c r="J67" s="10"/>
      <c r="K67" s="11" t="n">
        <f>14540</f>
        <v>14540.0</v>
      </c>
    </row>
    <row r="68">
      <c r="A68" s="8" t="s">
        <v>16</v>
      </c>
      <c r="B68" s="9" t="s">
        <v>54</v>
      </c>
      <c r="C68" s="9" t="s">
        <v>55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19</v>
      </c>
      <c r="B69" s="9" t="s">
        <v>54</v>
      </c>
      <c r="C69" s="9" t="s">
        <v>55</v>
      </c>
      <c r="D69" s="10"/>
      <c r="E69" s="11"/>
      <c r="F69" s="10"/>
      <c r="G69" s="11"/>
      <c r="H69" s="10"/>
      <c r="I69" s="11"/>
      <c r="J69" s="10"/>
      <c r="K69" s="11"/>
    </row>
    <row r="70">
      <c r="A70" s="8" t="s">
        <v>20</v>
      </c>
      <c r="B70" s="9" t="s">
        <v>54</v>
      </c>
      <c r="C70" s="9" t="s">
        <v>55</v>
      </c>
      <c r="D70" s="10"/>
      <c r="E70" s="11" t="n">
        <f>9380</f>
        <v>9380.0</v>
      </c>
      <c r="F70" s="10"/>
      <c r="G70" s="11" t="n">
        <f>6323469600</f>
        <v>6.3234696E9</v>
      </c>
      <c r="H70" s="10" t="s">
        <v>21</v>
      </c>
      <c r="I70" s="11" t="str">
        <f>"－"</f>
        <v>－</v>
      </c>
      <c r="J70" s="10"/>
      <c r="K70" s="11" t="n">
        <f>50339</f>
        <v>50339.0</v>
      </c>
    </row>
    <row r="71">
      <c r="A71" s="8" t="s">
        <v>23</v>
      </c>
      <c r="B71" s="9" t="s">
        <v>54</v>
      </c>
      <c r="C71" s="9" t="s">
        <v>55</v>
      </c>
      <c r="D71" s="10"/>
      <c r="E71" s="11" t="n">
        <f>5117</f>
        <v>5117.0</v>
      </c>
      <c r="F71" s="10"/>
      <c r="G71" s="11" t="n">
        <f>3457556300</f>
        <v>3.4575563E9</v>
      </c>
      <c r="H71" s="10"/>
      <c r="I71" s="11" t="str">
        <f>"－"</f>
        <v>－</v>
      </c>
      <c r="J71" s="10"/>
      <c r="K71" s="11" t="n">
        <f>50334</f>
        <v>50334.0</v>
      </c>
    </row>
    <row r="72">
      <c r="A72" s="8" t="s">
        <v>24</v>
      </c>
      <c r="B72" s="9" t="s">
        <v>54</v>
      </c>
      <c r="C72" s="9" t="s">
        <v>55</v>
      </c>
      <c r="D72" s="10"/>
      <c r="E72" s="11" t="n">
        <f>10693</f>
        <v>10693.0</v>
      </c>
      <c r="F72" s="10"/>
      <c r="G72" s="11" t="n">
        <f>7346402300</f>
        <v>7.3464023E9</v>
      </c>
      <c r="H72" s="10"/>
      <c r="I72" s="11" t="str">
        <f>"－"</f>
        <v>－</v>
      </c>
      <c r="J72" s="10"/>
      <c r="K72" s="11" t="n">
        <f>51544</f>
        <v>51544.0</v>
      </c>
    </row>
    <row r="73">
      <c r="A73" s="8" t="s">
        <v>25</v>
      </c>
      <c r="B73" s="9" t="s">
        <v>54</v>
      </c>
      <c r="C73" s="9" t="s">
        <v>55</v>
      </c>
      <c r="D73" s="10"/>
      <c r="E73" s="11" t="n">
        <f>12162</f>
        <v>12162.0</v>
      </c>
      <c r="F73" s="10"/>
      <c r="G73" s="11" t="n">
        <f>8483211600</f>
        <v>8.4832116E9</v>
      </c>
      <c r="H73" s="10"/>
      <c r="I73" s="11" t="str">
        <f>"－"</f>
        <v>－</v>
      </c>
      <c r="J73" s="10"/>
      <c r="K73" s="11" t="n">
        <f>52950</f>
        <v>52950.0</v>
      </c>
    </row>
    <row r="74">
      <c r="A74" s="8" t="s">
        <v>26</v>
      </c>
      <c r="B74" s="9" t="s">
        <v>54</v>
      </c>
      <c r="C74" s="9" t="s">
        <v>55</v>
      </c>
      <c r="D74" s="10"/>
      <c r="E74" s="11" t="n">
        <f>15988</f>
        <v>15988.0</v>
      </c>
      <c r="F74" s="10"/>
      <c r="G74" s="11" t="n">
        <f>11235048500</f>
        <v>1.12350485E10</v>
      </c>
      <c r="H74" s="10"/>
      <c r="I74" s="11" t="str">
        <f>"－"</f>
        <v>－</v>
      </c>
      <c r="J74" s="10"/>
      <c r="K74" s="11" t="n">
        <f>53276</f>
        <v>53276.0</v>
      </c>
    </row>
    <row r="75">
      <c r="A75" s="8" t="s">
        <v>27</v>
      </c>
      <c r="B75" s="9" t="s">
        <v>54</v>
      </c>
      <c r="C75" s="9" t="s">
        <v>55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28</v>
      </c>
      <c r="B76" s="9" t="s">
        <v>54</v>
      </c>
      <c r="C76" s="9" t="s">
        <v>55</v>
      </c>
      <c r="D76" s="10"/>
      <c r="E76" s="11"/>
      <c r="F76" s="10"/>
      <c r="G76" s="11"/>
      <c r="H76" s="10"/>
      <c r="I76" s="11"/>
      <c r="J76" s="10"/>
      <c r="K76" s="11"/>
    </row>
    <row r="77">
      <c r="A77" s="8" t="s">
        <v>29</v>
      </c>
      <c r="B77" s="9" t="s">
        <v>54</v>
      </c>
      <c r="C77" s="9" t="s">
        <v>55</v>
      </c>
      <c r="D77" s="10"/>
      <c r="E77" s="11"/>
      <c r="F77" s="10"/>
      <c r="G77" s="11"/>
      <c r="H77" s="10"/>
      <c r="I77" s="11"/>
      <c r="J77" s="10"/>
      <c r="K77" s="11"/>
    </row>
    <row r="78">
      <c r="A78" s="8" t="s">
        <v>30</v>
      </c>
      <c r="B78" s="9" t="s">
        <v>54</v>
      </c>
      <c r="C78" s="9" t="s">
        <v>55</v>
      </c>
      <c r="D78" s="10"/>
      <c r="E78" s="11" t="n">
        <f>10574</f>
        <v>10574.0</v>
      </c>
      <c r="F78" s="10"/>
      <c r="G78" s="11" t="n">
        <f>7363597800</f>
        <v>7.3635978E9</v>
      </c>
      <c r="H78" s="10"/>
      <c r="I78" s="11" t="str">
        <f>"－"</f>
        <v>－</v>
      </c>
      <c r="J78" s="10" t="s">
        <v>32</v>
      </c>
      <c r="K78" s="11" t="n">
        <f>54031</f>
        <v>54031.0</v>
      </c>
    </row>
    <row r="79">
      <c r="A79" s="8" t="s">
        <v>31</v>
      </c>
      <c r="B79" s="9" t="s">
        <v>54</v>
      </c>
      <c r="C79" s="9" t="s">
        <v>55</v>
      </c>
      <c r="D79" s="10" t="s">
        <v>32</v>
      </c>
      <c r="E79" s="11" t="n">
        <f>31061</f>
        <v>31061.0</v>
      </c>
      <c r="F79" s="10" t="s">
        <v>32</v>
      </c>
      <c r="G79" s="11" t="n">
        <f>20658649200</f>
        <v>2.06586492E10</v>
      </c>
      <c r="H79" s="10"/>
      <c r="I79" s="11" t="str">
        <f>"－"</f>
        <v>－</v>
      </c>
      <c r="J79" s="10"/>
      <c r="K79" s="11" t="n">
        <f>51351</f>
        <v>51351.0</v>
      </c>
    </row>
    <row r="80">
      <c r="A80" s="8" t="s">
        <v>33</v>
      </c>
      <c r="B80" s="9" t="s">
        <v>54</v>
      </c>
      <c r="C80" s="9" t="s">
        <v>55</v>
      </c>
      <c r="D80" s="10"/>
      <c r="E80" s="11" t="n">
        <f>14531</f>
        <v>14531.0</v>
      </c>
      <c r="F80" s="10"/>
      <c r="G80" s="11" t="n">
        <f>9698871100</f>
        <v>9.6988711E9</v>
      </c>
      <c r="H80" s="10"/>
      <c r="I80" s="11" t="str">
        <f>"－"</f>
        <v>－</v>
      </c>
      <c r="J80" s="10" t="s">
        <v>22</v>
      </c>
      <c r="K80" s="11" t="n">
        <f>49332</f>
        <v>49332.0</v>
      </c>
    </row>
    <row r="81">
      <c r="A81" s="8" t="s">
        <v>34</v>
      </c>
      <c r="B81" s="9" t="s">
        <v>54</v>
      </c>
      <c r="C81" s="9" t="s">
        <v>55</v>
      </c>
      <c r="D81" s="10"/>
      <c r="E81" s="11" t="n">
        <f>7208</f>
        <v>7208.0</v>
      </c>
      <c r="F81" s="10"/>
      <c r="G81" s="11" t="n">
        <f>4853275100</f>
        <v>4.8532751E9</v>
      </c>
      <c r="H81" s="10"/>
      <c r="I81" s="11" t="str">
        <f>"－"</f>
        <v>－</v>
      </c>
      <c r="J81" s="10"/>
      <c r="K81" s="11" t="n">
        <f>49430</f>
        <v>49430.0</v>
      </c>
    </row>
    <row r="82">
      <c r="A82" s="8" t="s">
        <v>35</v>
      </c>
      <c r="B82" s="9" t="s">
        <v>54</v>
      </c>
      <c r="C82" s="9" t="s">
        <v>55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36</v>
      </c>
      <c r="B83" s="9" t="s">
        <v>54</v>
      </c>
      <c r="C83" s="9" t="s">
        <v>55</v>
      </c>
      <c r="D83" s="10"/>
      <c r="E83" s="11"/>
      <c r="F83" s="10"/>
      <c r="G83" s="11"/>
      <c r="H83" s="10"/>
      <c r="I83" s="11"/>
      <c r="J83" s="10"/>
      <c r="K83" s="11"/>
    </row>
    <row r="84">
      <c r="A84" s="8" t="s">
        <v>37</v>
      </c>
      <c r="B84" s="9" t="s">
        <v>54</v>
      </c>
      <c r="C84" s="9" t="s">
        <v>55</v>
      </c>
      <c r="D84" s="10"/>
      <c r="E84" s="11" t="n">
        <f>5916</f>
        <v>5916.0</v>
      </c>
      <c r="F84" s="10"/>
      <c r="G84" s="11" t="n">
        <f>3961966100</f>
        <v>3.9619661E9</v>
      </c>
      <c r="H84" s="10"/>
      <c r="I84" s="11" t="str">
        <f>"－"</f>
        <v>－</v>
      </c>
      <c r="J84" s="10"/>
      <c r="K84" s="11" t="n">
        <f>49898</f>
        <v>49898.0</v>
      </c>
    </row>
    <row r="85">
      <c r="A85" s="8" t="s">
        <v>38</v>
      </c>
      <c r="B85" s="9" t="s">
        <v>54</v>
      </c>
      <c r="C85" s="9" t="s">
        <v>55</v>
      </c>
      <c r="D85" s="10"/>
      <c r="E85" s="11" t="n">
        <f>8920</f>
        <v>8920.0</v>
      </c>
      <c r="F85" s="10"/>
      <c r="G85" s="11" t="n">
        <f>6052271100</f>
        <v>6.0522711E9</v>
      </c>
      <c r="H85" s="10"/>
      <c r="I85" s="11" t="str">
        <f>"－"</f>
        <v>－</v>
      </c>
      <c r="J85" s="10"/>
      <c r="K85" s="11" t="n">
        <f>49464</f>
        <v>49464.0</v>
      </c>
    </row>
    <row r="86">
      <c r="A86" s="8" t="s">
        <v>39</v>
      </c>
      <c r="B86" s="9" t="s">
        <v>54</v>
      </c>
      <c r="C86" s="9" t="s">
        <v>55</v>
      </c>
      <c r="D86" s="10"/>
      <c r="E86" s="11" t="n">
        <f>9366</f>
        <v>9366.0</v>
      </c>
      <c r="F86" s="10"/>
      <c r="G86" s="11" t="n">
        <f>6387589900</f>
        <v>6.3875899E9</v>
      </c>
      <c r="H86" s="10"/>
      <c r="I86" s="11" t="str">
        <f>"－"</f>
        <v>－</v>
      </c>
      <c r="J86" s="10"/>
      <c r="K86" s="11" t="n">
        <f>49635</f>
        <v>49635.0</v>
      </c>
    </row>
    <row r="87">
      <c r="A87" s="8" t="s">
        <v>40</v>
      </c>
      <c r="B87" s="9" t="s">
        <v>54</v>
      </c>
      <c r="C87" s="9" t="s">
        <v>55</v>
      </c>
      <c r="D87" s="10"/>
      <c r="E87" s="11" t="n">
        <f>9354</f>
        <v>9354.0</v>
      </c>
      <c r="F87" s="10"/>
      <c r="G87" s="11" t="n">
        <f>6261241500</f>
        <v>6.2612415E9</v>
      </c>
      <c r="H87" s="10"/>
      <c r="I87" s="11" t="str">
        <f>"－"</f>
        <v>－</v>
      </c>
      <c r="J87" s="10"/>
      <c r="K87" s="11" t="n">
        <f>51172</f>
        <v>51172.0</v>
      </c>
    </row>
    <row r="88">
      <c r="A88" s="8" t="s">
        <v>41</v>
      </c>
      <c r="B88" s="9" t="s">
        <v>54</v>
      </c>
      <c r="C88" s="9" t="s">
        <v>55</v>
      </c>
      <c r="D88" s="10"/>
      <c r="E88" s="11" t="n">
        <f>6775</f>
        <v>6775.0</v>
      </c>
      <c r="F88" s="10"/>
      <c r="G88" s="11" t="n">
        <f>4505385000</f>
        <v>4.505385E9</v>
      </c>
      <c r="H88" s="10"/>
      <c r="I88" s="11" t="str">
        <f>"－"</f>
        <v>－</v>
      </c>
      <c r="J88" s="10"/>
      <c r="K88" s="11" t="n">
        <f>51854</f>
        <v>51854.0</v>
      </c>
    </row>
    <row r="89">
      <c r="A89" s="8" t="s">
        <v>42</v>
      </c>
      <c r="B89" s="9" t="s">
        <v>54</v>
      </c>
      <c r="C89" s="9" t="s">
        <v>55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43</v>
      </c>
      <c r="B90" s="9" t="s">
        <v>54</v>
      </c>
      <c r="C90" s="9" t="s">
        <v>55</v>
      </c>
      <c r="D90" s="10"/>
      <c r="E90" s="11"/>
      <c r="F90" s="10"/>
      <c r="G90" s="11"/>
      <c r="H90" s="10"/>
      <c r="I90" s="11"/>
      <c r="J90" s="10"/>
      <c r="K90" s="11"/>
    </row>
    <row r="91">
      <c r="A91" s="8" t="s">
        <v>44</v>
      </c>
      <c r="B91" s="9" t="s">
        <v>54</v>
      </c>
      <c r="C91" s="9" t="s">
        <v>55</v>
      </c>
      <c r="D91" s="10"/>
      <c r="E91" s="11" t="n">
        <f>6532</f>
        <v>6532.0</v>
      </c>
      <c r="F91" s="10"/>
      <c r="G91" s="11" t="n">
        <f>4316895200</f>
        <v>4.3168952E9</v>
      </c>
      <c r="H91" s="10"/>
      <c r="I91" s="11" t="str">
        <f>"－"</f>
        <v>－</v>
      </c>
      <c r="J91" s="10"/>
      <c r="K91" s="11" t="n">
        <f>51314</f>
        <v>51314.0</v>
      </c>
    </row>
    <row r="92">
      <c r="A92" s="8" t="s">
        <v>45</v>
      </c>
      <c r="B92" s="9" t="s">
        <v>54</v>
      </c>
      <c r="C92" s="9" t="s">
        <v>55</v>
      </c>
      <c r="D92" s="10"/>
      <c r="E92" s="11" t="n">
        <f>3689</f>
        <v>3689.0</v>
      </c>
      <c r="F92" s="10"/>
      <c r="G92" s="11" t="n">
        <f>2451188600</f>
        <v>2.4511886E9</v>
      </c>
      <c r="H92" s="10"/>
      <c r="I92" s="11" t="str">
        <f>"－"</f>
        <v>－</v>
      </c>
      <c r="J92" s="10"/>
      <c r="K92" s="11" t="n">
        <f>51134</f>
        <v>51134.0</v>
      </c>
    </row>
    <row r="93">
      <c r="A93" s="8" t="s">
        <v>46</v>
      </c>
      <c r="B93" s="9" t="s">
        <v>54</v>
      </c>
      <c r="C93" s="9" t="s">
        <v>55</v>
      </c>
      <c r="D93" s="10" t="s">
        <v>22</v>
      </c>
      <c r="E93" s="11" t="n">
        <f>3272</f>
        <v>3272.0</v>
      </c>
      <c r="F93" s="10" t="s">
        <v>22</v>
      </c>
      <c r="G93" s="11" t="n">
        <f>2167802500</f>
        <v>2.1678025E9</v>
      </c>
      <c r="H93" s="10"/>
      <c r="I93" s="11" t="str">
        <f>"－"</f>
        <v>－</v>
      </c>
      <c r="J93" s="10"/>
      <c r="K93" s="11" t="n">
        <f>50866</f>
        <v>50866.0</v>
      </c>
    </row>
    <row r="94">
      <c r="A94" s="8" t="s">
        <v>47</v>
      </c>
      <c r="B94" s="9" t="s">
        <v>54</v>
      </c>
      <c r="C94" s="9" t="s">
        <v>55</v>
      </c>
      <c r="D94" s="10"/>
      <c r="E94" s="11" t="n">
        <f>5467</f>
        <v>5467.0</v>
      </c>
      <c r="F94" s="10"/>
      <c r="G94" s="11" t="n">
        <f>3627271400</f>
        <v>3.6272714E9</v>
      </c>
      <c r="H94" s="10"/>
      <c r="I94" s="11" t="str">
        <f>"－"</f>
        <v>－</v>
      </c>
      <c r="J94" s="10"/>
      <c r="K94" s="11" t="n">
        <f>50555</f>
        <v>50555.0</v>
      </c>
    </row>
    <row r="95">
      <c r="A95" s="8" t="s">
        <v>48</v>
      </c>
      <c r="B95" s="9" t="s">
        <v>54</v>
      </c>
      <c r="C95" s="9" t="s">
        <v>55</v>
      </c>
      <c r="D95" s="10"/>
      <c r="E95" s="11" t="n">
        <f>7419</f>
        <v>7419.0</v>
      </c>
      <c r="F95" s="10"/>
      <c r="G95" s="11" t="n">
        <f>4945178500</f>
        <v>4.9451785E9</v>
      </c>
      <c r="H95" s="10"/>
      <c r="I95" s="11" t="str">
        <f>"－"</f>
        <v>－</v>
      </c>
      <c r="J95" s="10"/>
      <c r="K95" s="11" t="n">
        <f>50080</f>
        <v>50080.0</v>
      </c>
    </row>
    <row r="96">
      <c r="A96" s="8" t="s">
        <v>49</v>
      </c>
      <c r="B96" s="9" t="s">
        <v>54</v>
      </c>
      <c r="C96" s="9" t="s">
        <v>55</v>
      </c>
      <c r="D96" s="10"/>
      <c r="E96" s="11"/>
      <c r="F96" s="10"/>
      <c r="G96" s="11"/>
      <c r="H96" s="10"/>
      <c r="I96" s="11"/>
      <c r="J96" s="10"/>
      <c r="K96" s="11"/>
    </row>
    <row r="97">
      <c r="A97" s="8" t="s">
        <v>50</v>
      </c>
      <c r="B97" s="9" t="s">
        <v>54</v>
      </c>
      <c r="C97" s="9" t="s">
        <v>55</v>
      </c>
      <c r="D97" s="10"/>
      <c r="E97" s="11"/>
      <c r="F97" s="10"/>
      <c r="G97" s="11"/>
      <c r="H97" s="10"/>
      <c r="I97" s="11"/>
      <c r="J97" s="10"/>
      <c r="K97" s="11"/>
    </row>
    <row r="98">
      <c r="A98" s="8" t="s">
        <v>51</v>
      </c>
      <c r="B98" s="9" t="s">
        <v>54</v>
      </c>
      <c r="C98" s="9" t="s">
        <v>55</v>
      </c>
      <c r="D98" s="10"/>
      <c r="E98" s="11" t="n">
        <f>4394</f>
        <v>4394.0</v>
      </c>
      <c r="F98" s="10"/>
      <c r="G98" s="11" t="n">
        <f>2946497800</f>
        <v>2.9464978E9</v>
      </c>
      <c r="H98" s="10"/>
      <c r="I98" s="11" t="str">
        <f>"－"</f>
        <v>－</v>
      </c>
      <c r="J98" s="10"/>
      <c r="K98" s="11" t="n">
        <f>50366</f>
        <v>50366.0</v>
      </c>
    </row>
    <row r="99">
      <c r="A99" s="8" t="s">
        <v>16</v>
      </c>
      <c r="B99" s="9" t="s">
        <v>56</v>
      </c>
      <c r="C99" s="9" t="s">
        <v>57</v>
      </c>
      <c r="D99" s="10"/>
      <c r="E99" s="11"/>
      <c r="F99" s="10"/>
      <c r="G99" s="11"/>
      <c r="H99" s="10"/>
      <c r="I99" s="11"/>
      <c r="J99" s="10"/>
      <c r="K99" s="11"/>
    </row>
    <row r="100">
      <c r="A100" s="8" t="s">
        <v>19</v>
      </c>
      <c r="B100" s="9" t="s">
        <v>56</v>
      </c>
      <c r="C100" s="9" t="s">
        <v>57</v>
      </c>
      <c r="D100" s="10"/>
      <c r="E100" s="11"/>
      <c r="F100" s="10"/>
      <c r="G100" s="11"/>
      <c r="H100" s="10"/>
      <c r="I100" s="11"/>
      <c r="J100" s="10"/>
      <c r="K100" s="11"/>
    </row>
    <row r="101">
      <c r="A101" s="8" t="s">
        <v>20</v>
      </c>
      <c r="B101" s="9" t="s">
        <v>56</v>
      </c>
      <c r="C101" s="9" t="s">
        <v>57</v>
      </c>
      <c r="D101" s="10"/>
      <c r="E101" s="11" t="n">
        <f>367</f>
        <v>367.0</v>
      </c>
      <c r="F101" s="10"/>
      <c r="G101" s="11" t="n">
        <f>300713000</f>
        <v>3.00713E8</v>
      </c>
      <c r="H101" s="10" t="s">
        <v>21</v>
      </c>
      <c r="I101" s="11" t="str">
        <f>"－"</f>
        <v>－</v>
      </c>
      <c r="J101" s="10"/>
      <c r="K101" s="11" t="n">
        <f>1120</f>
        <v>1120.0</v>
      </c>
    </row>
    <row r="102">
      <c r="A102" s="8" t="s">
        <v>23</v>
      </c>
      <c r="B102" s="9" t="s">
        <v>56</v>
      </c>
      <c r="C102" s="9" t="s">
        <v>57</v>
      </c>
      <c r="D102" s="10"/>
      <c r="E102" s="11" t="n">
        <f>281</f>
        <v>281.0</v>
      </c>
      <c r="F102" s="10"/>
      <c r="G102" s="11" t="n">
        <f>231017000</f>
        <v>2.31017E8</v>
      </c>
      <c r="H102" s="10"/>
      <c r="I102" s="11" t="str">
        <f>"－"</f>
        <v>－</v>
      </c>
      <c r="J102" s="10"/>
      <c r="K102" s="11" t="n">
        <f>1037</f>
        <v>1037.0</v>
      </c>
    </row>
    <row r="103">
      <c r="A103" s="8" t="s">
        <v>24</v>
      </c>
      <c r="B103" s="9" t="s">
        <v>56</v>
      </c>
      <c r="C103" s="9" t="s">
        <v>57</v>
      </c>
      <c r="D103" s="10"/>
      <c r="E103" s="11" t="n">
        <f>410</f>
        <v>410.0</v>
      </c>
      <c r="F103" s="10"/>
      <c r="G103" s="11" t="n">
        <f>353495000</f>
        <v>3.53495E8</v>
      </c>
      <c r="H103" s="10"/>
      <c r="I103" s="11" t="str">
        <f>"－"</f>
        <v>－</v>
      </c>
      <c r="J103" s="10"/>
      <c r="K103" s="11" t="n">
        <f>1018</f>
        <v>1018.0</v>
      </c>
    </row>
    <row r="104">
      <c r="A104" s="8" t="s">
        <v>25</v>
      </c>
      <c r="B104" s="9" t="s">
        <v>56</v>
      </c>
      <c r="C104" s="9" t="s">
        <v>57</v>
      </c>
      <c r="D104" s="10"/>
      <c r="E104" s="11" t="n">
        <f>401</f>
        <v>401.0</v>
      </c>
      <c r="F104" s="10"/>
      <c r="G104" s="11" t="n">
        <f>364836000</f>
        <v>3.64836E8</v>
      </c>
      <c r="H104" s="10"/>
      <c r="I104" s="11" t="str">
        <f>"－"</f>
        <v>－</v>
      </c>
      <c r="J104" s="10"/>
      <c r="K104" s="11" t="n">
        <f>1002</f>
        <v>1002.0</v>
      </c>
    </row>
    <row r="105">
      <c r="A105" s="8" t="s">
        <v>26</v>
      </c>
      <c r="B105" s="9" t="s">
        <v>56</v>
      </c>
      <c r="C105" s="9" t="s">
        <v>57</v>
      </c>
      <c r="D105" s="10"/>
      <c r="E105" s="11" t="n">
        <f>886</f>
        <v>886.0</v>
      </c>
      <c r="F105" s="10"/>
      <c r="G105" s="11" t="n">
        <f>862078000</f>
        <v>8.62078E8</v>
      </c>
      <c r="H105" s="10"/>
      <c r="I105" s="11" t="str">
        <f>"－"</f>
        <v>－</v>
      </c>
      <c r="J105" s="10"/>
      <c r="K105" s="11" t="n">
        <f>1019</f>
        <v>1019.0</v>
      </c>
    </row>
    <row r="106">
      <c r="A106" s="8" t="s">
        <v>27</v>
      </c>
      <c r="B106" s="9" t="s">
        <v>56</v>
      </c>
      <c r="C106" s="9" t="s">
        <v>57</v>
      </c>
      <c r="D106" s="10"/>
      <c r="E106" s="11"/>
      <c r="F106" s="10"/>
      <c r="G106" s="11"/>
      <c r="H106" s="10"/>
      <c r="I106" s="11"/>
      <c r="J106" s="10"/>
      <c r="K106" s="11"/>
    </row>
    <row r="107">
      <c r="A107" s="8" t="s">
        <v>28</v>
      </c>
      <c r="B107" s="9" t="s">
        <v>56</v>
      </c>
      <c r="C107" s="9" t="s">
        <v>57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29</v>
      </c>
      <c r="B108" s="9" t="s">
        <v>56</v>
      </c>
      <c r="C108" s="9" t="s">
        <v>57</v>
      </c>
      <c r="D108" s="10"/>
      <c r="E108" s="11"/>
      <c r="F108" s="10"/>
      <c r="G108" s="11"/>
      <c r="H108" s="10"/>
      <c r="I108" s="11"/>
      <c r="J108" s="10"/>
      <c r="K108" s="11"/>
    </row>
    <row r="109">
      <c r="A109" s="8" t="s">
        <v>30</v>
      </c>
      <c r="B109" s="9" t="s">
        <v>56</v>
      </c>
      <c r="C109" s="9" t="s">
        <v>57</v>
      </c>
      <c r="D109" s="10"/>
      <c r="E109" s="11" t="n">
        <f>598</f>
        <v>598.0</v>
      </c>
      <c r="F109" s="10"/>
      <c r="G109" s="11" t="n">
        <f>573206000</f>
        <v>5.73206E8</v>
      </c>
      <c r="H109" s="10"/>
      <c r="I109" s="11" t="str">
        <f>"－"</f>
        <v>－</v>
      </c>
      <c r="J109" s="10"/>
      <c r="K109" s="11" t="n">
        <f>1012</f>
        <v>1012.0</v>
      </c>
    </row>
    <row r="110">
      <c r="A110" s="8" t="s">
        <v>31</v>
      </c>
      <c r="B110" s="9" t="s">
        <v>56</v>
      </c>
      <c r="C110" s="9" t="s">
        <v>57</v>
      </c>
      <c r="D110" s="10" t="s">
        <v>32</v>
      </c>
      <c r="E110" s="11" t="n">
        <f>1151</f>
        <v>1151.0</v>
      </c>
      <c r="F110" s="10" t="s">
        <v>32</v>
      </c>
      <c r="G110" s="11" t="n">
        <f>1020350000</f>
        <v>1.02035E9</v>
      </c>
      <c r="H110" s="10"/>
      <c r="I110" s="11" t="str">
        <f>"－"</f>
        <v>－</v>
      </c>
      <c r="J110" s="10" t="s">
        <v>22</v>
      </c>
      <c r="K110" s="11" t="n">
        <f>981</f>
        <v>981.0</v>
      </c>
    </row>
    <row r="111">
      <c r="A111" s="8" t="s">
        <v>33</v>
      </c>
      <c r="B111" s="9" t="s">
        <v>56</v>
      </c>
      <c r="C111" s="9" t="s">
        <v>57</v>
      </c>
      <c r="D111" s="10"/>
      <c r="E111" s="11" t="n">
        <f>653</f>
        <v>653.0</v>
      </c>
      <c r="F111" s="10"/>
      <c r="G111" s="11" t="n">
        <f>578118000</f>
        <v>5.78118E8</v>
      </c>
      <c r="H111" s="10"/>
      <c r="I111" s="11" t="str">
        <f>"－"</f>
        <v>－</v>
      </c>
      <c r="J111" s="10"/>
      <c r="K111" s="11" t="n">
        <f>1029</f>
        <v>1029.0</v>
      </c>
    </row>
    <row r="112">
      <c r="A112" s="8" t="s">
        <v>34</v>
      </c>
      <c r="B112" s="9" t="s">
        <v>56</v>
      </c>
      <c r="C112" s="9" t="s">
        <v>57</v>
      </c>
      <c r="D112" s="10"/>
      <c r="E112" s="11" t="n">
        <f>521</f>
        <v>521.0</v>
      </c>
      <c r="F112" s="10"/>
      <c r="G112" s="11" t="n">
        <f>481095000</f>
        <v>4.81095E8</v>
      </c>
      <c r="H112" s="10"/>
      <c r="I112" s="11" t="str">
        <f>"－"</f>
        <v>－</v>
      </c>
      <c r="J112" s="10"/>
      <c r="K112" s="11" t="n">
        <f>1028</f>
        <v>1028.0</v>
      </c>
    </row>
    <row r="113">
      <c r="A113" s="8" t="s">
        <v>35</v>
      </c>
      <c r="B113" s="9" t="s">
        <v>56</v>
      </c>
      <c r="C113" s="9" t="s">
        <v>57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36</v>
      </c>
      <c r="B114" s="9" t="s">
        <v>56</v>
      </c>
      <c r="C114" s="9" t="s">
        <v>57</v>
      </c>
      <c r="D114" s="10"/>
      <c r="E114" s="11"/>
      <c r="F114" s="10"/>
      <c r="G114" s="11"/>
      <c r="H114" s="10"/>
      <c r="I114" s="11"/>
      <c r="J114" s="10"/>
      <c r="K114" s="11"/>
    </row>
    <row r="115">
      <c r="A115" s="8" t="s">
        <v>37</v>
      </c>
      <c r="B115" s="9" t="s">
        <v>56</v>
      </c>
      <c r="C115" s="9" t="s">
        <v>57</v>
      </c>
      <c r="D115" s="10"/>
      <c r="E115" s="11" t="n">
        <f>262</f>
        <v>262.0</v>
      </c>
      <c r="F115" s="10"/>
      <c r="G115" s="11" t="n">
        <f>237328000</f>
        <v>2.37328E8</v>
      </c>
      <c r="H115" s="10"/>
      <c r="I115" s="11" t="str">
        <f>"－"</f>
        <v>－</v>
      </c>
      <c r="J115" s="10"/>
      <c r="K115" s="11" t="n">
        <f>1012</f>
        <v>1012.0</v>
      </c>
    </row>
    <row r="116">
      <c r="A116" s="8" t="s">
        <v>38</v>
      </c>
      <c r="B116" s="9" t="s">
        <v>56</v>
      </c>
      <c r="C116" s="9" t="s">
        <v>57</v>
      </c>
      <c r="D116" s="10"/>
      <c r="E116" s="11" t="n">
        <f>315</f>
        <v>315.0</v>
      </c>
      <c r="F116" s="10"/>
      <c r="G116" s="11" t="n">
        <f>297416000</f>
        <v>2.97416E8</v>
      </c>
      <c r="H116" s="10"/>
      <c r="I116" s="11" t="str">
        <f>"－"</f>
        <v>－</v>
      </c>
      <c r="J116" s="10"/>
      <c r="K116" s="11" t="n">
        <f>986</f>
        <v>986.0</v>
      </c>
    </row>
    <row r="117">
      <c r="A117" s="8" t="s">
        <v>39</v>
      </c>
      <c r="B117" s="9" t="s">
        <v>56</v>
      </c>
      <c r="C117" s="9" t="s">
        <v>57</v>
      </c>
      <c r="D117" s="10"/>
      <c r="E117" s="11" t="n">
        <f>316</f>
        <v>316.0</v>
      </c>
      <c r="F117" s="10"/>
      <c r="G117" s="11" t="n">
        <f>297999000</f>
        <v>2.97999E8</v>
      </c>
      <c r="H117" s="10"/>
      <c r="I117" s="11" t="str">
        <f>"－"</f>
        <v>－</v>
      </c>
      <c r="J117" s="10"/>
      <c r="K117" s="11" t="n">
        <f>1014</f>
        <v>1014.0</v>
      </c>
    </row>
    <row r="118">
      <c r="A118" s="8" t="s">
        <v>40</v>
      </c>
      <c r="B118" s="9" t="s">
        <v>56</v>
      </c>
      <c r="C118" s="9" t="s">
        <v>57</v>
      </c>
      <c r="D118" s="10"/>
      <c r="E118" s="11" t="n">
        <f>321</f>
        <v>321.0</v>
      </c>
      <c r="F118" s="10"/>
      <c r="G118" s="11" t="n">
        <f>297009000</f>
        <v>2.97009E8</v>
      </c>
      <c r="H118" s="10"/>
      <c r="I118" s="11" t="str">
        <f>"－"</f>
        <v>－</v>
      </c>
      <c r="J118" s="10"/>
      <c r="K118" s="11" t="n">
        <f>1035</f>
        <v>1035.0</v>
      </c>
    </row>
    <row r="119">
      <c r="A119" s="8" t="s">
        <v>41</v>
      </c>
      <c r="B119" s="9" t="s">
        <v>56</v>
      </c>
      <c r="C119" s="9" t="s">
        <v>57</v>
      </c>
      <c r="D119" s="10"/>
      <c r="E119" s="11" t="n">
        <f>599</f>
        <v>599.0</v>
      </c>
      <c r="F119" s="10"/>
      <c r="G119" s="11" t="n">
        <f>543802000</f>
        <v>5.43802E8</v>
      </c>
      <c r="H119" s="10"/>
      <c r="I119" s="11" t="str">
        <f>"－"</f>
        <v>－</v>
      </c>
      <c r="J119" s="10"/>
      <c r="K119" s="11" t="n">
        <f>1102</f>
        <v>1102.0</v>
      </c>
    </row>
    <row r="120">
      <c r="A120" s="8" t="s">
        <v>42</v>
      </c>
      <c r="B120" s="9" t="s">
        <v>56</v>
      </c>
      <c r="C120" s="9" t="s">
        <v>57</v>
      </c>
      <c r="D120" s="10"/>
      <c r="E120" s="11"/>
      <c r="F120" s="10"/>
      <c r="G120" s="11"/>
      <c r="H120" s="10"/>
      <c r="I120" s="11"/>
      <c r="J120" s="10"/>
      <c r="K120" s="11"/>
    </row>
    <row r="121">
      <c r="A121" s="8" t="s">
        <v>43</v>
      </c>
      <c r="B121" s="9" t="s">
        <v>56</v>
      </c>
      <c r="C121" s="9" t="s">
        <v>57</v>
      </c>
      <c r="D121" s="10"/>
      <c r="E121" s="11"/>
      <c r="F121" s="10"/>
      <c r="G121" s="11"/>
      <c r="H121" s="10"/>
      <c r="I121" s="11"/>
      <c r="J121" s="10"/>
      <c r="K121" s="11"/>
    </row>
    <row r="122">
      <c r="A122" s="8" t="s">
        <v>44</v>
      </c>
      <c r="B122" s="9" t="s">
        <v>56</v>
      </c>
      <c r="C122" s="9" t="s">
        <v>57</v>
      </c>
      <c r="D122" s="10"/>
      <c r="E122" s="11" t="n">
        <f>270</f>
        <v>270.0</v>
      </c>
      <c r="F122" s="10"/>
      <c r="G122" s="11" t="n">
        <f>243740000</f>
        <v>2.4374E8</v>
      </c>
      <c r="H122" s="10"/>
      <c r="I122" s="11" t="str">
        <f>"－"</f>
        <v>－</v>
      </c>
      <c r="J122" s="10" t="s">
        <v>32</v>
      </c>
      <c r="K122" s="11" t="n">
        <f>1133</f>
        <v>1133.0</v>
      </c>
    </row>
    <row r="123">
      <c r="A123" s="8" t="s">
        <v>45</v>
      </c>
      <c r="B123" s="9" t="s">
        <v>56</v>
      </c>
      <c r="C123" s="9" t="s">
        <v>57</v>
      </c>
      <c r="D123" s="10"/>
      <c r="E123" s="11" t="n">
        <f>415</f>
        <v>415.0</v>
      </c>
      <c r="F123" s="10"/>
      <c r="G123" s="11" t="n">
        <f>377097000</f>
        <v>3.77097E8</v>
      </c>
      <c r="H123" s="10"/>
      <c r="I123" s="11" t="str">
        <f>"－"</f>
        <v>－</v>
      </c>
      <c r="J123" s="10"/>
      <c r="K123" s="11" t="n">
        <f>1045</f>
        <v>1045.0</v>
      </c>
    </row>
    <row r="124">
      <c r="A124" s="8" t="s">
        <v>46</v>
      </c>
      <c r="B124" s="9" t="s">
        <v>56</v>
      </c>
      <c r="C124" s="9" t="s">
        <v>57</v>
      </c>
      <c r="D124" s="10" t="s">
        <v>22</v>
      </c>
      <c r="E124" s="11" t="n">
        <f>137</f>
        <v>137.0</v>
      </c>
      <c r="F124" s="10" t="s">
        <v>22</v>
      </c>
      <c r="G124" s="11" t="n">
        <f>123267000</f>
        <v>1.23267E8</v>
      </c>
      <c r="H124" s="10"/>
      <c r="I124" s="11" t="str">
        <f>"－"</f>
        <v>－</v>
      </c>
      <c r="J124" s="10"/>
      <c r="K124" s="11" t="n">
        <f>1031</f>
        <v>1031.0</v>
      </c>
    </row>
    <row r="125">
      <c r="A125" s="8" t="s">
        <v>47</v>
      </c>
      <c r="B125" s="9" t="s">
        <v>56</v>
      </c>
      <c r="C125" s="9" t="s">
        <v>57</v>
      </c>
      <c r="D125" s="10"/>
      <c r="E125" s="11" t="n">
        <f>199</f>
        <v>199.0</v>
      </c>
      <c r="F125" s="10"/>
      <c r="G125" s="11" t="n">
        <f>182873000</f>
        <v>1.82873E8</v>
      </c>
      <c r="H125" s="10"/>
      <c r="I125" s="11" t="str">
        <f>"－"</f>
        <v>－</v>
      </c>
      <c r="J125" s="10"/>
      <c r="K125" s="11" t="n">
        <f>1034</f>
        <v>1034.0</v>
      </c>
    </row>
    <row r="126">
      <c r="A126" s="8" t="s">
        <v>48</v>
      </c>
      <c r="B126" s="9" t="s">
        <v>56</v>
      </c>
      <c r="C126" s="9" t="s">
        <v>57</v>
      </c>
      <c r="D126" s="10"/>
      <c r="E126" s="11" t="n">
        <f>384</f>
        <v>384.0</v>
      </c>
      <c r="F126" s="10"/>
      <c r="G126" s="11" t="n">
        <f>356066000</f>
        <v>3.56066E8</v>
      </c>
      <c r="H126" s="10"/>
      <c r="I126" s="11" t="str">
        <f>"－"</f>
        <v>－</v>
      </c>
      <c r="J126" s="10"/>
      <c r="K126" s="11" t="n">
        <f>1043</f>
        <v>1043.0</v>
      </c>
    </row>
    <row r="127">
      <c r="A127" s="8" t="s">
        <v>49</v>
      </c>
      <c r="B127" s="9" t="s">
        <v>56</v>
      </c>
      <c r="C127" s="9" t="s">
        <v>57</v>
      </c>
      <c r="D127" s="10"/>
      <c r="E127" s="11"/>
      <c r="F127" s="10"/>
      <c r="G127" s="11"/>
      <c r="H127" s="10"/>
      <c r="I127" s="11"/>
      <c r="J127" s="10"/>
      <c r="K127" s="11"/>
    </row>
    <row r="128">
      <c r="A128" s="8" t="s">
        <v>50</v>
      </c>
      <c r="B128" s="9" t="s">
        <v>56</v>
      </c>
      <c r="C128" s="9" t="s">
        <v>57</v>
      </c>
      <c r="D128" s="10"/>
      <c r="E128" s="11"/>
      <c r="F128" s="10"/>
      <c r="G128" s="11"/>
      <c r="H128" s="10"/>
      <c r="I128" s="11"/>
      <c r="J128" s="10"/>
      <c r="K128" s="11"/>
    </row>
    <row r="129">
      <c r="A129" s="8" t="s">
        <v>51</v>
      </c>
      <c r="B129" s="9" t="s">
        <v>56</v>
      </c>
      <c r="C129" s="9" t="s">
        <v>57</v>
      </c>
      <c r="D129" s="10"/>
      <c r="E129" s="11" t="n">
        <f>214</f>
        <v>214.0</v>
      </c>
      <c r="F129" s="10"/>
      <c r="G129" s="11" t="n">
        <f>201811000</f>
        <v>2.01811E8</v>
      </c>
      <c r="H129" s="10"/>
      <c r="I129" s="11" t="str">
        <f>"－"</f>
        <v>－</v>
      </c>
      <c r="J129" s="10"/>
      <c r="K129" s="11" t="n">
        <f>1020</f>
        <v>1020.0</v>
      </c>
    </row>
    <row r="130">
      <c r="A130" s="8" t="s">
        <v>16</v>
      </c>
      <c r="B130" s="9" t="s">
        <v>58</v>
      </c>
      <c r="C130" s="9" t="s">
        <v>59</v>
      </c>
      <c r="D130" s="10"/>
      <c r="E130" s="11"/>
      <c r="F130" s="10"/>
      <c r="G130" s="11"/>
      <c r="H130" s="10"/>
      <c r="I130" s="11"/>
      <c r="J130" s="10"/>
      <c r="K130" s="11"/>
    </row>
    <row r="131">
      <c r="A131" s="8" t="s">
        <v>19</v>
      </c>
      <c r="B131" s="9" t="s">
        <v>58</v>
      </c>
      <c r="C131" s="9" t="s">
        <v>59</v>
      </c>
      <c r="D131" s="10"/>
      <c r="E131" s="11"/>
      <c r="F131" s="10"/>
      <c r="G131" s="11"/>
      <c r="H131" s="10"/>
      <c r="I131" s="11"/>
      <c r="J131" s="10"/>
      <c r="K131" s="11"/>
    </row>
    <row r="132">
      <c r="A132" s="8" t="s">
        <v>20</v>
      </c>
      <c r="B132" s="9" t="s">
        <v>58</v>
      </c>
      <c r="C132" s="9" t="s">
        <v>59</v>
      </c>
      <c r="D132" s="10"/>
      <c r="E132" s="11" t="n">
        <f>4037</f>
        <v>4037.0</v>
      </c>
      <c r="F132" s="10"/>
      <c r="G132" s="11" t="n">
        <f>6179647000</f>
        <v>6.179647E9</v>
      </c>
      <c r="H132" s="10" t="s">
        <v>22</v>
      </c>
      <c r="I132" s="11" t="str">
        <f>"－"</f>
        <v>－</v>
      </c>
      <c r="J132" s="10"/>
      <c r="K132" s="11" t="n">
        <f>23050</f>
        <v>23050.0</v>
      </c>
    </row>
    <row r="133">
      <c r="A133" s="8" t="s">
        <v>23</v>
      </c>
      <c r="B133" s="9" t="s">
        <v>58</v>
      </c>
      <c r="C133" s="9" t="s">
        <v>59</v>
      </c>
      <c r="D133" s="10"/>
      <c r="E133" s="11" t="n">
        <f>3831</f>
        <v>3831.0</v>
      </c>
      <c r="F133" s="10" t="s">
        <v>22</v>
      </c>
      <c r="G133" s="11" t="n">
        <f>5969408000</f>
        <v>5.969408E9</v>
      </c>
      <c r="H133" s="10"/>
      <c r="I133" s="11" t="str">
        <f>"－"</f>
        <v>－</v>
      </c>
      <c r="J133" s="10"/>
      <c r="K133" s="11" t="n">
        <f>22934</f>
        <v>22934.0</v>
      </c>
    </row>
    <row r="134">
      <c r="A134" s="8" t="s">
        <v>24</v>
      </c>
      <c r="B134" s="9" t="s">
        <v>58</v>
      </c>
      <c r="C134" s="9" t="s">
        <v>59</v>
      </c>
      <c r="D134" s="10"/>
      <c r="E134" s="11" t="n">
        <f>6393</f>
        <v>6393.0</v>
      </c>
      <c r="F134" s="10"/>
      <c r="G134" s="11" t="n">
        <f>10111280500</f>
        <v>1.01112805E10</v>
      </c>
      <c r="H134" s="10"/>
      <c r="I134" s="11" t="str">
        <f>"－"</f>
        <v>－</v>
      </c>
      <c r="J134" s="10"/>
      <c r="K134" s="11" t="n">
        <f>22772</f>
        <v>22772.0</v>
      </c>
    </row>
    <row r="135">
      <c r="A135" s="8" t="s">
        <v>25</v>
      </c>
      <c r="B135" s="9" t="s">
        <v>58</v>
      </c>
      <c r="C135" s="9" t="s">
        <v>59</v>
      </c>
      <c r="D135" s="10"/>
      <c r="E135" s="11" t="n">
        <f>8248</f>
        <v>8248.0</v>
      </c>
      <c r="F135" s="10"/>
      <c r="G135" s="11" t="n">
        <f>13518637000</f>
        <v>1.3518637E10</v>
      </c>
      <c r="H135" s="10"/>
      <c r="I135" s="11" t="str">
        <f>"－"</f>
        <v>－</v>
      </c>
      <c r="J135" s="10"/>
      <c r="K135" s="11" t="n">
        <f>22807</f>
        <v>22807.0</v>
      </c>
    </row>
    <row r="136">
      <c r="A136" s="8" t="s">
        <v>26</v>
      </c>
      <c r="B136" s="9" t="s">
        <v>58</v>
      </c>
      <c r="C136" s="9" t="s">
        <v>59</v>
      </c>
      <c r="D136" s="10" t="s">
        <v>32</v>
      </c>
      <c r="E136" s="11" t="n">
        <f>12820</f>
        <v>12820.0</v>
      </c>
      <c r="F136" s="10" t="s">
        <v>32</v>
      </c>
      <c r="G136" s="11" t="n">
        <f>21314192500</f>
        <v>2.13141925E10</v>
      </c>
      <c r="H136" s="10"/>
      <c r="I136" s="11" t="str">
        <f>"－"</f>
        <v>－</v>
      </c>
      <c r="J136" s="10"/>
      <c r="K136" s="11" t="n">
        <f>23110</f>
        <v>23110.0</v>
      </c>
    </row>
    <row r="137">
      <c r="A137" s="8" t="s">
        <v>27</v>
      </c>
      <c r="B137" s="9" t="s">
        <v>58</v>
      </c>
      <c r="C137" s="9" t="s">
        <v>59</v>
      </c>
      <c r="D137" s="10"/>
      <c r="E137" s="11"/>
      <c r="F137" s="10"/>
      <c r="G137" s="11"/>
      <c r="H137" s="10"/>
      <c r="I137" s="11"/>
      <c r="J137" s="10"/>
      <c r="K137" s="11"/>
    </row>
    <row r="138">
      <c r="A138" s="8" t="s">
        <v>28</v>
      </c>
      <c r="B138" s="9" t="s">
        <v>58</v>
      </c>
      <c r="C138" s="9" t="s">
        <v>59</v>
      </c>
      <c r="D138" s="10"/>
      <c r="E138" s="11"/>
      <c r="F138" s="10"/>
      <c r="G138" s="11"/>
      <c r="H138" s="10"/>
      <c r="I138" s="11"/>
      <c r="J138" s="10"/>
      <c r="K138" s="11"/>
    </row>
    <row r="139">
      <c r="A139" s="8" t="s">
        <v>29</v>
      </c>
      <c r="B139" s="9" t="s">
        <v>58</v>
      </c>
      <c r="C139" s="9" t="s">
        <v>59</v>
      </c>
      <c r="D139" s="10"/>
      <c r="E139" s="11"/>
      <c r="F139" s="10"/>
      <c r="G139" s="11"/>
      <c r="H139" s="10"/>
      <c r="I139" s="11"/>
      <c r="J139" s="10"/>
      <c r="K139" s="11"/>
    </row>
    <row r="140">
      <c r="A140" s="8" t="s">
        <v>30</v>
      </c>
      <c r="B140" s="9" t="s">
        <v>58</v>
      </c>
      <c r="C140" s="9" t="s">
        <v>59</v>
      </c>
      <c r="D140" s="10"/>
      <c r="E140" s="11" t="n">
        <f>9396</f>
        <v>9396.0</v>
      </c>
      <c r="F140" s="10"/>
      <c r="G140" s="11" t="n">
        <f>15475733000</f>
        <v>1.5475733E10</v>
      </c>
      <c r="H140" s="10"/>
      <c r="I140" s="11" t="str">
        <f>"－"</f>
        <v>－</v>
      </c>
      <c r="J140" s="10"/>
      <c r="K140" s="11" t="n">
        <f>22694</f>
        <v>22694.0</v>
      </c>
    </row>
    <row r="141">
      <c r="A141" s="8" t="s">
        <v>31</v>
      </c>
      <c r="B141" s="9" t="s">
        <v>58</v>
      </c>
      <c r="C141" s="9" t="s">
        <v>59</v>
      </c>
      <c r="D141" s="10"/>
      <c r="E141" s="11" t="n">
        <f>11486</f>
        <v>11486.0</v>
      </c>
      <c r="F141" s="10"/>
      <c r="G141" s="11" t="n">
        <f>18433119000</f>
        <v>1.8433119E10</v>
      </c>
      <c r="H141" s="10"/>
      <c r="I141" s="11" t="str">
        <f>"－"</f>
        <v>－</v>
      </c>
      <c r="J141" s="10"/>
      <c r="K141" s="11" t="n">
        <f>22414</f>
        <v>22414.0</v>
      </c>
    </row>
    <row r="142">
      <c r="A142" s="8" t="s">
        <v>33</v>
      </c>
      <c r="B142" s="9" t="s">
        <v>58</v>
      </c>
      <c r="C142" s="9" t="s">
        <v>59</v>
      </c>
      <c r="D142" s="10"/>
      <c r="E142" s="11" t="n">
        <f>5327</f>
        <v>5327.0</v>
      </c>
      <c r="F142" s="10"/>
      <c r="G142" s="11" t="n">
        <f>8535176500</f>
        <v>8.5351765E9</v>
      </c>
      <c r="H142" s="10"/>
      <c r="I142" s="11" t="str">
        <f>"－"</f>
        <v>－</v>
      </c>
      <c r="J142" s="10"/>
      <c r="K142" s="11" t="n">
        <f>22434</f>
        <v>22434.0</v>
      </c>
    </row>
    <row r="143">
      <c r="A143" s="8" t="s">
        <v>34</v>
      </c>
      <c r="B143" s="9" t="s">
        <v>58</v>
      </c>
      <c r="C143" s="9" t="s">
        <v>59</v>
      </c>
      <c r="D143" s="10"/>
      <c r="E143" s="11" t="n">
        <f>4299</f>
        <v>4299.0</v>
      </c>
      <c r="F143" s="10"/>
      <c r="G143" s="11" t="n">
        <f>7031796000</f>
        <v>7.031796E9</v>
      </c>
      <c r="H143" s="10"/>
      <c r="I143" s="11" t="str">
        <f>"－"</f>
        <v>－</v>
      </c>
      <c r="J143" s="10" t="s">
        <v>22</v>
      </c>
      <c r="K143" s="11" t="n">
        <f>22138</f>
        <v>22138.0</v>
      </c>
    </row>
    <row r="144">
      <c r="A144" s="8" t="s">
        <v>35</v>
      </c>
      <c r="B144" s="9" t="s">
        <v>58</v>
      </c>
      <c r="C144" s="9" t="s">
        <v>59</v>
      </c>
      <c r="D144" s="10"/>
      <c r="E144" s="11"/>
      <c r="F144" s="10"/>
      <c r="G144" s="11"/>
      <c r="H144" s="10"/>
      <c r="I144" s="11"/>
      <c r="J144" s="10"/>
      <c r="K144" s="11"/>
    </row>
    <row r="145">
      <c r="A145" s="8" t="s">
        <v>36</v>
      </c>
      <c r="B145" s="9" t="s">
        <v>58</v>
      </c>
      <c r="C145" s="9" t="s">
        <v>59</v>
      </c>
      <c r="D145" s="10"/>
      <c r="E145" s="11"/>
      <c r="F145" s="10"/>
      <c r="G145" s="11"/>
      <c r="H145" s="10"/>
      <c r="I145" s="11"/>
      <c r="J145" s="10"/>
      <c r="K145" s="11"/>
    </row>
    <row r="146">
      <c r="A146" s="8" t="s">
        <v>37</v>
      </c>
      <c r="B146" s="9" t="s">
        <v>58</v>
      </c>
      <c r="C146" s="9" t="s">
        <v>59</v>
      </c>
      <c r="D146" s="10"/>
      <c r="E146" s="11" t="n">
        <f>4370</f>
        <v>4370.0</v>
      </c>
      <c r="F146" s="10"/>
      <c r="G146" s="11" t="n">
        <f>7057414000</f>
        <v>7.057414E9</v>
      </c>
      <c r="H146" s="10"/>
      <c r="I146" s="11" t="str">
        <f>"－"</f>
        <v>－</v>
      </c>
      <c r="J146" s="10"/>
      <c r="K146" s="11" t="n">
        <f>22148</f>
        <v>22148.0</v>
      </c>
    </row>
    <row r="147">
      <c r="A147" s="8" t="s">
        <v>38</v>
      </c>
      <c r="B147" s="9" t="s">
        <v>58</v>
      </c>
      <c r="C147" s="9" t="s">
        <v>59</v>
      </c>
      <c r="D147" s="10" t="s">
        <v>22</v>
      </c>
      <c r="E147" s="11" t="n">
        <f>3716</f>
        <v>3716.0</v>
      </c>
      <c r="F147" s="10"/>
      <c r="G147" s="11" t="n">
        <f>6040359500</f>
        <v>6.0403595E9</v>
      </c>
      <c r="H147" s="10"/>
      <c r="I147" s="11" t="str">
        <f>"－"</f>
        <v>－</v>
      </c>
      <c r="J147" s="10"/>
      <c r="K147" s="11" t="n">
        <f>22232</f>
        <v>22232.0</v>
      </c>
    </row>
    <row r="148">
      <c r="A148" s="8" t="s">
        <v>39</v>
      </c>
      <c r="B148" s="9" t="s">
        <v>58</v>
      </c>
      <c r="C148" s="9" t="s">
        <v>59</v>
      </c>
      <c r="D148" s="10"/>
      <c r="E148" s="11" t="n">
        <f>5465</f>
        <v>5465.0</v>
      </c>
      <c r="F148" s="10"/>
      <c r="G148" s="11" t="n">
        <f>8923961000</f>
        <v>8.923961E9</v>
      </c>
      <c r="H148" s="10"/>
      <c r="I148" s="11" t="str">
        <f>"－"</f>
        <v>－</v>
      </c>
      <c r="J148" s="10"/>
      <c r="K148" s="11" t="n">
        <f>22388</f>
        <v>22388.0</v>
      </c>
    </row>
    <row r="149">
      <c r="A149" s="8" t="s">
        <v>40</v>
      </c>
      <c r="B149" s="9" t="s">
        <v>58</v>
      </c>
      <c r="C149" s="9" t="s">
        <v>59</v>
      </c>
      <c r="D149" s="10"/>
      <c r="E149" s="11" t="n">
        <f>5651</f>
        <v>5651.0</v>
      </c>
      <c r="F149" s="10"/>
      <c r="G149" s="11" t="n">
        <f>9043431500</f>
        <v>9.0434315E9</v>
      </c>
      <c r="H149" s="10"/>
      <c r="I149" s="11" t="n">
        <f>1</f>
        <v>1.0</v>
      </c>
      <c r="J149" s="10"/>
      <c r="K149" s="11" t="n">
        <f>22619</f>
        <v>22619.0</v>
      </c>
    </row>
    <row r="150">
      <c r="A150" s="8" t="s">
        <v>41</v>
      </c>
      <c r="B150" s="9" t="s">
        <v>58</v>
      </c>
      <c r="C150" s="9" t="s">
        <v>59</v>
      </c>
      <c r="D150" s="10"/>
      <c r="E150" s="11" t="n">
        <f>5794</f>
        <v>5794.0</v>
      </c>
      <c r="F150" s="10"/>
      <c r="G150" s="11" t="n">
        <f>9106667000</f>
        <v>9.106667E9</v>
      </c>
      <c r="H150" s="10" t="s">
        <v>32</v>
      </c>
      <c r="I150" s="11" t="n">
        <f>30</f>
        <v>30.0</v>
      </c>
      <c r="J150" s="10"/>
      <c r="K150" s="11" t="n">
        <f>22791</f>
        <v>22791.0</v>
      </c>
    </row>
    <row r="151">
      <c r="A151" s="8" t="s">
        <v>42</v>
      </c>
      <c r="B151" s="9" t="s">
        <v>58</v>
      </c>
      <c r="C151" s="9" t="s">
        <v>59</v>
      </c>
      <c r="D151" s="10"/>
      <c r="E151" s="11"/>
      <c r="F151" s="10"/>
      <c r="G151" s="11"/>
      <c r="H151" s="10"/>
      <c r="I151" s="11"/>
      <c r="J151" s="10"/>
      <c r="K151" s="11"/>
    </row>
    <row r="152">
      <c r="A152" s="8" t="s">
        <v>43</v>
      </c>
      <c r="B152" s="9" t="s">
        <v>58</v>
      </c>
      <c r="C152" s="9" t="s">
        <v>59</v>
      </c>
      <c r="D152" s="10"/>
      <c r="E152" s="11"/>
      <c r="F152" s="10"/>
      <c r="G152" s="11"/>
      <c r="H152" s="10"/>
      <c r="I152" s="11"/>
      <c r="J152" s="10"/>
      <c r="K152" s="11"/>
    </row>
    <row r="153">
      <c r="A153" s="8" t="s">
        <v>44</v>
      </c>
      <c r="B153" s="9" t="s">
        <v>58</v>
      </c>
      <c r="C153" s="9" t="s">
        <v>59</v>
      </c>
      <c r="D153" s="10"/>
      <c r="E153" s="11" t="n">
        <f>5918</f>
        <v>5918.0</v>
      </c>
      <c r="F153" s="10"/>
      <c r="G153" s="11" t="n">
        <f>9154791500</f>
        <v>9.1547915E9</v>
      </c>
      <c r="H153" s="10"/>
      <c r="I153" s="11" t="n">
        <f>3</f>
        <v>3.0</v>
      </c>
      <c r="J153" s="10"/>
      <c r="K153" s="11" t="n">
        <f>22779</f>
        <v>22779.0</v>
      </c>
    </row>
    <row r="154">
      <c r="A154" s="8" t="s">
        <v>45</v>
      </c>
      <c r="B154" s="9" t="s">
        <v>58</v>
      </c>
      <c r="C154" s="9" t="s">
        <v>59</v>
      </c>
      <c r="D154" s="10"/>
      <c r="E154" s="11" t="n">
        <f>4767</f>
        <v>4767.0</v>
      </c>
      <c r="F154" s="10"/>
      <c r="G154" s="11" t="n">
        <f>7532713500</f>
        <v>7.5327135E9</v>
      </c>
      <c r="H154" s="10"/>
      <c r="I154" s="11" t="n">
        <f>2</f>
        <v>2.0</v>
      </c>
      <c r="J154" s="10"/>
      <c r="K154" s="11" t="n">
        <f>23144</f>
        <v>23144.0</v>
      </c>
    </row>
    <row r="155">
      <c r="A155" s="8" t="s">
        <v>46</v>
      </c>
      <c r="B155" s="9" t="s">
        <v>58</v>
      </c>
      <c r="C155" s="9" t="s">
        <v>59</v>
      </c>
      <c r="D155" s="10"/>
      <c r="E155" s="11" t="n">
        <f>3870</f>
        <v>3870.0</v>
      </c>
      <c r="F155" s="10"/>
      <c r="G155" s="11" t="n">
        <f>6161300500</f>
        <v>6.1613005E9</v>
      </c>
      <c r="H155" s="10"/>
      <c r="I155" s="11" t="str">
        <f>"－"</f>
        <v>－</v>
      </c>
      <c r="J155" s="10"/>
      <c r="K155" s="11" t="n">
        <f>23253</f>
        <v>23253.0</v>
      </c>
    </row>
    <row r="156">
      <c r="A156" s="8" t="s">
        <v>47</v>
      </c>
      <c r="B156" s="9" t="s">
        <v>58</v>
      </c>
      <c r="C156" s="9" t="s">
        <v>59</v>
      </c>
      <c r="D156" s="10"/>
      <c r="E156" s="11" t="n">
        <f>4296</f>
        <v>4296.0</v>
      </c>
      <c r="F156" s="10"/>
      <c r="G156" s="11" t="n">
        <f>6816731000</f>
        <v>6.816731E9</v>
      </c>
      <c r="H156" s="10"/>
      <c r="I156" s="11" t="str">
        <f>"－"</f>
        <v>－</v>
      </c>
      <c r="J156" s="10"/>
      <c r="K156" s="11" t="n">
        <f>23117</f>
        <v>23117.0</v>
      </c>
    </row>
    <row r="157">
      <c r="A157" s="8" t="s">
        <v>48</v>
      </c>
      <c r="B157" s="9" t="s">
        <v>58</v>
      </c>
      <c r="C157" s="9" t="s">
        <v>59</v>
      </c>
      <c r="D157" s="10"/>
      <c r="E157" s="11" t="n">
        <f>7484</f>
        <v>7484.0</v>
      </c>
      <c r="F157" s="10"/>
      <c r="G157" s="11" t="n">
        <f>11937783500</f>
        <v>1.19377835E10</v>
      </c>
      <c r="H157" s="10"/>
      <c r="I157" s="11" t="n">
        <f>4</f>
        <v>4.0</v>
      </c>
      <c r="J157" s="10"/>
      <c r="K157" s="11" t="n">
        <f>23384</f>
        <v>23384.0</v>
      </c>
    </row>
    <row r="158">
      <c r="A158" s="8" t="s">
        <v>49</v>
      </c>
      <c r="B158" s="9" t="s">
        <v>58</v>
      </c>
      <c r="C158" s="9" t="s">
        <v>59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50</v>
      </c>
      <c r="B159" s="9" t="s">
        <v>58</v>
      </c>
      <c r="C159" s="9" t="s">
        <v>59</v>
      </c>
      <c r="D159" s="10"/>
      <c r="E159" s="11"/>
      <c r="F159" s="10"/>
      <c r="G159" s="11"/>
      <c r="H159" s="10"/>
      <c r="I159" s="11"/>
      <c r="J159" s="10"/>
      <c r="K159" s="11"/>
    </row>
    <row r="160">
      <c r="A160" s="8" t="s">
        <v>51</v>
      </c>
      <c r="B160" s="9" t="s">
        <v>58</v>
      </c>
      <c r="C160" s="9" t="s">
        <v>59</v>
      </c>
      <c r="D160" s="10"/>
      <c r="E160" s="11" t="n">
        <f>4701</f>
        <v>4701.0</v>
      </c>
      <c r="F160" s="10"/>
      <c r="G160" s="11" t="n">
        <f>7493327000</f>
        <v>7.493327E9</v>
      </c>
      <c r="H160" s="10"/>
      <c r="I160" s="11" t="str">
        <f>"－"</f>
        <v>－</v>
      </c>
      <c r="J160" s="10" t="s">
        <v>32</v>
      </c>
      <c r="K160" s="11" t="n">
        <f>23879</f>
        <v>23879.0</v>
      </c>
    </row>
    <row r="161">
      <c r="A161" s="8" t="s">
        <v>16</v>
      </c>
      <c r="B161" s="9" t="s">
        <v>60</v>
      </c>
      <c r="C161" s="9" t="s">
        <v>61</v>
      </c>
      <c r="D161" s="10"/>
      <c r="E161" s="11"/>
      <c r="F161" s="10"/>
      <c r="G161" s="11"/>
      <c r="H161" s="10"/>
      <c r="I161" s="11"/>
      <c r="J161" s="10"/>
      <c r="K161" s="11"/>
    </row>
    <row r="162">
      <c r="A162" s="8" t="s">
        <v>19</v>
      </c>
      <c r="B162" s="9" t="s">
        <v>60</v>
      </c>
      <c r="C162" s="9" t="s">
        <v>61</v>
      </c>
      <c r="D162" s="10"/>
      <c r="E162" s="11"/>
      <c r="F162" s="10"/>
      <c r="G162" s="11"/>
      <c r="H162" s="10"/>
      <c r="I162" s="11"/>
      <c r="J162" s="10"/>
      <c r="K162" s="11"/>
    </row>
    <row r="163">
      <c r="A163" s="8" t="s">
        <v>20</v>
      </c>
      <c r="B163" s="9" t="s">
        <v>60</v>
      </c>
      <c r="C163" s="9" t="s">
        <v>61</v>
      </c>
      <c r="D163" s="10"/>
      <c r="E163" s="11" t="n">
        <f>465</f>
        <v>465.0</v>
      </c>
      <c r="F163" s="10"/>
      <c r="G163" s="11" t="n">
        <f>142393300</f>
        <v>1.423933E8</v>
      </c>
      <c r="H163" s="10" t="s">
        <v>21</v>
      </c>
      <c r="I163" s="11" t="str">
        <f>"－"</f>
        <v>－</v>
      </c>
      <c r="J163" s="10" t="s">
        <v>32</v>
      </c>
      <c r="K163" s="11" t="n">
        <f>2195</f>
        <v>2195.0</v>
      </c>
    </row>
    <row r="164">
      <c r="A164" s="8" t="s">
        <v>23</v>
      </c>
      <c r="B164" s="9" t="s">
        <v>60</v>
      </c>
      <c r="C164" s="9" t="s">
        <v>61</v>
      </c>
      <c r="D164" s="10" t="s">
        <v>22</v>
      </c>
      <c r="E164" s="11" t="n">
        <f>330</f>
        <v>330.0</v>
      </c>
      <c r="F164" s="10" t="s">
        <v>22</v>
      </c>
      <c r="G164" s="11" t="n">
        <f>102466100</f>
        <v>1.024661E8</v>
      </c>
      <c r="H164" s="10"/>
      <c r="I164" s="11" t="str">
        <f>"－"</f>
        <v>－</v>
      </c>
      <c r="J164" s="10"/>
      <c r="K164" s="11" t="n">
        <f>2154</f>
        <v>2154.0</v>
      </c>
    </row>
    <row r="165">
      <c r="A165" s="8" t="s">
        <v>24</v>
      </c>
      <c r="B165" s="9" t="s">
        <v>60</v>
      </c>
      <c r="C165" s="9" t="s">
        <v>61</v>
      </c>
      <c r="D165" s="10"/>
      <c r="E165" s="11" t="n">
        <f>615</f>
        <v>615.0</v>
      </c>
      <c r="F165" s="10"/>
      <c r="G165" s="11" t="n">
        <f>194157000</f>
        <v>1.94157E8</v>
      </c>
      <c r="H165" s="10"/>
      <c r="I165" s="11" t="str">
        <f>"－"</f>
        <v>－</v>
      </c>
      <c r="J165" s="10"/>
      <c r="K165" s="11" t="n">
        <f>2129</f>
        <v>2129.0</v>
      </c>
    </row>
    <row r="166">
      <c r="A166" s="8" t="s">
        <v>25</v>
      </c>
      <c r="B166" s="9" t="s">
        <v>60</v>
      </c>
      <c r="C166" s="9" t="s">
        <v>61</v>
      </c>
      <c r="D166" s="10"/>
      <c r="E166" s="11" t="n">
        <f>664</f>
        <v>664.0</v>
      </c>
      <c r="F166" s="10"/>
      <c r="G166" s="11" t="n">
        <f>216929800</f>
        <v>2.169298E8</v>
      </c>
      <c r="H166" s="10"/>
      <c r="I166" s="11" t="str">
        <f>"－"</f>
        <v>－</v>
      </c>
      <c r="J166" s="10"/>
      <c r="K166" s="11" t="n">
        <f>2159</f>
        <v>2159.0</v>
      </c>
    </row>
    <row r="167">
      <c r="A167" s="8" t="s">
        <v>26</v>
      </c>
      <c r="B167" s="9" t="s">
        <v>60</v>
      </c>
      <c r="C167" s="9" t="s">
        <v>61</v>
      </c>
      <c r="D167" s="10"/>
      <c r="E167" s="11" t="n">
        <f>1082</f>
        <v>1082.0</v>
      </c>
      <c r="F167" s="10"/>
      <c r="G167" s="11" t="n">
        <f>359531400</f>
        <v>3.595314E8</v>
      </c>
      <c r="H167" s="10"/>
      <c r="I167" s="11" t="str">
        <f>"－"</f>
        <v>－</v>
      </c>
      <c r="J167" s="10"/>
      <c r="K167" s="11" t="n">
        <f>2181</f>
        <v>2181.0</v>
      </c>
    </row>
    <row r="168">
      <c r="A168" s="8" t="s">
        <v>27</v>
      </c>
      <c r="B168" s="9" t="s">
        <v>60</v>
      </c>
      <c r="C168" s="9" t="s">
        <v>61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28</v>
      </c>
      <c r="B169" s="9" t="s">
        <v>60</v>
      </c>
      <c r="C169" s="9" t="s">
        <v>61</v>
      </c>
      <c r="D169" s="10"/>
      <c r="E169" s="11"/>
      <c r="F169" s="10"/>
      <c r="G169" s="11"/>
      <c r="H169" s="10"/>
      <c r="I169" s="11"/>
      <c r="J169" s="10"/>
      <c r="K169" s="11"/>
    </row>
    <row r="170">
      <c r="A170" s="8" t="s">
        <v>29</v>
      </c>
      <c r="B170" s="9" t="s">
        <v>60</v>
      </c>
      <c r="C170" s="9" t="s">
        <v>61</v>
      </c>
      <c r="D170" s="10"/>
      <c r="E170" s="11"/>
      <c r="F170" s="10"/>
      <c r="G170" s="11"/>
      <c r="H170" s="10"/>
      <c r="I170" s="11"/>
      <c r="J170" s="10"/>
      <c r="K170" s="11"/>
    </row>
    <row r="171">
      <c r="A171" s="8" t="s">
        <v>30</v>
      </c>
      <c r="B171" s="9" t="s">
        <v>60</v>
      </c>
      <c r="C171" s="9" t="s">
        <v>61</v>
      </c>
      <c r="D171" s="10"/>
      <c r="E171" s="11" t="n">
        <f>888</f>
        <v>888.0</v>
      </c>
      <c r="F171" s="10"/>
      <c r="G171" s="11" t="n">
        <f>291624400</f>
        <v>2.916244E8</v>
      </c>
      <c r="H171" s="10"/>
      <c r="I171" s="11" t="str">
        <f>"－"</f>
        <v>－</v>
      </c>
      <c r="J171" s="10"/>
      <c r="K171" s="11" t="n">
        <f>2125</f>
        <v>2125.0</v>
      </c>
    </row>
    <row r="172">
      <c r="A172" s="8" t="s">
        <v>31</v>
      </c>
      <c r="B172" s="9" t="s">
        <v>60</v>
      </c>
      <c r="C172" s="9" t="s">
        <v>61</v>
      </c>
      <c r="D172" s="10" t="s">
        <v>32</v>
      </c>
      <c r="E172" s="11" t="n">
        <f>1161</f>
        <v>1161.0</v>
      </c>
      <c r="F172" s="10" t="s">
        <v>32</v>
      </c>
      <c r="G172" s="11" t="n">
        <f>372881300</f>
        <v>3.728813E8</v>
      </c>
      <c r="H172" s="10"/>
      <c r="I172" s="11" t="str">
        <f>"－"</f>
        <v>－</v>
      </c>
      <c r="J172" s="10"/>
      <c r="K172" s="11" t="n">
        <f>2096</f>
        <v>2096.0</v>
      </c>
    </row>
    <row r="173">
      <c r="A173" s="8" t="s">
        <v>33</v>
      </c>
      <c r="B173" s="9" t="s">
        <v>60</v>
      </c>
      <c r="C173" s="9" t="s">
        <v>61</v>
      </c>
      <c r="D173" s="10"/>
      <c r="E173" s="11" t="n">
        <f>597</f>
        <v>597.0</v>
      </c>
      <c r="F173" s="10"/>
      <c r="G173" s="11" t="n">
        <f>191561600</f>
        <v>1.915616E8</v>
      </c>
      <c r="H173" s="10"/>
      <c r="I173" s="11" t="str">
        <f>"－"</f>
        <v>－</v>
      </c>
      <c r="J173" s="10"/>
      <c r="K173" s="11" t="n">
        <f>2018</f>
        <v>2018.0</v>
      </c>
    </row>
    <row r="174">
      <c r="A174" s="8" t="s">
        <v>34</v>
      </c>
      <c r="B174" s="9" t="s">
        <v>60</v>
      </c>
      <c r="C174" s="9" t="s">
        <v>61</v>
      </c>
      <c r="D174" s="10"/>
      <c r="E174" s="11" t="n">
        <f>608</f>
        <v>608.0</v>
      </c>
      <c r="F174" s="10"/>
      <c r="G174" s="11" t="n">
        <f>198294800</f>
        <v>1.982948E8</v>
      </c>
      <c r="H174" s="10"/>
      <c r="I174" s="11" t="str">
        <f>"－"</f>
        <v>－</v>
      </c>
      <c r="J174" s="10"/>
      <c r="K174" s="11" t="n">
        <f>1994</f>
        <v>1994.0</v>
      </c>
    </row>
    <row r="175">
      <c r="A175" s="8" t="s">
        <v>35</v>
      </c>
      <c r="B175" s="9" t="s">
        <v>60</v>
      </c>
      <c r="C175" s="9" t="s">
        <v>61</v>
      </c>
      <c r="D175" s="10"/>
      <c r="E175" s="11"/>
      <c r="F175" s="10"/>
      <c r="G175" s="11"/>
      <c r="H175" s="10"/>
      <c r="I175" s="11"/>
      <c r="J175" s="10"/>
      <c r="K175" s="11"/>
    </row>
    <row r="176">
      <c r="A176" s="8" t="s">
        <v>36</v>
      </c>
      <c r="B176" s="9" t="s">
        <v>60</v>
      </c>
      <c r="C176" s="9" t="s">
        <v>61</v>
      </c>
      <c r="D176" s="10"/>
      <c r="E176" s="11"/>
      <c r="F176" s="10"/>
      <c r="G176" s="11"/>
      <c r="H176" s="10"/>
      <c r="I176" s="11"/>
      <c r="J176" s="10"/>
      <c r="K176" s="11"/>
    </row>
    <row r="177">
      <c r="A177" s="8" t="s">
        <v>37</v>
      </c>
      <c r="B177" s="9" t="s">
        <v>60</v>
      </c>
      <c r="C177" s="9" t="s">
        <v>61</v>
      </c>
      <c r="D177" s="10"/>
      <c r="E177" s="11" t="n">
        <f>577</f>
        <v>577.0</v>
      </c>
      <c r="F177" s="10"/>
      <c r="G177" s="11" t="n">
        <f>186618100</f>
        <v>1.866181E8</v>
      </c>
      <c r="H177" s="10"/>
      <c r="I177" s="11" t="str">
        <f>"－"</f>
        <v>－</v>
      </c>
      <c r="J177" s="10"/>
      <c r="K177" s="11" t="n">
        <f>1977</f>
        <v>1977.0</v>
      </c>
    </row>
    <row r="178">
      <c r="A178" s="8" t="s">
        <v>38</v>
      </c>
      <c r="B178" s="9" t="s">
        <v>60</v>
      </c>
      <c r="C178" s="9" t="s">
        <v>61</v>
      </c>
      <c r="D178" s="10"/>
      <c r="E178" s="11" t="n">
        <f>506</f>
        <v>506.0</v>
      </c>
      <c r="F178" s="10"/>
      <c r="G178" s="11" t="n">
        <f>164518900</f>
        <v>1.645189E8</v>
      </c>
      <c r="H178" s="10"/>
      <c r="I178" s="11" t="str">
        <f>"－"</f>
        <v>－</v>
      </c>
      <c r="J178" s="10"/>
      <c r="K178" s="11" t="n">
        <f>2026</f>
        <v>2026.0</v>
      </c>
    </row>
    <row r="179">
      <c r="A179" s="8" t="s">
        <v>39</v>
      </c>
      <c r="B179" s="9" t="s">
        <v>60</v>
      </c>
      <c r="C179" s="9" t="s">
        <v>61</v>
      </c>
      <c r="D179" s="10"/>
      <c r="E179" s="11" t="n">
        <f>853</f>
        <v>853.0</v>
      </c>
      <c r="F179" s="10"/>
      <c r="G179" s="11" t="n">
        <f>279194100</f>
        <v>2.791941E8</v>
      </c>
      <c r="H179" s="10"/>
      <c r="I179" s="11" t="str">
        <f>"－"</f>
        <v>－</v>
      </c>
      <c r="J179" s="10"/>
      <c r="K179" s="11" t="n">
        <f>2036</f>
        <v>2036.0</v>
      </c>
    </row>
    <row r="180">
      <c r="A180" s="8" t="s">
        <v>40</v>
      </c>
      <c r="B180" s="9" t="s">
        <v>60</v>
      </c>
      <c r="C180" s="9" t="s">
        <v>61</v>
      </c>
      <c r="D180" s="10"/>
      <c r="E180" s="11" t="n">
        <f>653</f>
        <v>653.0</v>
      </c>
      <c r="F180" s="10"/>
      <c r="G180" s="11" t="n">
        <f>209416500</f>
        <v>2.094165E8</v>
      </c>
      <c r="H180" s="10"/>
      <c r="I180" s="11" t="str">
        <f>"－"</f>
        <v>－</v>
      </c>
      <c r="J180" s="10"/>
      <c r="K180" s="11" t="n">
        <f>2062</f>
        <v>2062.0</v>
      </c>
    </row>
    <row r="181">
      <c r="A181" s="8" t="s">
        <v>41</v>
      </c>
      <c r="B181" s="9" t="s">
        <v>60</v>
      </c>
      <c r="C181" s="9" t="s">
        <v>61</v>
      </c>
      <c r="D181" s="10"/>
      <c r="E181" s="11" t="n">
        <f>736</f>
        <v>736.0</v>
      </c>
      <c r="F181" s="10"/>
      <c r="G181" s="11" t="n">
        <f>231398100</f>
        <v>2.313981E8</v>
      </c>
      <c r="H181" s="10"/>
      <c r="I181" s="11" t="str">
        <f>"－"</f>
        <v>－</v>
      </c>
      <c r="J181" s="10"/>
      <c r="K181" s="11" t="n">
        <f>2053</f>
        <v>2053.0</v>
      </c>
    </row>
    <row r="182">
      <c r="A182" s="8" t="s">
        <v>42</v>
      </c>
      <c r="B182" s="9" t="s">
        <v>60</v>
      </c>
      <c r="C182" s="9" t="s">
        <v>61</v>
      </c>
      <c r="D182" s="10"/>
      <c r="E182" s="11"/>
      <c r="F182" s="10"/>
      <c r="G182" s="11"/>
      <c r="H182" s="10"/>
      <c r="I182" s="11"/>
      <c r="J182" s="10"/>
      <c r="K182" s="11"/>
    </row>
    <row r="183">
      <c r="A183" s="8" t="s">
        <v>43</v>
      </c>
      <c r="B183" s="9" t="s">
        <v>60</v>
      </c>
      <c r="C183" s="9" t="s">
        <v>61</v>
      </c>
      <c r="D183" s="10"/>
      <c r="E183" s="11"/>
      <c r="F183" s="10"/>
      <c r="G183" s="11"/>
      <c r="H183" s="10"/>
      <c r="I183" s="11"/>
      <c r="J183" s="10"/>
      <c r="K183" s="11"/>
    </row>
    <row r="184">
      <c r="A184" s="8" t="s">
        <v>44</v>
      </c>
      <c r="B184" s="9" t="s">
        <v>60</v>
      </c>
      <c r="C184" s="9" t="s">
        <v>61</v>
      </c>
      <c r="D184" s="10"/>
      <c r="E184" s="11" t="n">
        <f>755</f>
        <v>755.0</v>
      </c>
      <c r="F184" s="10"/>
      <c r="G184" s="11" t="n">
        <f>233584600</f>
        <v>2.335846E8</v>
      </c>
      <c r="H184" s="10"/>
      <c r="I184" s="11" t="str">
        <f>"－"</f>
        <v>－</v>
      </c>
      <c r="J184" s="10"/>
      <c r="K184" s="11" t="n">
        <f>2085</f>
        <v>2085.0</v>
      </c>
    </row>
    <row r="185">
      <c r="A185" s="8" t="s">
        <v>45</v>
      </c>
      <c r="B185" s="9" t="s">
        <v>60</v>
      </c>
      <c r="C185" s="9" t="s">
        <v>61</v>
      </c>
      <c r="D185" s="10"/>
      <c r="E185" s="11" t="n">
        <f>532</f>
        <v>532.0</v>
      </c>
      <c r="F185" s="10"/>
      <c r="G185" s="11" t="n">
        <f>168027600</f>
        <v>1.680276E8</v>
      </c>
      <c r="H185" s="10"/>
      <c r="I185" s="11" t="str">
        <f>"－"</f>
        <v>－</v>
      </c>
      <c r="J185" s="10"/>
      <c r="K185" s="11" t="n">
        <f>2071</f>
        <v>2071.0</v>
      </c>
    </row>
    <row r="186">
      <c r="A186" s="8" t="s">
        <v>46</v>
      </c>
      <c r="B186" s="9" t="s">
        <v>60</v>
      </c>
      <c r="C186" s="9" t="s">
        <v>61</v>
      </c>
      <c r="D186" s="10"/>
      <c r="E186" s="11" t="n">
        <f>420</f>
        <v>420.0</v>
      </c>
      <c r="F186" s="10"/>
      <c r="G186" s="11" t="n">
        <f>133675700</f>
        <v>1.336757E8</v>
      </c>
      <c r="H186" s="10"/>
      <c r="I186" s="11" t="str">
        <f>"－"</f>
        <v>－</v>
      </c>
      <c r="J186" s="10"/>
      <c r="K186" s="11" t="n">
        <f>2072</f>
        <v>2072.0</v>
      </c>
    </row>
    <row r="187">
      <c r="A187" s="8" t="s">
        <v>47</v>
      </c>
      <c r="B187" s="9" t="s">
        <v>60</v>
      </c>
      <c r="C187" s="9" t="s">
        <v>61</v>
      </c>
      <c r="D187" s="10"/>
      <c r="E187" s="11" t="n">
        <f>499</f>
        <v>499.0</v>
      </c>
      <c r="F187" s="10"/>
      <c r="G187" s="11" t="n">
        <f>158113400</f>
        <v>1.581134E8</v>
      </c>
      <c r="H187" s="10"/>
      <c r="I187" s="11" t="str">
        <f>"－"</f>
        <v>－</v>
      </c>
      <c r="J187" s="10" t="s">
        <v>22</v>
      </c>
      <c r="K187" s="11" t="n">
        <f>1961</f>
        <v>1961.0</v>
      </c>
    </row>
    <row r="188">
      <c r="A188" s="8" t="s">
        <v>48</v>
      </c>
      <c r="B188" s="9" t="s">
        <v>60</v>
      </c>
      <c r="C188" s="9" t="s">
        <v>61</v>
      </c>
      <c r="D188" s="10"/>
      <c r="E188" s="11" t="n">
        <f>617</f>
        <v>617.0</v>
      </c>
      <c r="F188" s="10"/>
      <c r="G188" s="11" t="n">
        <f>196552500</f>
        <v>1.965525E8</v>
      </c>
      <c r="H188" s="10"/>
      <c r="I188" s="11" t="str">
        <f>"－"</f>
        <v>－</v>
      </c>
      <c r="J188" s="10"/>
      <c r="K188" s="11" t="n">
        <f>1982</f>
        <v>1982.0</v>
      </c>
    </row>
    <row r="189">
      <c r="A189" s="8" t="s">
        <v>49</v>
      </c>
      <c r="B189" s="9" t="s">
        <v>60</v>
      </c>
      <c r="C189" s="9" t="s">
        <v>61</v>
      </c>
      <c r="D189" s="10"/>
      <c r="E189" s="11"/>
      <c r="F189" s="10"/>
      <c r="G189" s="11"/>
      <c r="H189" s="10"/>
      <c r="I189" s="11"/>
      <c r="J189" s="10"/>
      <c r="K189" s="11"/>
    </row>
    <row r="190">
      <c r="A190" s="8" t="s">
        <v>50</v>
      </c>
      <c r="B190" s="9" t="s">
        <v>60</v>
      </c>
      <c r="C190" s="9" t="s">
        <v>61</v>
      </c>
      <c r="D190" s="10"/>
      <c r="E190" s="11"/>
      <c r="F190" s="10"/>
      <c r="G190" s="11"/>
      <c r="H190" s="10"/>
      <c r="I190" s="11"/>
      <c r="J190" s="10"/>
      <c r="K190" s="11"/>
    </row>
    <row r="191">
      <c r="A191" s="8" t="s">
        <v>51</v>
      </c>
      <c r="B191" s="9" t="s">
        <v>60</v>
      </c>
      <c r="C191" s="9" t="s">
        <v>61</v>
      </c>
      <c r="D191" s="10"/>
      <c r="E191" s="11" t="n">
        <f>435</f>
        <v>435.0</v>
      </c>
      <c r="F191" s="10"/>
      <c r="G191" s="11" t="n">
        <f>138385300</f>
        <v>1.383853E8</v>
      </c>
      <c r="H191" s="10"/>
      <c r="I191" s="11" t="str">
        <f>"－"</f>
        <v>－</v>
      </c>
      <c r="J191" s="10"/>
      <c r="K191" s="11" t="n">
        <f>1994</f>
        <v>1994.0</v>
      </c>
    </row>
    <row r="192">
      <c r="A192" s="8" t="s">
        <v>16</v>
      </c>
      <c r="B192" s="9" t="s">
        <v>62</v>
      </c>
      <c r="C192" s="9" t="s">
        <v>63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19</v>
      </c>
      <c r="B193" s="9" t="s">
        <v>62</v>
      </c>
      <c r="C193" s="9" t="s">
        <v>63</v>
      </c>
      <c r="D193" s="10"/>
      <c r="E193" s="11"/>
      <c r="F193" s="10"/>
      <c r="G193" s="11"/>
      <c r="H193" s="10"/>
      <c r="I193" s="11"/>
      <c r="J193" s="10"/>
      <c r="K193" s="11"/>
    </row>
    <row r="194">
      <c r="A194" s="8" t="s">
        <v>20</v>
      </c>
      <c r="B194" s="9" t="s">
        <v>62</v>
      </c>
      <c r="C194" s="9" t="s">
        <v>63</v>
      </c>
      <c r="D194" s="10"/>
      <c r="E194" s="11" t="n">
        <f>257</f>
        <v>257.0</v>
      </c>
      <c r="F194" s="10"/>
      <c r="G194" s="11" t="n">
        <f>79232600</f>
        <v>7.92326E7</v>
      </c>
      <c r="H194" s="10" t="s">
        <v>21</v>
      </c>
      <c r="I194" s="11" t="str">
        <f>"－"</f>
        <v>－</v>
      </c>
      <c r="J194" s="10"/>
      <c r="K194" s="11" t="n">
        <f>11767</f>
        <v>11767.0</v>
      </c>
    </row>
    <row r="195">
      <c r="A195" s="8" t="s">
        <v>23</v>
      </c>
      <c r="B195" s="9" t="s">
        <v>62</v>
      </c>
      <c r="C195" s="9" t="s">
        <v>63</v>
      </c>
      <c r="D195" s="10"/>
      <c r="E195" s="11" t="n">
        <f>152</f>
        <v>152.0</v>
      </c>
      <c r="F195" s="10"/>
      <c r="G195" s="11" t="n">
        <f>47700700</f>
        <v>4.77007E7</v>
      </c>
      <c r="H195" s="10"/>
      <c r="I195" s="11" t="str">
        <f>"－"</f>
        <v>－</v>
      </c>
      <c r="J195" s="10"/>
      <c r="K195" s="11" t="n">
        <f>11799</f>
        <v>11799.0</v>
      </c>
    </row>
    <row r="196">
      <c r="A196" s="8" t="s">
        <v>24</v>
      </c>
      <c r="B196" s="9" t="s">
        <v>62</v>
      </c>
      <c r="C196" s="9" t="s">
        <v>63</v>
      </c>
      <c r="D196" s="10"/>
      <c r="E196" s="11" t="n">
        <f>255</f>
        <v>255.0</v>
      </c>
      <c r="F196" s="10"/>
      <c r="G196" s="11" t="n">
        <f>81213900</f>
        <v>8.12139E7</v>
      </c>
      <c r="H196" s="10"/>
      <c r="I196" s="11" t="str">
        <f>"－"</f>
        <v>－</v>
      </c>
      <c r="J196" s="10"/>
      <c r="K196" s="11" t="n">
        <f>11769</f>
        <v>11769.0</v>
      </c>
    </row>
    <row r="197">
      <c r="A197" s="8" t="s">
        <v>25</v>
      </c>
      <c r="B197" s="9" t="s">
        <v>62</v>
      </c>
      <c r="C197" s="9" t="s">
        <v>63</v>
      </c>
      <c r="D197" s="10" t="s">
        <v>32</v>
      </c>
      <c r="E197" s="11" t="n">
        <f>964</f>
        <v>964.0</v>
      </c>
      <c r="F197" s="10" t="s">
        <v>32</v>
      </c>
      <c r="G197" s="11" t="n">
        <f>315789900</f>
        <v>3.157899E8</v>
      </c>
      <c r="H197" s="10"/>
      <c r="I197" s="11" t="str">
        <f>"－"</f>
        <v>－</v>
      </c>
      <c r="J197" s="10"/>
      <c r="K197" s="11" t="n">
        <f>11781</f>
        <v>11781.0</v>
      </c>
    </row>
    <row r="198">
      <c r="A198" s="8" t="s">
        <v>26</v>
      </c>
      <c r="B198" s="9" t="s">
        <v>62</v>
      </c>
      <c r="C198" s="9" t="s">
        <v>63</v>
      </c>
      <c r="D198" s="10"/>
      <c r="E198" s="11" t="n">
        <f>762</f>
        <v>762.0</v>
      </c>
      <c r="F198" s="10"/>
      <c r="G198" s="11" t="n">
        <f>253774600</f>
        <v>2.537746E8</v>
      </c>
      <c r="H198" s="10"/>
      <c r="I198" s="11" t="str">
        <f>"－"</f>
        <v>－</v>
      </c>
      <c r="J198" s="10"/>
      <c r="K198" s="11" t="n">
        <f>11790</f>
        <v>11790.0</v>
      </c>
    </row>
    <row r="199">
      <c r="A199" s="8" t="s">
        <v>27</v>
      </c>
      <c r="B199" s="9" t="s">
        <v>62</v>
      </c>
      <c r="C199" s="9" t="s">
        <v>63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28</v>
      </c>
      <c r="B200" s="9" t="s">
        <v>62</v>
      </c>
      <c r="C200" s="9" t="s">
        <v>63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29</v>
      </c>
      <c r="B201" s="9" t="s">
        <v>62</v>
      </c>
      <c r="C201" s="9" t="s">
        <v>63</v>
      </c>
      <c r="D201" s="10"/>
      <c r="E201" s="11"/>
      <c r="F201" s="10"/>
      <c r="G201" s="11"/>
      <c r="H201" s="10"/>
      <c r="I201" s="11"/>
      <c r="J201" s="10"/>
      <c r="K201" s="11"/>
    </row>
    <row r="202">
      <c r="A202" s="8" t="s">
        <v>30</v>
      </c>
      <c r="B202" s="9" t="s">
        <v>62</v>
      </c>
      <c r="C202" s="9" t="s">
        <v>63</v>
      </c>
      <c r="D202" s="10"/>
      <c r="E202" s="11" t="n">
        <f>310</f>
        <v>310.0</v>
      </c>
      <c r="F202" s="10"/>
      <c r="G202" s="11" t="n">
        <f>102140500</f>
        <v>1.021405E8</v>
      </c>
      <c r="H202" s="10"/>
      <c r="I202" s="11" t="str">
        <f>"－"</f>
        <v>－</v>
      </c>
      <c r="J202" s="10"/>
      <c r="K202" s="11" t="n">
        <f>11766</f>
        <v>11766.0</v>
      </c>
    </row>
    <row r="203">
      <c r="A203" s="8" t="s">
        <v>31</v>
      </c>
      <c r="B203" s="9" t="s">
        <v>62</v>
      </c>
      <c r="C203" s="9" t="s">
        <v>63</v>
      </c>
      <c r="D203" s="10"/>
      <c r="E203" s="11" t="n">
        <f>625</f>
        <v>625.0</v>
      </c>
      <c r="F203" s="10"/>
      <c r="G203" s="11" t="n">
        <f>199938400</f>
        <v>1.999384E8</v>
      </c>
      <c r="H203" s="10"/>
      <c r="I203" s="11" t="str">
        <f>"－"</f>
        <v>－</v>
      </c>
      <c r="J203" s="10"/>
      <c r="K203" s="11" t="n">
        <f>11684</f>
        <v>11684.0</v>
      </c>
    </row>
    <row r="204">
      <c r="A204" s="8" t="s">
        <v>33</v>
      </c>
      <c r="B204" s="9" t="s">
        <v>62</v>
      </c>
      <c r="C204" s="9" t="s">
        <v>63</v>
      </c>
      <c r="D204" s="10"/>
      <c r="E204" s="11" t="n">
        <f>393</f>
        <v>393.0</v>
      </c>
      <c r="F204" s="10"/>
      <c r="G204" s="11" t="n">
        <f>126385600</f>
        <v>1.263856E8</v>
      </c>
      <c r="H204" s="10"/>
      <c r="I204" s="11" t="str">
        <f>"－"</f>
        <v>－</v>
      </c>
      <c r="J204" s="10"/>
      <c r="K204" s="11" t="n">
        <f>11633</f>
        <v>11633.0</v>
      </c>
    </row>
    <row r="205">
      <c r="A205" s="8" t="s">
        <v>34</v>
      </c>
      <c r="B205" s="9" t="s">
        <v>62</v>
      </c>
      <c r="C205" s="9" t="s">
        <v>63</v>
      </c>
      <c r="D205" s="10"/>
      <c r="E205" s="11" t="n">
        <f>269</f>
        <v>269.0</v>
      </c>
      <c r="F205" s="10"/>
      <c r="G205" s="11" t="n">
        <f>88341400</f>
        <v>8.83414E7</v>
      </c>
      <c r="H205" s="10"/>
      <c r="I205" s="11" t="str">
        <f>"－"</f>
        <v>－</v>
      </c>
      <c r="J205" s="10"/>
      <c r="K205" s="11" t="n">
        <f>11607</f>
        <v>11607.0</v>
      </c>
    </row>
    <row r="206">
      <c r="A206" s="8" t="s">
        <v>35</v>
      </c>
      <c r="B206" s="9" t="s">
        <v>62</v>
      </c>
      <c r="C206" s="9" t="s">
        <v>63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36</v>
      </c>
      <c r="B207" s="9" t="s">
        <v>62</v>
      </c>
      <c r="C207" s="9" t="s">
        <v>63</v>
      </c>
      <c r="D207" s="10"/>
      <c r="E207" s="11"/>
      <c r="F207" s="10"/>
      <c r="G207" s="11"/>
      <c r="H207" s="10"/>
      <c r="I207" s="11"/>
      <c r="J207" s="10"/>
      <c r="K207" s="11"/>
    </row>
    <row r="208">
      <c r="A208" s="8" t="s">
        <v>37</v>
      </c>
      <c r="B208" s="9" t="s">
        <v>62</v>
      </c>
      <c r="C208" s="9" t="s">
        <v>63</v>
      </c>
      <c r="D208" s="10"/>
      <c r="E208" s="11" t="n">
        <f>174</f>
        <v>174.0</v>
      </c>
      <c r="F208" s="10"/>
      <c r="G208" s="11" t="n">
        <f>56597500</f>
        <v>5.65975E7</v>
      </c>
      <c r="H208" s="10"/>
      <c r="I208" s="11" t="str">
        <f>"－"</f>
        <v>－</v>
      </c>
      <c r="J208" s="10" t="s">
        <v>22</v>
      </c>
      <c r="K208" s="11" t="n">
        <f>11553</f>
        <v>11553.0</v>
      </c>
    </row>
    <row r="209">
      <c r="A209" s="8" t="s">
        <v>38</v>
      </c>
      <c r="B209" s="9" t="s">
        <v>62</v>
      </c>
      <c r="C209" s="9" t="s">
        <v>63</v>
      </c>
      <c r="D209" s="10"/>
      <c r="E209" s="11" t="n">
        <f>223</f>
        <v>223.0</v>
      </c>
      <c r="F209" s="10"/>
      <c r="G209" s="11" t="n">
        <f>72938600</f>
        <v>7.29386E7</v>
      </c>
      <c r="H209" s="10"/>
      <c r="I209" s="11" t="str">
        <f>"－"</f>
        <v>－</v>
      </c>
      <c r="J209" s="10"/>
      <c r="K209" s="11" t="n">
        <f>11597</f>
        <v>11597.0</v>
      </c>
    </row>
    <row r="210">
      <c r="A210" s="8" t="s">
        <v>39</v>
      </c>
      <c r="B210" s="9" t="s">
        <v>62</v>
      </c>
      <c r="C210" s="9" t="s">
        <v>63</v>
      </c>
      <c r="D210" s="10"/>
      <c r="E210" s="11" t="n">
        <f>409</f>
        <v>409.0</v>
      </c>
      <c r="F210" s="10"/>
      <c r="G210" s="11" t="n">
        <f>134219900</f>
        <v>1.342199E8</v>
      </c>
      <c r="H210" s="10"/>
      <c r="I210" s="11" t="str">
        <f>"－"</f>
        <v>－</v>
      </c>
      <c r="J210" s="10"/>
      <c r="K210" s="11" t="n">
        <f>11621</f>
        <v>11621.0</v>
      </c>
    </row>
    <row r="211">
      <c r="A211" s="8" t="s">
        <v>40</v>
      </c>
      <c r="B211" s="9" t="s">
        <v>62</v>
      </c>
      <c r="C211" s="9" t="s">
        <v>63</v>
      </c>
      <c r="D211" s="10"/>
      <c r="E211" s="11" t="n">
        <f>270</f>
        <v>270.0</v>
      </c>
      <c r="F211" s="10"/>
      <c r="G211" s="11" t="n">
        <f>86916700</f>
        <v>8.69167E7</v>
      </c>
      <c r="H211" s="10"/>
      <c r="I211" s="11" t="str">
        <f>"－"</f>
        <v>－</v>
      </c>
      <c r="J211" s="10"/>
      <c r="K211" s="11" t="n">
        <f>11646</f>
        <v>11646.0</v>
      </c>
    </row>
    <row r="212">
      <c r="A212" s="8" t="s">
        <v>41</v>
      </c>
      <c r="B212" s="9" t="s">
        <v>62</v>
      </c>
      <c r="C212" s="9" t="s">
        <v>63</v>
      </c>
      <c r="D212" s="10"/>
      <c r="E212" s="11" t="n">
        <f>365</f>
        <v>365.0</v>
      </c>
      <c r="F212" s="10"/>
      <c r="G212" s="11" t="n">
        <f>115945500</f>
        <v>1.159455E8</v>
      </c>
      <c r="H212" s="10"/>
      <c r="I212" s="11" t="str">
        <f>"－"</f>
        <v>－</v>
      </c>
      <c r="J212" s="10"/>
      <c r="K212" s="11" t="n">
        <f>11660</f>
        <v>11660.0</v>
      </c>
    </row>
    <row r="213">
      <c r="A213" s="8" t="s">
        <v>42</v>
      </c>
      <c r="B213" s="9" t="s">
        <v>62</v>
      </c>
      <c r="C213" s="9" t="s">
        <v>63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43</v>
      </c>
      <c r="B214" s="9" t="s">
        <v>62</v>
      </c>
      <c r="C214" s="9" t="s">
        <v>63</v>
      </c>
      <c r="D214" s="10"/>
      <c r="E214" s="11"/>
      <c r="F214" s="10"/>
      <c r="G214" s="11"/>
      <c r="H214" s="10"/>
      <c r="I214" s="11"/>
      <c r="J214" s="10"/>
      <c r="K214" s="11"/>
    </row>
    <row r="215">
      <c r="A215" s="8" t="s">
        <v>44</v>
      </c>
      <c r="B215" s="9" t="s">
        <v>62</v>
      </c>
      <c r="C215" s="9" t="s">
        <v>63</v>
      </c>
      <c r="D215" s="10"/>
      <c r="E215" s="11" t="n">
        <f>259</f>
        <v>259.0</v>
      </c>
      <c r="F215" s="10"/>
      <c r="G215" s="11" t="n">
        <f>80821700</f>
        <v>8.08217E7</v>
      </c>
      <c r="H215" s="10"/>
      <c r="I215" s="11" t="str">
        <f>"－"</f>
        <v>－</v>
      </c>
      <c r="J215" s="10"/>
      <c r="K215" s="11" t="n">
        <f>11635</f>
        <v>11635.0</v>
      </c>
    </row>
    <row r="216">
      <c r="A216" s="8" t="s">
        <v>45</v>
      </c>
      <c r="B216" s="9" t="s">
        <v>62</v>
      </c>
      <c r="C216" s="9" t="s">
        <v>63</v>
      </c>
      <c r="D216" s="10" t="s">
        <v>22</v>
      </c>
      <c r="E216" s="11" t="n">
        <f>110</f>
        <v>110.0</v>
      </c>
      <c r="F216" s="10" t="s">
        <v>22</v>
      </c>
      <c r="G216" s="11" t="n">
        <f>35039500</f>
        <v>3.50395E7</v>
      </c>
      <c r="H216" s="10"/>
      <c r="I216" s="11" t="str">
        <f>"－"</f>
        <v>－</v>
      </c>
      <c r="J216" s="10"/>
      <c r="K216" s="11" t="n">
        <f>11659</f>
        <v>11659.0</v>
      </c>
    </row>
    <row r="217">
      <c r="A217" s="8" t="s">
        <v>46</v>
      </c>
      <c r="B217" s="9" t="s">
        <v>62</v>
      </c>
      <c r="C217" s="9" t="s">
        <v>63</v>
      </c>
      <c r="D217" s="10"/>
      <c r="E217" s="11" t="n">
        <f>589</f>
        <v>589.0</v>
      </c>
      <c r="F217" s="10"/>
      <c r="G217" s="11" t="n">
        <f>188674000</f>
        <v>1.88674E8</v>
      </c>
      <c r="H217" s="10"/>
      <c r="I217" s="11" t="str">
        <f>"－"</f>
        <v>－</v>
      </c>
      <c r="J217" s="10" t="s">
        <v>32</v>
      </c>
      <c r="K217" s="11" t="n">
        <f>11815</f>
        <v>11815.0</v>
      </c>
    </row>
    <row r="218">
      <c r="A218" s="8" t="s">
        <v>47</v>
      </c>
      <c r="B218" s="9" t="s">
        <v>62</v>
      </c>
      <c r="C218" s="9" t="s">
        <v>63</v>
      </c>
      <c r="D218" s="10"/>
      <c r="E218" s="11" t="n">
        <f>273</f>
        <v>273.0</v>
      </c>
      <c r="F218" s="10"/>
      <c r="G218" s="11" t="n">
        <f>86945800</f>
        <v>8.69458E7</v>
      </c>
      <c r="H218" s="10"/>
      <c r="I218" s="11" t="str">
        <f>"－"</f>
        <v>－</v>
      </c>
      <c r="J218" s="10"/>
      <c r="K218" s="11" t="n">
        <f>11764</f>
        <v>11764.0</v>
      </c>
    </row>
    <row r="219">
      <c r="A219" s="8" t="s">
        <v>48</v>
      </c>
      <c r="B219" s="9" t="s">
        <v>62</v>
      </c>
      <c r="C219" s="9" t="s">
        <v>63</v>
      </c>
      <c r="D219" s="10"/>
      <c r="E219" s="11" t="n">
        <f>678</f>
        <v>678.0</v>
      </c>
      <c r="F219" s="10"/>
      <c r="G219" s="11" t="n">
        <f>218829200</f>
        <v>2.188292E8</v>
      </c>
      <c r="H219" s="10"/>
      <c r="I219" s="11" t="str">
        <f>"－"</f>
        <v>－</v>
      </c>
      <c r="J219" s="10"/>
      <c r="K219" s="11" t="n">
        <f>11686</f>
        <v>11686.0</v>
      </c>
    </row>
    <row r="220">
      <c r="A220" s="8" t="s">
        <v>49</v>
      </c>
      <c r="B220" s="9" t="s">
        <v>62</v>
      </c>
      <c r="C220" s="9" t="s">
        <v>63</v>
      </c>
      <c r="D220" s="10"/>
      <c r="E220" s="11"/>
      <c r="F220" s="10"/>
      <c r="G220" s="11"/>
      <c r="H220" s="10"/>
      <c r="I220" s="11"/>
      <c r="J220" s="10"/>
      <c r="K220" s="11"/>
    </row>
    <row r="221">
      <c r="A221" s="8" t="s">
        <v>50</v>
      </c>
      <c r="B221" s="9" t="s">
        <v>62</v>
      </c>
      <c r="C221" s="9" t="s">
        <v>63</v>
      </c>
      <c r="D221" s="10"/>
      <c r="E221" s="11"/>
      <c r="F221" s="10"/>
      <c r="G221" s="11"/>
      <c r="H221" s="10"/>
      <c r="I221" s="11"/>
      <c r="J221" s="10"/>
      <c r="K221" s="11"/>
    </row>
    <row r="222">
      <c r="A222" s="8" t="s">
        <v>51</v>
      </c>
      <c r="B222" s="9" t="s">
        <v>62</v>
      </c>
      <c r="C222" s="9" t="s">
        <v>63</v>
      </c>
      <c r="D222" s="10"/>
      <c r="E222" s="11" t="n">
        <f>148</f>
        <v>148.0</v>
      </c>
      <c r="F222" s="10"/>
      <c r="G222" s="11" t="n">
        <f>46939600</f>
        <v>4.69396E7</v>
      </c>
      <c r="H222" s="10"/>
      <c r="I222" s="11" t="str">
        <f>"－"</f>
        <v>－</v>
      </c>
      <c r="J222" s="10"/>
      <c r="K222" s="11" t="n">
        <f>11660</f>
        <v>11660.0</v>
      </c>
    </row>
    <row r="223">
      <c r="A223" s="8" t="s">
        <v>16</v>
      </c>
      <c r="B223" s="9" t="s">
        <v>64</v>
      </c>
      <c r="C223" s="9" t="s">
        <v>65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19</v>
      </c>
      <c r="B224" s="9" t="s">
        <v>64</v>
      </c>
      <c r="C224" s="9" t="s">
        <v>65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20</v>
      </c>
      <c r="B225" s="9" t="s">
        <v>64</v>
      </c>
      <c r="C225" s="9" t="s">
        <v>65</v>
      </c>
      <c r="D225" s="10"/>
      <c r="E225" s="11" t="n">
        <f>6</f>
        <v>6.0</v>
      </c>
      <c r="F225" s="10"/>
      <c r="G225" s="11" t="n">
        <f>20947500</f>
        <v>2.09475E7</v>
      </c>
      <c r="H225" s="10" t="s">
        <v>21</v>
      </c>
      <c r="I225" s="11" t="str">
        <f>"－"</f>
        <v>－</v>
      </c>
      <c r="J225" s="10" t="s">
        <v>32</v>
      </c>
      <c r="K225" s="11" t="n">
        <f>524</f>
        <v>524.0</v>
      </c>
    </row>
    <row r="226">
      <c r="A226" s="8" t="s">
        <v>23</v>
      </c>
      <c r="B226" s="9" t="s">
        <v>64</v>
      </c>
      <c r="C226" s="9" t="s">
        <v>65</v>
      </c>
      <c r="D226" s="10"/>
      <c r="E226" s="11" t="n">
        <f>15</f>
        <v>15.0</v>
      </c>
      <c r="F226" s="10"/>
      <c r="G226" s="11" t="n">
        <f>52937500</f>
        <v>5.29375E7</v>
      </c>
      <c r="H226" s="10"/>
      <c r="I226" s="11" t="str">
        <f>"－"</f>
        <v>－</v>
      </c>
      <c r="J226" s="10"/>
      <c r="K226" s="11" t="n">
        <f>521</f>
        <v>521.0</v>
      </c>
    </row>
    <row r="227">
      <c r="A227" s="8" t="s">
        <v>24</v>
      </c>
      <c r="B227" s="9" t="s">
        <v>64</v>
      </c>
      <c r="C227" s="9" t="s">
        <v>65</v>
      </c>
      <c r="D227" s="10"/>
      <c r="E227" s="11" t="n">
        <f>11</f>
        <v>11.0</v>
      </c>
      <c r="F227" s="10"/>
      <c r="G227" s="11" t="n">
        <f>39085500</f>
        <v>3.90855E7</v>
      </c>
      <c r="H227" s="10"/>
      <c r="I227" s="11" t="str">
        <f>"－"</f>
        <v>－</v>
      </c>
      <c r="J227" s="10"/>
      <c r="K227" s="11" t="n">
        <f>517</f>
        <v>517.0</v>
      </c>
    </row>
    <row r="228">
      <c r="A228" s="8" t="s">
        <v>25</v>
      </c>
      <c r="B228" s="9" t="s">
        <v>64</v>
      </c>
      <c r="C228" s="9" t="s">
        <v>65</v>
      </c>
      <c r="D228" s="10"/>
      <c r="E228" s="11" t="n">
        <f>24</f>
        <v>24.0</v>
      </c>
      <c r="F228" s="10"/>
      <c r="G228" s="11" t="n">
        <f>87197000</f>
        <v>8.7197E7</v>
      </c>
      <c r="H228" s="10"/>
      <c r="I228" s="11" t="str">
        <f>"－"</f>
        <v>－</v>
      </c>
      <c r="J228" s="10"/>
      <c r="K228" s="11" t="n">
        <f>516</f>
        <v>516.0</v>
      </c>
    </row>
    <row r="229">
      <c r="A229" s="8" t="s">
        <v>26</v>
      </c>
      <c r="B229" s="9" t="s">
        <v>64</v>
      </c>
      <c r="C229" s="9" t="s">
        <v>65</v>
      </c>
      <c r="D229" s="10"/>
      <c r="E229" s="11" t="n">
        <f>9</f>
        <v>9.0</v>
      </c>
      <c r="F229" s="10"/>
      <c r="G229" s="11" t="n">
        <f>33216500</f>
        <v>3.32165E7</v>
      </c>
      <c r="H229" s="10"/>
      <c r="I229" s="11" t="str">
        <f>"－"</f>
        <v>－</v>
      </c>
      <c r="J229" s="10"/>
      <c r="K229" s="11" t="n">
        <f>515</f>
        <v>515.0</v>
      </c>
    </row>
    <row r="230">
      <c r="A230" s="8" t="s">
        <v>27</v>
      </c>
      <c r="B230" s="9" t="s">
        <v>64</v>
      </c>
      <c r="C230" s="9" t="s">
        <v>65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28</v>
      </c>
      <c r="B231" s="9" t="s">
        <v>64</v>
      </c>
      <c r="C231" s="9" t="s">
        <v>65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29</v>
      </c>
      <c r="B232" s="9" t="s">
        <v>64</v>
      </c>
      <c r="C232" s="9" t="s">
        <v>65</v>
      </c>
      <c r="D232" s="10"/>
      <c r="E232" s="11"/>
      <c r="F232" s="10"/>
      <c r="G232" s="11"/>
      <c r="H232" s="10"/>
      <c r="I232" s="11"/>
      <c r="J232" s="10"/>
      <c r="K232" s="11"/>
    </row>
    <row r="233">
      <c r="A233" s="8" t="s">
        <v>30</v>
      </c>
      <c r="B233" s="9" t="s">
        <v>64</v>
      </c>
      <c r="C233" s="9" t="s">
        <v>65</v>
      </c>
      <c r="D233" s="10"/>
      <c r="E233" s="11" t="n">
        <f>18</f>
        <v>18.0</v>
      </c>
      <c r="F233" s="10"/>
      <c r="G233" s="11" t="n">
        <f>67188500</f>
        <v>6.71885E7</v>
      </c>
      <c r="H233" s="10"/>
      <c r="I233" s="11" t="str">
        <f>"－"</f>
        <v>－</v>
      </c>
      <c r="J233" s="10"/>
      <c r="K233" s="11" t="n">
        <f>518</f>
        <v>518.0</v>
      </c>
    </row>
    <row r="234">
      <c r="A234" s="8" t="s">
        <v>31</v>
      </c>
      <c r="B234" s="9" t="s">
        <v>64</v>
      </c>
      <c r="C234" s="9" t="s">
        <v>65</v>
      </c>
      <c r="D234" s="10" t="s">
        <v>32</v>
      </c>
      <c r="E234" s="11" t="n">
        <f>30</f>
        <v>30.0</v>
      </c>
      <c r="F234" s="10" t="s">
        <v>32</v>
      </c>
      <c r="G234" s="11" t="n">
        <f>106516500</f>
        <v>1.065165E8</v>
      </c>
      <c r="H234" s="10"/>
      <c r="I234" s="11" t="str">
        <f>"－"</f>
        <v>－</v>
      </c>
      <c r="J234" s="10"/>
      <c r="K234" s="11" t="n">
        <f>516</f>
        <v>516.0</v>
      </c>
    </row>
    <row r="235">
      <c r="A235" s="8" t="s">
        <v>33</v>
      </c>
      <c r="B235" s="9" t="s">
        <v>64</v>
      </c>
      <c r="C235" s="9" t="s">
        <v>65</v>
      </c>
      <c r="D235" s="10"/>
      <c r="E235" s="11" t="n">
        <f>3</f>
        <v>3.0</v>
      </c>
      <c r="F235" s="10"/>
      <c r="G235" s="11" t="n">
        <f>10950000</f>
        <v>1.095E7</v>
      </c>
      <c r="H235" s="10"/>
      <c r="I235" s="11" t="str">
        <f>"－"</f>
        <v>－</v>
      </c>
      <c r="J235" s="10"/>
      <c r="K235" s="11" t="n">
        <f>516</f>
        <v>516.0</v>
      </c>
    </row>
    <row r="236">
      <c r="A236" s="8" t="s">
        <v>34</v>
      </c>
      <c r="B236" s="9" t="s">
        <v>64</v>
      </c>
      <c r="C236" s="9" t="s">
        <v>65</v>
      </c>
      <c r="D236" s="10"/>
      <c r="E236" s="11" t="n">
        <f>16</f>
        <v>16.0</v>
      </c>
      <c r="F236" s="10"/>
      <c r="G236" s="11" t="n">
        <f>59061000</f>
        <v>5.9061E7</v>
      </c>
      <c r="H236" s="10"/>
      <c r="I236" s="11" t="str">
        <f>"－"</f>
        <v>－</v>
      </c>
      <c r="J236" s="10"/>
      <c r="K236" s="11" t="n">
        <f>510</f>
        <v>510.0</v>
      </c>
    </row>
    <row r="237">
      <c r="A237" s="8" t="s">
        <v>35</v>
      </c>
      <c r="B237" s="9" t="s">
        <v>64</v>
      </c>
      <c r="C237" s="9" t="s">
        <v>65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36</v>
      </c>
      <c r="B238" s="9" t="s">
        <v>64</v>
      </c>
      <c r="C238" s="9" t="s">
        <v>65</v>
      </c>
      <c r="D238" s="10"/>
      <c r="E238" s="11"/>
      <c r="F238" s="10"/>
      <c r="G238" s="11"/>
      <c r="H238" s="10"/>
      <c r="I238" s="11"/>
      <c r="J238" s="10"/>
      <c r="K238" s="11"/>
    </row>
    <row r="239">
      <c r="A239" s="8" t="s">
        <v>37</v>
      </c>
      <c r="B239" s="9" t="s">
        <v>64</v>
      </c>
      <c r="C239" s="9" t="s">
        <v>65</v>
      </c>
      <c r="D239" s="10"/>
      <c r="E239" s="11" t="n">
        <f>5</f>
        <v>5.0</v>
      </c>
      <c r="F239" s="10"/>
      <c r="G239" s="11" t="n">
        <f>19272500</f>
        <v>1.92725E7</v>
      </c>
      <c r="H239" s="10"/>
      <c r="I239" s="11" t="str">
        <f>"－"</f>
        <v>－</v>
      </c>
      <c r="J239" s="10"/>
      <c r="K239" s="11" t="n">
        <f>509</f>
        <v>509.0</v>
      </c>
    </row>
    <row r="240">
      <c r="A240" s="8" t="s">
        <v>38</v>
      </c>
      <c r="B240" s="9" t="s">
        <v>64</v>
      </c>
      <c r="C240" s="9" t="s">
        <v>65</v>
      </c>
      <c r="D240" s="10"/>
      <c r="E240" s="11" t="n">
        <f>11</f>
        <v>11.0</v>
      </c>
      <c r="F240" s="10"/>
      <c r="G240" s="11" t="n">
        <f>40306000</f>
        <v>4.0306E7</v>
      </c>
      <c r="H240" s="10"/>
      <c r="I240" s="11" t="str">
        <f>"－"</f>
        <v>－</v>
      </c>
      <c r="J240" s="10"/>
      <c r="K240" s="11" t="n">
        <f>508</f>
        <v>508.0</v>
      </c>
    </row>
    <row r="241">
      <c r="A241" s="8" t="s">
        <v>39</v>
      </c>
      <c r="B241" s="9" t="s">
        <v>64</v>
      </c>
      <c r="C241" s="9" t="s">
        <v>65</v>
      </c>
      <c r="D241" s="10" t="s">
        <v>22</v>
      </c>
      <c r="E241" s="11" t="n">
        <f>1</f>
        <v>1.0</v>
      </c>
      <c r="F241" s="10" t="s">
        <v>22</v>
      </c>
      <c r="G241" s="11" t="n">
        <f>3662500</f>
        <v>3662500.0</v>
      </c>
      <c r="H241" s="10"/>
      <c r="I241" s="11" t="str">
        <f>"－"</f>
        <v>－</v>
      </c>
      <c r="J241" s="10"/>
      <c r="K241" s="11" t="n">
        <f>508</f>
        <v>508.0</v>
      </c>
    </row>
    <row r="242">
      <c r="A242" s="8" t="s">
        <v>40</v>
      </c>
      <c r="B242" s="9" t="s">
        <v>64</v>
      </c>
      <c r="C242" s="9" t="s">
        <v>65</v>
      </c>
      <c r="D242" s="10"/>
      <c r="E242" s="11" t="n">
        <f>12</f>
        <v>12.0</v>
      </c>
      <c r="F242" s="10"/>
      <c r="G242" s="11" t="n">
        <f>44201000</f>
        <v>4.4201E7</v>
      </c>
      <c r="H242" s="10"/>
      <c r="I242" s="11" t="str">
        <f>"－"</f>
        <v>－</v>
      </c>
      <c r="J242" s="10"/>
      <c r="K242" s="11" t="n">
        <f>515</f>
        <v>515.0</v>
      </c>
    </row>
    <row r="243">
      <c r="A243" s="8" t="s">
        <v>41</v>
      </c>
      <c r="B243" s="9" t="s">
        <v>64</v>
      </c>
      <c r="C243" s="9" t="s">
        <v>65</v>
      </c>
      <c r="D243" s="10"/>
      <c r="E243" s="11" t="n">
        <f>6</f>
        <v>6.0</v>
      </c>
      <c r="F243" s="10"/>
      <c r="G243" s="11" t="n">
        <f>22173500</f>
        <v>2.21735E7</v>
      </c>
      <c r="H243" s="10"/>
      <c r="I243" s="11" t="str">
        <f>"－"</f>
        <v>－</v>
      </c>
      <c r="J243" s="10"/>
      <c r="K243" s="11" t="n">
        <f>517</f>
        <v>517.0</v>
      </c>
    </row>
    <row r="244">
      <c r="A244" s="8" t="s">
        <v>42</v>
      </c>
      <c r="B244" s="9" t="s">
        <v>64</v>
      </c>
      <c r="C244" s="9" t="s">
        <v>65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43</v>
      </c>
      <c r="B245" s="9" t="s">
        <v>64</v>
      </c>
      <c r="C245" s="9" t="s">
        <v>65</v>
      </c>
      <c r="D245" s="10"/>
      <c r="E245" s="11"/>
      <c r="F245" s="10"/>
      <c r="G245" s="11"/>
      <c r="H245" s="10"/>
      <c r="I245" s="11"/>
      <c r="J245" s="10"/>
      <c r="K245" s="11"/>
    </row>
    <row r="246">
      <c r="A246" s="8" t="s">
        <v>44</v>
      </c>
      <c r="B246" s="9" t="s">
        <v>64</v>
      </c>
      <c r="C246" s="9" t="s">
        <v>65</v>
      </c>
      <c r="D246" s="10"/>
      <c r="E246" s="11" t="n">
        <f>8</f>
        <v>8.0</v>
      </c>
      <c r="F246" s="10"/>
      <c r="G246" s="11" t="n">
        <f>29631500</f>
        <v>2.96315E7</v>
      </c>
      <c r="H246" s="10"/>
      <c r="I246" s="11" t="str">
        <f>"－"</f>
        <v>－</v>
      </c>
      <c r="J246" s="10"/>
      <c r="K246" s="11" t="n">
        <f>517</f>
        <v>517.0</v>
      </c>
    </row>
    <row r="247">
      <c r="A247" s="8" t="s">
        <v>45</v>
      </c>
      <c r="B247" s="9" t="s">
        <v>64</v>
      </c>
      <c r="C247" s="9" t="s">
        <v>65</v>
      </c>
      <c r="D247" s="10"/>
      <c r="E247" s="11" t="n">
        <f>16</f>
        <v>16.0</v>
      </c>
      <c r="F247" s="10"/>
      <c r="G247" s="11" t="n">
        <f>59261000</f>
        <v>5.9261E7</v>
      </c>
      <c r="H247" s="10"/>
      <c r="I247" s="11" t="str">
        <f>"－"</f>
        <v>－</v>
      </c>
      <c r="J247" s="10"/>
      <c r="K247" s="11" t="n">
        <f>513</f>
        <v>513.0</v>
      </c>
    </row>
    <row r="248">
      <c r="A248" s="8" t="s">
        <v>46</v>
      </c>
      <c r="B248" s="9" t="s">
        <v>64</v>
      </c>
      <c r="C248" s="9" t="s">
        <v>65</v>
      </c>
      <c r="D248" s="10"/>
      <c r="E248" s="11" t="n">
        <f>1</f>
        <v>1.0</v>
      </c>
      <c r="F248" s="10"/>
      <c r="G248" s="11" t="n">
        <f>3850500</f>
        <v>3850500.0</v>
      </c>
      <c r="H248" s="10"/>
      <c r="I248" s="11" t="str">
        <f>"－"</f>
        <v>－</v>
      </c>
      <c r="J248" s="10"/>
      <c r="K248" s="11" t="n">
        <f>512</f>
        <v>512.0</v>
      </c>
    </row>
    <row r="249">
      <c r="A249" s="8" t="s">
        <v>47</v>
      </c>
      <c r="B249" s="9" t="s">
        <v>64</v>
      </c>
      <c r="C249" s="9" t="s">
        <v>65</v>
      </c>
      <c r="D249" s="10"/>
      <c r="E249" s="11" t="n">
        <f>3</f>
        <v>3.0</v>
      </c>
      <c r="F249" s="10"/>
      <c r="G249" s="11" t="n">
        <f>11243000</f>
        <v>1.1243E7</v>
      </c>
      <c r="H249" s="10"/>
      <c r="I249" s="11" t="str">
        <f>"－"</f>
        <v>－</v>
      </c>
      <c r="J249" s="10"/>
      <c r="K249" s="11" t="n">
        <f>506</f>
        <v>506.0</v>
      </c>
    </row>
    <row r="250">
      <c r="A250" s="8" t="s">
        <v>48</v>
      </c>
      <c r="B250" s="9" t="s">
        <v>64</v>
      </c>
      <c r="C250" s="9" t="s">
        <v>65</v>
      </c>
      <c r="D250" s="10"/>
      <c r="E250" s="11" t="n">
        <f>5</f>
        <v>5.0</v>
      </c>
      <c r="F250" s="10"/>
      <c r="G250" s="11" t="n">
        <f>18508500</f>
        <v>1.85085E7</v>
      </c>
      <c r="H250" s="10"/>
      <c r="I250" s="11" t="str">
        <f>"－"</f>
        <v>－</v>
      </c>
      <c r="J250" s="10"/>
      <c r="K250" s="11" t="n">
        <f>509</f>
        <v>509.0</v>
      </c>
    </row>
    <row r="251">
      <c r="A251" s="8" t="s">
        <v>49</v>
      </c>
      <c r="B251" s="9" t="s">
        <v>64</v>
      </c>
      <c r="C251" s="9" t="s">
        <v>65</v>
      </c>
      <c r="D251" s="10"/>
      <c r="E251" s="11"/>
      <c r="F251" s="10"/>
      <c r="G251" s="11"/>
      <c r="H251" s="10"/>
      <c r="I251" s="11"/>
      <c r="J251" s="10"/>
      <c r="K251" s="11"/>
    </row>
    <row r="252">
      <c r="A252" s="8" t="s">
        <v>50</v>
      </c>
      <c r="B252" s="9" t="s">
        <v>64</v>
      </c>
      <c r="C252" s="9" t="s">
        <v>65</v>
      </c>
      <c r="D252" s="10"/>
      <c r="E252" s="11"/>
      <c r="F252" s="10"/>
      <c r="G252" s="11"/>
      <c r="H252" s="10"/>
      <c r="I252" s="11"/>
      <c r="J252" s="10"/>
      <c r="K252" s="11"/>
    </row>
    <row r="253">
      <c r="A253" s="8" t="s">
        <v>51</v>
      </c>
      <c r="B253" s="9" t="s">
        <v>64</v>
      </c>
      <c r="C253" s="9" t="s">
        <v>65</v>
      </c>
      <c r="D253" s="10"/>
      <c r="E253" s="11" t="n">
        <f>27</f>
        <v>27.0</v>
      </c>
      <c r="F253" s="10"/>
      <c r="G253" s="11" t="n">
        <f>100562000</f>
        <v>1.00562E8</v>
      </c>
      <c r="H253" s="10"/>
      <c r="I253" s="11" t="str">
        <f>"－"</f>
        <v>－</v>
      </c>
      <c r="J253" s="10" t="s">
        <v>22</v>
      </c>
      <c r="K253" s="11" t="n">
        <f>505</f>
        <v>505.0</v>
      </c>
    </row>
    <row r="254">
      <c r="A254" s="8" t="s">
        <v>16</v>
      </c>
      <c r="B254" s="9" t="s">
        <v>66</v>
      </c>
      <c r="C254" s="9" t="s">
        <v>67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19</v>
      </c>
      <c r="B255" s="9" t="s">
        <v>66</v>
      </c>
      <c r="C255" s="9" t="s">
        <v>67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20</v>
      </c>
      <c r="B256" s="9" t="s">
        <v>66</v>
      </c>
      <c r="C256" s="9" t="s">
        <v>67</v>
      </c>
      <c r="D256" s="10"/>
      <c r="E256" s="11" t="n">
        <f>4223</f>
        <v>4223.0</v>
      </c>
      <c r="F256" s="10"/>
      <c r="G256" s="11" t="n">
        <f>3497151000</f>
        <v>3.497151E9</v>
      </c>
      <c r="H256" s="10" t="s">
        <v>21</v>
      </c>
      <c r="I256" s="11" t="str">
        <f>"－"</f>
        <v>－</v>
      </c>
      <c r="J256" s="10" t="s">
        <v>22</v>
      </c>
      <c r="K256" s="11" t="n">
        <f>14833</f>
        <v>14833.0</v>
      </c>
    </row>
    <row r="257">
      <c r="A257" s="8" t="s">
        <v>23</v>
      </c>
      <c r="B257" s="9" t="s">
        <v>66</v>
      </c>
      <c r="C257" s="9" t="s">
        <v>67</v>
      </c>
      <c r="D257" s="10"/>
      <c r="E257" s="11" t="n">
        <f>4317</f>
        <v>4317.0</v>
      </c>
      <c r="F257" s="10"/>
      <c r="G257" s="11" t="n">
        <f>3611553000</f>
        <v>3.611553E9</v>
      </c>
      <c r="H257" s="10"/>
      <c r="I257" s="11" t="str">
        <f>"－"</f>
        <v>－</v>
      </c>
      <c r="J257" s="10"/>
      <c r="K257" s="11" t="n">
        <f>15174</f>
        <v>15174.0</v>
      </c>
    </row>
    <row r="258">
      <c r="A258" s="8" t="s">
        <v>24</v>
      </c>
      <c r="B258" s="9" t="s">
        <v>66</v>
      </c>
      <c r="C258" s="9" t="s">
        <v>67</v>
      </c>
      <c r="D258" s="10"/>
      <c r="E258" s="11" t="n">
        <f>3047</f>
        <v>3047.0</v>
      </c>
      <c r="F258" s="10"/>
      <c r="G258" s="11" t="n">
        <f>2568953000</f>
        <v>2.568953E9</v>
      </c>
      <c r="H258" s="10"/>
      <c r="I258" s="11" t="str">
        <f>"－"</f>
        <v>－</v>
      </c>
      <c r="J258" s="10"/>
      <c r="K258" s="11" t="n">
        <f>15866</f>
        <v>15866.0</v>
      </c>
    </row>
    <row r="259">
      <c r="A259" s="8" t="s">
        <v>25</v>
      </c>
      <c r="B259" s="9" t="s">
        <v>66</v>
      </c>
      <c r="C259" s="9" t="s">
        <v>67</v>
      </c>
      <c r="D259" s="10"/>
      <c r="E259" s="11" t="n">
        <f>5675</f>
        <v>5675.0</v>
      </c>
      <c r="F259" s="10"/>
      <c r="G259" s="11" t="n">
        <f>4840984500</f>
        <v>4.8409845E9</v>
      </c>
      <c r="H259" s="10"/>
      <c r="I259" s="11" t="str">
        <f>"－"</f>
        <v>－</v>
      </c>
      <c r="J259" s="10"/>
      <c r="K259" s="11" t="n">
        <f>15954</f>
        <v>15954.0</v>
      </c>
    </row>
    <row r="260">
      <c r="A260" s="8" t="s">
        <v>26</v>
      </c>
      <c r="B260" s="9" t="s">
        <v>66</v>
      </c>
      <c r="C260" s="9" t="s">
        <v>67</v>
      </c>
      <c r="D260" s="10"/>
      <c r="E260" s="11" t="n">
        <f>6024</f>
        <v>6024.0</v>
      </c>
      <c r="F260" s="10"/>
      <c r="G260" s="11" t="n">
        <f>5280098500</f>
        <v>5.2800985E9</v>
      </c>
      <c r="H260" s="10"/>
      <c r="I260" s="11" t="str">
        <f>"－"</f>
        <v>－</v>
      </c>
      <c r="J260" s="10"/>
      <c r="K260" s="11" t="n">
        <f>15382</f>
        <v>15382.0</v>
      </c>
    </row>
    <row r="261">
      <c r="A261" s="8" t="s">
        <v>27</v>
      </c>
      <c r="B261" s="9" t="s">
        <v>66</v>
      </c>
      <c r="C261" s="9" t="s">
        <v>67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28</v>
      </c>
      <c r="B262" s="9" t="s">
        <v>66</v>
      </c>
      <c r="C262" s="9" t="s">
        <v>67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29</v>
      </c>
      <c r="B263" s="9" t="s">
        <v>66</v>
      </c>
      <c r="C263" s="9" t="s">
        <v>67</v>
      </c>
      <c r="D263" s="10"/>
      <c r="E263" s="11"/>
      <c r="F263" s="10"/>
      <c r="G263" s="11"/>
      <c r="H263" s="10"/>
      <c r="I263" s="11"/>
      <c r="J263" s="10"/>
      <c r="K263" s="11"/>
    </row>
    <row r="264">
      <c r="A264" s="8" t="s">
        <v>30</v>
      </c>
      <c r="B264" s="9" t="s">
        <v>66</v>
      </c>
      <c r="C264" s="9" t="s">
        <v>67</v>
      </c>
      <c r="D264" s="10"/>
      <c r="E264" s="11" t="n">
        <f>3534</f>
        <v>3534.0</v>
      </c>
      <c r="F264" s="10"/>
      <c r="G264" s="11" t="n">
        <f>3077105000</f>
        <v>3.077105E9</v>
      </c>
      <c r="H264" s="10"/>
      <c r="I264" s="11" t="str">
        <f>"－"</f>
        <v>－</v>
      </c>
      <c r="J264" s="10"/>
      <c r="K264" s="11" t="n">
        <f>15441</f>
        <v>15441.0</v>
      </c>
    </row>
    <row r="265">
      <c r="A265" s="8" t="s">
        <v>31</v>
      </c>
      <c r="B265" s="9" t="s">
        <v>66</v>
      </c>
      <c r="C265" s="9" t="s">
        <v>67</v>
      </c>
      <c r="D265" s="10"/>
      <c r="E265" s="11" t="n">
        <f>3542</f>
        <v>3542.0</v>
      </c>
      <c r="F265" s="10"/>
      <c r="G265" s="11" t="n">
        <f>3030660000</f>
        <v>3.03066E9</v>
      </c>
      <c r="H265" s="10"/>
      <c r="I265" s="11" t="str">
        <f>"－"</f>
        <v>－</v>
      </c>
      <c r="J265" s="10"/>
      <c r="K265" s="11" t="n">
        <f>15381</f>
        <v>15381.0</v>
      </c>
    </row>
    <row r="266">
      <c r="A266" s="8" t="s">
        <v>33</v>
      </c>
      <c r="B266" s="9" t="s">
        <v>66</v>
      </c>
      <c r="C266" s="9" t="s">
        <v>67</v>
      </c>
      <c r="D266" s="10"/>
      <c r="E266" s="11" t="n">
        <f>2743</f>
        <v>2743.0</v>
      </c>
      <c r="F266" s="10"/>
      <c r="G266" s="11" t="n">
        <f>2376697000</f>
        <v>2.376697E9</v>
      </c>
      <c r="H266" s="10"/>
      <c r="I266" s="11" t="str">
        <f>"－"</f>
        <v>－</v>
      </c>
      <c r="J266" s="10"/>
      <c r="K266" s="11" t="n">
        <f>15853</f>
        <v>15853.0</v>
      </c>
    </row>
    <row r="267">
      <c r="A267" s="8" t="s">
        <v>34</v>
      </c>
      <c r="B267" s="9" t="s">
        <v>66</v>
      </c>
      <c r="C267" s="9" t="s">
        <v>67</v>
      </c>
      <c r="D267" s="10"/>
      <c r="E267" s="11" t="n">
        <f>1599</f>
        <v>1599.0</v>
      </c>
      <c r="F267" s="10"/>
      <c r="G267" s="11" t="n">
        <f>1387452500</f>
        <v>1.3874525E9</v>
      </c>
      <c r="H267" s="10"/>
      <c r="I267" s="11" t="str">
        <f>"－"</f>
        <v>－</v>
      </c>
      <c r="J267" s="10"/>
      <c r="K267" s="11" t="n">
        <f>15845</f>
        <v>15845.0</v>
      </c>
    </row>
    <row r="268">
      <c r="A268" s="8" t="s">
        <v>35</v>
      </c>
      <c r="B268" s="9" t="s">
        <v>66</v>
      </c>
      <c r="C268" s="9" t="s">
        <v>67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36</v>
      </c>
      <c r="B269" s="9" t="s">
        <v>66</v>
      </c>
      <c r="C269" s="9" t="s">
        <v>67</v>
      </c>
      <c r="D269" s="10"/>
      <c r="E269" s="11"/>
      <c r="F269" s="10"/>
      <c r="G269" s="11"/>
      <c r="H269" s="10"/>
      <c r="I269" s="11"/>
      <c r="J269" s="10"/>
      <c r="K269" s="11"/>
    </row>
    <row r="270">
      <c r="A270" s="8" t="s">
        <v>37</v>
      </c>
      <c r="B270" s="9" t="s">
        <v>66</v>
      </c>
      <c r="C270" s="9" t="s">
        <v>67</v>
      </c>
      <c r="D270" s="10"/>
      <c r="E270" s="11" t="n">
        <f>2368</f>
        <v>2368.0</v>
      </c>
      <c r="F270" s="10"/>
      <c r="G270" s="11" t="n">
        <f>2064127000</f>
        <v>2.064127E9</v>
      </c>
      <c r="H270" s="10"/>
      <c r="I270" s="11" t="str">
        <f>"－"</f>
        <v>－</v>
      </c>
      <c r="J270" s="10"/>
      <c r="K270" s="11" t="n">
        <f>15954</f>
        <v>15954.0</v>
      </c>
    </row>
    <row r="271">
      <c r="A271" s="8" t="s">
        <v>38</v>
      </c>
      <c r="B271" s="9" t="s">
        <v>66</v>
      </c>
      <c r="C271" s="9" t="s">
        <v>67</v>
      </c>
      <c r="D271" s="10"/>
      <c r="E271" s="11" t="n">
        <f>2125</f>
        <v>2125.0</v>
      </c>
      <c r="F271" s="10"/>
      <c r="G271" s="11" t="n">
        <f>1865886000</f>
        <v>1.865886E9</v>
      </c>
      <c r="H271" s="10"/>
      <c r="I271" s="11" t="str">
        <f>"－"</f>
        <v>－</v>
      </c>
      <c r="J271" s="10"/>
      <c r="K271" s="11" t="n">
        <f>15786</f>
        <v>15786.0</v>
      </c>
    </row>
    <row r="272">
      <c r="A272" s="8" t="s">
        <v>39</v>
      </c>
      <c r="B272" s="9" t="s">
        <v>66</v>
      </c>
      <c r="C272" s="9" t="s">
        <v>67</v>
      </c>
      <c r="D272" s="10" t="s">
        <v>22</v>
      </c>
      <c r="E272" s="11" t="n">
        <f>1389</f>
        <v>1389.0</v>
      </c>
      <c r="F272" s="10" t="s">
        <v>22</v>
      </c>
      <c r="G272" s="11" t="n">
        <f>1217846000</f>
        <v>1.217846E9</v>
      </c>
      <c r="H272" s="10"/>
      <c r="I272" s="11" t="str">
        <f>"－"</f>
        <v>－</v>
      </c>
      <c r="J272" s="10"/>
      <c r="K272" s="11" t="n">
        <f>15779</f>
        <v>15779.0</v>
      </c>
    </row>
    <row r="273">
      <c r="A273" s="8" t="s">
        <v>40</v>
      </c>
      <c r="B273" s="9" t="s">
        <v>66</v>
      </c>
      <c r="C273" s="9" t="s">
        <v>67</v>
      </c>
      <c r="D273" s="10"/>
      <c r="E273" s="11" t="n">
        <f>2375</f>
        <v>2375.0</v>
      </c>
      <c r="F273" s="10"/>
      <c r="G273" s="11" t="n">
        <f>2060887500</f>
        <v>2.0608875E9</v>
      </c>
      <c r="H273" s="10"/>
      <c r="I273" s="11" t="str">
        <f>"－"</f>
        <v>－</v>
      </c>
      <c r="J273" s="10"/>
      <c r="K273" s="11" t="n">
        <f>15665</f>
        <v>15665.0</v>
      </c>
    </row>
    <row r="274">
      <c r="A274" s="8" t="s">
        <v>41</v>
      </c>
      <c r="B274" s="9" t="s">
        <v>66</v>
      </c>
      <c r="C274" s="9" t="s">
        <v>67</v>
      </c>
      <c r="D274" s="10"/>
      <c r="E274" s="11" t="n">
        <f>2385</f>
        <v>2385.0</v>
      </c>
      <c r="F274" s="10"/>
      <c r="G274" s="11" t="n">
        <f>2062390500</f>
        <v>2.0623905E9</v>
      </c>
      <c r="H274" s="10"/>
      <c r="I274" s="11" t="str">
        <f>"－"</f>
        <v>－</v>
      </c>
      <c r="J274" s="10"/>
      <c r="K274" s="11" t="n">
        <f>15795</f>
        <v>15795.0</v>
      </c>
    </row>
    <row r="275">
      <c r="A275" s="8" t="s">
        <v>42</v>
      </c>
      <c r="B275" s="9" t="s">
        <v>66</v>
      </c>
      <c r="C275" s="9" t="s">
        <v>67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43</v>
      </c>
      <c r="B276" s="9" t="s">
        <v>66</v>
      </c>
      <c r="C276" s="9" t="s">
        <v>67</v>
      </c>
      <c r="D276" s="10"/>
      <c r="E276" s="11"/>
      <c r="F276" s="10"/>
      <c r="G276" s="11"/>
      <c r="H276" s="10"/>
      <c r="I276" s="11"/>
      <c r="J276" s="10"/>
      <c r="K276" s="11"/>
    </row>
    <row r="277">
      <c r="A277" s="8" t="s">
        <v>44</v>
      </c>
      <c r="B277" s="9" t="s">
        <v>66</v>
      </c>
      <c r="C277" s="9" t="s">
        <v>67</v>
      </c>
      <c r="D277" s="10"/>
      <c r="E277" s="11" t="n">
        <f>1638</f>
        <v>1638.0</v>
      </c>
      <c r="F277" s="10"/>
      <c r="G277" s="11" t="n">
        <f>1414572000</f>
        <v>1.414572E9</v>
      </c>
      <c r="H277" s="10"/>
      <c r="I277" s="11" t="str">
        <f>"－"</f>
        <v>－</v>
      </c>
      <c r="J277" s="10"/>
      <c r="K277" s="11" t="n">
        <f>15876</f>
        <v>15876.0</v>
      </c>
    </row>
    <row r="278">
      <c r="A278" s="8" t="s">
        <v>45</v>
      </c>
      <c r="B278" s="9" t="s">
        <v>66</v>
      </c>
      <c r="C278" s="9" t="s">
        <v>67</v>
      </c>
      <c r="D278" s="10"/>
      <c r="E278" s="11" t="n">
        <f>3530</f>
        <v>3530.0</v>
      </c>
      <c r="F278" s="10"/>
      <c r="G278" s="11" t="n">
        <f>3106177000</f>
        <v>3.106177E9</v>
      </c>
      <c r="H278" s="10"/>
      <c r="I278" s="11" t="str">
        <f>"－"</f>
        <v>－</v>
      </c>
      <c r="J278" s="10"/>
      <c r="K278" s="11" t="n">
        <f>15860</f>
        <v>15860.0</v>
      </c>
    </row>
    <row r="279">
      <c r="A279" s="8" t="s">
        <v>46</v>
      </c>
      <c r="B279" s="9" t="s">
        <v>66</v>
      </c>
      <c r="C279" s="9" t="s">
        <v>67</v>
      </c>
      <c r="D279" s="10"/>
      <c r="E279" s="11" t="n">
        <f>5771</f>
        <v>5771.0</v>
      </c>
      <c r="F279" s="10"/>
      <c r="G279" s="11" t="n">
        <f>5155391000</f>
        <v>5.155391E9</v>
      </c>
      <c r="H279" s="10"/>
      <c r="I279" s="11" t="str">
        <f>"－"</f>
        <v>－</v>
      </c>
      <c r="J279" s="10" t="s">
        <v>32</v>
      </c>
      <c r="K279" s="11" t="n">
        <f>16016</f>
        <v>16016.0</v>
      </c>
    </row>
    <row r="280">
      <c r="A280" s="8" t="s">
        <v>47</v>
      </c>
      <c r="B280" s="9" t="s">
        <v>66</v>
      </c>
      <c r="C280" s="9" t="s">
        <v>67</v>
      </c>
      <c r="D280" s="10"/>
      <c r="E280" s="11" t="n">
        <f>5920</f>
        <v>5920.0</v>
      </c>
      <c r="F280" s="10"/>
      <c r="G280" s="11" t="n">
        <f>5407867000</f>
        <v>5.407867E9</v>
      </c>
      <c r="H280" s="10"/>
      <c r="I280" s="11" t="str">
        <f>"－"</f>
        <v>－</v>
      </c>
      <c r="J280" s="10"/>
      <c r="K280" s="11" t="n">
        <f>15974</f>
        <v>15974.0</v>
      </c>
    </row>
    <row r="281">
      <c r="A281" s="8" t="s">
        <v>48</v>
      </c>
      <c r="B281" s="9" t="s">
        <v>66</v>
      </c>
      <c r="C281" s="9" t="s">
        <v>67</v>
      </c>
      <c r="D281" s="10"/>
      <c r="E281" s="11" t="n">
        <f>7010</f>
        <v>7010.0</v>
      </c>
      <c r="F281" s="10"/>
      <c r="G281" s="11" t="n">
        <f>6470549500</f>
        <v>6.4705495E9</v>
      </c>
      <c r="H281" s="10"/>
      <c r="I281" s="11" t="str">
        <f>"－"</f>
        <v>－</v>
      </c>
      <c r="J281" s="10"/>
      <c r="K281" s="11" t="n">
        <f>15484</f>
        <v>15484.0</v>
      </c>
    </row>
    <row r="282">
      <c r="A282" s="8" t="s">
        <v>49</v>
      </c>
      <c r="B282" s="9" t="s">
        <v>66</v>
      </c>
      <c r="C282" s="9" t="s">
        <v>67</v>
      </c>
      <c r="D282" s="10"/>
      <c r="E282" s="11"/>
      <c r="F282" s="10"/>
      <c r="G282" s="11"/>
      <c r="H282" s="10"/>
      <c r="I282" s="11"/>
      <c r="J282" s="10"/>
      <c r="K282" s="11"/>
    </row>
    <row r="283">
      <c r="A283" s="8" t="s">
        <v>50</v>
      </c>
      <c r="B283" s="9" t="s">
        <v>66</v>
      </c>
      <c r="C283" s="9" t="s">
        <v>67</v>
      </c>
      <c r="D283" s="10"/>
      <c r="E283" s="11"/>
      <c r="F283" s="10"/>
      <c r="G283" s="11"/>
      <c r="H283" s="10"/>
      <c r="I283" s="11"/>
      <c r="J283" s="10"/>
      <c r="K283" s="11"/>
    </row>
    <row r="284">
      <c r="A284" s="8" t="s">
        <v>51</v>
      </c>
      <c r="B284" s="9" t="s">
        <v>66</v>
      </c>
      <c r="C284" s="9" t="s">
        <v>67</v>
      </c>
      <c r="D284" s="10" t="s">
        <v>32</v>
      </c>
      <c r="E284" s="11" t="n">
        <f>15549</f>
        <v>15549.0</v>
      </c>
      <c r="F284" s="10" t="s">
        <v>32</v>
      </c>
      <c r="G284" s="11" t="n">
        <f>14923898500</f>
        <v>1.49238985E10</v>
      </c>
      <c r="H284" s="10"/>
      <c r="I284" s="11" t="str">
        <f>"－"</f>
        <v>－</v>
      </c>
      <c r="J284" s="10"/>
      <c r="K284" s="11" t="n">
        <f>15429</f>
        <v>15429.0</v>
      </c>
    </row>
    <row r="285">
      <c r="A285" s="8" t="s">
        <v>16</v>
      </c>
      <c r="B285" s="9" t="s">
        <v>68</v>
      </c>
      <c r="C285" s="9" t="s">
        <v>69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19</v>
      </c>
      <c r="B286" s="9" t="s">
        <v>68</v>
      </c>
      <c r="C286" s="9" t="s">
        <v>69</v>
      </c>
      <c r="D286" s="10"/>
      <c r="E286" s="11"/>
      <c r="F286" s="10"/>
      <c r="G286" s="11"/>
      <c r="H286" s="10"/>
      <c r="I286" s="11"/>
      <c r="J286" s="10"/>
      <c r="K286" s="11"/>
    </row>
    <row r="287">
      <c r="A287" s="8" t="s">
        <v>20</v>
      </c>
      <c r="B287" s="9" t="s">
        <v>68</v>
      </c>
      <c r="C287" s="9" t="s">
        <v>69</v>
      </c>
      <c r="D287" s="10" t="s">
        <v>21</v>
      </c>
      <c r="E287" s="11" t="str">
        <f>"－"</f>
        <v>－</v>
      </c>
      <c r="F287" s="10" t="s">
        <v>21</v>
      </c>
      <c r="G287" s="11" t="str">
        <f>"－"</f>
        <v>－</v>
      </c>
      <c r="H287" s="10" t="s">
        <v>21</v>
      </c>
      <c r="I287" s="11" t="str">
        <f>"－"</f>
        <v>－</v>
      </c>
      <c r="J287" s="10" t="s">
        <v>21</v>
      </c>
      <c r="K287" s="11" t="str">
        <f>"－"</f>
        <v>－</v>
      </c>
    </row>
    <row r="288">
      <c r="A288" s="8" t="s">
        <v>23</v>
      </c>
      <c r="B288" s="9" t="s">
        <v>68</v>
      </c>
      <c r="C288" s="9" t="s">
        <v>69</v>
      </c>
      <c r="D288" s="10"/>
      <c r="E288" s="11" t="str">
        <f>"－"</f>
        <v>－</v>
      </c>
      <c r="F288" s="10"/>
      <c r="G288" s="11" t="str">
        <f>"－"</f>
        <v>－</v>
      </c>
      <c r="H288" s="10"/>
      <c r="I288" s="11" t="str">
        <f>"－"</f>
        <v>－</v>
      </c>
      <c r="J288" s="10"/>
      <c r="K288" s="11" t="str">
        <f>"－"</f>
        <v>－</v>
      </c>
    </row>
    <row r="289">
      <c r="A289" s="8" t="s">
        <v>24</v>
      </c>
      <c r="B289" s="9" t="s">
        <v>68</v>
      </c>
      <c r="C289" s="9" t="s">
        <v>69</v>
      </c>
      <c r="D289" s="10"/>
      <c r="E289" s="11" t="str">
        <f>"－"</f>
        <v>－</v>
      </c>
      <c r="F289" s="10"/>
      <c r="G289" s="11" t="str">
        <f>"－"</f>
        <v>－</v>
      </c>
      <c r="H289" s="10"/>
      <c r="I289" s="11" t="str">
        <f>"－"</f>
        <v>－</v>
      </c>
      <c r="J289" s="10"/>
      <c r="K289" s="11" t="str">
        <f>"－"</f>
        <v>－</v>
      </c>
    </row>
    <row r="290">
      <c r="A290" s="8" t="s">
        <v>25</v>
      </c>
      <c r="B290" s="9" t="s">
        <v>68</v>
      </c>
      <c r="C290" s="9" t="s">
        <v>69</v>
      </c>
      <c r="D290" s="10"/>
      <c r="E290" s="11" t="str">
        <f>"－"</f>
        <v>－</v>
      </c>
      <c r="F290" s="10"/>
      <c r="G290" s="11" t="str">
        <f>"－"</f>
        <v>－</v>
      </c>
      <c r="H290" s="10"/>
      <c r="I290" s="11" t="str">
        <f>"－"</f>
        <v>－</v>
      </c>
      <c r="J290" s="10"/>
      <c r="K290" s="11" t="str">
        <f>"－"</f>
        <v>－</v>
      </c>
    </row>
    <row r="291">
      <c r="A291" s="8" t="s">
        <v>26</v>
      </c>
      <c r="B291" s="9" t="s">
        <v>68</v>
      </c>
      <c r="C291" s="9" t="s">
        <v>69</v>
      </c>
      <c r="D291" s="10"/>
      <c r="E291" s="11" t="str">
        <f>"－"</f>
        <v>－</v>
      </c>
      <c r="F291" s="10"/>
      <c r="G291" s="11" t="str">
        <f>"－"</f>
        <v>－</v>
      </c>
      <c r="H291" s="10"/>
      <c r="I291" s="11" t="str">
        <f>"－"</f>
        <v>－</v>
      </c>
      <c r="J291" s="10"/>
      <c r="K291" s="11" t="str">
        <f>"－"</f>
        <v>－</v>
      </c>
    </row>
    <row r="292">
      <c r="A292" s="8" t="s">
        <v>27</v>
      </c>
      <c r="B292" s="9" t="s">
        <v>68</v>
      </c>
      <c r="C292" s="9" t="s">
        <v>69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28</v>
      </c>
      <c r="B293" s="9" t="s">
        <v>68</v>
      </c>
      <c r="C293" s="9" t="s">
        <v>69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29</v>
      </c>
      <c r="B294" s="9" t="s">
        <v>68</v>
      </c>
      <c r="C294" s="9" t="s">
        <v>69</v>
      </c>
      <c r="D294" s="10"/>
      <c r="E294" s="11"/>
      <c r="F294" s="10"/>
      <c r="G294" s="11"/>
      <c r="H294" s="10"/>
      <c r="I294" s="11"/>
      <c r="J294" s="10"/>
      <c r="K294" s="11"/>
    </row>
    <row r="295">
      <c r="A295" s="8" t="s">
        <v>30</v>
      </c>
      <c r="B295" s="9" t="s">
        <v>68</v>
      </c>
      <c r="C295" s="9" t="s">
        <v>69</v>
      </c>
      <c r="D295" s="10"/>
      <c r="E295" s="11" t="str">
        <f>"－"</f>
        <v>－</v>
      </c>
      <c r="F295" s="10"/>
      <c r="G295" s="11" t="str">
        <f>"－"</f>
        <v>－</v>
      </c>
      <c r="H295" s="10"/>
      <c r="I295" s="11" t="str">
        <f>"－"</f>
        <v>－</v>
      </c>
      <c r="J295" s="10"/>
      <c r="K295" s="11" t="str">
        <f>"－"</f>
        <v>－</v>
      </c>
    </row>
    <row r="296">
      <c r="A296" s="8" t="s">
        <v>31</v>
      </c>
      <c r="B296" s="9" t="s">
        <v>68</v>
      </c>
      <c r="C296" s="9" t="s">
        <v>69</v>
      </c>
      <c r="D296" s="10"/>
      <c r="E296" s="11" t="str">
        <f>"－"</f>
        <v>－</v>
      </c>
      <c r="F296" s="10"/>
      <c r="G296" s="11" t="str">
        <f>"－"</f>
        <v>－</v>
      </c>
      <c r="H296" s="10"/>
      <c r="I296" s="11" t="str">
        <f>"－"</f>
        <v>－</v>
      </c>
      <c r="J296" s="10"/>
      <c r="K296" s="11" t="str">
        <f>"－"</f>
        <v>－</v>
      </c>
    </row>
    <row r="297">
      <c r="A297" s="8" t="s">
        <v>33</v>
      </c>
      <c r="B297" s="9" t="s">
        <v>68</v>
      </c>
      <c r="C297" s="9" t="s">
        <v>69</v>
      </c>
      <c r="D297" s="10"/>
      <c r="E297" s="11" t="str">
        <f>"－"</f>
        <v>－</v>
      </c>
      <c r="F297" s="10"/>
      <c r="G297" s="11" t="str">
        <f>"－"</f>
        <v>－</v>
      </c>
      <c r="H297" s="10"/>
      <c r="I297" s="11" t="str">
        <f>"－"</f>
        <v>－</v>
      </c>
      <c r="J297" s="10"/>
      <c r="K297" s="11" t="str">
        <f>"－"</f>
        <v>－</v>
      </c>
    </row>
    <row r="298">
      <c r="A298" s="8" t="s">
        <v>34</v>
      </c>
      <c r="B298" s="9" t="s">
        <v>68</v>
      </c>
      <c r="C298" s="9" t="s">
        <v>69</v>
      </c>
      <c r="D298" s="10"/>
      <c r="E298" s="11" t="str">
        <f>"－"</f>
        <v>－</v>
      </c>
      <c r="F298" s="10"/>
      <c r="G298" s="11" t="str">
        <f>"－"</f>
        <v>－</v>
      </c>
      <c r="H298" s="10"/>
      <c r="I298" s="11" t="str">
        <f>"－"</f>
        <v>－</v>
      </c>
      <c r="J298" s="10"/>
      <c r="K298" s="11" t="str">
        <f>"－"</f>
        <v>－</v>
      </c>
    </row>
    <row r="299">
      <c r="A299" s="8" t="s">
        <v>35</v>
      </c>
      <c r="B299" s="9" t="s">
        <v>68</v>
      </c>
      <c r="C299" s="9" t="s">
        <v>69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36</v>
      </c>
      <c r="B300" s="9" t="s">
        <v>68</v>
      </c>
      <c r="C300" s="9" t="s">
        <v>69</v>
      </c>
      <c r="D300" s="10"/>
      <c r="E300" s="11"/>
      <c r="F300" s="10"/>
      <c r="G300" s="11"/>
      <c r="H300" s="10"/>
      <c r="I300" s="11"/>
      <c r="J300" s="10"/>
      <c r="K300" s="11"/>
    </row>
    <row r="301">
      <c r="A301" s="8" t="s">
        <v>37</v>
      </c>
      <c r="B301" s="9" t="s">
        <v>68</v>
      </c>
      <c r="C301" s="9" t="s">
        <v>69</v>
      </c>
      <c r="D301" s="10"/>
      <c r="E301" s="11" t="str">
        <f>"－"</f>
        <v>－</v>
      </c>
      <c r="F301" s="10"/>
      <c r="G301" s="11" t="str">
        <f>"－"</f>
        <v>－</v>
      </c>
      <c r="H301" s="10"/>
      <c r="I301" s="11" t="str">
        <f>"－"</f>
        <v>－</v>
      </c>
      <c r="J301" s="10"/>
      <c r="K301" s="11" t="str">
        <f>"－"</f>
        <v>－</v>
      </c>
    </row>
    <row r="302">
      <c r="A302" s="8" t="s">
        <v>38</v>
      </c>
      <c r="B302" s="9" t="s">
        <v>68</v>
      </c>
      <c r="C302" s="9" t="s">
        <v>69</v>
      </c>
      <c r="D302" s="10"/>
      <c r="E302" s="11" t="str">
        <f>"－"</f>
        <v>－</v>
      </c>
      <c r="F302" s="10"/>
      <c r="G302" s="11" t="str">
        <f>"－"</f>
        <v>－</v>
      </c>
      <c r="H302" s="10"/>
      <c r="I302" s="11" t="str">
        <f>"－"</f>
        <v>－</v>
      </c>
      <c r="J302" s="10"/>
      <c r="K302" s="11" t="str">
        <f>"－"</f>
        <v>－</v>
      </c>
    </row>
    <row r="303">
      <c r="A303" s="8" t="s">
        <v>39</v>
      </c>
      <c r="B303" s="9" t="s">
        <v>68</v>
      </c>
      <c r="C303" s="9" t="s">
        <v>69</v>
      </c>
      <c r="D303" s="10"/>
      <c r="E303" s="11" t="str">
        <f>"－"</f>
        <v>－</v>
      </c>
      <c r="F303" s="10"/>
      <c r="G303" s="11" t="str">
        <f>"－"</f>
        <v>－</v>
      </c>
      <c r="H303" s="10"/>
      <c r="I303" s="11" t="str">
        <f>"－"</f>
        <v>－</v>
      </c>
      <c r="J303" s="10"/>
      <c r="K303" s="11" t="str">
        <f>"－"</f>
        <v>－</v>
      </c>
    </row>
    <row r="304">
      <c r="A304" s="8" t="s">
        <v>40</v>
      </c>
      <c r="B304" s="9" t="s">
        <v>68</v>
      </c>
      <c r="C304" s="9" t="s">
        <v>69</v>
      </c>
      <c r="D304" s="10"/>
      <c r="E304" s="11" t="str">
        <f>"－"</f>
        <v>－</v>
      </c>
      <c r="F304" s="10"/>
      <c r="G304" s="11" t="str">
        <f>"－"</f>
        <v>－</v>
      </c>
      <c r="H304" s="10"/>
      <c r="I304" s="11" t="str">
        <f>"－"</f>
        <v>－</v>
      </c>
      <c r="J304" s="10"/>
      <c r="K304" s="11" t="str">
        <f>"－"</f>
        <v>－</v>
      </c>
    </row>
    <row r="305">
      <c r="A305" s="8" t="s">
        <v>41</v>
      </c>
      <c r="B305" s="9" t="s">
        <v>68</v>
      </c>
      <c r="C305" s="9" t="s">
        <v>69</v>
      </c>
      <c r="D305" s="10"/>
      <c r="E305" s="11" t="str">
        <f>"－"</f>
        <v>－</v>
      </c>
      <c r="F305" s="10"/>
      <c r="G305" s="11" t="str">
        <f>"－"</f>
        <v>－</v>
      </c>
      <c r="H305" s="10"/>
      <c r="I305" s="11" t="str">
        <f>"－"</f>
        <v>－</v>
      </c>
      <c r="J305" s="10"/>
      <c r="K305" s="11" t="str">
        <f>"－"</f>
        <v>－</v>
      </c>
    </row>
    <row r="306">
      <c r="A306" s="8" t="s">
        <v>42</v>
      </c>
      <c r="B306" s="9" t="s">
        <v>68</v>
      </c>
      <c r="C306" s="9" t="s">
        <v>69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43</v>
      </c>
      <c r="B307" s="9" t="s">
        <v>68</v>
      </c>
      <c r="C307" s="9" t="s">
        <v>69</v>
      </c>
      <c r="D307" s="10"/>
      <c r="E307" s="11"/>
      <c r="F307" s="10"/>
      <c r="G307" s="11"/>
      <c r="H307" s="10"/>
      <c r="I307" s="11"/>
      <c r="J307" s="10"/>
      <c r="K307" s="11"/>
    </row>
    <row r="308">
      <c r="A308" s="8" t="s">
        <v>44</v>
      </c>
      <c r="B308" s="9" t="s">
        <v>68</v>
      </c>
      <c r="C308" s="9" t="s">
        <v>69</v>
      </c>
      <c r="D308" s="10"/>
      <c r="E308" s="11" t="str">
        <f>"－"</f>
        <v>－</v>
      </c>
      <c r="F308" s="10"/>
      <c r="G308" s="11" t="str">
        <f>"－"</f>
        <v>－</v>
      </c>
      <c r="H308" s="10"/>
      <c r="I308" s="11" t="str">
        <f>"－"</f>
        <v>－</v>
      </c>
      <c r="J308" s="10"/>
      <c r="K308" s="11" t="str">
        <f>"－"</f>
        <v>－</v>
      </c>
    </row>
    <row r="309">
      <c r="A309" s="8" t="s">
        <v>45</v>
      </c>
      <c r="B309" s="9" t="s">
        <v>68</v>
      </c>
      <c r="C309" s="9" t="s">
        <v>69</v>
      </c>
      <c r="D309" s="10"/>
      <c r="E309" s="11" t="str">
        <f>"－"</f>
        <v>－</v>
      </c>
      <c r="F309" s="10"/>
      <c r="G309" s="11" t="str">
        <f>"－"</f>
        <v>－</v>
      </c>
      <c r="H309" s="10"/>
      <c r="I309" s="11" t="str">
        <f>"－"</f>
        <v>－</v>
      </c>
      <c r="J309" s="10"/>
      <c r="K309" s="11" t="str">
        <f>"－"</f>
        <v>－</v>
      </c>
    </row>
    <row r="310">
      <c r="A310" s="8" t="s">
        <v>46</v>
      </c>
      <c r="B310" s="9" t="s">
        <v>68</v>
      </c>
      <c r="C310" s="9" t="s">
        <v>69</v>
      </c>
      <c r="D310" s="10"/>
      <c r="E310" s="11" t="str">
        <f>"－"</f>
        <v>－</v>
      </c>
      <c r="F310" s="10"/>
      <c r="G310" s="11" t="str">
        <f>"－"</f>
        <v>－</v>
      </c>
      <c r="H310" s="10"/>
      <c r="I310" s="11" t="str">
        <f>"－"</f>
        <v>－</v>
      </c>
      <c r="J310" s="10"/>
      <c r="K310" s="11" t="str">
        <f>"－"</f>
        <v>－</v>
      </c>
    </row>
    <row r="311">
      <c r="A311" s="8" t="s">
        <v>47</v>
      </c>
      <c r="B311" s="9" t="s">
        <v>68</v>
      </c>
      <c r="C311" s="9" t="s">
        <v>69</v>
      </c>
      <c r="D311" s="10"/>
      <c r="E311" s="11" t="str">
        <f>"－"</f>
        <v>－</v>
      </c>
      <c r="F311" s="10"/>
      <c r="G311" s="11" t="str">
        <f>"－"</f>
        <v>－</v>
      </c>
      <c r="H311" s="10"/>
      <c r="I311" s="11" t="str">
        <f>"－"</f>
        <v>－</v>
      </c>
      <c r="J311" s="10"/>
      <c r="K311" s="11" t="str">
        <f>"－"</f>
        <v>－</v>
      </c>
    </row>
    <row r="312">
      <c r="A312" s="8" t="s">
        <v>48</v>
      </c>
      <c r="B312" s="9" t="s">
        <v>68</v>
      </c>
      <c r="C312" s="9" t="s">
        <v>69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49</v>
      </c>
      <c r="B313" s="9" t="s">
        <v>68</v>
      </c>
      <c r="C313" s="9" t="s">
        <v>69</v>
      </c>
      <c r="D313" s="10"/>
      <c r="E313" s="11"/>
      <c r="F313" s="10"/>
      <c r="G313" s="11"/>
      <c r="H313" s="10"/>
      <c r="I313" s="11"/>
      <c r="J313" s="10"/>
      <c r="K313" s="11"/>
    </row>
    <row r="314">
      <c r="A314" s="8" t="s">
        <v>50</v>
      </c>
      <c r="B314" s="9" t="s">
        <v>68</v>
      </c>
      <c r="C314" s="9" t="s">
        <v>69</v>
      </c>
      <c r="D314" s="10"/>
      <c r="E314" s="11"/>
      <c r="F314" s="10"/>
      <c r="G314" s="11"/>
      <c r="H314" s="10"/>
      <c r="I314" s="11"/>
      <c r="J314" s="10"/>
      <c r="K314" s="11"/>
    </row>
    <row r="315">
      <c r="A315" s="8" t="s">
        <v>51</v>
      </c>
      <c r="B315" s="9" t="s">
        <v>68</v>
      </c>
      <c r="C315" s="9" t="s">
        <v>69</v>
      </c>
      <c r="D315" s="10"/>
      <c r="E315" s="11" t="str">
        <f>"－"</f>
        <v>－</v>
      </c>
      <c r="F315" s="10"/>
      <c r="G315" s="11" t="str">
        <f>"－"</f>
        <v>－</v>
      </c>
      <c r="H315" s="10"/>
      <c r="I315" s="11" t="str">
        <f>"－"</f>
        <v>－</v>
      </c>
      <c r="J315" s="10"/>
      <c r="K315" s="11" t="str">
        <f>"－"</f>
        <v>－</v>
      </c>
    </row>
    <row r="316">
      <c r="A316" s="8" t="s">
        <v>16</v>
      </c>
      <c r="B316" s="9" t="s">
        <v>70</v>
      </c>
      <c r="C316" s="9" t="s">
        <v>71</v>
      </c>
      <c r="D316" s="10"/>
      <c r="E316" s="11"/>
      <c r="F316" s="10"/>
      <c r="G316" s="11"/>
      <c r="H316" s="10"/>
      <c r="I316" s="11"/>
      <c r="J316" s="10"/>
      <c r="K316" s="11"/>
    </row>
    <row r="317">
      <c r="A317" s="8" t="s">
        <v>19</v>
      </c>
      <c r="B317" s="9" t="s">
        <v>70</v>
      </c>
      <c r="C317" s="9" t="s">
        <v>71</v>
      </c>
      <c r="D317" s="10"/>
      <c r="E317" s="11"/>
      <c r="F317" s="10"/>
      <c r="G317" s="11"/>
      <c r="H317" s="10"/>
      <c r="I317" s="11"/>
      <c r="J317" s="10"/>
      <c r="K317" s="11"/>
    </row>
    <row r="318">
      <c r="A318" s="8" t="s">
        <v>20</v>
      </c>
      <c r="B318" s="9" t="s">
        <v>70</v>
      </c>
      <c r="C318" s="9" t="s">
        <v>71</v>
      </c>
      <c r="D318" s="10"/>
      <c r="E318" s="11" t="n">
        <f>143</f>
        <v>143.0</v>
      </c>
      <c r="F318" s="10"/>
      <c r="G318" s="11" t="n">
        <f>150028500</f>
        <v>1.500285E8</v>
      </c>
      <c r="H318" s="10" t="s">
        <v>21</v>
      </c>
      <c r="I318" s="11" t="str">
        <f>"－"</f>
        <v>－</v>
      </c>
      <c r="J318" s="10"/>
      <c r="K318" s="11" t="n">
        <f>1915</f>
        <v>1915.0</v>
      </c>
    </row>
    <row r="319">
      <c r="A319" s="8" t="s">
        <v>23</v>
      </c>
      <c r="B319" s="9" t="s">
        <v>70</v>
      </c>
      <c r="C319" s="9" t="s">
        <v>71</v>
      </c>
      <c r="D319" s="10"/>
      <c r="E319" s="11" t="n">
        <f>100</f>
        <v>100.0</v>
      </c>
      <c r="F319" s="10"/>
      <c r="G319" s="11" t="n">
        <f>112365000</f>
        <v>1.12365E8</v>
      </c>
      <c r="H319" s="10"/>
      <c r="I319" s="11" t="str">
        <f>"－"</f>
        <v>－</v>
      </c>
      <c r="J319" s="10"/>
      <c r="K319" s="11" t="n">
        <f>1926</f>
        <v>1926.0</v>
      </c>
    </row>
    <row r="320">
      <c r="A320" s="8" t="s">
        <v>24</v>
      </c>
      <c r="B320" s="9" t="s">
        <v>70</v>
      </c>
      <c r="C320" s="9" t="s">
        <v>71</v>
      </c>
      <c r="D320" s="10"/>
      <c r="E320" s="11" t="n">
        <f>142</f>
        <v>142.0</v>
      </c>
      <c r="F320" s="10"/>
      <c r="G320" s="11" t="n">
        <f>158933500</f>
        <v>1.589335E8</v>
      </c>
      <c r="H320" s="10"/>
      <c r="I320" s="11" t="str">
        <f>"－"</f>
        <v>－</v>
      </c>
      <c r="J320" s="10"/>
      <c r="K320" s="11" t="n">
        <f>1921</f>
        <v>1921.0</v>
      </c>
    </row>
    <row r="321">
      <c r="A321" s="8" t="s">
        <v>25</v>
      </c>
      <c r="B321" s="9" t="s">
        <v>70</v>
      </c>
      <c r="C321" s="9" t="s">
        <v>71</v>
      </c>
      <c r="D321" s="10" t="s">
        <v>22</v>
      </c>
      <c r="E321" s="11" t="n">
        <f>61</f>
        <v>61.0</v>
      </c>
      <c r="F321" s="10"/>
      <c r="G321" s="11" t="n">
        <f>68889500</f>
        <v>6.88895E7</v>
      </c>
      <c r="H321" s="10"/>
      <c r="I321" s="11" t="str">
        <f>"－"</f>
        <v>－</v>
      </c>
      <c r="J321" s="10"/>
      <c r="K321" s="11" t="n">
        <f>1930</f>
        <v>1930.0</v>
      </c>
    </row>
    <row r="322">
      <c r="A322" s="8" t="s">
        <v>26</v>
      </c>
      <c r="B322" s="9" t="s">
        <v>70</v>
      </c>
      <c r="C322" s="9" t="s">
        <v>71</v>
      </c>
      <c r="D322" s="10"/>
      <c r="E322" s="11" t="n">
        <f>62</f>
        <v>62.0</v>
      </c>
      <c r="F322" s="10" t="s">
        <v>22</v>
      </c>
      <c r="G322" s="11" t="n">
        <f>68635500</f>
        <v>6.86355E7</v>
      </c>
      <c r="H322" s="10"/>
      <c r="I322" s="11" t="str">
        <f>"－"</f>
        <v>－</v>
      </c>
      <c r="J322" s="10"/>
      <c r="K322" s="11" t="n">
        <f>1938</f>
        <v>1938.0</v>
      </c>
    </row>
    <row r="323">
      <c r="A323" s="8" t="s">
        <v>27</v>
      </c>
      <c r="B323" s="9" t="s">
        <v>70</v>
      </c>
      <c r="C323" s="9" t="s">
        <v>71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28</v>
      </c>
      <c r="B324" s="9" t="s">
        <v>70</v>
      </c>
      <c r="C324" s="9" t="s">
        <v>71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29</v>
      </c>
      <c r="B325" s="9" t="s">
        <v>70</v>
      </c>
      <c r="C325" s="9" t="s">
        <v>71</v>
      </c>
      <c r="D325" s="10"/>
      <c r="E325" s="11"/>
      <c r="F325" s="10"/>
      <c r="G325" s="11"/>
      <c r="H325" s="10"/>
      <c r="I325" s="11"/>
      <c r="J325" s="10"/>
      <c r="K325" s="11"/>
    </row>
    <row r="326">
      <c r="A326" s="8" t="s">
        <v>30</v>
      </c>
      <c r="B326" s="9" t="s">
        <v>70</v>
      </c>
      <c r="C326" s="9" t="s">
        <v>71</v>
      </c>
      <c r="D326" s="10"/>
      <c r="E326" s="11" t="n">
        <f>85</f>
        <v>85.0</v>
      </c>
      <c r="F326" s="10"/>
      <c r="G326" s="11" t="n">
        <f>95564000</f>
        <v>9.5564E7</v>
      </c>
      <c r="H326" s="10"/>
      <c r="I326" s="11" t="str">
        <f>"－"</f>
        <v>－</v>
      </c>
      <c r="J326" s="10" t="s">
        <v>32</v>
      </c>
      <c r="K326" s="11" t="n">
        <f>1951</f>
        <v>1951.0</v>
      </c>
    </row>
    <row r="327">
      <c r="A327" s="8" t="s">
        <v>31</v>
      </c>
      <c r="B327" s="9" t="s">
        <v>70</v>
      </c>
      <c r="C327" s="9" t="s">
        <v>71</v>
      </c>
      <c r="D327" s="10"/>
      <c r="E327" s="11" t="n">
        <f>86</f>
        <v>86.0</v>
      </c>
      <c r="F327" s="10"/>
      <c r="G327" s="11" t="n">
        <f>97003500</f>
        <v>9.70035E7</v>
      </c>
      <c r="H327" s="10"/>
      <c r="I327" s="11" t="str">
        <f>"－"</f>
        <v>－</v>
      </c>
      <c r="J327" s="10"/>
      <c r="K327" s="11" t="n">
        <f>1930</f>
        <v>1930.0</v>
      </c>
    </row>
    <row r="328">
      <c r="A328" s="8" t="s">
        <v>33</v>
      </c>
      <c r="B328" s="9" t="s">
        <v>70</v>
      </c>
      <c r="C328" s="9" t="s">
        <v>71</v>
      </c>
      <c r="D328" s="10"/>
      <c r="E328" s="11" t="n">
        <f>319</f>
        <v>319.0</v>
      </c>
      <c r="F328" s="10"/>
      <c r="G328" s="11" t="n">
        <f>346004000</f>
        <v>3.46004E8</v>
      </c>
      <c r="H328" s="10"/>
      <c r="I328" s="11" t="str">
        <f>"－"</f>
        <v>－</v>
      </c>
      <c r="J328" s="10"/>
      <c r="K328" s="11" t="n">
        <f>1849</f>
        <v>1849.0</v>
      </c>
    </row>
    <row r="329">
      <c r="A329" s="8" t="s">
        <v>34</v>
      </c>
      <c r="B329" s="9" t="s">
        <v>70</v>
      </c>
      <c r="C329" s="9" t="s">
        <v>71</v>
      </c>
      <c r="D329" s="10" t="s">
        <v>32</v>
      </c>
      <c r="E329" s="11" t="n">
        <f>337</f>
        <v>337.0</v>
      </c>
      <c r="F329" s="10" t="s">
        <v>32</v>
      </c>
      <c r="G329" s="11" t="n">
        <f>387955000</f>
        <v>3.87955E8</v>
      </c>
      <c r="H329" s="10"/>
      <c r="I329" s="11" t="str">
        <f>"－"</f>
        <v>－</v>
      </c>
      <c r="J329" s="10"/>
      <c r="K329" s="11" t="n">
        <f>1806</f>
        <v>1806.0</v>
      </c>
    </row>
    <row r="330">
      <c r="A330" s="8" t="s">
        <v>35</v>
      </c>
      <c r="B330" s="9" t="s">
        <v>70</v>
      </c>
      <c r="C330" s="9" t="s">
        <v>71</v>
      </c>
      <c r="D330" s="10"/>
      <c r="E330" s="11"/>
      <c r="F330" s="10"/>
      <c r="G330" s="11"/>
      <c r="H330" s="10"/>
      <c r="I330" s="11"/>
      <c r="J330" s="10"/>
      <c r="K330" s="11"/>
    </row>
    <row r="331">
      <c r="A331" s="8" t="s">
        <v>36</v>
      </c>
      <c r="B331" s="9" t="s">
        <v>70</v>
      </c>
      <c r="C331" s="9" t="s">
        <v>71</v>
      </c>
      <c r="D331" s="10"/>
      <c r="E331" s="11"/>
      <c r="F331" s="10"/>
      <c r="G331" s="11"/>
      <c r="H331" s="10"/>
      <c r="I331" s="11"/>
      <c r="J331" s="10"/>
      <c r="K331" s="11"/>
    </row>
    <row r="332">
      <c r="A332" s="8" t="s">
        <v>37</v>
      </c>
      <c r="B332" s="9" t="s">
        <v>70</v>
      </c>
      <c r="C332" s="9" t="s">
        <v>71</v>
      </c>
      <c r="D332" s="10"/>
      <c r="E332" s="11" t="n">
        <f>233</f>
        <v>233.0</v>
      </c>
      <c r="F332" s="10"/>
      <c r="G332" s="11" t="n">
        <f>269587000</f>
        <v>2.69587E8</v>
      </c>
      <c r="H332" s="10"/>
      <c r="I332" s="11" t="str">
        <f>"－"</f>
        <v>－</v>
      </c>
      <c r="J332" s="10"/>
      <c r="K332" s="11" t="n">
        <f>1815</f>
        <v>1815.0</v>
      </c>
    </row>
    <row r="333">
      <c r="A333" s="8" t="s">
        <v>38</v>
      </c>
      <c r="B333" s="9" t="s">
        <v>70</v>
      </c>
      <c r="C333" s="9" t="s">
        <v>71</v>
      </c>
      <c r="D333" s="10"/>
      <c r="E333" s="11" t="n">
        <f>276</f>
        <v>276.0</v>
      </c>
      <c r="F333" s="10"/>
      <c r="G333" s="11" t="n">
        <f>322738500</f>
        <v>3.227385E8</v>
      </c>
      <c r="H333" s="10"/>
      <c r="I333" s="11" t="str">
        <f>"－"</f>
        <v>－</v>
      </c>
      <c r="J333" s="10"/>
      <c r="K333" s="11" t="n">
        <f>1843</f>
        <v>1843.0</v>
      </c>
    </row>
    <row r="334">
      <c r="A334" s="8" t="s">
        <v>39</v>
      </c>
      <c r="B334" s="9" t="s">
        <v>70</v>
      </c>
      <c r="C334" s="9" t="s">
        <v>71</v>
      </c>
      <c r="D334" s="10"/>
      <c r="E334" s="11" t="n">
        <f>259</f>
        <v>259.0</v>
      </c>
      <c r="F334" s="10"/>
      <c r="G334" s="11" t="n">
        <f>300593000</f>
        <v>3.00593E8</v>
      </c>
      <c r="H334" s="10"/>
      <c r="I334" s="11" t="str">
        <f>"－"</f>
        <v>－</v>
      </c>
      <c r="J334" s="10"/>
      <c r="K334" s="11" t="n">
        <f>1883</f>
        <v>1883.0</v>
      </c>
    </row>
    <row r="335">
      <c r="A335" s="8" t="s">
        <v>40</v>
      </c>
      <c r="B335" s="9" t="s">
        <v>70</v>
      </c>
      <c r="C335" s="9" t="s">
        <v>71</v>
      </c>
      <c r="D335" s="10"/>
      <c r="E335" s="11" t="n">
        <f>160</f>
        <v>160.0</v>
      </c>
      <c r="F335" s="10"/>
      <c r="G335" s="11" t="n">
        <f>184162000</f>
        <v>1.84162E8</v>
      </c>
      <c r="H335" s="10"/>
      <c r="I335" s="11" t="str">
        <f>"－"</f>
        <v>－</v>
      </c>
      <c r="J335" s="10"/>
      <c r="K335" s="11" t="n">
        <f>1885</f>
        <v>1885.0</v>
      </c>
    </row>
    <row r="336">
      <c r="A336" s="8" t="s">
        <v>41</v>
      </c>
      <c r="B336" s="9" t="s">
        <v>70</v>
      </c>
      <c r="C336" s="9" t="s">
        <v>71</v>
      </c>
      <c r="D336" s="10"/>
      <c r="E336" s="11" t="n">
        <f>182</f>
        <v>182.0</v>
      </c>
      <c r="F336" s="10"/>
      <c r="G336" s="11" t="n">
        <f>210313000</f>
        <v>2.10313E8</v>
      </c>
      <c r="H336" s="10"/>
      <c r="I336" s="11" t="str">
        <f>"－"</f>
        <v>－</v>
      </c>
      <c r="J336" s="10"/>
      <c r="K336" s="11" t="n">
        <f>1898</f>
        <v>1898.0</v>
      </c>
    </row>
    <row r="337">
      <c r="A337" s="8" t="s">
        <v>42</v>
      </c>
      <c r="B337" s="9" t="s">
        <v>70</v>
      </c>
      <c r="C337" s="9" t="s">
        <v>71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43</v>
      </c>
      <c r="B338" s="9" t="s">
        <v>70</v>
      </c>
      <c r="C338" s="9" t="s">
        <v>71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44</v>
      </c>
      <c r="B339" s="9" t="s">
        <v>70</v>
      </c>
      <c r="C339" s="9" t="s">
        <v>71</v>
      </c>
      <c r="D339" s="10"/>
      <c r="E339" s="11" t="n">
        <f>214</f>
        <v>214.0</v>
      </c>
      <c r="F339" s="10"/>
      <c r="G339" s="11" t="n">
        <f>248645000</f>
        <v>2.48645E8</v>
      </c>
      <c r="H339" s="10"/>
      <c r="I339" s="11" t="str">
        <f>"－"</f>
        <v>－</v>
      </c>
      <c r="J339" s="10"/>
      <c r="K339" s="11" t="n">
        <f>1921</f>
        <v>1921.0</v>
      </c>
    </row>
    <row r="340">
      <c r="A340" s="8" t="s">
        <v>45</v>
      </c>
      <c r="B340" s="9" t="s">
        <v>70</v>
      </c>
      <c r="C340" s="9" t="s">
        <v>71</v>
      </c>
      <c r="D340" s="10"/>
      <c r="E340" s="11" t="n">
        <f>305</f>
        <v>305.0</v>
      </c>
      <c r="F340" s="10"/>
      <c r="G340" s="11" t="n">
        <f>356540500</f>
        <v>3.565405E8</v>
      </c>
      <c r="H340" s="10"/>
      <c r="I340" s="11" t="str">
        <f>"－"</f>
        <v>－</v>
      </c>
      <c r="J340" s="10"/>
      <c r="K340" s="11" t="n">
        <f>1880</f>
        <v>1880.0</v>
      </c>
    </row>
    <row r="341">
      <c r="A341" s="8" t="s">
        <v>46</v>
      </c>
      <c r="B341" s="9" t="s">
        <v>70</v>
      </c>
      <c r="C341" s="9" t="s">
        <v>71</v>
      </c>
      <c r="D341" s="10"/>
      <c r="E341" s="11" t="n">
        <f>316</f>
        <v>316.0</v>
      </c>
      <c r="F341" s="10"/>
      <c r="G341" s="11" t="n">
        <f>370592500</f>
        <v>3.705925E8</v>
      </c>
      <c r="H341" s="10"/>
      <c r="I341" s="11" t="str">
        <f>"－"</f>
        <v>－</v>
      </c>
      <c r="J341" s="10"/>
      <c r="K341" s="11" t="n">
        <f>1861</f>
        <v>1861.0</v>
      </c>
    </row>
    <row r="342">
      <c r="A342" s="8" t="s">
        <v>47</v>
      </c>
      <c r="B342" s="9" t="s">
        <v>70</v>
      </c>
      <c r="C342" s="9" t="s">
        <v>71</v>
      </c>
      <c r="D342" s="10"/>
      <c r="E342" s="11" t="n">
        <f>282</f>
        <v>282.0</v>
      </c>
      <c r="F342" s="10"/>
      <c r="G342" s="11" t="n">
        <f>330946000</f>
        <v>3.30946E8</v>
      </c>
      <c r="H342" s="10"/>
      <c r="I342" s="11" t="str">
        <f>"－"</f>
        <v>－</v>
      </c>
      <c r="J342" s="10"/>
      <c r="K342" s="11" t="n">
        <f>1834</f>
        <v>1834.0</v>
      </c>
    </row>
    <row r="343">
      <c r="A343" s="8" t="s">
        <v>48</v>
      </c>
      <c r="B343" s="9" t="s">
        <v>70</v>
      </c>
      <c r="C343" s="9" t="s">
        <v>71</v>
      </c>
      <c r="D343" s="10"/>
      <c r="E343" s="11" t="n">
        <f>266</f>
        <v>266.0</v>
      </c>
      <c r="F343" s="10"/>
      <c r="G343" s="11" t="n">
        <f>313494500</f>
        <v>3.134945E8</v>
      </c>
      <c r="H343" s="10"/>
      <c r="I343" s="11" t="str">
        <f>"－"</f>
        <v>－</v>
      </c>
      <c r="J343" s="10"/>
      <c r="K343" s="11" t="n">
        <f>1793</f>
        <v>1793.0</v>
      </c>
    </row>
    <row r="344">
      <c r="A344" s="8" t="s">
        <v>49</v>
      </c>
      <c r="B344" s="9" t="s">
        <v>70</v>
      </c>
      <c r="C344" s="9" t="s">
        <v>71</v>
      </c>
      <c r="D344" s="10"/>
      <c r="E344" s="11"/>
      <c r="F344" s="10"/>
      <c r="G344" s="11"/>
      <c r="H344" s="10"/>
      <c r="I344" s="11"/>
      <c r="J344" s="10"/>
      <c r="K344" s="11"/>
    </row>
    <row r="345">
      <c r="A345" s="8" t="s">
        <v>50</v>
      </c>
      <c r="B345" s="9" t="s">
        <v>70</v>
      </c>
      <c r="C345" s="9" t="s">
        <v>71</v>
      </c>
      <c r="D345" s="10"/>
      <c r="E345" s="11"/>
      <c r="F345" s="10"/>
      <c r="G345" s="11"/>
      <c r="H345" s="10"/>
      <c r="I345" s="11"/>
      <c r="J345" s="10"/>
      <c r="K345" s="11"/>
    </row>
    <row r="346">
      <c r="A346" s="8" t="s">
        <v>51</v>
      </c>
      <c r="B346" s="9" t="s">
        <v>70</v>
      </c>
      <c r="C346" s="9" t="s">
        <v>71</v>
      </c>
      <c r="D346" s="10"/>
      <c r="E346" s="11" t="n">
        <f>180</f>
        <v>180.0</v>
      </c>
      <c r="F346" s="10"/>
      <c r="G346" s="11" t="n">
        <f>212642000</f>
        <v>2.12642E8</v>
      </c>
      <c r="H346" s="10"/>
      <c r="I346" s="11" t="str">
        <f>"－"</f>
        <v>－</v>
      </c>
      <c r="J346" s="10" t="s">
        <v>22</v>
      </c>
      <c r="K346" s="11" t="n">
        <f>1775</f>
        <v>1775.0</v>
      </c>
    </row>
    <row r="347">
      <c r="A347" s="8" t="s">
        <v>16</v>
      </c>
      <c r="B347" s="9" t="s">
        <v>72</v>
      </c>
      <c r="C347" s="9" t="s">
        <v>73</v>
      </c>
      <c r="D347" s="10"/>
      <c r="E347" s="11"/>
      <c r="F347" s="10"/>
      <c r="G347" s="11"/>
      <c r="H347" s="10"/>
      <c r="I347" s="11"/>
      <c r="J347" s="10"/>
      <c r="K347" s="11"/>
    </row>
    <row r="348">
      <c r="A348" s="8" t="s">
        <v>19</v>
      </c>
      <c r="B348" s="9" t="s">
        <v>72</v>
      </c>
      <c r="C348" s="9" t="s">
        <v>73</v>
      </c>
      <c r="D348" s="10"/>
      <c r="E348" s="11"/>
      <c r="F348" s="10"/>
      <c r="G348" s="11"/>
      <c r="H348" s="10"/>
      <c r="I348" s="11"/>
      <c r="J348" s="10"/>
      <c r="K348" s="11"/>
    </row>
    <row r="349">
      <c r="A349" s="8" t="s">
        <v>20</v>
      </c>
      <c r="B349" s="9" t="s">
        <v>72</v>
      </c>
      <c r="C349" s="9" t="s">
        <v>73</v>
      </c>
      <c r="D349" s="10" t="s">
        <v>21</v>
      </c>
      <c r="E349" s="11" t="str">
        <f>"－"</f>
        <v>－</v>
      </c>
      <c r="F349" s="10" t="s">
        <v>21</v>
      </c>
      <c r="G349" s="11" t="str">
        <f>"－"</f>
        <v>－</v>
      </c>
      <c r="H349" s="10" t="s">
        <v>21</v>
      </c>
      <c r="I349" s="11" t="str">
        <f>"－"</f>
        <v>－</v>
      </c>
      <c r="J349" s="10" t="s">
        <v>21</v>
      </c>
      <c r="K349" s="11" t="str">
        <f>"－"</f>
        <v>－</v>
      </c>
    </row>
    <row r="350">
      <c r="A350" s="8" t="s">
        <v>23</v>
      </c>
      <c r="B350" s="9" t="s">
        <v>72</v>
      </c>
      <c r="C350" s="9" t="s">
        <v>73</v>
      </c>
      <c r="D350" s="10"/>
      <c r="E350" s="11" t="str">
        <f>"－"</f>
        <v>－</v>
      </c>
      <c r="F350" s="10"/>
      <c r="G350" s="11" t="str">
        <f>"－"</f>
        <v>－</v>
      </c>
      <c r="H350" s="10"/>
      <c r="I350" s="11" t="str">
        <f>"－"</f>
        <v>－</v>
      </c>
      <c r="J350" s="10"/>
      <c r="K350" s="11" t="str">
        <f>"－"</f>
        <v>－</v>
      </c>
    </row>
    <row r="351">
      <c r="A351" s="8" t="s">
        <v>24</v>
      </c>
      <c r="B351" s="9" t="s">
        <v>72</v>
      </c>
      <c r="C351" s="9" t="s">
        <v>73</v>
      </c>
      <c r="D351" s="10"/>
      <c r="E351" s="11" t="str">
        <f>"－"</f>
        <v>－</v>
      </c>
      <c r="F351" s="10"/>
      <c r="G351" s="11" t="str">
        <f>"－"</f>
        <v>－</v>
      </c>
      <c r="H351" s="10"/>
      <c r="I351" s="11" t="str">
        <f>"－"</f>
        <v>－</v>
      </c>
      <c r="J351" s="10"/>
      <c r="K351" s="11" t="str">
        <f>"－"</f>
        <v>－</v>
      </c>
    </row>
    <row r="352">
      <c r="A352" s="8" t="s">
        <v>25</v>
      </c>
      <c r="B352" s="9" t="s">
        <v>72</v>
      </c>
      <c r="C352" s="9" t="s">
        <v>73</v>
      </c>
      <c r="D352" s="10"/>
      <c r="E352" s="11" t="str">
        <f>"－"</f>
        <v>－</v>
      </c>
      <c r="F352" s="10"/>
      <c r="G352" s="11" t="str">
        <f>"－"</f>
        <v>－</v>
      </c>
      <c r="H352" s="10"/>
      <c r="I352" s="11" t="str">
        <f>"－"</f>
        <v>－</v>
      </c>
      <c r="J352" s="10"/>
      <c r="K352" s="11" t="str">
        <f>"－"</f>
        <v>－</v>
      </c>
    </row>
    <row r="353">
      <c r="A353" s="8" t="s">
        <v>26</v>
      </c>
      <c r="B353" s="9" t="s">
        <v>72</v>
      </c>
      <c r="C353" s="9" t="s">
        <v>73</v>
      </c>
      <c r="D353" s="10"/>
      <c r="E353" s="11" t="str">
        <f>"－"</f>
        <v>－</v>
      </c>
      <c r="F353" s="10"/>
      <c r="G353" s="11" t="str">
        <f>"－"</f>
        <v>－</v>
      </c>
      <c r="H353" s="10"/>
      <c r="I353" s="11" t="str">
        <f>"－"</f>
        <v>－</v>
      </c>
      <c r="J353" s="10"/>
      <c r="K353" s="11" t="str">
        <f>"－"</f>
        <v>－</v>
      </c>
    </row>
    <row r="354">
      <c r="A354" s="8" t="s">
        <v>27</v>
      </c>
      <c r="B354" s="9" t="s">
        <v>72</v>
      </c>
      <c r="C354" s="9" t="s">
        <v>73</v>
      </c>
      <c r="D354" s="10"/>
      <c r="E354" s="11"/>
      <c r="F354" s="10"/>
      <c r="G354" s="11"/>
      <c r="H354" s="10"/>
      <c r="I354" s="11"/>
      <c r="J354" s="10"/>
      <c r="K354" s="11"/>
    </row>
    <row r="355">
      <c r="A355" s="8" t="s">
        <v>28</v>
      </c>
      <c r="B355" s="9" t="s">
        <v>72</v>
      </c>
      <c r="C355" s="9" t="s">
        <v>73</v>
      </c>
      <c r="D355" s="10"/>
      <c r="E355" s="11"/>
      <c r="F355" s="10"/>
      <c r="G355" s="11"/>
      <c r="H355" s="10"/>
      <c r="I355" s="11"/>
      <c r="J355" s="10"/>
      <c r="K355" s="11"/>
    </row>
    <row r="356">
      <c r="A356" s="8" t="s">
        <v>29</v>
      </c>
      <c r="B356" s="9" t="s">
        <v>72</v>
      </c>
      <c r="C356" s="9" t="s">
        <v>73</v>
      </c>
      <c r="D356" s="10"/>
      <c r="E356" s="11"/>
      <c r="F356" s="10"/>
      <c r="G356" s="11"/>
      <c r="H356" s="10"/>
      <c r="I356" s="11"/>
      <c r="J356" s="10"/>
      <c r="K356" s="11"/>
    </row>
    <row r="357">
      <c r="A357" s="8" t="s">
        <v>30</v>
      </c>
      <c r="B357" s="9" t="s">
        <v>72</v>
      </c>
      <c r="C357" s="9" t="s">
        <v>73</v>
      </c>
      <c r="D357" s="10"/>
      <c r="E357" s="11" t="str">
        <f>"－"</f>
        <v>－</v>
      </c>
      <c r="F357" s="10"/>
      <c r="G357" s="11" t="str">
        <f>"－"</f>
        <v>－</v>
      </c>
      <c r="H357" s="10"/>
      <c r="I357" s="11" t="str">
        <f>"－"</f>
        <v>－</v>
      </c>
      <c r="J357" s="10"/>
      <c r="K357" s="11" t="str">
        <f>"－"</f>
        <v>－</v>
      </c>
    </row>
    <row r="358">
      <c r="A358" s="8" t="s">
        <v>31</v>
      </c>
      <c r="B358" s="9" t="s">
        <v>72</v>
      </c>
      <c r="C358" s="9" t="s">
        <v>73</v>
      </c>
      <c r="D358" s="10"/>
      <c r="E358" s="11" t="str">
        <f>"－"</f>
        <v>－</v>
      </c>
      <c r="F358" s="10"/>
      <c r="G358" s="11" t="str">
        <f>"－"</f>
        <v>－</v>
      </c>
      <c r="H358" s="10"/>
      <c r="I358" s="11" t="str">
        <f>"－"</f>
        <v>－</v>
      </c>
      <c r="J358" s="10"/>
      <c r="K358" s="11" t="str">
        <f>"－"</f>
        <v>－</v>
      </c>
    </row>
    <row r="359">
      <c r="A359" s="8" t="s">
        <v>33</v>
      </c>
      <c r="B359" s="9" t="s">
        <v>72</v>
      </c>
      <c r="C359" s="9" t="s">
        <v>73</v>
      </c>
      <c r="D359" s="10"/>
      <c r="E359" s="11" t="str">
        <f>"－"</f>
        <v>－</v>
      </c>
      <c r="F359" s="10"/>
      <c r="G359" s="11" t="str">
        <f>"－"</f>
        <v>－</v>
      </c>
      <c r="H359" s="10"/>
      <c r="I359" s="11" t="str">
        <f>"－"</f>
        <v>－</v>
      </c>
      <c r="J359" s="10"/>
      <c r="K359" s="11" t="str">
        <f>"－"</f>
        <v>－</v>
      </c>
    </row>
    <row r="360">
      <c r="A360" s="8" t="s">
        <v>34</v>
      </c>
      <c r="B360" s="9" t="s">
        <v>72</v>
      </c>
      <c r="C360" s="9" t="s">
        <v>73</v>
      </c>
      <c r="D360" s="10"/>
      <c r="E360" s="11" t="str">
        <f>"－"</f>
        <v>－</v>
      </c>
      <c r="F360" s="10"/>
      <c r="G360" s="11" t="str">
        <f>"－"</f>
        <v>－</v>
      </c>
      <c r="H360" s="10"/>
      <c r="I360" s="11" t="str">
        <f>"－"</f>
        <v>－</v>
      </c>
      <c r="J360" s="10"/>
      <c r="K360" s="11" t="str">
        <f>"－"</f>
        <v>－</v>
      </c>
    </row>
    <row r="361">
      <c r="A361" s="8" t="s">
        <v>35</v>
      </c>
      <c r="B361" s="9" t="s">
        <v>72</v>
      </c>
      <c r="C361" s="9" t="s">
        <v>73</v>
      </c>
      <c r="D361" s="10"/>
      <c r="E361" s="11"/>
      <c r="F361" s="10"/>
      <c r="G361" s="11"/>
      <c r="H361" s="10"/>
      <c r="I361" s="11"/>
      <c r="J361" s="10"/>
      <c r="K361" s="11"/>
    </row>
    <row r="362">
      <c r="A362" s="8" t="s">
        <v>36</v>
      </c>
      <c r="B362" s="9" t="s">
        <v>72</v>
      </c>
      <c r="C362" s="9" t="s">
        <v>73</v>
      </c>
      <c r="D362" s="10"/>
      <c r="E362" s="11"/>
      <c r="F362" s="10"/>
      <c r="G362" s="11"/>
      <c r="H362" s="10"/>
      <c r="I362" s="11"/>
      <c r="J362" s="10"/>
      <c r="K362" s="11"/>
    </row>
    <row r="363">
      <c r="A363" s="8" t="s">
        <v>37</v>
      </c>
      <c r="B363" s="9" t="s">
        <v>72</v>
      </c>
      <c r="C363" s="9" t="s">
        <v>73</v>
      </c>
      <c r="D363" s="10"/>
      <c r="E363" s="11" t="str">
        <f>"－"</f>
        <v>－</v>
      </c>
      <c r="F363" s="10"/>
      <c r="G363" s="11" t="str">
        <f>"－"</f>
        <v>－</v>
      </c>
      <c r="H363" s="10"/>
      <c r="I363" s="11" t="str">
        <f>"－"</f>
        <v>－</v>
      </c>
      <c r="J363" s="10"/>
      <c r="K363" s="11" t="str">
        <f>"－"</f>
        <v>－</v>
      </c>
    </row>
    <row r="364">
      <c r="A364" s="8" t="s">
        <v>38</v>
      </c>
      <c r="B364" s="9" t="s">
        <v>72</v>
      </c>
      <c r="C364" s="9" t="s">
        <v>73</v>
      </c>
      <c r="D364" s="10"/>
      <c r="E364" s="11" t="str">
        <f>"－"</f>
        <v>－</v>
      </c>
      <c r="F364" s="10"/>
      <c r="G364" s="11" t="str">
        <f>"－"</f>
        <v>－</v>
      </c>
      <c r="H364" s="10"/>
      <c r="I364" s="11" t="str">
        <f>"－"</f>
        <v>－</v>
      </c>
      <c r="J364" s="10"/>
      <c r="K364" s="11" t="str">
        <f>"－"</f>
        <v>－</v>
      </c>
    </row>
    <row r="365">
      <c r="A365" s="8" t="s">
        <v>39</v>
      </c>
      <c r="B365" s="9" t="s">
        <v>72</v>
      </c>
      <c r="C365" s="9" t="s">
        <v>73</v>
      </c>
      <c r="D365" s="10"/>
      <c r="E365" s="11" t="str">
        <f>"－"</f>
        <v>－</v>
      </c>
      <c r="F365" s="10"/>
      <c r="G365" s="11" t="str">
        <f>"－"</f>
        <v>－</v>
      </c>
      <c r="H365" s="10"/>
      <c r="I365" s="11" t="str">
        <f>"－"</f>
        <v>－</v>
      </c>
      <c r="J365" s="10"/>
      <c r="K365" s="11" t="str">
        <f>"－"</f>
        <v>－</v>
      </c>
    </row>
    <row r="366">
      <c r="A366" s="8" t="s">
        <v>40</v>
      </c>
      <c r="B366" s="9" t="s">
        <v>72</v>
      </c>
      <c r="C366" s="9" t="s">
        <v>73</v>
      </c>
      <c r="D366" s="10"/>
      <c r="E366" s="11" t="str">
        <f>"－"</f>
        <v>－</v>
      </c>
      <c r="F366" s="10"/>
      <c r="G366" s="11" t="str">
        <f>"－"</f>
        <v>－</v>
      </c>
      <c r="H366" s="10"/>
      <c r="I366" s="11" t="str">
        <f>"－"</f>
        <v>－</v>
      </c>
      <c r="J366" s="10"/>
      <c r="K366" s="11" t="str">
        <f>"－"</f>
        <v>－</v>
      </c>
    </row>
    <row r="367">
      <c r="A367" s="8" t="s">
        <v>41</v>
      </c>
      <c r="B367" s="9" t="s">
        <v>72</v>
      </c>
      <c r="C367" s="9" t="s">
        <v>73</v>
      </c>
      <c r="D367" s="10"/>
      <c r="E367" s="11" t="str">
        <f>"－"</f>
        <v>－</v>
      </c>
      <c r="F367" s="10"/>
      <c r="G367" s="11" t="str">
        <f>"－"</f>
        <v>－</v>
      </c>
      <c r="H367" s="10"/>
      <c r="I367" s="11" t="str">
        <f>"－"</f>
        <v>－</v>
      </c>
      <c r="J367" s="10"/>
      <c r="K367" s="11" t="str">
        <f>"－"</f>
        <v>－</v>
      </c>
    </row>
    <row r="368">
      <c r="A368" s="8" t="s">
        <v>42</v>
      </c>
      <c r="B368" s="9" t="s">
        <v>72</v>
      </c>
      <c r="C368" s="9" t="s">
        <v>73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43</v>
      </c>
      <c r="B369" s="9" t="s">
        <v>72</v>
      </c>
      <c r="C369" s="9" t="s">
        <v>73</v>
      </c>
      <c r="D369" s="10"/>
      <c r="E369" s="11"/>
      <c r="F369" s="10"/>
      <c r="G369" s="11"/>
      <c r="H369" s="10"/>
      <c r="I369" s="11"/>
      <c r="J369" s="10"/>
      <c r="K369" s="11"/>
    </row>
    <row r="370">
      <c r="A370" s="8" t="s">
        <v>44</v>
      </c>
      <c r="B370" s="9" t="s">
        <v>72</v>
      </c>
      <c r="C370" s="9" t="s">
        <v>73</v>
      </c>
      <c r="D370" s="10"/>
      <c r="E370" s="11" t="str">
        <f>"－"</f>
        <v>－</v>
      </c>
      <c r="F370" s="10"/>
      <c r="G370" s="11" t="str">
        <f>"－"</f>
        <v>－</v>
      </c>
      <c r="H370" s="10"/>
      <c r="I370" s="11" t="str">
        <f>"－"</f>
        <v>－</v>
      </c>
      <c r="J370" s="10"/>
      <c r="K370" s="11" t="str">
        <f>"－"</f>
        <v>－</v>
      </c>
    </row>
    <row r="371">
      <c r="A371" s="8" t="s">
        <v>45</v>
      </c>
      <c r="B371" s="9" t="s">
        <v>72</v>
      </c>
      <c r="C371" s="9" t="s">
        <v>73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str">
        <f>"－"</f>
        <v>－</v>
      </c>
    </row>
    <row r="372">
      <c r="A372" s="8" t="s">
        <v>46</v>
      </c>
      <c r="B372" s="9" t="s">
        <v>72</v>
      </c>
      <c r="C372" s="9" t="s">
        <v>73</v>
      </c>
      <c r="D372" s="10"/>
      <c r="E372" s="11" t="str">
        <f>"－"</f>
        <v>－</v>
      </c>
      <c r="F372" s="10"/>
      <c r="G372" s="11" t="str">
        <f>"－"</f>
        <v>－</v>
      </c>
      <c r="H372" s="10"/>
      <c r="I372" s="11" t="str">
        <f>"－"</f>
        <v>－</v>
      </c>
      <c r="J372" s="10"/>
      <c r="K372" s="11" t="str">
        <f>"－"</f>
        <v>－</v>
      </c>
    </row>
    <row r="373">
      <c r="A373" s="8" t="s">
        <v>47</v>
      </c>
      <c r="B373" s="9" t="s">
        <v>72</v>
      </c>
      <c r="C373" s="9" t="s">
        <v>73</v>
      </c>
      <c r="D373" s="10"/>
      <c r="E373" s="11" t="str">
        <f>"－"</f>
        <v>－</v>
      </c>
      <c r="F373" s="10"/>
      <c r="G373" s="11" t="str">
        <f>"－"</f>
        <v>－</v>
      </c>
      <c r="H373" s="10"/>
      <c r="I373" s="11" t="str">
        <f>"－"</f>
        <v>－</v>
      </c>
      <c r="J373" s="10"/>
      <c r="K373" s="11" t="str">
        <f>"－"</f>
        <v>－</v>
      </c>
    </row>
    <row r="374">
      <c r="A374" s="8" t="s">
        <v>48</v>
      </c>
      <c r="B374" s="9" t="s">
        <v>72</v>
      </c>
      <c r="C374" s="9" t="s">
        <v>73</v>
      </c>
      <c r="D374" s="10"/>
      <c r="E374" s="11" t="str">
        <f>"－"</f>
        <v>－</v>
      </c>
      <c r="F374" s="10"/>
      <c r="G374" s="11" t="str">
        <f>"－"</f>
        <v>－</v>
      </c>
      <c r="H374" s="10"/>
      <c r="I374" s="11" t="str">
        <f>"－"</f>
        <v>－</v>
      </c>
      <c r="J374" s="10"/>
      <c r="K374" s="11" t="str">
        <f>"－"</f>
        <v>－</v>
      </c>
    </row>
    <row r="375">
      <c r="A375" s="8" t="s">
        <v>49</v>
      </c>
      <c r="B375" s="9" t="s">
        <v>72</v>
      </c>
      <c r="C375" s="9" t="s">
        <v>73</v>
      </c>
      <c r="D375" s="10"/>
      <c r="E375" s="11"/>
      <c r="F375" s="10"/>
      <c r="G375" s="11"/>
      <c r="H375" s="10"/>
      <c r="I375" s="11"/>
      <c r="J375" s="10"/>
      <c r="K375" s="11"/>
    </row>
    <row r="376">
      <c r="A376" s="8" t="s">
        <v>50</v>
      </c>
      <c r="B376" s="9" t="s">
        <v>72</v>
      </c>
      <c r="C376" s="9" t="s">
        <v>73</v>
      </c>
      <c r="D376" s="10"/>
      <c r="E376" s="11"/>
      <c r="F376" s="10"/>
      <c r="G376" s="11"/>
      <c r="H376" s="10"/>
      <c r="I376" s="11"/>
      <c r="J376" s="10"/>
      <c r="K376" s="11"/>
    </row>
    <row r="377">
      <c r="A377" s="8" t="s">
        <v>51</v>
      </c>
      <c r="B377" s="9" t="s">
        <v>72</v>
      </c>
      <c r="C377" s="9" t="s">
        <v>73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/>
      <c r="E378" s="11"/>
      <c r="F378" s="10"/>
      <c r="G378" s="11"/>
      <c r="H378" s="10"/>
      <c r="I378" s="11"/>
      <c r="J378" s="10"/>
      <c r="K378" s="11"/>
    </row>
    <row r="379">
      <c r="A379" s="8" t="s">
        <v>19</v>
      </c>
      <c r="B379" s="9" t="s">
        <v>74</v>
      </c>
      <c r="C379" s="9" t="s">
        <v>75</v>
      </c>
      <c r="D379" s="10"/>
      <c r="E379" s="11"/>
      <c r="F379" s="10"/>
      <c r="G379" s="11"/>
      <c r="H379" s="10"/>
      <c r="I379" s="11"/>
      <c r="J379" s="10"/>
      <c r="K379" s="11"/>
    </row>
    <row r="380">
      <c r="A380" s="8" t="s">
        <v>20</v>
      </c>
      <c r="B380" s="9" t="s">
        <v>74</v>
      </c>
      <c r="C380" s="9" t="s">
        <v>75</v>
      </c>
      <c r="D380" s="10"/>
      <c r="E380" s="11" t="n">
        <f>1</f>
        <v>1.0</v>
      </c>
      <c r="F380" s="10"/>
      <c r="G380" s="11" t="n">
        <f>1080000</f>
        <v>1080000.0</v>
      </c>
      <c r="H380" s="10" t="s">
        <v>21</v>
      </c>
      <c r="I380" s="11" t="str">
        <f>"－"</f>
        <v>－</v>
      </c>
      <c r="J380" s="10" t="s">
        <v>22</v>
      </c>
      <c r="K380" s="11" t="n">
        <f>6</f>
        <v>6.0</v>
      </c>
    </row>
    <row r="381">
      <c r="A381" s="8" t="s">
        <v>23</v>
      </c>
      <c r="B381" s="9" t="s">
        <v>74</v>
      </c>
      <c r="C381" s="9" t="s">
        <v>75</v>
      </c>
      <c r="D381" s="10" t="s">
        <v>22</v>
      </c>
      <c r="E381" s="11" t="str">
        <f>"－"</f>
        <v>－</v>
      </c>
      <c r="F381" s="10" t="s">
        <v>22</v>
      </c>
      <c r="G381" s="11" t="str">
        <f>"－"</f>
        <v>－</v>
      </c>
      <c r="H381" s="10"/>
      <c r="I381" s="11" t="str">
        <f>"－"</f>
        <v>－</v>
      </c>
      <c r="J381" s="10"/>
      <c r="K381" s="11" t="n">
        <f>6</f>
        <v>6.0</v>
      </c>
    </row>
    <row r="382">
      <c r="A382" s="8" t="s">
        <v>24</v>
      </c>
      <c r="B382" s="9" t="s">
        <v>74</v>
      </c>
      <c r="C382" s="9" t="s">
        <v>75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n">
        <f>6</f>
        <v>6.0</v>
      </c>
    </row>
    <row r="383">
      <c r="A383" s="8" t="s">
        <v>25</v>
      </c>
      <c r="B383" s="9" t="s">
        <v>74</v>
      </c>
      <c r="C383" s="9" t="s">
        <v>75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n">
        <f>6</f>
        <v>6.0</v>
      </c>
    </row>
    <row r="384">
      <c r="A384" s="8" t="s">
        <v>26</v>
      </c>
      <c r="B384" s="9" t="s">
        <v>74</v>
      </c>
      <c r="C384" s="9" t="s">
        <v>75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n">
        <f>6</f>
        <v>6.0</v>
      </c>
    </row>
    <row r="385">
      <c r="A385" s="8" t="s">
        <v>27</v>
      </c>
      <c r="B385" s="9" t="s">
        <v>74</v>
      </c>
      <c r="C385" s="9" t="s">
        <v>75</v>
      </c>
      <c r="D385" s="10"/>
      <c r="E385" s="11"/>
      <c r="F385" s="10"/>
      <c r="G385" s="11"/>
      <c r="H385" s="10"/>
      <c r="I385" s="11"/>
      <c r="J385" s="10"/>
      <c r="K385" s="11"/>
    </row>
    <row r="386">
      <c r="A386" s="8" t="s">
        <v>28</v>
      </c>
      <c r="B386" s="9" t="s">
        <v>74</v>
      </c>
      <c r="C386" s="9" t="s">
        <v>75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29</v>
      </c>
      <c r="B387" s="9" t="s">
        <v>74</v>
      </c>
      <c r="C387" s="9" t="s">
        <v>75</v>
      </c>
      <c r="D387" s="10"/>
      <c r="E387" s="11"/>
      <c r="F387" s="10"/>
      <c r="G387" s="11"/>
      <c r="H387" s="10"/>
      <c r="I387" s="11"/>
      <c r="J387" s="10"/>
      <c r="K387" s="11"/>
    </row>
    <row r="388">
      <c r="A388" s="8" t="s">
        <v>30</v>
      </c>
      <c r="B388" s="9" t="s">
        <v>74</v>
      </c>
      <c r="C388" s="9" t="s">
        <v>75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n">
        <f>6</f>
        <v>6.0</v>
      </c>
    </row>
    <row r="389">
      <c r="A389" s="8" t="s">
        <v>31</v>
      </c>
      <c r="B389" s="9" t="s">
        <v>74</v>
      </c>
      <c r="C389" s="9" t="s">
        <v>75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n">
        <f>6</f>
        <v>6.0</v>
      </c>
    </row>
    <row r="390">
      <c r="A390" s="8" t="s">
        <v>33</v>
      </c>
      <c r="B390" s="9" t="s">
        <v>74</v>
      </c>
      <c r="C390" s="9" t="s">
        <v>75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n">
        <f>6</f>
        <v>6.0</v>
      </c>
    </row>
    <row r="391">
      <c r="A391" s="8" t="s">
        <v>34</v>
      </c>
      <c r="B391" s="9" t="s">
        <v>74</v>
      </c>
      <c r="C391" s="9" t="s">
        <v>75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n">
        <f>6</f>
        <v>6.0</v>
      </c>
    </row>
    <row r="392">
      <c r="A392" s="8" t="s">
        <v>35</v>
      </c>
      <c r="B392" s="9" t="s">
        <v>74</v>
      </c>
      <c r="C392" s="9" t="s">
        <v>75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36</v>
      </c>
      <c r="B393" s="9" t="s">
        <v>74</v>
      </c>
      <c r="C393" s="9" t="s">
        <v>75</v>
      </c>
      <c r="D393" s="10"/>
      <c r="E393" s="11"/>
      <c r="F393" s="10"/>
      <c r="G393" s="11"/>
      <c r="H393" s="10"/>
      <c r="I393" s="11"/>
      <c r="J393" s="10"/>
      <c r="K393" s="11"/>
    </row>
    <row r="394">
      <c r="A394" s="8" t="s">
        <v>37</v>
      </c>
      <c r="B394" s="9" t="s">
        <v>74</v>
      </c>
      <c r="C394" s="9" t="s">
        <v>75</v>
      </c>
      <c r="D394" s="10" t="s">
        <v>32</v>
      </c>
      <c r="E394" s="11" t="n">
        <f>2</f>
        <v>2.0</v>
      </c>
      <c r="F394" s="10" t="s">
        <v>32</v>
      </c>
      <c r="G394" s="11" t="n">
        <f>2046400</f>
        <v>2046400.0</v>
      </c>
      <c r="H394" s="10"/>
      <c r="I394" s="11" t="str">
        <f>"－"</f>
        <v>－</v>
      </c>
      <c r="J394" s="10" t="s">
        <v>32</v>
      </c>
      <c r="K394" s="11" t="n">
        <f>7</f>
        <v>7.0</v>
      </c>
    </row>
    <row r="395">
      <c r="A395" s="8" t="s">
        <v>38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n">
        <f>7</f>
        <v>7.0</v>
      </c>
    </row>
    <row r="396">
      <c r="A396" s="8" t="s">
        <v>39</v>
      </c>
      <c r="B396" s="9" t="s">
        <v>74</v>
      </c>
      <c r="C396" s="9" t="s">
        <v>75</v>
      </c>
      <c r="D396" s="10"/>
      <c r="E396" s="11" t="str">
        <f>"－"</f>
        <v>－</v>
      </c>
      <c r="F396" s="10"/>
      <c r="G396" s="11" t="str">
        <f>"－"</f>
        <v>－</v>
      </c>
      <c r="H396" s="10"/>
      <c r="I396" s="11" t="str">
        <f>"－"</f>
        <v>－</v>
      </c>
      <c r="J396" s="10"/>
      <c r="K396" s="11" t="n">
        <f>7</f>
        <v>7.0</v>
      </c>
    </row>
    <row r="397">
      <c r="A397" s="8" t="s">
        <v>40</v>
      </c>
      <c r="B397" s="9" t="s">
        <v>74</v>
      </c>
      <c r="C397" s="9" t="s">
        <v>75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n">
        <f>7</f>
        <v>7.0</v>
      </c>
    </row>
    <row r="398">
      <c r="A398" s="8" t="s">
        <v>41</v>
      </c>
      <c r="B398" s="9" t="s">
        <v>74</v>
      </c>
      <c r="C398" s="9" t="s">
        <v>75</v>
      </c>
      <c r="D398" s="10"/>
      <c r="E398" s="11" t="str">
        <f>"－"</f>
        <v>－</v>
      </c>
      <c r="F398" s="10"/>
      <c r="G398" s="11" t="str">
        <f>"－"</f>
        <v>－</v>
      </c>
      <c r="H398" s="10"/>
      <c r="I398" s="11" t="str">
        <f>"－"</f>
        <v>－</v>
      </c>
      <c r="J398" s="10"/>
      <c r="K398" s="11" t="n">
        <f>7</f>
        <v>7.0</v>
      </c>
    </row>
    <row r="399">
      <c r="A399" s="8" t="s">
        <v>42</v>
      </c>
      <c r="B399" s="9" t="s">
        <v>74</v>
      </c>
      <c r="C399" s="9" t="s">
        <v>75</v>
      </c>
      <c r="D399" s="10"/>
      <c r="E399" s="11"/>
      <c r="F399" s="10"/>
      <c r="G399" s="11"/>
      <c r="H399" s="10"/>
      <c r="I399" s="11"/>
      <c r="J399" s="10"/>
      <c r="K399" s="11"/>
    </row>
    <row r="400">
      <c r="A400" s="8" t="s">
        <v>43</v>
      </c>
      <c r="B400" s="9" t="s">
        <v>74</v>
      </c>
      <c r="C400" s="9" t="s">
        <v>75</v>
      </c>
      <c r="D400" s="10"/>
      <c r="E400" s="11"/>
      <c r="F400" s="10"/>
      <c r="G400" s="11"/>
      <c r="H400" s="10"/>
      <c r="I400" s="11"/>
      <c r="J400" s="10"/>
      <c r="K400" s="11"/>
    </row>
    <row r="401">
      <c r="A401" s="8" t="s">
        <v>44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n">
        <f>7</f>
        <v>7.0</v>
      </c>
    </row>
    <row r="402">
      <c r="A402" s="8" t="s">
        <v>45</v>
      </c>
      <c r="B402" s="9" t="s">
        <v>74</v>
      </c>
      <c r="C402" s="9" t="s">
        <v>75</v>
      </c>
      <c r="D402" s="10"/>
      <c r="E402" s="11" t="n">
        <f>1</f>
        <v>1.0</v>
      </c>
      <c r="F402" s="10"/>
      <c r="G402" s="11" t="n">
        <f>967200</f>
        <v>967200.0</v>
      </c>
      <c r="H402" s="10"/>
      <c r="I402" s="11" t="str">
        <f>"－"</f>
        <v>－</v>
      </c>
      <c r="J402" s="10"/>
      <c r="K402" s="11" t="n">
        <f>7</f>
        <v>7.0</v>
      </c>
    </row>
    <row r="403">
      <c r="A403" s="8" t="s">
        <v>46</v>
      </c>
      <c r="B403" s="9" t="s">
        <v>74</v>
      </c>
      <c r="C403" s="9" t="s">
        <v>75</v>
      </c>
      <c r="D403" s="10"/>
      <c r="E403" s="11" t="n">
        <f>1</f>
        <v>1.0</v>
      </c>
      <c r="F403" s="10"/>
      <c r="G403" s="11" t="n">
        <f>940000</f>
        <v>940000.0</v>
      </c>
      <c r="H403" s="10"/>
      <c r="I403" s="11" t="str">
        <f>"－"</f>
        <v>－</v>
      </c>
      <c r="J403" s="10"/>
      <c r="K403" s="11" t="n">
        <f>7</f>
        <v>7.0</v>
      </c>
    </row>
    <row r="404">
      <c r="A404" s="8" t="s">
        <v>47</v>
      </c>
      <c r="B404" s="9" t="s">
        <v>74</v>
      </c>
      <c r="C404" s="9" t="s">
        <v>75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n">
        <f>6</f>
        <v>6.0</v>
      </c>
    </row>
    <row r="405">
      <c r="A405" s="8" t="s">
        <v>48</v>
      </c>
      <c r="B405" s="9" t="s">
        <v>74</v>
      </c>
      <c r="C405" s="9" t="s">
        <v>75</v>
      </c>
      <c r="D405" s="10"/>
      <c r="E405" s="11" t="str">
        <f>"－"</f>
        <v>－</v>
      </c>
      <c r="F405" s="10"/>
      <c r="G405" s="11" t="str">
        <f>"－"</f>
        <v>－</v>
      </c>
      <c r="H405" s="10"/>
      <c r="I405" s="11" t="str">
        <f>"－"</f>
        <v>－</v>
      </c>
      <c r="J405" s="10"/>
      <c r="K405" s="11" t="n">
        <f>6</f>
        <v>6.0</v>
      </c>
    </row>
    <row r="406">
      <c r="A406" s="8" t="s">
        <v>49</v>
      </c>
      <c r="B406" s="9" t="s">
        <v>74</v>
      </c>
      <c r="C406" s="9" t="s">
        <v>75</v>
      </c>
      <c r="D406" s="10"/>
      <c r="E406" s="11"/>
      <c r="F406" s="10"/>
      <c r="G406" s="11"/>
      <c r="H406" s="10"/>
      <c r="I406" s="11"/>
      <c r="J406" s="10"/>
      <c r="K406" s="11"/>
    </row>
    <row r="407">
      <c r="A407" s="8" t="s">
        <v>50</v>
      </c>
      <c r="B407" s="9" t="s">
        <v>74</v>
      </c>
      <c r="C407" s="9" t="s">
        <v>75</v>
      </c>
      <c r="D407" s="10"/>
      <c r="E407" s="11"/>
      <c r="F407" s="10"/>
      <c r="G407" s="11"/>
      <c r="H407" s="10"/>
      <c r="I407" s="11"/>
      <c r="J407" s="10"/>
      <c r="K407" s="11"/>
    </row>
    <row r="408">
      <c r="A408" s="8" t="s">
        <v>51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n">
        <f>6</f>
        <v>6.0</v>
      </c>
    </row>
  </sheetData>
  <mergeCells count="12">
    <mergeCell ref="A1:C1"/>
    <mergeCell ref="A2:C2"/>
    <mergeCell ref="D4:E4"/>
    <mergeCell ref="F4:G4"/>
    <mergeCell ref="H4:I4"/>
    <mergeCell ref="B4:B5"/>
    <mergeCell ref="C4:C5"/>
    <mergeCell ref="J4:K4"/>
    <mergeCell ref="D5:E5"/>
    <mergeCell ref="F5:G5"/>
    <mergeCell ref="H5:I5"/>
    <mergeCell ref="J5:K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2020-05-11T05:56:55Z</dcterms:modified>
</cp:coreProperties>
</file>