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<sst xmlns="http://schemas.openxmlformats.org/spreadsheetml/2006/main" count="512" uniqueCount="68">
  <si>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</si>
  <si>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</si>
  <si>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</si>
  <si>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</si>
  <si>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</si>
  <si>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</si>
  <si>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</si>
  <si>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</si>
  <si>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</si>
  <si>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</si>
  <si>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</si>
  <si>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</si>
  <si>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</si>
  <si>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</si>
  <si>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</si>
  <si>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</si>
  <si>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</si>
  <si>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</si>
  <si>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</si>
  <si>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</si>
  <si>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</si>
  <si>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</si>
  <si>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</si>
  <si>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</si>
  <si>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</si>
  <si>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</si>
  <si>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8.1</t>
  </si>
  <si>
    <t>日経225オプション</t>
  </si>
  <si>
    <t>Nikkei 225 Options</t>
  </si>
  <si>
    <t>2</t>
  </si>
  <si>
    <t>3</t>
  </si>
  <si>
    <t>4</t>
  </si>
  <si>
    <t>5</t>
  </si>
  <si>
    <t>●</t>
  </si>
  <si>
    <t>6</t>
  </si>
  <si>
    <t>7</t>
  </si>
  <si>
    <t>8</t>
  </si>
  <si>
    <t>9</t>
  </si>
  <si>
    <t>10</t>
  </si>
  <si>
    <t>11</t>
  </si>
  <si>
    <t>◎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</si>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</sst>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47" t="s">
        <v>6</v>
      </c>
      <c r="D5" s="47" t="s">
        <v>7</v>
      </c>
      <c r="E5" s="50"/>
      <c r="F5" s="50" t="s">
        <v>8</v>
      </c>
      <c r="G5" s="50"/>
      <c r="H5" s="50" t="s">
        <v>8</v>
      </c>
      <c r="I5" s="51"/>
      <c r="J5" s="47" t="s">
        <v>9</v>
      </c>
      <c r="K5" s="50"/>
      <c r="L5" s="50" t="s">
        <v>8</v>
      </c>
      <c r="M5" s="50"/>
      <c r="N5" s="50" t="s">
        <v>8</v>
      </c>
      <c r="O5" s="51"/>
      <c r="P5" s="50" t="s">
        <v>10</v>
      </c>
      <c r="Q5" s="50"/>
      <c r="R5" s="51"/>
      <c r="S5" s="47" t="s">
        <v>11</v>
      </c>
      <c r="T5" s="50"/>
      <c r="U5" s="50" t="s">
        <v>8</v>
      </c>
      <c r="V5" s="50"/>
      <c r="W5" s="50" t="s">
        <v>8</v>
      </c>
      <c r="X5" s="51"/>
      <c r="Y5" s="47" t="s">
        <v>12</v>
      </c>
      <c r="Z5" s="50"/>
      <c r="AA5" s="50" t="s">
        <v>8</v>
      </c>
      <c r="AB5" s="50"/>
      <c r="AC5" s="50" t="s">
        <v>8</v>
      </c>
      <c r="AD5" s="51"/>
    </row>
    <row customFormat="1" customHeight="1" ht="17.100000000000001" r="6" s="12" spans="1:30">
      <c r="A6" s="41"/>
      <c r="B6" s="41"/>
      <c r="C6" s="48"/>
      <c r="D6" s="52" t="s">
        <v>13</v>
      </c>
      <c r="E6" s="39"/>
      <c r="F6" s="37" t="s">
        <v>14</v>
      </c>
      <c r="G6" s="38"/>
      <c r="H6" s="39" t="s">
        <v>15</v>
      </c>
      <c r="I6" s="40"/>
      <c r="J6" s="52" t="s">
        <v>13</v>
      </c>
      <c r="K6" s="39"/>
      <c r="L6" s="37" t="s">
        <v>14</v>
      </c>
      <c r="M6" s="38"/>
      <c r="N6" s="39" t="s">
        <v>15</v>
      </c>
      <c r="O6" s="40"/>
      <c r="P6" s="13" t="s">
        <v>13</v>
      </c>
      <c r="Q6" s="14" t="s">
        <v>14</v>
      </c>
      <c r="R6" s="15" t="s">
        <v>16</v>
      </c>
      <c r="S6" s="52" t="s">
        <v>13</v>
      </c>
      <c r="T6" s="39"/>
      <c r="U6" s="37" t="s">
        <v>14</v>
      </c>
      <c r="V6" s="38"/>
      <c r="W6" s="39" t="s">
        <v>15</v>
      </c>
      <c r="X6" s="40"/>
      <c r="Y6" s="52" t="s">
        <v>13</v>
      </c>
      <c r="Z6" s="39"/>
      <c r="AA6" s="37" t="s">
        <v>14</v>
      </c>
      <c r="AB6" s="38"/>
      <c r="AC6" s="39" t="s">
        <v>15</v>
      </c>
      <c r="AD6" s="40"/>
    </row>
    <row customFormat="1" customHeight="1" ht="1.5" r="7" s="12" spans="1:30">
      <c r="A7" s="16"/>
      <c r="B7" s="41"/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8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35"/>
      <c r="F9" s="49" t="s">
        <v>24</v>
      </c>
      <c r="G9" s="34"/>
      <c r="H9" s="35" t="s">
        <v>25</v>
      </c>
      <c r="I9" s="36"/>
      <c r="J9" s="31" t="s">
        <v>23</v>
      </c>
      <c r="K9" s="32"/>
      <c r="L9" s="33" t="s">
        <v>24</v>
      </c>
      <c r="M9" s="34"/>
      <c r="N9" s="35" t="s">
        <v>25</v>
      </c>
      <c r="O9" s="36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33" t="s">
        <v>24</v>
      </c>
      <c r="V9" s="34"/>
      <c r="W9" s="35" t="s">
        <v>25</v>
      </c>
      <c r="X9" s="36"/>
      <c r="Y9" s="31" t="s">
        <v>23</v>
      </c>
      <c r="Z9" s="32"/>
      <c r="AA9" s="33" t="s">
        <v>24</v>
      </c>
      <c r="AB9" s="34"/>
      <c r="AC9" s="35" t="s">
        <v>25</v>
      </c>
      <c r="AD9" s="36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/>
      <c r="F10" s="23"/>
      <c r="G10" s="25"/>
      <c r="H10" s="23"/>
      <c r="I10" s="26"/>
      <c r="J10" s="24"/>
      <c r="K10" s="25"/>
      <c r="L10" s="23"/>
      <c r="M10" s="25"/>
      <c r="N10" s="23"/>
      <c r="O10" s="26"/>
      <c r="P10" s="27"/>
      <c r="Q10" s="28"/>
      <c r="R10" s="29"/>
      <c r="S10" s="24"/>
      <c r="T10" s="25"/>
      <c r="U10" s="23"/>
      <c r="V10" s="25"/>
      <c r="W10" s="23"/>
      <c r="X10" s="26"/>
      <c r="Y10" s="24"/>
      <c r="Z10" s="25"/>
      <c r="AA10" s="23"/>
      <c r="AB10" s="25"/>
      <c r="AC10" s="23"/>
      <c r="AD10" s="26"/>
    </row>
    <row r="11">
      <c r="A11" s="30" t="s">
        <v>29</v>
      </c>
      <c r="B11" s="22" t="s">
        <v>27</v>
      </c>
      <c r="C11" s="22" t="s">
        <v>28</v>
      </c>
      <c r="D11" s="24"/>
      <c r="E11" s="25"/>
      <c r="F11" s="23"/>
      <c r="G11" s="25"/>
      <c r="H11" s="23"/>
      <c r="I11" s="26"/>
      <c r="J11" s="24"/>
      <c r="K11" s="25"/>
      <c r="L11" s="23"/>
      <c r="M11" s="25"/>
      <c r="N11" s="23"/>
      <c r="O11" s="26"/>
      <c r="P11" s="27"/>
      <c r="Q11" s="28"/>
      <c r="R11" s="29"/>
      <c r="S11" s="24"/>
      <c r="T11" s="25"/>
      <c r="U11" s="23"/>
      <c r="V11" s="25"/>
      <c r="W11" s="23"/>
      <c r="X11" s="26"/>
      <c r="Y11" s="24"/>
      <c r="Z11" s="25"/>
      <c r="AA11" s="23"/>
      <c r="AB11" s="25"/>
      <c r="AC11" s="23"/>
      <c r="AD11" s="26"/>
    </row>
    <row r="12">
      <c r="A12" s="30" t="s">
        <v>30</v>
      </c>
      <c r="B12" s="22" t="s">
        <v>27</v>
      </c>
      <c r="C12" s="22" t="s">
        <v>28</v>
      </c>
      <c r="D12" s="24"/>
      <c r="E12" s="25" t="n">
        <f>65893</f>
        <v>65893.0</v>
      </c>
      <c r="F12" s="23"/>
      <c r="G12" s="25" t="n">
        <f>42418</f>
        <v>42418.0</v>
      </c>
      <c r="H12" s="23"/>
      <c r="I12" s="26" t="n">
        <f>108311</f>
        <v>108311.0</v>
      </c>
      <c r="J12" s="24"/>
      <c r="K12" s="25" t="n">
        <f>11033289610</f>
        <v>1.103328961E10</v>
      </c>
      <c r="L12" s="23"/>
      <c r="M12" s="25" t="n">
        <f>6037251500</f>
        <v>6.0372515E9</v>
      </c>
      <c r="N12" s="23"/>
      <c r="O12" s="26" t="n">
        <f>17070541110</f>
        <v>1.707054111E10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9461</f>
        <v>9461.0</v>
      </c>
      <c r="U12" s="23"/>
      <c r="V12" s="25" t="n">
        <f>4830</f>
        <v>4830.0</v>
      </c>
      <c r="W12" s="23"/>
      <c r="X12" s="26" t="n">
        <f>14291</f>
        <v>14291.0</v>
      </c>
      <c r="Y12" s="24"/>
      <c r="Z12" s="25" t="n">
        <f>1176708</f>
        <v>1176708.0</v>
      </c>
      <c r="AA12" s="23"/>
      <c r="AB12" s="25" t="n">
        <f>621771</f>
        <v>621771.0</v>
      </c>
      <c r="AC12" s="23"/>
      <c r="AD12" s="26" t="n">
        <f>1798479</f>
        <v>1798479.0</v>
      </c>
    </row>
    <row r="13">
      <c r="A13" s="30" t="s">
        <v>31</v>
      </c>
      <c r="B13" s="22" t="s">
        <v>27</v>
      </c>
      <c r="C13" s="22" t="s">
        <v>28</v>
      </c>
      <c r="D13" s="24"/>
      <c r="E13" s="25" t="n">
        <f>75072</f>
        <v>75072.0</v>
      </c>
      <c r="F13" s="23"/>
      <c r="G13" s="25" t="n">
        <f>45921</f>
        <v>45921.0</v>
      </c>
      <c r="H13" s="23"/>
      <c r="I13" s="26" t="n">
        <f>120993</f>
        <v>120993.0</v>
      </c>
      <c r="J13" s="24"/>
      <c r="K13" s="25" t="n">
        <f>14230522560</f>
        <v>1.423052256E10</v>
      </c>
      <c r="L13" s="23"/>
      <c r="M13" s="25" t="n">
        <f>6911975000</f>
        <v>6.911975E9</v>
      </c>
      <c r="N13" s="23"/>
      <c r="O13" s="26" t="n">
        <f>21142497560</f>
        <v>2.114249756E10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/>
      <c r="T13" s="25" t="n">
        <f>13071</f>
        <v>13071.0</v>
      </c>
      <c r="U13" s="23"/>
      <c r="V13" s="25" t="n">
        <f>5017</f>
        <v>5017.0</v>
      </c>
      <c r="W13" s="23"/>
      <c r="X13" s="26" t="n">
        <f>18088</f>
        <v>18088.0</v>
      </c>
      <c r="Y13" s="24"/>
      <c r="Z13" s="25" t="n">
        <f>1179231</f>
        <v>1179231.0</v>
      </c>
      <c r="AA13" s="23"/>
      <c r="AB13" s="25" t="n">
        <f>629518</f>
        <v>629518.0</v>
      </c>
      <c r="AC13" s="23"/>
      <c r="AD13" s="26" t="n">
        <f>1808749</f>
        <v>1808749.0</v>
      </c>
    </row>
    <row r="14">
      <c r="A14" s="30" t="s">
        <v>32</v>
      </c>
      <c r="B14" s="22" t="s">
        <v>27</v>
      </c>
      <c r="C14" s="22" t="s">
        <v>28</v>
      </c>
      <c r="D14" s="24"/>
      <c r="E14" s="25" t="n">
        <f>44696</f>
        <v>44696.0</v>
      </c>
      <c r="F14" s="23"/>
      <c r="G14" s="25" t="n">
        <f>28950</f>
        <v>28950.0</v>
      </c>
      <c r="H14" s="23"/>
      <c r="I14" s="26" t="n">
        <f>73646</f>
        <v>73646.0</v>
      </c>
      <c r="J14" s="24"/>
      <c r="K14" s="25" t="n">
        <f>7225504706</f>
        <v>7.225504706E9</v>
      </c>
      <c r="L14" s="23"/>
      <c r="M14" s="25" t="n">
        <f>4598183000</f>
        <v>4.598183E9</v>
      </c>
      <c r="N14" s="23"/>
      <c r="O14" s="26" t="n">
        <f>11823687706</f>
        <v>1.1823687706E10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 t="s">
        <v>33</v>
      </c>
      <c r="T14" s="25" t="n">
        <f>4710</f>
        <v>4710.0</v>
      </c>
      <c r="U14" s="23"/>
      <c r="V14" s="25" t="n">
        <f>2963</f>
        <v>2963.0</v>
      </c>
      <c r="W14" s="23" t="s">
        <v>33</v>
      </c>
      <c r="X14" s="26" t="n">
        <f>7673</f>
        <v>7673.0</v>
      </c>
      <c r="Y14" s="24"/>
      <c r="Z14" s="25" t="n">
        <f>1180904</f>
        <v>1180904.0</v>
      </c>
      <c r="AA14" s="23"/>
      <c r="AB14" s="25" t="n">
        <f>632261</f>
        <v>632261.0</v>
      </c>
      <c r="AC14" s="23"/>
      <c r="AD14" s="26" t="n">
        <f>1813165</f>
        <v>1813165.0</v>
      </c>
    </row>
    <row r="15">
      <c r="A15" s="30" t="s">
        <v>34</v>
      </c>
      <c r="B15" s="22" t="s">
        <v>27</v>
      </c>
      <c r="C15" s="22" t="s">
        <v>28</v>
      </c>
      <c r="D15" s="24"/>
      <c r="E15" s="25" t="n">
        <f>59670</f>
        <v>59670.0</v>
      </c>
      <c r="F15" s="23"/>
      <c r="G15" s="25" t="n">
        <f>30093</f>
        <v>30093.0</v>
      </c>
      <c r="H15" s="23"/>
      <c r="I15" s="26" t="n">
        <f>89763</f>
        <v>89763.0</v>
      </c>
      <c r="J15" s="24"/>
      <c r="K15" s="25" t="n">
        <f>10074391940</f>
        <v>1.007439194E10</v>
      </c>
      <c r="L15" s="23"/>
      <c r="M15" s="25" t="n">
        <f>4958859000</f>
        <v>4.958859E9</v>
      </c>
      <c r="N15" s="23"/>
      <c r="O15" s="26" t="n">
        <f>15033250940</f>
        <v>1.503325094E10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11716</f>
        <v>11716.0</v>
      </c>
      <c r="U15" s="23"/>
      <c r="V15" s="25" t="n">
        <f>3196</f>
        <v>3196.0</v>
      </c>
      <c r="W15" s="23"/>
      <c r="X15" s="26" t="n">
        <f>14912</f>
        <v>14912.0</v>
      </c>
      <c r="Y15" s="24"/>
      <c r="Z15" s="25" t="n">
        <f>1191291</f>
        <v>1191291.0</v>
      </c>
      <c r="AA15" s="23"/>
      <c r="AB15" s="25" t="n">
        <f>639736</f>
        <v>639736.0</v>
      </c>
      <c r="AC15" s="23"/>
      <c r="AD15" s="26" t="n">
        <f>1831027</f>
        <v>1831027.0</v>
      </c>
    </row>
    <row r="16">
      <c r="A16" s="30" t="s">
        <v>35</v>
      </c>
      <c r="B16" s="22" t="s">
        <v>27</v>
      </c>
      <c r="C16" s="22" t="s">
        <v>28</v>
      </c>
      <c r="D16" s="24"/>
      <c r="E16" s="25" t="n">
        <f>54094</f>
        <v>54094.0</v>
      </c>
      <c r="F16" s="23"/>
      <c r="G16" s="25" t="n">
        <f>38173</f>
        <v>38173.0</v>
      </c>
      <c r="H16" s="23"/>
      <c r="I16" s="26" t="n">
        <f>92267</f>
        <v>92267.0</v>
      </c>
      <c r="J16" s="24"/>
      <c r="K16" s="25" t="n">
        <f>6902049722</f>
        <v>6.902049722E9</v>
      </c>
      <c r="L16" s="23"/>
      <c r="M16" s="25" t="n">
        <f>4780753500</f>
        <v>4.7807535E9</v>
      </c>
      <c r="N16" s="23"/>
      <c r="O16" s="26" t="n">
        <f>11682803222</f>
        <v>1.1682803222E10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6801</f>
        <v>6801.0</v>
      </c>
      <c r="U16" s="23"/>
      <c r="V16" s="25" t="n">
        <f>5059</f>
        <v>5059.0</v>
      </c>
      <c r="W16" s="23"/>
      <c r="X16" s="26" t="n">
        <f>11860</f>
        <v>11860.0</v>
      </c>
      <c r="Y16" s="24"/>
      <c r="Z16" s="25" t="n">
        <f>1188657</f>
        <v>1188657.0</v>
      </c>
      <c r="AA16" s="23"/>
      <c r="AB16" s="25" t="n">
        <f>640201</f>
        <v>640201.0</v>
      </c>
      <c r="AC16" s="23"/>
      <c r="AD16" s="26" t="n">
        <f>1828858</f>
        <v>1828858.0</v>
      </c>
    </row>
    <row r="17">
      <c r="A17" s="30" t="s">
        <v>36</v>
      </c>
      <c r="B17" s="22" t="s">
        <v>27</v>
      </c>
      <c r="C17" s="22" t="s">
        <v>28</v>
      </c>
      <c r="D17" s="24"/>
      <c r="E17" s="25"/>
      <c r="F17" s="23"/>
      <c r="G17" s="25"/>
      <c r="H17" s="23"/>
      <c r="I17" s="26"/>
      <c r="J17" s="24"/>
      <c r="K17" s="25"/>
      <c r="L17" s="23"/>
      <c r="M17" s="25"/>
      <c r="N17" s="23"/>
      <c r="O17" s="26"/>
      <c r="P17" s="27"/>
      <c r="Q17" s="28"/>
      <c r="R17" s="29"/>
      <c r="S17" s="24"/>
      <c r="T17" s="25"/>
      <c r="U17" s="23"/>
      <c r="V17" s="25"/>
      <c r="W17" s="23"/>
      <c r="X17" s="26"/>
      <c r="Y17" s="24"/>
      <c r="Z17" s="25"/>
      <c r="AA17" s="23"/>
      <c r="AB17" s="25"/>
      <c r="AC17" s="23"/>
      <c r="AD17" s="26"/>
    </row>
    <row r="18">
      <c r="A18" s="30" t="s">
        <v>37</v>
      </c>
      <c r="B18" s="22" t="s">
        <v>27</v>
      </c>
      <c r="C18" s="22" t="s">
        <v>28</v>
      </c>
      <c r="D18" s="24"/>
      <c r="E18" s="25"/>
      <c r="F18" s="23"/>
      <c r="G18" s="25"/>
      <c r="H18" s="23"/>
      <c r="I18" s="26"/>
      <c r="J18" s="24"/>
      <c r="K18" s="25"/>
      <c r="L18" s="23"/>
      <c r="M18" s="25"/>
      <c r="N18" s="23"/>
      <c r="O18" s="26"/>
      <c r="P18" s="27"/>
      <c r="Q18" s="28"/>
      <c r="R18" s="29"/>
      <c r="S18" s="24"/>
      <c r="T18" s="25"/>
      <c r="U18" s="23"/>
      <c r="V18" s="25"/>
      <c r="W18" s="23"/>
      <c r="X18" s="26"/>
      <c r="Y18" s="24"/>
      <c r="Z18" s="25"/>
      <c r="AA18" s="23"/>
      <c r="AB18" s="25"/>
      <c r="AC18" s="23"/>
      <c r="AD18" s="26"/>
    </row>
    <row r="19">
      <c r="A19" s="30" t="s">
        <v>38</v>
      </c>
      <c r="B19" s="22" t="s">
        <v>27</v>
      </c>
      <c r="C19" s="22" t="s">
        <v>28</v>
      </c>
      <c r="D19" s="24"/>
      <c r="E19" s="25"/>
      <c r="F19" s="23"/>
      <c r="G19" s="25"/>
      <c r="H19" s="23"/>
      <c r="I19" s="26"/>
      <c r="J19" s="24"/>
      <c r="K19" s="25"/>
      <c r="L19" s="23"/>
      <c r="M19" s="25"/>
      <c r="N19" s="23"/>
      <c r="O19" s="26"/>
      <c r="P19" s="27"/>
      <c r="Q19" s="28"/>
      <c r="R19" s="29"/>
      <c r="S19" s="24"/>
      <c r="T19" s="25"/>
      <c r="U19" s="23"/>
      <c r="V19" s="25"/>
      <c r="W19" s="23"/>
      <c r="X19" s="26"/>
      <c r="Y19" s="24"/>
      <c r="Z19" s="25"/>
      <c r="AA19" s="23"/>
      <c r="AB19" s="25"/>
      <c r="AC19" s="23"/>
      <c r="AD19" s="26"/>
    </row>
    <row r="20">
      <c r="A20" s="30" t="s">
        <v>39</v>
      </c>
      <c r="B20" s="22" t="s">
        <v>27</v>
      </c>
      <c r="C20" s="22" t="s">
        <v>28</v>
      </c>
      <c r="D20" s="24"/>
      <c r="E20" s="25" t="n">
        <f>76409</f>
        <v>76409.0</v>
      </c>
      <c r="F20" s="23"/>
      <c r="G20" s="25" t="n">
        <f>50233</f>
        <v>50233.0</v>
      </c>
      <c r="H20" s="23"/>
      <c r="I20" s="26" t="n">
        <f>126642</f>
        <v>126642.0</v>
      </c>
      <c r="J20" s="24"/>
      <c r="K20" s="25" t="n">
        <f>9113095600</f>
        <v>9.1130956E9</v>
      </c>
      <c r="L20" s="23"/>
      <c r="M20" s="25" t="n">
        <f>6971662000</f>
        <v>6.971662E9</v>
      </c>
      <c r="N20" s="23"/>
      <c r="O20" s="26" t="n">
        <f>16084757600</f>
        <v>1.60847576E10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4" t="s">
        <v>40</v>
      </c>
      <c r="T20" s="25" t="n">
        <f>15437</f>
        <v>15437.0</v>
      </c>
      <c r="U20" s="23"/>
      <c r="V20" s="25" t="n">
        <f>7121</f>
        <v>7121.0</v>
      </c>
      <c r="W20" s="23" t="s">
        <v>40</v>
      </c>
      <c r="X20" s="26" t="n">
        <f>22558</f>
        <v>22558.0</v>
      </c>
      <c r="Y20" s="24"/>
      <c r="Z20" s="25" t="n">
        <f>1198925</f>
        <v>1198925.0</v>
      </c>
      <c r="AA20" s="23"/>
      <c r="AB20" s="25" t="n">
        <f>646337</f>
        <v>646337.0</v>
      </c>
      <c r="AC20" s="23"/>
      <c r="AD20" s="26" t="n">
        <f>1845262</f>
        <v>1845262.0</v>
      </c>
    </row>
    <row r="21">
      <c r="A21" s="30" t="s">
        <v>41</v>
      </c>
      <c r="B21" s="22" t="s">
        <v>27</v>
      </c>
      <c r="C21" s="22" t="s">
        <v>28</v>
      </c>
      <c r="D21" s="24"/>
      <c r="E21" s="25" t="n">
        <f>75626</f>
        <v>75626.0</v>
      </c>
      <c r="F21" s="23"/>
      <c r="G21" s="25" t="n">
        <f>61159</f>
        <v>61159.0</v>
      </c>
      <c r="H21" s="23"/>
      <c r="I21" s="26" t="n">
        <f>136785</f>
        <v>136785.0</v>
      </c>
      <c r="J21" s="24"/>
      <c r="K21" s="25" t="n">
        <f>8714824610</f>
        <v>8.71482461E9</v>
      </c>
      <c r="L21" s="23"/>
      <c r="M21" s="25" t="n">
        <f>8229563220</f>
        <v>8.22956322E9</v>
      </c>
      <c r="N21" s="23"/>
      <c r="O21" s="26" t="n">
        <f>16944387830</f>
        <v>1.694438783E10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8600</f>
        <v>8600.0</v>
      </c>
      <c r="U21" s="23" t="s">
        <v>40</v>
      </c>
      <c r="V21" s="25" t="n">
        <f>8995</f>
        <v>8995.0</v>
      </c>
      <c r="W21" s="23"/>
      <c r="X21" s="26" t="n">
        <f>17595</f>
        <v>17595.0</v>
      </c>
      <c r="Y21" s="24"/>
      <c r="Z21" s="25" t="n">
        <f>1207626</f>
        <v>1207626.0</v>
      </c>
      <c r="AA21" s="23" t="s">
        <v>40</v>
      </c>
      <c r="AB21" s="25" t="n">
        <f>648693</f>
        <v>648693.0</v>
      </c>
      <c r="AC21" s="23"/>
      <c r="AD21" s="26" t="n">
        <f>1856319</f>
        <v>1856319.0</v>
      </c>
    </row>
    <row r="22">
      <c r="A22" s="30" t="s">
        <v>42</v>
      </c>
      <c r="B22" s="22" t="s">
        <v>27</v>
      </c>
      <c r="C22" s="22" t="s">
        <v>28</v>
      </c>
      <c r="D22" s="24" t="s">
        <v>40</v>
      </c>
      <c r="E22" s="25" t="n">
        <f>87780</f>
        <v>87780.0</v>
      </c>
      <c r="F22" s="23" t="s">
        <v>40</v>
      </c>
      <c r="G22" s="25" t="n">
        <f>83266</f>
        <v>83266.0</v>
      </c>
      <c r="H22" s="23" t="s">
        <v>40</v>
      </c>
      <c r="I22" s="26" t="n">
        <f>171046</f>
        <v>171046.0</v>
      </c>
      <c r="J22" s="24"/>
      <c r="K22" s="25" t="n">
        <f>8248254419</f>
        <v>8.248254419E9</v>
      </c>
      <c r="L22" s="23"/>
      <c r="M22" s="25" t="n">
        <f>10806533530</f>
        <v>1.080653353E10</v>
      </c>
      <c r="N22" s="23"/>
      <c r="O22" s="26" t="n">
        <f>19054787949</f>
        <v>1.9054787949E10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/>
      <c r="T22" s="25" t="n">
        <f>8518</f>
        <v>8518.0</v>
      </c>
      <c r="U22" s="23"/>
      <c r="V22" s="25" t="n">
        <f>8564</f>
        <v>8564.0</v>
      </c>
      <c r="W22" s="23"/>
      <c r="X22" s="26" t="n">
        <f>17082</f>
        <v>17082.0</v>
      </c>
      <c r="Y22" s="24" t="s">
        <v>40</v>
      </c>
      <c r="Z22" s="25" t="n">
        <f>1220923</f>
        <v>1220923.0</v>
      </c>
      <c r="AA22" s="23"/>
      <c r="AB22" s="25" t="n">
        <f>644537</f>
        <v>644537.0</v>
      </c>
      <c r="AC22" s="23" t="s">
        <v>40</v>
      </c>
      <c r="AD22" s="26" t="n">
        <f>1865460</f>
        <v>1865460.0</v>
      </c>
    </row>
    <row r="23">
      <c r="A23" s="30" t="s">
        <v>43</v>
      </c>
      <c r="B23" s="22" t="s">
        <v>27</v>
      </c>
      <c r="C23" s="22" t="s">
        <v>28</v>
      </c>
      <c r="D23" s="24"/>
      <c r="E23" s="25" t="n">
        <f>56091</f>
        <v>56091.0</v>
      </c>
      <c r="F23" s="23"/>
      <c r="G23" s="25" t="n">
        <f>28915</f>
        <v>28915.0</v>
      </c>
      <c r="H23" s="23"/>
      <c r="I23" s="26" t="n">
        <f>85006</f>
        <v>85006.0</v>
      </c>
      <c r="J23" s="24"/>
      <c r="K23" s="25" t="n">
        <f>11279971550</f>
        <v>1.127997155E10</v>
      </c>
      <c r="L23" s="23"/>
      <c r="M23" s="25" t="n">
        <f>7549817000</f>
        <v>7.549817E9</v>
      </c>
      <c r="N23" s="23"/>
      <c r="O23" s="26" t="n">
        <f>18829788550</f>
        <v>1.882978855E10</v>
      </c>
      <c r="P23" s="27" t="n">
        <f>588</f>
        <v>588.0</v>
      </c>
      <c r="Q23" s="28" t="n">
        <f>30162</f>
        <v>30162.0</v>
      </c>
      <c r="R23" s="29" t="n">
        <f>30750</f>
        <v>30750.0</v>
      </c>
      <c r="S23" s="24"/>
      <c r="T23" s="25" t="n">
        <f>6470</f>
        <v>6470.0</v>
      </c>
      <c r="U23" s="23"/>
      <c r="V23" s="25" t="n">
        <f>6022</f>
        <v>6022.0</v>
      </c>
      <c r="W23" s="23"/>
      <c r="X23" s="26" t="n">
        <f>12492</f>
        <v>12492.0</v>
      </c>
      <c r="Y23" s="24"/>
      <c r="Z23" s="25" t="n">
        <f>1076818</f>
        <v>1076818.0</v>
      </c>
      <c r="AA23" s="23" t="s">
        <v>33</v>
      </c>
      <c r="AB23" s="25" t="n">
        <f>567321</f>
        <v>567321.0</v>
      </c>
      <c r="AC23" s="23" t="s">
        <v>33</v>
      </c>
      <c r="AD23" s="26" t="n">
        <f>1644139</f>
        <v>1644139.0</v>
      </c>
    </row>
    <row r="24">
      <c r="A24" s="30" t="s">
        <v>44</v>
      </c>
      <c r="B24" s="22" t="s">
        <v>27</v>
      </c>
      <c r="C24" s="22" t="s">
        <v>28</v>
      </c>
      <c r="D24" s="24"/>
      <c r="E24" s="25"/>
      <c r="F24" s="23"/>
      <c r="G24" s="25"/>
      <c r="H24" s="23"/>
      <c r="I24" s="26"/>
      <c r="J24" s="24"/>
      <c r="K24" s="25"/>
      <c r="L24" s="23"/>
      <c r="M24" s="25"/>
      <c r="N24" s="23"/>
      <c r="O24" s="26"/>
      <c r="P24" s="27"/>
      <c r="Q24" s="28"/>
      <c r="R24" s="29"/>
      <c r="S24" s="24"/>
      <c r="T24" s="25"/>
      <c r="U24" s="23"/>
      <c r="V24" s="25"/>
      <c r="W24" s="23"/>
      <c r="X24" s="26"/>
      <c r="Y24" s="24"/>
      <c r="Z24" s="25"/>
      <c r="AA24" s="23"/>
      <c r="AB24" s="25"/>
      <c r="AC24" s="23"/>
      <c r="AD24" s="26"/>
    </row>
    <row r="25">
      <c r="A25" s="30" t="s">
        <v>45</v>
      </c>
      <c r="B25" s="22" t="s">
        <v>27</v>
      </c>
      <c r="C25" s="22" t="s">
        <v>28</v>
      </c>
      <c r="D25" s="24"/>
      <c r="E25" s="25"/>
      <c r="F25" s="23"/>
      <c r="G25" s="25"/>
      <c r="H25" s="23"/>
      <c r="I25" s="26"/>
      <c r="J25" s="24"/>
      <c r="K25" s="25"/>
      <c r="L25" s="23"/>
      <c r="M25" s="25"/>
      <c r="N25" s="23"/>
      <c r="O25" s="26"/>
      <c r="P25" s="27"/>
      <c r="Q25" s="28"/>
      <c r="R25" s="29"/>
      <c r="S25" s="24"/>
      <c r="T25" s="25"/>
      <c r="U25" s="23"/>
      <c r="V25" s="25"/>
      <c r="W25" s="23"/>
      <c r="X25" s="26"/>
      <c r="Y25" s="24"/>
      <c r="Z25" s="25"/>
      <c r="AA25" s="23"/>
      <c r="AB25" s="25"/>
      <c r="AC25" s="23"/>
      <c r="AD25" s="26"/>
    </row>
    <row r="26">
      <c r="A26" s="30" t="s">
        <v>46</v>
      </c>
      <c r="B26" s="22" t="s">
        <v>27</v>
      </c>
      <c r="C26" s="22" t="s">
        <v>28</v>
      </c>
      <c r="D26" s="24"/>
      <c r="E26" s="25" t="n">
        <f>63554</f>
        <v>63554.0</v>
      </c>
      <c r="F26" s="23"/>
      <c r="G26" s="25" t="n">
        <f>36087</f>
        <v>36087.0</v>
      </c>
      <c r="H26" s="23"/>
      <c r="I26" s="26" t="n">
        <f>99641</f>
        <v>99641.0</v>
      </c>
      <c r="J26" s="24" t="s">
        <v>40</v>
      </c>
      <c r="K26" s="25" t="n">
        <f>17524537960</f>
        <v>1.752453796E10</v>
      </c>
      <c r="L26" s="23" t="s">
        <v>40</v>
      </c>
      <c r="M26" s="25" t="n">
        <f>17595069065</f>
        <v>1.7595069065E10</v>
      </c>
      <c r="N26" s="23" t="s">
        <v>40</v>
      </c>
      <c r="O26" s="26" t="n">
        <f>35119607025</f>
        <v>3.5119607025E10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12705</f>
        <v>12705.0</v>
      </c>
      <c r="U26" s="23"/>
      <c r="V26" s="25" t="n">
        <f>7455</f>
        <v>7455.0</v>
      </c>
      <c r="W26" s="23"/>
      <c r="X26" s="26" t="n">
        <f>20160</f>
        <v>20160.0</v>
      </c>
      <c r="Y26" s="24" t="s">
        <v>33</v>
      </c>
      <c r="Z26" s="25" t="n">
        <f>1076447</f>
        <v>1076447.0</v>
      </c>
      <c r="AA26" s="23"/>
      <c r="AB26" s="25" t="n">
        <f>576048</f>
        <v>576048.0</v>
      </c>
      <c r="AC26" s="23"/>
      <c r="AD26" s="26" t="n">
        <f>1652495</f>
        <v>1652495.0</v>
      </c>
    </row>
    <row r="27">
      <c r="A27" s="30" t="s">
        <v>47</v>
      </c>
      <c r="B27" s="22" t="s">
        <v>27</v>
      </c>
      <c r="C27" s="22" t="s">
        <v>28</v>
      </c>
      <c r="D27" s="24"/>
      <c r="E27" s="25" t="n">
        <f>39027</f>
        <v>39027.0</v>
      </c>
      <c r="F27" s="23"/>
      <c r="G27" s="25" t="n">
        <f>27262</f>
        <v>27262.0</v>
      </c>
      <c r="H27" s="23"/>
      <c r="I27" s="26" t="n">
        <f>66289</f>
        <v>66289.0</v>
      </c>
      <c r="J27" s="24"/>
      <c r="K27" s="25" t="n">
        <f>9560107340</f>
        <v>9.56010734E9</v>
      </c>
      <c r="L27" s="23"/>
      <c r="M27" s="25" t="n">
        <f>9118659250</f>
        <v>9.11865925E9</v>
      </c>
      <c r="N27" s="23"/>
      <c r="O27" s="26" t="n">
        <f>18678766590</f>
        <v>1.867876659E10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6542</f>
        <v>6542.0</v>
      </c>
      <c r="U27" s="23" t="s">
        <v>33</v>
      </c>
      <c r="V27" s="25" t="n">
        <f>2348</f>
        <v>2348.0</v>
      </c>
      <c r="W27" s="23"/>
      <c r="X27" s="26" t="n">
        <f>8890</f>
        <v>8890.0</v>
      </c>
      <c r="Y27" s="24"/>
      <c r="Z27" s="25" t="n">
        <f>1080965</f>
        <v>1080965.0</v>
      </c>
      <c r="AA27" s="23"/>
      <c r="AB27" s="25" t="n">
        <f>580375</f>
        <v>580375.0</v>
      </c>
      <c r="AC27" s="23"/>
      <c r="AD27" s="26" t="n">
        <f>1661340</f>
        <v>1661340.0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51198</f>
        <v>51198.0</v>
      </c>
      <c r="F28" s="23" t="s">
        <v>33</v>
      </c>
      <c r="G28" s="25" t="n">
        <f>20385</f>
        <v>20385.0</v>
      </c>
      <c r="H28" s="23"/>
      <c r="I28" s="26" t="n">
        <f>71583</f>
        <v>71583.0</v>
      </c>
      <c r="J28" s="24"/>
      <c r="K28" s="25" t="n">
        <f>10609536311</f>
        <v>1.0609536311E10</v>
      </c>
      <c r="L28" s="23" t="s">
        <v>33</v>
      </c>
      <c r="M28" s="25" t="n">
        <f>2948306800</f>
        <v>2.9483068E9</v>
      </c>
      <c r="N28" s="23"/>
      <c r="O28" s="26" t="n">
        <f>13557843111</f>
        <v>1.3557843111E10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5143</f>
        <v>5143.0</v>
      </c>
      <c r="U28" s="23"/>
      <c r="V28" s="25" t="n">
        <f>5434</f>
        <v>5434.0</v>
      </c>
      <c r="W28" s="23"/>
      <c r="X28" s="26" t="n">
        <f>10577</f>
        <v>10577.0</v>
      </c>
      <c r="Y28" s="24"/>
      <c r="Z28" s="25" t="n">
        <f>1090307</f>
        <v>1090307.0</v>
      </c>
      <c r="AA28" s="23"/>
      <c r="AB28" s="25" t="n">
        <f>583964</f>
        <v>583964.0</v>
      </c>
      <c r="AC28" s="23"/>
      <c r="AD28" s="26" t="n">
        <f>1674271</f>
        <v>1674271.0</v>
      </c>
    </row>
    <row r="29">
      <c r="A29" s="30" t="s">
        <v>49</v>
      </c>
      <c r="B29" s="22" t="s">
        <v>27</v>
      </c>
      <c r="C29" s="22" t="s">
        <v>28</v>
      </c>
      <c r="D29" s="24"/>
      <c r="E29" s="25" t="n">
        <f>40890</f>
        <v>40890.0</v>
      </c>
      <c r="F29" s="23"/>
      <c r="G29" s="25" t="n">
        <f>21818</f>
        <v>21818.0</v>
      </c>
      <c r="H29" s="23"/>
      <c r="I29" s="26" t="n">
        <f>62708</f>
        <v>62708.0</v>
      </c>
      <c r="J29" s="24"/>
      <c r="K29" s="25" t="n">
        <f>9692476258</f>
        <v>9.692476258E9</v>
      </c>
      <c r="L29" s="23"/>
      <c r="M29" s="25" t="n">
        <f>3217826000</f>
        <v>3.217826E9</v>
      </c>
      <c r="N29" s="23"/>
      <c r="O29" s="26" t="n">
        <f>12910302258</f>
        <v>1.2910302258E10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6819</f>
        <v>6819.0</v>
      </c>
      <c r="U29" s="23"/>
      <c r="V29" s="25" t="n">
        <f>3044</f>
        <v>3044.0</v>
      </c>
      <c r="W29" s="23"/>
      <c r="X29" s="26" t="n">
        <f>9863</f>
        <v>9863.0</v>
      </c>
      <c r="Y29" s="24"/>
      <c r="Z29" s="25" t="n">
        <f>1097721</f>
        <v>1097721.0</v>
      </c>
      <c r="AA29" s="23"/>
      <c r="AB29" s="25" t="n">
        <f>587024</f>
        <v>587024.0</v>
      </c>
      <c r="AC29" s="23"/>
      <c r="AD29" s="26" t="n">
        <f>1684745</f>
        <v>1684745.0</v>
      </c>
    </row>
    <row r="30">
      <c r="A30" s="30" t="s">
        <v>50</v>
      </c>
      <c r="B30" s="22" t="s">
        <v>27</v>
      </c>
      <c r="C30" s="22" t="s">
        <v>28</v>
      </c>
      <c r="D30" s="24"/>
      <c r="E30" s="25" t="n">
        <f>54235</f>
        <v>54235.0</v>
      </c>
      <c r="F30" s="23"/>
      <c r="G30" s="25" t="n">
        <f>24422</f>
        <v>24422.0</v>
      </c>
      <c r="H30" s="23"/>
      <c r="I30" s="26" t="n">
        <f>78657</f>
        <v>78657.0</v>
      </c>
      <c r="J30" s="24"/>
      <c r="K30" s="25" t="n">
        <f>8933000000</f>
        <v>8.933E9</v>
      </c>
      <c r="L30" s="23"/>
      <c r="M30" s="25" t="n">
        <f>6533919000</f>
        <v>6.533919E9</v>
      </c>
      <c r="N30" s="23"/>
      <c r="O30" s="26" t="n">
        <f>15466919000</f>
        <v>1.5466919E10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/>
      <c r="T30" s="25" t="n">
        <f>11090</f>
        <v>11090.0</v>
      </c>
      <c r="U30" s="23"/>
      <c r="V30" s="25" t="n">
        <f>2769</f>
        <v>2769.0</v>
      </c>
      <c r="W30" s="23"/>
      <c r="X30" s="26" t="n">
        <f>13859</f>
        <v>13859.0</v>
      </c>
      <c r="Y30" s="24"/>
      <c r="Z30" s="25" t="n">
        <f>1103468</f>
        <v>1103468.0</v>
      </c>
      <c r="AA30" s="23"/>
      <c r="AB30" s="25" t="n">
        <f>591012</f>
        <v>591012.0</v>
      </c>
      <c r="AC30" s="23"/>
      <c r="AD30" s="26" t="n">
        <f>1694480</f>
        <v>1694480.0</v>
      </c>
    </row>
    <row r="31">
      <c r="A31" s="30" t="s">
        <v>51</v>
      </c>
      <c r="B31" s="22" t="s">
        <v>27</v>
      </c>
      <c r="C31" s="22" t="s">
        <v>28</v>
      </c>
      <c r="D31" s="24"/>
      <c r="E31" s="25"/>
      <c r="F31" s="23"/>
      <c r="G31" s="25"/>
      <c r="H31" s="23"/>
      <c r="I31" s="26"/>
      <c r="J31" s="24"/>
      <c r="K31" s="25"/>
      <c r="L31" s="23"/>
      <c r="M31" s="25"/>
      <c r="N31" s="23"/>
      <c r="O31" s="26"/>
      <c r="P31" s="27"/>
      <c r="Q31" s="28"/>
      <c r="R31" s="29"/>
      <c r="S31" s="24"/>
      <c r="T31" s="25"/>
      <c r="U31" s="23"/>
      <c r="V31" s="25"/>
      <c r="W31" s="23"/>
      <c r="X31" s="26"/>
      <c r="Y31" s="24"/>
      <c r="Z31" s="25"/>
      <c r="AA31" s="23"/>
      <c r="AB31" s="25"/>
      <c r="AC31" s="23"/>
      <c r="AD31" s="26"/>
    </row>
    <row r="32">
      <c r="A32" s="30" t="s">
        <v>52</v>
      </c>
      <c r="B32" s="22" t="s">
        <v>27</v>
      </c>
      <c r="C32" s="22" t="s">
        <v>28</v>
      </c>
      <c r="D32" s="24"/>
      <c r="E32" s="25"/>
      <c r="F32" s="23"/>
      <c r="G32" s="25"/>
      <c r="H32" s="23"/>
      <c r="I32" s="26"/>
      <c r="J32" s="24"/>
      <c r="K32" s="25"/>
      <c r="L32" s="23"/>
      <c r="M32" s="25"/>
      <c r="N32" s="23"/>
      <c r="O32" s="26"/>
      <c r="P32" s="27"/>
      <c r="Q32" s="28"/>
      <c r="R32" s="29"/>
      <c r="S32" s="24"/>
      <c r="T32" s="25"/>
      <c r="U32" s="23"/>
      <c r="V32" s="25"/>
      <c r="W32" s="23"/>
      <c r="X32" s="26"/>
      <c r="Y32" s="24"/>
      <c r="Z32" s="25"/>
      <c r="AA32" s="23"/>
      <c r="AB32" s="25"/>
      <c r="AC32" s="23"/>
      <c r="AD32" s="26"/>
    </row>
    <row r="33">
      <c r="A33" s="30" t="s">
        <v>53</v>
      </c>
      <c r="B33" s="22" t="s">
        <v>27</v>
      </c>
      <c r="C33" s="22" t="s">
        <v>28</v>
      </c>
      <c r="D33" s="24" t="s">
        <v>33</v>
      </c>
      <c r="E33" s="25" t="n">
        <f>34295</f>
        <v>34295.0</v>
      </c>
      <c r="F33" s="23"/>
      <c r="G33" s="25" t="n">
        <f>22723</f>
        <v>22723.0</v>
      </c>
      <c r="H33" s="23" t="s">
        <v>33</v>
      </c>
      <c r="I33" s="26" t="n">
        <f>57018</f>
        <v>57018.0</v>
      </c>
      <c r="J33" s="24" t="s">
        <v>33</v>
      </c>
      <c r="K33" s="25" t="n">
        <f>5791848000</f>
        <v>5.791848E9</v>
      </c>
      <c r="L33" s="23"/>
      <c r="M33" s="25" t="n">
        <f>3519039000</f>
        <v>3.519039E9</v>
      </c>
      <c r="N33" s="23" t="s">
        <v>33</v>
      </c>
      <c r="O33" s="26" t="n">
        <f>9310887000</f>
        <v>9.310887E9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4769</f>
        <v>4769.0</v>
      </c>
      <c r="U33" s="23"/>
      <c r="V33" s="25" t="n">
        <f>3766</f>
        <v>3766.0</v>
      </c>
      <c r="W33" s="23"/>
      <c r="X33" s="26" t="n">
        <f>8535</f>
        <v>8535.0</v>
      </c>
      <c r="Y33" s="24"/>
      <c r="Z33" s="25" t="n">
        <f>1107588</f>
        <v>1107588.0</v>
      </c>
      <c r="AA33" s="23"/>
      <c r="AB33" s="25" t="n">
        <f>594810</f>
        <v>594810.0</v>
      </c>
      <c r="AC33" s="23"/>
      <c r="AD33" s="26" t="n">
        <f>1702398</f>
        <v>1702398.0</v>
      </c>
    </row>
    <row r="34">
      <c r="A34" s="30" t="s">
        <v>54</v>
      </c>
      <c r="B34" s="22" t="s">
        <v>27</v>
      </c>
      <c r="C34" s="22" t="s">
        <v>28</v>
      </c>
      <c r="D34" s="24"/>
      <c r="E34" s="25" t="n">
        <f>55418</f>
        <v>55418.0</v>
      </c>
      <c r="F34" s="23"/>
      <c r="G34" s="25" t="n">
        <f>35009</f>
        <v>35009.0</v>
      </c>
      <c r="H34" s="23"/>
      <c r="I34" s="26" t="n">
        <f>90427</f>
        <v>90427.0</v>
      </c>
      <c r="J34" s="24"/>
      <c r="K34" s="25" t="n">
        <f>11000349200</f>
        <v>1.10003492E10</v>
      </c>
      <c r="L34" s="23"/>
      <c r="M34" s="25" t="n">
        <f>4075860250</f>
        <v>4.07586025E9</v>
      </c>
      <c r="N34" s="23"/>
      <c r="O34" s="26" t="n">
        <f>15076209450</f>
        <v>1.507620945E10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15105</f>
        <v>15105.0</v>
      </c>
      <c r="U34" s="23"/>
      <c r="V34" s="25" t="n">
        <f>6223</f>
        <v>6223.0</v>
      </c>
      <c r="W34" s="23"/>
      <c r="X34" s="26" t="n">
        <f>21328</f>
        <v>21328.0</v>
      </c>
      <c r="Y34" s="24"/>
      <c r="Z34" s="25" t="n">
        <f>1115514</f>
        <v>1115514.0</v>
      </c>
      <c r="AA34" s="23"/>
      <c r="AB34" s="25" t="n">
        <f>599939</f>
        <v>599939.0</v>
      </c>
      <c r="AC34" s="23"/>
      <c r="AD34" s="26" t="n">
        <f>1715453</f>
        <v>1715453.0</v>
      </c>
    </row>
    <row r="35">
      <c r="A35" s="30" t="s">
        <v>55</v>
      </c>
      <c r="B35" s="22" t="s">
        <v>27</v>
      </c>
      <c r="C35" s="22" t="s">
        <v>28</v>
      </c>
      <c r="D35" s="24"/>
      <c r="E35" s="25" t="n">
        <f>40333</f>
        <v>40333.0</v>
      </c>
      <c r="F35" s="23"/>
      <c r="G35" s="25" t="n">
        <f>25366</f>
        <v>25366.0</v>
      </c>
      <c r="H35" s="23"/>
      <c r="I35" s="26" t="n">
        <f>65699</f>
        <v>65699.0</v>
      </c>
      <c r="J35" s="24"/>
      <c r="K35" s="25" t="n">
        <f>6386240000</f>
        <v>6.38624E9</v>
      </c>
      <c r="L35" s="23"/>
      <c r="M35" s="25" t="n">
        <f>3234814500</f>
        <v>3.2348145E9</v>
      </c>
      <c r="N35" s="23"/>
      <c r="O35" s="26" t="n">
        <f>9621054500</f>
        <v>9.6210545E9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10817</f>
        <v>10817.0</v>
      </c>
      <c r="U35" s="23"/>
      <c r="V35" s="25" t="n">
        <f>5167</f>
        <v>5167.0</v>
      </c>
      <c r="W35" s="23"/>
      <c r="X35" s="26" t="n">
        <f>15984</f>
        <v>15984.0</v>
      </c>
      <c r="Y35" s="24"/>
      <c r="Z35" s="25" t="n">
        <f>1121873</f>
        <v>1121873.0</v>
      </c>
      <c r="AA35" s="23"/>
      <c r="AB35" s="25" t="n">
        <f>601363</f>
        <v>601363.0</v>
      </c>
      <c r="AC35" s="23"/>
      <c r="AD35" s="26" t="n">
        <f>1723236</f>
        <v>1723236.0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60235</f>
        <v>60235.0</v>
      </c>
      <c r="F36" s="23"/>
      <c r="G36" s="25" t="n">
        <f>24180</f>
        <v>24180.0</v>
      </c>
      <c r="H36" s="23"/>
      <c r="I36" s="26" t="n">
        <f>84415</f>
        <v>84415.0</v>
      </c>
      <c r="J36" s="24"/>
      <c r="K36" s="25" t="n">
        <f>12198725000</f>
        <v>1.2198725E10</v>
      </c>
      <c r="L36" s="23"/>
      <c r="M36" s="25" t="n">
        <f>5049212720</f>
        <v>5.04921272E9</v>
      </c>
      <c r="N36" s="23"/>
      <c r="O36" s="26" t="n">
        <f>17247937720</f>
        <v>1.724793772E10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14877</f>
        <v>14877.0</v>
      </c>
      <c r="U36" s="23"/>
      <c r="V36" s="25" t="n">
        <f>6635</f>
        <v>6635.0</v>
      </c>
      <c r="W36" s="23"/>
      <c r="X36" s="26" t="n">
        <f>21512</f>
        <v>21512.0</v>
      </c>
      <c r="Y36" s="24"/>
      <c r="Z36" s="25" t="n">
        <f>1137859</f>
        <v>1137859.0</v>
      </c>
      <c r="AA36" s="23"/>
      <c r="AB36" s="25" t="n">
        <f>608731</f>
        <v>608731.0</v>
      </c>
      <c r="AC36" s="23"/>
      <c r="AD36" s="26" t="n">
        <f>1746590</f>
        <v>1746590.0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86608</f>
        <v>86608.0</v>
      </c>
      <c r="F37" s="23"/>
      <c r="G37" s="25" t="n">
        <f>49311</f>
        <v>49311.0</v>
      </c>
      <c r="H37" s="23"/>
      <c r="I37" s="26" t="n">
        <f>135919</f>
        <v>135919.0</v>
      </c>
      <c r="J37" s="24"/>
      <c r="K37" s="25" t="n">
        <f>17372862107</f>
        <v>1.7372862107E10</v>
      </c>
      <c r="L37" s="23"/>
      <c r="M37" s="25" t="n">
        <f>8928147900</f>
        <v>8.9281479E9</v>
      </c>
      <c r="N37" s="23"/>
      <c r="O37" s="26" t="n">
        <f>26301010007</f>
        <v>2.6301010007E10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9289</f>
        <v>9289.0</v>
      </c>
      <c r="U37" s="23"/>
      <c r="V37" s="25" t="n">
        <f>8922</f>
        <v>8922.0</v>
      </c>
      <c r="W37" s="23"/>
      <c r="X37" s="26" t="n">
        <f>18211</f>
        <v>18211.0</v>
      </c>
      <c r="Y37" s="24"/>
      <c r="Z37" s="25" t="n">
        <f>1149838</f>
        <v>1149838.0</v>
      </c>
      <c r="AA37" s="23"/>
      <c r="AB37" s="25" t="n">
        <f>619856</f>
        <v>619856.0</v>
      </c>
      <c r="AC37" s="23"/>
      <c r="AD37" s="26" t="n">
        <f>1769694</f>
        <v>1769694.0</v>
      </c>
    </row>
    <row r="38">
      <c r="A38" s="30" t="s">
        <v>58</v>
      </c>
      <c r="B38" s="22" t="s">
        <v>27</v>
      </c>
      <c r="C38" s="22" t="s">
        <v>28</v>
      </c>
      <c r="D38" s="24"/>
      <c r="E38" s="25"/>
      <c r="F38" s="23"/>
      <c r="G38" s="25"/>
      <c r="H38" s="23"/>
      <c r="I38" s="26"/>
      <c r="J38" s="24"/>
      <c r="K38" s="25"/>
      <c r="L38" s="23"/>
      <c r="M38" s="25"/>
      <c r="N38" s="23"/>
      <c r="O38" s="26"/>
      <c r="P38" s="27"/>
      <c r="Q38" s="28"/>
      <c r="R38" s="29"/>
      <c r="S38" s="24"/>
      <c r="T38" s="25"/>
      <c r="U38" s="23"/>
      <c r="V38" s="25"/>
      <c r="W38" s="23"/>
      <c r="X38" s="26"/>
      <c r="Y38" s="24"/>
      <c r="Z38" s="25"/>
      <c r="AA38" s="23"/>
      <c r="AB38" s="25"/>
      <c r="AC38" s="23"/>
      <c r="AD38" s="26"/>
    </row>
    <row r="39">
      <c r="A39" s="30" t="s">
        <v>59</v>
      </c>
      <c r="B39" s="22" t="s">
        <v>27</v>
      </c>
      <c r="C39" s="22" t="s">
        <v>28</v>
      </c>
      <c r="D39" s="24"/>
      <c r="E39" s="25"/>
      <c r="F39" s="23"/>
      <c r="G39" s="25"/>
      <c r="H39" s="23"/>
      <c r="I39" s="26"/>
      <c r="J39" s="24"/>
      <c r="K39" s="25"/>
      <c r="L39" s="23"/>
      <c r="M39" s="25"/>
      <c r="N39" s="23"/>
      <c r="O39" s="26"/>
      <c r="P39" s="27"/>
      <c r="Q39" s="28"/>
      <c r="R39" s="29"/>
      <c r="S39" s="24"/>
      <c r="T39" s="25"/>
      <c r="U39" s="23"/>
      <c r="V39" s="25"/>
      <c r="W39" s="23"/>
      <c r="X39" s="26"/>
      <c r="Y39" s="24"/>
      <c r="Z39" s="25"/>
      <c r="AA39" s="23"/>
      <c r="AB39" s="25"/>
      <c r="AC39" s="23"/>
      <c r="AD39" s="26"/>
    </row>
    <row r="40">
      <c r="A40" s="30" t="s">
        <v>60</v>
      </c>
      <c r="B40" s="22" t="s">
        <v>27</v>
      </c>
      <c r="C40" s="22" t="s">
        <v>28</v>
      </c>
      <c r="D40" s="24"/>
      <c r="E40" s="25" t="n">
        <f>62723</f>
        <v>62723.0</v>
      </c>
      <c r="F40" s="23"/>
      <c r="G40" s="25" t="n">
        <f>45124</f>
        <v>45124.0</v>
      </c>
      <c r="H40" s="23"/>
      <c r="I40" s="26" t="n">
        <f>107847</f>
        <v>107847.0</v>
      </c>
      <c r="J40" s="24"/>
      <c r="K40" s="25" t="n">
        <f>8502984000</f>
        <v>8.502984E9</v>
      </c>
      <c r="L40" s="23"/>
      <c r="M40" s="25" t="n">
        <f>4805373000</f>
        <v>4.805373E9</v>
      </c>
      <c r="N40" s="23"/>
      <c r="O40" s="26" t="n">
        <f>13308357000</f>
        <v>1.3308357E10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10299</f>
        <v>10299.0</v>
      </c>
      <c r="U40" s="23"/>
      <c r="V40" s="25" t="n">
        <f>6447</f>
        <v>6447.0</v>
      </c>
      <c r="W40" s="23"/>
      <c r="X40" s="26" t="n">
        <f>16746</f>
        <v>16746.0</v>
      </c>
      <c r="Y40" s="24"/>
      <c r="Z40" s="25" t="n">
        <f>1148244</f>
        <v>1148244.0</v>
      </c>
      <c r="AA40" s="23"/>
      <c r="AB40" s="25" t="n">
        <f>619167</f>
        <v>619167.0</v>
      </c>
      <c r="AC40" s="23"/>
      <c r="AD40" s="26" t="n">
        <f>1767411</f>
        <v>1767411.0</v>
      </c>
    </row>
    <row r="41">
      <c r="A41" s="30" t="s">
        <v>26</v>
      </c>
      <c r="B41" s="22" t="s">
        <v>61</v>
      </c>
      <c r="C41" s="22" t="s">
        <v>62</v>
      </c>
      <c r="D41" s="24"/>
      <c r="E41" s="25"/>
      <c r="F41" s="23"/>
      <c r="G41" s="25"/>
      <c r="H41" s="23"/>
      <c r="I41" s="26"/>
      <c r="J41" s="24"/>
      <c r="K41" s="25"/>
      <c r="L41" s="23"/>
      <c r="M41" s="25"/>
      <c r="N41" s="23"/>
      <c r="O41" s="26"/>
      <c r="P41" s="27"/>
      <c r="Q41" s="28"/>
      <c r="R41" s="29"/>
      <c r="S41" s="24"/>
      <c r="T41" s="25"/>
      <c r="U41" s="23"/>
      <c r="V41" s="25"/>
      <c r="W41" s="23"/>
      <c r="X41" s="26"/>
      <c r="Y41" s="24"/>
      <c r="Z41" s="25"/>
      <c r="AA41" s="23"/>
      <c r="AB41" s="25"/>
      <c r="AC41" s="23"/>
      <c r="AD41" s="26"/>
    </row>
    <row r="42">
      <c r="A42" s="30" t="s">
        <v>29</v>
      </c>
      <c r="B42" s="22" t="s">
        <v>61</v>
      </c>
      <c r="C42" s="22" t="s">
        <v>62</v>
      </c>
      <c r="D42" s="24"/>
      <c r="E42" s="25"/>
      <c r="F42" s="23"/>
      <c r="G42" s="25"/>
      <c r="H42" s="23"/>
      <c r="I42" s="26"/>
      <c r="J42" s="24"/>
      <c r="K42" s="25"/>
      <c r="L42" s="23"/>
      <c r="M42" s="25"/>
      <c r="N42" s="23"/>
      <c r="O42" s="26"/>
      <c r="P42" s="27"/>
      <c r="Q42" s="28"/>
      <c r="R42" s="29"/>
      <c r="S42" s="24"/>
      <c r="T42" s="25"/>
      <c r="U42" s="23"/>
      <c r="V42" s="25"/>
      <c r="W42" s="23"/>
      <c r="X42" s="26"/>
      <c r="Y42" s="24"/>
      <c r="Z42" s="25"/>
      <c r="AA42" s="23"/>
      <c r="AB42" s="25"/>
      <c r="AC42" s="23"/>
      <c r="AD42" s="26"/>
    </row>
    <row r="43">
      <c r="A43" s="30" t="s">
        <v>30</v>
      </c>
      <c r="B43" s="22" t="s">
        <v>61</v>
      </c>
      <c r="C43" s="22" t="s">
        <v>62</v>
      </c>
      <c r="D43" s="24"/>
      <c r="E43" s="25" t="n">
        <f>912</f>
        <v>912.0</v>
      </c>
      <c r="F43" s="23"/>
      <c r="G43" s="25" t="n">
        <f>1729</f>
        <v>1729.0</v>
      </c>
      <c r="H43" s="23"/>
      <c r="I43" s="26" t="n">
        <f>2641</f>
        <v>2641.0</v>
      </c>
      <c r="J43" s="24"/>
      <c r="K43" s="25" t="n">
        <f>50518000</f>
        <v>5.0518E7</v>
      </c>
      <c r="L43" s="23"/>
      <c r="M43" s="25" t="n">
        <f>117093135</f>
        <v>1.17093135E8</v>
      </c>
      <c r="N43" s="23"/>
      <c r="O43" s="26" t="n">
        <f>167611135</f>
        <v>1.67611135E8</v>
      </c>
      <c r="P43" s="27" t="str">
        <f>"－"</f>
        <v>－</v>
      </c>
      <c r="Q43" s="28" t="str">
        <f>"－"</f>
        <v>－</v>
      </c>
      <c r="R43" s="29" t="str">
        <f>"－"</f>
        <v>－</v>
      </c>
      <c r="S43" s="24"/>
      <c r="T43" s="25" t="n">
        <f>128</f>
        <v>128.0</v>
      </c>
      <c r="U43" s="23"/>
      <c r="V43" s="25" t="n">
        <f>365</f>
        <v>365.0</v>
      </c>
      <c r="W43" s="23"/>
      <c r="X43" s="26" t="n">
        <f>493</f>
        <v>493.0</v>
      </c>
      <c r="Y43" s="24"/>
      <c r="Z43" s="25" t="n">
        <f>1512</f>
        <v>1512.0</v>
      </c>
      <c r="AA43" s="23"/>
      <c r="AB43" s="25" t="n">
        <f>3621</f>
        <v>3621.0</v>
      </c>
      <c r="AC43" s="23"/>
      <c r="AD43" s="26" t="n">
        <f>5133</f>
        <v>5133.0</v>
      </c>
    </row>
    <row r="44">
      <c r="A44" s="30" t="s">
        <v>31</v>
      </c>
      <c r="B44" s="22" t="s">
        <v>61</v>
      </c>
      <c r="C44" s="22" t="s">
        <v>62</v>
      </c>
      <c r="D44" s="24"/>
      <c r="E44" s="25" t="n">
        <f>1320</f>
        <v>1320.0</v>
      </c>
      <c r="F44" s="23"/>
      <c r="G44" s="25" t="n">
        <f>2221</f>
        <v>2221.0</v>
      </c>
      <c r="H44" s="23"/>
      <c r="I44" s="26" t="n">
        <f>3541</f>
        <v>3541.0</v>
      </c>
      <c r="J44" s="24"/>
      <c r="K44" s="25" t="n">
        <f>45871000</f>
        <v>4.5871E7</v>
      </c>
      <c r="L44" s="23"/>
      <c r="M44" s="25" t="n">
        <f>128906000</f>
        <v>1.28906E8</v>
      </c>
      <c r="N44" s="23"/>
      <c r="O44" s="26" t="n">
        <f>174777000</f>
        <v>1.74777E8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/>
      <c r="T44" s="25" t="n">
        <f>177</f>
        <v>177.0</v>
      </c>
      <c r="U44" s="23"/>
      <c r="V44" s="25" t="n">
        <f>84</f>
        <v>84.0</v>
      </c>
      <c r="W44" s="23"/>
      <c r="X44" s="26" t="n">
        <f>261</f>
        <v>261.0</v>
      </c>
      <c r="Y44" s="24"/>
      <c r="Z44" s="25" t="n">
        <f>1780</f>
        <v>1780.0</v>
      </c>
      <c r="AA44" s="23"/>
      <c r="AB44" s="25" t="n">
        <f>3263</f>
        <v>3263.0</v>
      </c>
      <c r="AC44" s="23"/>
      <c r="AD44" s="26" t="n">
        <f>5043</f>
        <v>5043.0</v>
      </c>
    </row>
    <row r="45">
      <c r="A45" s="30" t="s">
        <v>32</v>
      </c>
      <c r="B45" s="22" t="s">
        <v>61</v>
      </c>
      <c r="C45" s="22" t="s">
        <v>62</v>
      </c>
      <c r="D45" s="24"/>
      <c r="E45" s="25" t="n">
        <f>1206</f>
        <v>1206.0</v>
      </c>
      <c r="F45" s="23"/>
      <c r="G45" s="25" t="n">
        <f>1494</f>
        <v>1494.0</v>
      </c>
      <c r="H45" s="23"/>
      <c r="I45" s="26" t="n">
        <f>2700</f>
        <v>2700.0</v>
      </c>
      <c r="J45" s="24"/>
      <c r="K45" s="25" t="n">
        <f>45364000</f>
        <v>4.5364E7</v>
      </c>
      <c r="L45" s="23"/>
      <c r="M45" s="25" t="n">
        <f>70279000</f>
        <v>7.0279E7</v>
      </c>
      <c r="N45" s="23"/>
      <c r="O45" s="26" t="n">
        <f>115643000</f>
        <v>1.15643E8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125</f>
        <v>125.0</v>
      </c>
      <c r="U45" s="23"/>
      <c r="V45" s="25" t="n">
        <f>74</f>
        <v>74.0</v>
      </c>
      <c r="W45" s="23"/>
      <c r="X45" s="26" t="n">
        <f>199</f>
        <v>199.0</v>
      </c>
      <c r="Y45" s="24"/>
      <c r="Z45" s="25" t="n">
        <f>1992</f>
        <v>1992.0</v>
      </c>
      <c r="AA45" s="23"/>
      <c r="AB45" s="25" t="n">
        <f>3014</f>
        <v>3014.0</v>
      </c>
      <c r="AC45" s="23"/>
      <c r="AD45" s="26" t="n">
        <f>5006</f>
        <v>5006.0</v>
      </c>
    </row>
    <row r="46">
      <c r="A46" s="30" t="s">
        <v>34</v>
      </c>
      <c r="B46" s="22" t="s">
        <v>61</v>
      </c>
      <c r="C46" s="22" t="s">
        <v>62</v>
      </c>
      <c r="D46" s="24"/>
      <c r="E46" s="25" t="n">
        <f>1901</f>
        <v>1901.0</v>
      </c>
      <c r="F46" s="23"/>
      <c r="G46" s="25" t="n">
        <f>1437</f>
        <v>1437.0</v>
      </c>
      <c r="H46" s="23"/>
      <c r="I46" s="26" t="n">
        <f>3338</f>
        <v>3338.0</v>
      </c>
      <c r="J46" s="24"/>
      <c r="K46" s="25" t="n">
        <f>38647000</f>
        <v>3.8647E7</v>
      </c>
      <c r="L46" s="23"/>
      <c r="M46" s="25" t="n">
        <f>43326000</f>
        <v>4.3326E7</v>
      </c>
      <c r="N46" s="23"/>
      <c r="O46" s="26" t="n">
        <f>81973000</f>
        <v>8.1973E7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/>
      <c r="T46" s="25" t="n">
        <f>141</f>
        <v>141.0</v>
      </c>
      <c r="U46" s="23"/>
      <c r="V46" s="25" t="n">
        <f>149</f>
        <v>149.0</v>
      </c>
      <c r="W46" s="23"/>
      <c r="X46" s="26" t="n">
        <f>290</f>
        <v>290.0</v>
      </c>
      <c r="Y46" s="24"/>
      <c r="Z46" s="25" t="n">
        <f>2811</f>
        <v>2811.0</v>
      </c>
      <c r="AA46" s="23"/>
      <c r="AB46" s="25" t="n">
        <f>3334</f>
        <v>3334.0</v>
      </c>
      <c r="AC46" s="23"/>
      <c r="AD46" s="26" t="n">
        <f>6145</f>
        <v>6145.0</v>
      </c>
    </row>
    <row r="47">
      <c r="A47" s="30" t="s">
        <v>35</v>
      </c>
      <c r="B47" s="22" t="s">
        <v>61</v>
      </c>
      <c r="C47" s="22" t="s">
        <v>62</v>
      </c>
      <c r="D47" s="24" t="s">
        <v>33</v>
      </c>
      <c r="E47" s="25" t="n">
        <f>30</f>
        <v>30.0</v>
      </c>
      <c r="F47" s="23"/>
      <c r="G47" s="25" t="n">
        <f>373</f>
        <v>373.0</v>
      </c>
      <c r="H47" s="23"/>
      <c r="I47" s="26" t="n">
        <f>403</f>
        <v>403.0</v>
      </c>
      <c r="J47" s="24" t="s">
        <v>33</v>
      </c>
      <c r="K47" s="25" t="n">
        <f>3809000</f>
        <v>3809000.0</v>
      </c>
      <c r="L47" s="23"/>
      <c r="M47" s="25" t="n">
        <f>66161000</f>
        <v>6.6161E7</v>
      </c>
      <c r="N47" s="23"/>
      <c r="O47" s="26" t="n">
        <f>69970000</f>
        <v>6.997E7</v>
      </c>
      <c r="P47" s="27" t="n">
        <f>553</f>
        <v>553.0</v>
      </c>
      <c r="Q47" s="28" t="n">
        <f>224</f>
        <v>224.0</v>
      </c>
      <c r="R47" s="29" t="n">
        <f>777</f>
        <v>777.0</v>
      </c>
      <c r="S47" s="24" t="s">
        <v>33</v>
      </c>
      <c r="T47" s="25" t="n">
        <f>3</f>
        <v>3.0</v>
      </c>
      <c r="U47" s="23"/>
      <c r="V47" s="25" t="n">
        <f>246</f>
        <v>246.0</v>
      </c>
      <c r="W47" s="23"/>
      <c r="X47" s="26" t="n">
        <f>249</f>
        <v>249.0</v>
      </c>
      <c r="Y47" s="24" t="s">
        <v>33</v>
      </c>
      <c r="Z47" s="25" t="n">
        <f>37</f>
        <v>37.0</v>
      </c>
      <c r="AA47" s="23" t="s">
        <v>33</v>
      </c>
      <c r="AB47" s="25" t="n">
        <f>874</f>
        <v>874.0</v>
      </c>
      <c r="AC47" s="23" t="s">
        <v>33</v>
      </c>
      <c r="AD47" s="26" t="n">
        <f>911</f>
        <v>911.0</v>
      </c>
    </row>
    <row r="48">
      <c r="A48" s="30" t="s">
        <v>36</v>
      </c>
      <c r="B48" s="22" t="s">
        <v>61</v>
      </c>
      <c r="C48" s="22" t="s">
        <v>62</v>
      </c>
      <c r="D48" s="24"/>
      <c r="E48" s="25"/>
      <c r="F48" s="23"/>
      <c r="G48" s="25"/>
      <c r="H48" s="23"/>
      <c r="I48" s="26"/>
      <c r="J48" s="24"/>
      <c r="K48" s="25"/>
      <c r="L48" s="23"/>
      <c r="M48" s="25"/>
      <c r="N48" s="23"/>
      <c r="O48" s="26"/>
      <c r="P48" s="27"/>
      <c r="Q48" s="28"/>
      <c r="R48" s="29"/>
      <c r="S48" s="24"/>
      <c r="T48" s="25"/>
      <c r="U48" s="23"/>
      <c r="V48" s="25"/>
      <c r="W48" s="23"/>
      <c r="X48" s="26"/>
      <c r="Y48" s="24"/>
      <c r="Z48" s="25"/>
      <c r="AA48" s="23"/>
      <c r="AB48" s="25"/>
      <c r="AC48" s="23"/>
      <c r="AD48" s="26"/>
    </row>
    <row r="49">
      <c r="A49" s="30" t="s">
        <v>37</v>
      </c>
      <c r="B49" s="22" t="s">
        <v>61</v>
      </c>
      <c r="C49" s="22" t="s">
        <v>62</v>
      </c>
      <c r="D49" s="24"/>
      <c r="E49" s="25"/>
      <c r="F49" s="23"/>
      <c r="G49" s="25"/>
      <c r="H49" s="23"/>
      <c r="I49" s="26"/>
      <c r="J49" s="24"/>
      <c r="K49" s="25"/>
      <c r="L49" s="23"/>
      <c r="M49" s="25"/>
      <c r="N49" s="23"/>
      <c r="O49" s="26"/>
      <c r="P49" s="27"/>
      <c r="Q49" s="28"/>
      <c r="R49" s="29"/>
      <c r="S49" s="24"/>
      <c r="T49" s="25"/>
      <c r="U49" s="23"/>
      <c r="V49" s="25"/>
      <c r="W49" s="23"/>
      <c r="X49" s="26"/>
      <c r="Y49" s="24"/>
      <c r="Z49" s="25"/>
      <c r="AA49" s="23"/>
      <c r="AB49" s="25"/>
      <c r="AC49" s="23"/>
      <c r="AD49" s="26"/>
    </row>
    <row r="50">
      <c r="A50" s="30" t="s">
        <v>38</v>
      </c>
      <c r="B50" s="22" t="s">
        <v>61</v>
      </c>
      <c r="C50" s="22" t="s">
        <v>62</v>
      </c>
      <c r="D50" s="24"/>
      <c r="E50" s="25"/>
      <c r="F50" s="23"/>
      <c r="G50" s="25"/>
      <c r="H50" s="23"/>
      <c r="I50" s="26"/>
      <c r="J50" s="24"/>
      <c r="K50" s="25"/>
      <c r="L50" s="23"/>
      <c r="M50" s="25"/>
      <c r="N50" s="23"/>
      <c r="O50" s="26"/>
      <c r="P50" s="27"/>
      <c r="Q50" s="28"/>
      <c r="R50" s="29"/>
      <c r="S50" s="24"/>
      <c r="T50" s="25"/>
      <c r="U50" s="23"/>
      <c r="V50" s="25"/>
      <c r="W50" s="23"/>
      <c r="X50" s="26"/>
      <c r="Y50" s="24"/>
      <c r="Z50" s="25"/>
      <c r="AA50" s="23"/>
      <c r="AB50" s="25"/>
      <c r="AC50" s="23"/>
      <c r="AD50" s="26"/>
    </row>
    <row r="51">
      <c r="A51" s="30" t="s">
        <v>39</v>
      </c>
      <c r="B51" s="22" t="s">
        <v>61</v>
      </c>
      <c r="C51" s="22" t="s">
        <v>62</v>
      </c>
      <c r="D51" s="24"/>
      <c r="E51" s="25" t="n">
        <f>131</f>
        <v>131.0</v>
      </c>
      <c r="F51" s="23"/>
      <c r="G51" s="25" t="n">
        <f>232</f>
        <v>232.0</v>
      </c>
      <c r="H51" s="23" t="s">
        <v>33</v>
      </c>
      <c r="I51" s="26" t="n">
        <f>363</f>
        <v>363.0</v>
      </c>
      <c r="J51" s="24"/>
      <c r="K51" s="25" t="n">
        <f>14589000</f>
        <v>1.4589E7</v>
      </c>
      <c r="L51" s="23"/>
      <c r="M51" s="25" t="n">
        <f>30889000</f>
        <v>3.0889E7</v>
      </c>
      <c r="N51" s="23" t="s">
        <v>33</v>
      </c>
      <c r="O51" s="26" t="n">
        <f>45478000</f>
        <v>4.5478E7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n">
        <f>12</f>
        <v>12.0</v>
      </c>
      <c r="U51" s="23" t="s">
        <v>33</v>
      </c>
      <c r="V51" s="25" t="n">
        <f>3</f>
        <v>3.0</v>
      </c>
      <c r="W51" s="23" t="s">
        <v>33</v>
      </c>
      <c r="X51" s="26" t="n">
        <f>15</f>
        <v>15.0</v>
      </c>
      <c r="Y51" s="24"/>
      <c r="Z51" s="25" t="n">
        <f>137</f>
        <v>137.0</v>
      </c>
      <c r="AA51" s="23"/>
      <c r="AB51" s="25" t="n">
        <f>1042</f>
        <v>1042.0</v>
      </c>
      <c r="AC51" s="23"/>
      <c r="AD51" s="26" t="n">
        <f>1179</f>
        <v>1179.0</v>
      </c>
    </row>
    <row r="52">
      <c r="A52" s="30" t="s">
        <v>41</v>
      </c>
      <c r="B52" s="22" t="s">
        <v>61</v>
      </c>
      <c r="C52" s="22" t="s">
        <v>62</v>
      </c>
      <c r="D52" s="24"/>
      <c r="E52" s="25" t="n">
        <f>227</f>
        <v>227.0</v>
      </c>
      <c r="F52" s="23"/>
      <c r="G52" s="25" t="n">
        <f>534</f>
        <v>534.0</v>
      </c>
      <c r="H52" s="23"/>
      <c r="I52" s="26" t="n">
        <f>761</f>
        <v>761.0</v>
      </c>
      <c r="J52" s="24"/>
      <c r="K52" s="25" t="n">
        <f>13163000</f>
        <v>1.3163E7</v>
      </c>
      <c r="L52" s="23"/>
      <c r="M52" s="25" t="n">
        <f>53523000</f>
        <v>5.3523E7</v>
      </c>
      <c r="N52" s="23"/>
      <c r="O52" s="26" t="n">
        <f>66686000</f>
        <v>6.6686E7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11</f>
        <v>11.0</v>
      </c>
      <c r="U52" s="23"/>
      <c r="V52" s="25" t="n">
        <f>117</f>
        <v>117.0</v>
      </c>
      <c r="W52" s="23"/>
      <c r="X52" s="26" t="n">
        <f>128</f>
        <v>128.0</v>
      </c>
      <c r="Y52" s="24"/>
      <c r="Z52" s="25" t="n">
        <f>293</f>
        <v>293.0</v>
      </c>
      <c r="AA52" s="23"/>
      <c r="AB52" s="25" t="n">
        <f>1474</f>
        <v>1474.0</v>
      </c>
      <c r="AC52" s="23"/>
      <c r="AD52" s="26" t="n">
        <f>1767</f>
        <v>1767.0</v>
      </c>
    </row>
    <row r="53">
      <c r="A53" s="30" t="s">
        <v>42</v>
      </c>
      <c r="B53" s="22" t="s">
        <v>61</v>
      </c>
      <c r="C53" s="22" t="s">
        <v>62</v>
      </c>
      <c r="D53" s="24"/>
      <c r="E53" s="25" t="n">
        <f>508</f>
        <v>508.0</v>
      </c>
      <c r="F53" s="23"/>
      <c r="G53" s="25" t="n">
        <f>802</f>
        <v>802.0</v>
      </c>
      <c r="H53" s="23"/>
      <c r="I53" s="26" t="n">
        <f>1310</f>
        <v>1310.0</v>
      </c>
      <c r="J53" s="24"/>
      <c r="K53" s="25" t="n">
        <f>46224000</f>
        <v>4.6224E7</v>
      </c>
      <c r="L53" s="23"/>
      <c r="M53" s="25" t="n">
        <f>91612000</f>
        <v>9.1612E7</v>
      </c>
      <c r="N53" s="23"/>
      <c r="O53" s="26" t="n">
        <f>137836000</f>
        <v>1.37836E8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27</f>
        <v>27.0</v>
      </c>
      <c r="U53" s="23"/>
      <c r="V53" s="25" t="n">
        <f>19</f>
        <v>19.0</v>
      </c>
      <c r="W53" s="23"/>
      <c r="X53" s="26" t="n">
        <f>46</f>
        <v>46.0</v>
      </c>
      <c r="Y53" s="24"/>
      <c r="Z53" s="25" t="n">
        <f>652</f>
        <v>652.0</v>
      </c>
      <c r="AA53" s="23"/>
      <c r="AB53" s="25" t="n">
        <f>2155</f>
        <v>2155.0</v>
      </c>
      <c r="AC53" s="23"/>
      <c r="AD53" s="26" t="n">
        <f>2807</f>
        <v>2807.0</v>
      </c>
    </row>
    <row r="54">
      <c r="A54" s="30" t="s">
        <v>43</v>
      </c>
      <c r="B54" s="22" t="s">
        <v>61</v>
      </c>
      <c r="C54" s="22" t="s">
        <v>62</v>
      </c>
      <c r="D54" s="24"/>
      <c r="E54" s="25" t="n">
        <f>925</f>
        <v>925.0</v>
      </c>
      <c r="F54" s="23" t="s">
        <v>33</v>
      </c>
      <c r="G54" s="25" t="n">
        <f>226</f>
        <v>226.0</v>
      </c>
      <c r="H54" s="23"/>
      <c r="I54" s="26" t="n">
        <f>1151</f>
        <v>1151.0</v>
      </c>
      <c r="J54" s="24"/>
      <c r="K54" s="25" t="n">
        <f>31806000</f>
        <v>3.1806E7</v>
      </c>
      <c r="L54" s="23" t="s">
        <v>33</v>
      </c>
      <c r="M54" s="25" t="n">
        <f>19161000</f>
        <v>1.9161E7</v>
      </c>
      <c r="N54" s="23"/>
      <c r="O54" s="26" t="n">
        <f>50967000</f>
        <v>5.0967E7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31</f>
        <v>31.0</v>
      </c>
      <c r="U54" s="23"/>
      <c r="V54" s="25" t="n">
        <f>30</f>
        <v>30.0</v>
      </c>
      <c r="W54" s="23"/>
      <c r="X54" s="26" t="n">
        <f>61</f>
        <v>61.0</v>
      </c>
      <c r="Y54" s="24"/>
      <c r="Z54" s="25" t="n">
        <f>1302</f>
        <v>1302.0</v>
      </c>
      <c r="AA54" s="23"/>
      <c r="AB54" s="25" t="n">
        <f>2241</f>
        <v>2241.0</v>
      </c>
      <c r="AC54" s="23"/>
      <c r="AD54" s="26" t="n">
        <f>3543</f>
        <v>3543.0</v>
      </c>
    </row>
    <row r="55">
      <c r="A55" s="30" t="s">
        <v>44</v>
      </c>
      <c r="B55" s="22" t="s">
        <v>61</v>
      </c>
      <c r="C55" s="22" t="s">
        <v>62</v>
      </c>
      <c r="D55" s="24"/>
      <c r="E55" s="25"/>
      <c r="F55" s="23"/>
      <c r="G55" s="25"/>
      <c r="H55" s="23"/>
      <c r="I55" s="26"/>
      <c r="J55" s="24"/>
      <c r="K55" s="25"/>
      <c r="L55" s="23"/>
      <c r="M55" s="25"/>
      <c r="N55" s="23"/>
      <c r="O55" s="26"/>
      <c r="P55" s="27"/>
      <c r="Q55" s="28"/>
      <c r="R55" s="29"/>
      <c r="S55" s="24"/>
      <c r="T55" s="25"/>
      <c r="U55" s="23"/>
      <c r="V55" s="25"/>
      <c r="W55" s="23"/>
      <c r="X55" s="26"/>
      <c r="Y55" s="24"/>
      <c r="Z55" s="25"/>
      <c r="AA55" s="23"/>
      <c r="AB55" s="25"/>
      <c r="AC55" s="23"/>
      <c r="AD55" s="26"/>
    </row>
    <row r="56">
      <c r="A56" s="30" t="s">
        <v>45</v>
      </c>
      <c r="B56" s="22" t="s">
        <v>61</v>
      </c>
      <c r="C56" s="22" t="s">
        <v>62</v>
      </c>
      <c r="D56" s="24"/>
      <c r="E56" s="25"/>
      <c r="F56" s="23"/>
      <c r="G56" s="25"/>
      <c r="H56" s="23"/>
      <c r="I56" s="26"/>
      <c r="J56" s="24"/>
      <c r="K56" s="25"/>
      <c r="L56" s="23"/>
      <c r="M56" s="25"/>
      <c r="N56" s="23"/>
      <c r="O56" s="26"/>
      <c r="P56" s="27"/>
      <c r="Q56" s="28"/>
      <c r="R56" s="29"/>
      <c r="S56" s="24"/>
      <c r="T56" s="25"/>
      <c r="U56" s="23"/>
      <c r="V56" s="25"/>
      <c r="W56" s="23"/>
      <c r="X56" s="26"/>
      <c r="Y56" s="24"/>
      <c r="Z56" s="25"/>
      <c r="AA56" s="23"/>
      <c r="AB56" s="25"/>
      <c r="AC56" s="23"/>
      <c r="AD56" s="26"/>
    </row>
    <row r="57">
      <c r="A57" s="30" t="s">
        <v>46</v>
      </c>
      <c r="B57" s="22" t="s">
        <v>61</v>
      </c>
      <c r="C57" s="22" t="s">
        <v>62</v>
      </c>
      <c r="D57" s="24"/>
      <c r="E57" s="25" t="n">
        <f>1944</f>
        <v>1944.0</v>
      </c>
      <c r="F57" s="23"/>
      <c r="G57" s="25" t="n">
        <f>753</f>
        <v>753.0</v>
      </c>
      <c r="H57" s="23"/>
      <c r="I57" s="26" t="n">
        <f>2697</f>
        <v>2697.0</v>
      </c>
      <c r="J57" s="24"/>
      <c r="K57" s="25" t="n">
        <f>77750000</f>
        <v>7.775E7</v>
      </c>
      <c r="L57" s="23"/>
      <c r="M57" s="25" t="n">
        <f>49317000</f>
        <v>4.9317E7</v>
      </c>
      <c r="N57" s="23"/>
      <c r="O57" s="26" t="n">
        <f>127067000</f>
        <v>1.27067E8</v>
      </c>
      <c r="P57" s="27" t="str">
        <f>"－"</f>
        <v>－</v>
      </c>
      <c r="Q57" s="28" t="str">
        <f>"－"</f>
        <v>－</v>
      </c>
      <c r="R57" s="29" t="str">
        <f>"－"</f>
        <v>－</v>
      </c>
      <c r="S57" s="24"/>
      <c r="T57" s="25" t="n">
        <f>154</f>
        <v>154.0</v>
      </c>
      <c r="U57" s="23"/>
      <c r="V57" s="25" t="n">
        <f>56</f>
        <v>56.0</v>
      </c>
      <c r="W57" s="23"/>
      <c r="X57" s="26" t="n">
        <f>210</f>
        <v>210.0</v>
      </c>
      <c r="Y57" s="24"/>
      <c r="Z57" s="25" t="n">
        <f>2185</f>
        <v>2185.0</v>
      </c>
      <c r="AA57" s="23"/>
      <c r="AB57" s="25" t="n">
        <f>2627</f>
        <v>2627.0</v>
      </c>
      <c r="AC57" s="23"/>
      <c r="AD57" s="26" t="n">
        <f>4812</f>
        <v>4812.0</v>
      </c>
    </row>
    <row r="58">
      <c r="A58" s="30" t="s">
        <v>47</v>
      </c>
      <c r="B58" s="22" t="s">
        <v>61</v>
      </c>
      <c r="C58" s="22" t="s">
        <v>62</v>
      </c>
      <c r="D58" s="24"/>
      <c r="E58" s="25" t="n">
        <f>1561</f>
        <v>1561.0</v>
      </c>
      <c r="F58" s="23"/>
      <c r="G58" s="25" t="n">
        <f>1747</f>
        <v>1747.0</v>
      </c>
      <c r="H58" s="23"/>
      <c r="I58" s="26" t="n">
        <f>3308</f>
        <v>3308.0</v>
      </c>
      <c r="J58" s="24"/>
      <c r="K58" s="25" t="n">
        <f>79155000</f>
        <v>7.9155E7</v>
      </c>
      <c r="L58" s="23"/>
      <c r="M58" s="25" t="n">
        <f>128735000</f>
        <v>1.28735E8</v>
      </c>
      <c r="N58" s="23"/>
      <c r="O58" s="26" t="n">
        <f>207890000</f>
        <v>2.0789E8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163</f>
        <v>163.0</v>
      </c>
      <c r="U58" s="23" t="s">
        <v>40</v>
      </c>
      <c r="V58" s="25" t="n">
        <f>901</f>
        <v>901.0</v>
      </c>
      <c r="W58" s="23" t="s">
        <v>40</v>
      </c>
      <c r="X58" s="26" t="n">
        <f>1064</f>
        <v>1064.0</v>
      </c>
      <c r="Y58" s="24"/>
      <c r="Z58" s="25" t="n">
        <f>2855</f>
        <v>2855.0</v>
      </c>
      <c r="AA58" s="23"/>
      <c r="AB58" s="25" t="n">
        <f>3811</f>
        <v>3811.0</v>
      </c>
      <c r="AC58" s="23"/>
      <c r="AD58" s="26" t="n">
        <f>6666</f>
        <v>6666.0</v>
      </c>
    </row>
    <row r="59">
      <c r="A59" s="30" t="s">
        <v>48</v>
      </c>
      <c r="B59" s="22" t="s">
        <v>61</v>
      </c>
      <c r="C59" s="22" t="s">
        <v>62</v>
      </c>
      <c r="D59" s="24"/>
      <c r="E59" s="25" t="n">
        <f>2424</f>
        <v>2424.0</v>
      </c>
      <c r="F59" s="23"/>
      <c r="G59" s="25" t="n">
        <f>850</f>
        <v>850.0</v>
      </c>
      <c r="H59" s="23"/>
      <c r="I59" s="26" t="n">
        <f>3274</f>
        <v>3274.0</v>
      </c>
      <c r="J59" s="24"/>
      <c r="K59" s="25" t="n">
        <f>119432000</f>
        <v>1.19432E8</v>
      </c>
      <c r="L59" s="23"/>
      <c r="M59" s="25" t="n">
        <f>38294000</f>
        <v>3.8294E7</v>
      </c>
      <c r="N59" s="23"/>
      <c r="O59" s="26" t="n">
        <f>157726000</f>
        <v>1.57726E8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200</f>
        <v>200.0</v>
      </c>
      <c r="U59" s="23"/>
      <c r="V59" s="25" t="n">
        <f>74</f>
        <v>74.0</v>
      </c>
      <c r="W59" s="23"/>
      <c r="X59" s="26" t="n">
        <f>274</f>
        <v>274.0</v>
      </c>
      <c r="Y59" s="24"/>
      <c r="Z59" s="25" t="n">
        <f>3995</f>
        <v>3995.0</v>
      </c>
      <c r="AA59" s="23"/>
      <c r="AB59" s="25" t="n">
        <f>4064</f>
        <v>4064.0</v>
      </c>
      <c r="AC59" s="23"/>
      <c r="AD59" s="26" t="n">
        <f>8059</f>
        <v>8059.0</v>
      </c>
    </row>
    <row r="60">
      <c r="A60" s="30" t="s">
        <v>49</v>
      </c>
      <c r="B60" s="22" t="s">
        <v>61</v>
      </c>
      <c r="C60" s="22" t="s">
        <v>62</v>
      </c>
      <c r="D60" s="24"/>
      <c r="E60" s="25" t="n">
        <f>3016</f>
        <v>3016.0</v>
      </c>
      <c r="F60" s="23"/>
      <c r="G60" s="25" t="n">
        <f>2099</f>
        <v>2099.0</v>
      </c>
      <c r="H60" s="23"/>
      <c r="I60" s="26" t="n">
        <f>5115</f>
        <v>5115.0</v>
      </c>
      <c r="J60" s="24" t="s">
        <v>40</v>
      </c>
      <c r="K60" s="25" t="n">
        <f>156912000</f>
        <v>1.56912E8</v>
      </c>
      <c r="L60" s="23"/>
      <c r="M60" s="25" t="n">
        <f>64342000</f>
        <v>6.4342E7</v>
      </c>
      <c r="N60" s="23"/>
      <c r="O60" s="26" t="n">
        <f>221254000</f>
        <v>2.21254E8</v>
      </c>
      <c r="P60" s="27" t="str">
        <f>"－"</f>
        <v>－</v>
      </c>
      <c r="Q60" s="28" t="str">
        <f>"－"</f>
        <v>－</v>
      </c>
      <c r="R60" s="29" t="str">
        <f>"－"</f>
        <v>－</v>
      </c>
      <c r="S60" s="24"/>
      <c r="T60" s="25" t="n">
        <f>361</f>
        <v>361.0</v>
      </c>
      <c r="U60" s="23"/>
      <c r="V60" s="25" t="n">
        <f>168</f>
        <v>168.0</v>
      </c>
      <c r="W60" s="23"/>
      <c r="X60" s="26" t="n">
        <f>529</f>
        <v>529.0</v>
      </c>
      <c r="Y60" s="24"/>
      <c r="Z60" s="25" t="n">
        <f>5227</f>
        <v>5227.0</v>
      </c>
      <c r="AA60" s="23"/>
      <c r="AB60" s="25" t="n">
        <f>4654</f>
        <v>4654.0</v>
      </c>
      <c r="AC60" s="23"/>
      <c r="AD60" s="26" t="n">
        <f>9881</f>
        <v>9881.0</v>
      </c>
    </row>
    <row r="61">
      <c r="A61" s="30" t="s">
        <v>50</v>
      </c>
      <c r="B61" s="22" t="s">
        <v>61</v>
      </c>
      <c r="C61" s="22" t="s">
        <v>62</v>
      </c>
      <c r="D61" s="24"/>
      <c r="E61" s="25" t="n">
        <f>1292</f>
        <v>1292.0</v>
      </c>
      <c r="F61" s="23"/>
      <c r="G61" s="25" t="n">
        <f>1305</f>
        <v>1305.0</v>
      </c>
      <c r="H61" s="23"/>
      <c r="I61" s="26" t="n">
        <f>2597</f>
        <v>2597.0</v>
      </c>
      <c r="J61" s="24"/>
      <c r="K61" s="25" t="n">
        <f>152671000</f>
        <v>1.52671E8</v>
      </c>
      <c r="L61" s="23"/>
      <c r="M61" s="25" t="n">
        <f>172017000</f>
        <v>1.72017E8</v>
      </c>
      <c r="N61" s="23"/>
      <c r="O61" s="26" t="n">
        <f>324688000</f>
        <v>3.24688E8</v>
      </c>
      <c r="P61" s="27" t="n">
        <f>83</f>
        <v>83.0</v>
      </c>
      <c r="Q61" s="28" t="n">
        <f>383</f>
        <v>383.0</v>
      </c>
      <c r="R61" s="29" t="n">
        <f>466</f>
        <v>466.0</v>
      </c>
      <c r="S61" s="24"/>
      <c r="T61" s="25" t="n">
        <f>318</f>
        <v>318.0</v>
      </c>
      <c r="U61" s="23"/>
      <c r="V61" s="25" t="n">
        <f>344</f>
        <v>344.0</v>
      </c>
      <c r="W61" s="23"/>
      <c r="X61" s="26" t="n">
        <f>662</f>
        <v>662.0</v>
      </c>
      <c r="Y61" s="24"/>
      <c r="Z61" s="25" t="n">
        <f>2614</f>
        <v>2614.0</v>
      </c>
      <c r="AA61" s="23"/>
      <c r="AB61" s="25" t="n">
        <f>3133</f>
        <v>3133.0</v>
      </c>
      <c r="AC61" s="23"/>
      <c r="AD61" s="26" t="n">
        <f>5747</f>
        <v>5747.0</v>
      </c>
    </row>
    <row r="62">
      <c r="A62" s="30" t="s">
        <v>51</v>
      </c>
      <c r="B62" s="22" t="s">
        <v>61</v>
      </c>
      <c r="C62" s="22" t="s">
        <v>62</v>
      </c>
      <c r="D62" s="24"/>
      <c r="E62" s="25"/>
      <c r="F62" s="23"/>
      <c r="G62" s="25"/>
      <c r="H62" s="23"/>
      <c r="I62" s="26"/>
      <c r="J62" s="24"/>
      <c r="K62" s="25"/>
      <c r="L62" s="23"/>
      <c r="M62" s="25"/>
      <c r="N62" s="23"/>
      <c r="O62" s="26"/>
      <c r="P62" s="27"/>
      <c r="Q62" s="28"/>
      <c r="R62" s="29"/>
      <c r="S62" s="24"/>
      <c r="T62" s="25"/>
      <c r="U62" s="23"/>
      <c r="V62" s="25"/>
      <c r="W62" s="23"/>
      <c r="X62" s="26"/>
      <c r="Y62" s="24"/>
      <c r="Z62" s="25"/>
      <c r="AA62" s="23"/>
      <c r="AB62" s="25"/>
      <c r="AC62" s="23"/>
      <c r="AD62" s="26"/>
    </row>
    <row r="63">
      <c r="A63" s="30" t="s">
        <v>52</v>
      </c>
      <c r="B63" s="22" t="s">
        <v>61</v>
      </c>
      <c r="C63" s="22" t="s">
        <v>62</v>
      </c>
      <c r="D63" s="24"/>
      <c r="E63" s="25"/>
      <c r="F63" s="23"/>
      <c r="G63" s="25"/>
      <c r="H63" s="23"/>
      <c r="I63" s="26"/>
      <c r="J63" s="24"/>
      <c r="K63" s="25"/>
      <c r="L63" s="23"/>
      <c r="M63" s="25"/>
      <c r="N63" s="23"/>
      <c r="O63" s="26"/>
      <c r="P63" s="27"/>
      <c r="Q63" s="28"/>
      <c r="R63" s="29"/>
      <c r="S63" s="24"/>
      <c r="T63" s="25"/>
      <c r="U63" s="23"/>
      <c r="V63" s="25"/>
      <c r="W63" s="23"/>
      <c r="X63" s="26"/>
      <c r="Y63" s="24"/>
      <c r="Z63" s="25"/>
      <c r="AA63" s="23"/>
      <c r="AB63" s="25"/>
      <c r="AC63" s="23"/>
      <c r="AD63" s="26"/>
    </row>
    <row r="64">
      <c r="A64" s="30" t="s">
        <v>53</v>
      </c>
      <c r="B64" s="22" t="s">
        <v>61</v>
      </c>
      <c r="C64" s="22" t="s">
        <v>62</v>
      </c>
      <c r="D64" s="24"/>
      <c r="E64" s="25" t="n">
        <f>2570</f>
        <v>2570.0</v>
      </c>
      <c r="F64" s="23"/>
      <c r="G64" s="25" t="n">
        <f>1224</f>
        <v>1224.0</v>
      </c>
      <c r="H64" s="23"/>
      <c r="I64" s="26" t="n">
        <f>3794</f>
        <v>3794.0</v>
      </c>
      <c r="J64" s="24"/>
      <c r="K64" s="25" t="n">
        <f>104102000</f>
        <v>1.04102E8</v>
      </c>
      <c r="L64" s="23"/>
      <c r="M64" s="25" t="n">
        <f>79708000</f>
        <v>7.9708E7</v>
      </c>
      <c r="N64" s="23"/>
      <c r="O64" s="26" t="n">
        <f>183810000</f>
        <v>1.8381E8</v>
      </c>
      <c r="P64" s="27" t="str">
        <f>"－"</f>
        <v>－</v>
      </c>
      <c r="Q64" s="28" t="str">
        <f>"－"</f>
        <v>－</v>
      </c>
      <c r="R64" s="29" t="str">
        <f>"－"</f>
        <v>－</v>
      </c>
      <c r="S64" s="24"/>
      <c r="T64" s="25" t="n">
        <f>205</f>
        <v>205.0</v>
      </c>
      <c r="U64" s="23"/>
      <c r="V64" s="25" t="n">
        <f>171</f>
        <v>171.0</v>
      </c>
      <c r="W64" s="23"/>
      <c r="X64" s="26" t="n">
        <f>376</f>
        <v>376.0</v>
      </c>
      <c r="Y64" s="24"/>
      <c r="Z64" s="25" t="n">
        <f>3887</f>
        <v>3887.0</v>
      </c>
      <c r="AA64" s="23"/>
      <c r="AB64" s="25" t="n">
        <f>3654</f>
        <v>3654.0</v>
      </c>
      <c r="AC64" s="23"/>
      <c r="AD64" s="26" t="n">
        <f>7541</f>
        <v>7541.0</v>
      </c>
    </row>
    <row r="65">
      <c r="A65" s="30" t="s">
        <v>54</v>
      </c>
      <c r="B65" s="22" t="s">
        <v>61</v>
      </c>
      <c r="C65" s="22" t="s">
        <v>62</v>
      </c>
      <c r="D65" s="24"/>
      <c r="E65" s="25" t="n">
        <f>2477</f>
        <v>2477.0</v>
      </c>
      <c r="F65" s="23" t="s">
        <v>40</v>
      </c>
      <c r="G65" s="25" t="n">
        <f>4050</f>
        <v>4050.0</v>
      </c>
      <c r="H65" s="23" t="s">
        <v>40</v>
      </c>
      <c r="I65" s="26" t="n">
        <f>6527</f>
        <v>6527.0</v>
      </c>
      <c r="J65" s="24"/>
      <c r="K65" s="25" t="n">
        <f>80433000</f>
        <v>8.0433E7</v>
      </c>
      <c r="L65" s="23"/>
      <c r="M65" s="25" t="n">
        <f>253444000</f>
        <v>2.53444E8</v>
      </c>
      <c r="N65" s="23"/>
      <c r="O65" s="26" t="n">
        <f>333877000</f>
        <v>3.33877E8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180</f>
        <v>180.0</v>
      </c>
      <c r="U65" s="23"/>
      <c r="V65" s="25" t="n">
        <f>153</f>
        <v>153.0</v>
      </c>
      <c r="W65" s="23"/>
      <c r="X65" s="26" t="n">
        <f>333</f>
        <v>333.0</v>
      </c>
      <c r="Y65" s="24"/>
      <c r="Z65" s="25" t="n">
        <f>4745</f>
        <v>4745.0</v>
      </c>
      <c r="AA65" s="23"/>
      <c r="AB65" s="25" t="n">
        <f>5377</f>
        <v>5377.0</v>
      </c>
      <c r="AC65" s="23"/>
      <c r="AD65" s="26" t="n">
        <f>10122</f>
        <v>10122.0</v>
      </c>
    </row>
    <row r="66">
      <c r="A66" s="30" t="s">
        <v>55</v>
      </c>
      <c r="B66" s="22" t="s">
        <v>61</v>
      </c>
      <c r="C66" s="22" t="s">
        <v>62</v>
      </c>
      <c r="D66" s="24"/>
      <c r="E66" s="25" t="n">
        <f>2119</f>
        <v>2119.0</v>
      </c>
      <c r="F66" s="23"/>
      <c r="G66" s="25" t="n">
        <f>2219</f>
        <v>2219.0</v>
      </c>
      <c r="H66" s="23"/>
      <c r="I66" s="26" t="n">
        <f>4338</f>
        <v>4338.0</v>
      </c>
      <c r="J66" s="24"/>
      <c r="K66" s="25" t="n">
        <f>74477000</f>
        <v>7.4477E7</v>
      </c>
      <c r="L66" s="23"/>
      <c r="M66" s="25" t="n">
        <f>140998000</f>
        <v>1.40998E8</v>
      </c>
      <c r="N66" s="23"/>
      <c r="O66" s="26" t="n">
        <f>215475000</f>
        <v>2.15475E8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125</f>
        <v>125.0</v>
      </c>
      <c r="U66" s="23"/>
      <c r="V66" s="25" t="n">
        <f>113</f>
        <v>113.0</v>
      </c>
      <c r="W66" s="23"/>
      <c r="X66" s="26" t="n">
        <f>238</f>
        <v>238.0</v>
      </c>
      <c r="Y66" s="24"/>
      <c r="Z66" s="25" t="n">
        <f>5381</f>
        <v>5381.0</v>
      </c>
      <c r="AA66" s="23"/>
      <c r="AB66" s="25" t="n">
        <f>4955</f>
        <v>4955.0</v>
      </c>
      <c r="AC66" s="23"/>
      <c r="AD66" s="26" t="n">
        <f>10336</f>
        <v>10336.0</v>
      </c>
    </row>
    <row r="67">
      <c r="A67" s="30" t="s">
        <v>56</v>
      </c>
      <c r="B67" s="22" t="s">
        <v>61</v>
      </c>
      <c r="C67" s="22" t="s">
        <v>62</v>
      </c>
      <c r="D67" s="24" t="s">
        <v>40</v>
      </c>
      <c r="E67" s="25" t="n">
        <f>3959</f>
        <v>3959.0</v>
      </c>
      <c r="F67" s="23"/>
      <c r="G67" s="25" t="n">
        <f>1900</f>
        <v>1900.0</v>
      </c>
      <c r="H67" s="23"/>
      <c r="I67" s="26" t="n">
        <f>5859</f>
        <v>5859.0</v>
      </c>
      <c r="J67" s="24"/>
      <c r="K67" s="25" t="n">
        <f>107428000</f>
        <v>1.07428E8</v>
      </c>
      <c r="L67" s="23"/>
      <c r="M67" s="25" t="n">
        <f>70449000</f>
        <v>7.0449E7</v>
      </c>
      <c r="N67" s="23"/>
      <c r="O67" s="26" t="n">
        <f>177877000</f>
        <v>1.77877E8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286</f>
        <v>286.0</v>
      </c>
      <c r="U67" s="23"/>
      <c r="V67" s="25" t="n">
        <f>325</f>
        <v>325.0</v>
      </c>
      <c r="W67" s="23"/>
      <c r="X67" s="26" t="n">
        <f>611</f>
        <v>611.0</v>
      </c>
      <c r="Y67" s="24" t="s">
        <v>40</v>
      </c>
      <c r="Z67" s="25" t="n">
        <f>6915</f>
        <v>6915.0</v>
      </c>
      <c r="AA67" s="23" t="s">
        <v>40</v>
      </c>
      <c r="AB67" s="25" t="n">
        <f>5647</f>
        <v>5647.0</v>
      </c>
      <c r="AC67" s="23" t="s">
        <v>40</v>
      </c>
      <c r="AD67" s="26" t="n">
        <f>12562</f>
        <v>12562.0</v>
      </c>
    </row>
    <row r="68">
      <c r="A68" s="30" t="s">
        <v>57</v>
      </c>
      <c r="B68" s="22" t="s">
        <v>61</v>
      </c>
      <c r="C68" s="22" t="s">
        <v>62</v>
      </c>
      <c r="D68" s="24"/>
      <c r="E68" s="25" t="n">
        <f>1574</f>
        <v>1574.0</v>
      </c>
      <c r="F68" s="23"/>
      <c r="G68" s="25" t="n">
        <f>2239</f>
        <v>2239.0</v>
      </c>
      <c r="H68" s="23"/>
      <c r="I68" s="26" t="n">
        <f>3813</f>
        <v>3813.0</v>
      </c>
      <c r="J68" s="24"/>
      <c r="K68" s="25" t="n">
        <f>141090500</f>
        <v>1.410905E8</v>
      </c>
      <c r="L68" s="23" t="s">
        <v>40</v>
      </c>
      <c r="M68" s="25" t="n">
        <f>268117800</f>
        <v>2.681178E8</v>
      </c>
      <c r="N68" s="23" t="s">
        <v>40</v>
      </c>
      <c r="O68" s="26" t="n">
        <f>409208300</f>
        <v>4.092083E8</v>
      </c>
      <c r="P68" s="27" t="n">
        <f>102</f>
        <v>102.0</v>
      </c>
      <c r="Q68" s="28" t="n">
        <f>726</f>
        <v>726.0</v>
      </c>
      <c r="R68" s="29" t="n">
        <f>828</f>
        <v>828.0</v>
      </c>
      <c r="S68" s="24" t="s">
        <v>40</v>
      </c>
      <c r="T68" s="25" t="n">
        <f>444</f>
        <v>444.0</v>
      </c>
      <c r="U68" s="23"/>
      <c r="V68" s="25" t="n">
        <f>323</f>
        <v>323.0</v>
      </c>
      <c r="W68" s="23"/>
      <c r="X68" s="26" t="n">
        <f>767</f>
        <v>767.0</v>
      </c>
      <c r="Y68" s="24"/>
      <c r="Z68" s="25" t="n">
        <f>2130</f>
        <v>2130.0</v>
      </c>
      <c r="AA68" s="23"/>
      <c r="AB68" s="25" t="n">
        <f>2521</f>
        <v>2521.0</v>
      </c>
      <c r="AC68" s="23"/>
      <c r="AD68" s="26" t="n">
        <f>4651</f>
        <v>4651.0</v>
      </c>
    </row>
    <row r="69">
      <c r="A69" s="30" t="s">
        <v>58</v>
      </c>
      <c r="B69" s="22" t="s">
        <v>61</v>
      </c>
      <c r="C69" s="22" t="s">
        <v>62</v>
      </c>
      <c r="D69" s="24"/>
      <c r="E69" s="25"/>
      <c r="F69" s="23"/>
      <c r="G69" s="25"/>
      <c r="H69" s="23"/>
      <c r="I69" s="26"/>
      <c r="J69" s="24"/>
      <c r="K69" s="25"/>
      <c r="L69" s="23"/>
      <c r="M69" s="25"/>
      <c r="N69" s="23"/>
      <c r="O69" s="26"/>
      <c r="P69" s="27"/>
      <c r="Q69" s="28"/>
      <c r="R69" s="29"/>
      <c r="S69" s="24"/>
      <c r="T69" s="25"/>
      <c r="U69" s="23"/>
      <c r="V69" s="25"/>
      <c r="W69" s="23"/>
      <c r="X69" s="26"/>
      <c r="Y69" s="24"/>
      <c r="Z69" s="25"/>
      <c r="AA69" s="23"/>
      <c r="AB69" s="25"/>
      <c r="AC69" s="23"/>
      <c r="AD69" s="26"/>
    </row>
    <row r="70">
      <c r="A70" s="30" t="s">
        <v>59</v>
      </c>
      <c r="B70" s="22" t="s">
        <v>61</v>
      </c>
      <c r="C70" s="22" t="s">
        <v>62</v>
      </c>
      <c r="D70" s="24"/>
      <c r="E70" s="25"/>
      <c r="F70" s="23"/>
      <c r="G70" s="25"/>
      <c r="H70" s="23"/>
      <c r="I70" s="26"/>
      <c r="J70" s="24"/>
      <c r="K70" s="25"/>
      <c r="L70" s="23"/>
      <c r="M70" s="25"/>
      <c r="N70" s="23"/>
      <c r="O70" s="26"/>
      <c r="P70" s="27"/>
      <c r="Q70" s="28"/>
      <c r="R70" s="29"/>
      <c r="S70" s="24"/>
      <c r="T70" s="25"/>
      <c r="U70" s="23"/>
      <c r="V70" s="25"/>
      <c r="W70" s="23"/>
      <c r="X70" s="26"/>
      <c r="Y70" s="24"/>
      <c r="Z70" s="25"/>
      <c r="AA70" s="23"/>
      <c r="AB70" s="25"/>
      <c r="AC70" s="23"/>
      <c r="AD70" s="26"/>
    </row>
    <row r="71">
      <c r="A71" s="30" t="s">
        <v>60</v>
      </c>
      <c r="B71" s="22" t="s">
        <v>61</v>
      </c>
      <c r="C71" s="22" t="s">
        <v>62</v>
      </c>
      <c r="D71" s="24"/>
      <c r="E71" s="25" t="n">
        <f>1510</f>
        <v>1510.0</v>
      </c>
      <c r="F71" s="23"/>
      <c r="G71" s="25" t="n">
        <f>1341</f>
        <v>1341.0</v>
      </c>
      <c r="H71" s="23"/>
      <c r="I71" s="26" t="n">
        <f>2851</f>
        <v>2851.0</v>
      </c>
      <c r="J71" s="24"/>
      <c r="K71" s="25" t="n">
        <f>65956000</f>
        <v>6.5956E7</v>
      </c>
      <c r="L71" s="23"/>
      <c r="M71" s="25" t="n">
        <f>80731000</f>
        <v>8.0731E7</v>
      </c>
      <c r="N71" s="23"/>
      <c r="O71" s="26" t="n">
        <f>146687000</f>
        <v>1.46687E8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n">
        <f>52</f>
        <v>52.0</v>
      </c>
      <c r="U71" s="23"/>
      <c r="V71" s="25" t="n">
        <f>46</f>
        <v>46.0</v>
      </c>
      <c r="W71" s="23"/>
      <c r="X71" s="26" t="n">
        <f>98</f>
        <v>98.0</v>
      </c>
      <c r="Y71" s="24"/>
      <c r="Z71" s="25" t="n">
        <f>2175</f>
        <v>2175.0</v>
      </c>
      <c r="AA71" s="23"/>
      <c r="AB71" s="25" t="n">
        <f>2959</f>
        <v>2959.0</v>
      </c>
      <c r="AC71" s="23"/>
      <c r="AD71" s="26" t="n">
        <f>5134</f>
        <v>5134.0</v>
      </c>
    </row>
    <row r="72">
      <c r="A72" s="30" t="s">
        <v>26</v>
      </c>
      <c r="B72" s="22" t="s">
        <v>63</v>
      </c>
      <c r="C72" s="22" t="s">
        <v>64</v>
      </c>
      <c r="D72" s="24"/>
      <c r="E72" s="25"/>
      <c r="F72" s="23"/>
      <c r="G72" s="25"/>
      <c r="H72" s="23"/>
      <c r="I72" s="26"/>
      <c r="J72" s="24"/>
      <c r="K72" s="25"/>
      <c r="L72" s="23"/>
      <c r="M72" s="25"/>
      <c r="N72" s="23"/>
      <c r="O72" s="26"/>
      <c r="P72" s="27"/>
      <c r="Q72" s="28"/>
      <c r="R72" s="29"/>
      <c r="S72" s="24"/>
      <c r="T72" s="25"/>
      <c r="U72" s="23"/>
      <c r="V72" s="25"/>
      <c r="W72" s="23"/>
      <c r="X72" s="26"/>
      <c r="Y72" s="24"/>
      <c r="Z72" s="25"/>
      <c r="AA72" s="23"/>
      <c r="AB72" s="25"/>
      <c r="AC72" s="23"/>
      <c r="AD72" s="26"/>
    </row>
    <row r="73">
      <c r="A73" s="30" t="s">
        <v>29</v>
      </c>
      <c r="B73" s="22" t="s">
        <v>63</v>
      </c>
      <c r="C73" s="22" t="s">
        <v>64</v>
      </c>
      <c r="D73" s="24"/>
      <c r="E73" s="25"/>
      <c r="F73" s="23"/>
      <c r="G73" s="25"/>
      <c r="H73" s="23"/>
      <c r="I73" s="26"/>
      <c r="J73" s="24"/>
      <c r="K73" s="25"/>
      <c r="L73" s="23"/>
      <c r="M73" s="25"/>
      <c r="N73" s="23"/>
      <c r="O73" s="26"/>
      <c r="P73" s="27"/>
      <c r="Q73" s="28"/>
      <c r="R73" s="29"/>
      <c r="S73" s="24"/>
      <c r="T73" s="25"/>
      <c r="U73" s="23"/>
      <c r="V73" s="25"/>
      <c r="W73" s="23"/>
      <c r="X73" s="26"/>
      <c r="Y73" s="24"/>
      <c r="Z73" s="25"/>
      <c r="AA73" s="23"/>
      <c r="AB73" s="25"/>
      <c r="AC73" s="23"/>
      <c r="AD73" s="26"/>
    </row>
    <row r="74">
      <c r="A74" s="30" t="s">
        <v>30</v>
      </c>
      <c r="B74" s="22" t="s">
        <v>63</v>
      </c>
      <c r="C74" s="22" t="s">
        <v>64</v>
      </c>
      <c r="D74" s="24"/>
      <c r="E74" s="25" t="n">
        <f>2603</f>
        <v>2603.0</v>
      </c>
      <c r="F74" s="23" t="s">
        <v>40</v>
      </c>
      <c r="G74" s="25" t="n">
        <f>1440</f>
        <v>1440.0</v>
      </c>
      <c r="H74" s="23"/>
      <c r="I74" s="26" t="n">
        <f>4043</f>
        <v>4043.0</v>
      </c>
      <c r="J74" s="24" t="s">
        <v>40</v>
      </c>
      <c r="K74" s="25" t="n">
        <f>749231832</f>
        <v>7.49231832E8</v>
      </c>
      <c r="L74" s="23"/>
      <c r="M74" s="25" t="n">
        <f>326400000</f>
        <v>3.264E8</v>
      </c>
      <c r="N74" s="23" t="s">
        <v>40</v>
      </c>
      <c r="O74" s="26" t="n">
        <f>1075631832</f>
        <v>1.075631832E9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/>
      <c r="T74" s="25" t="n">
        <f>838</f>
        <v>838.0</v>
      </c>
      <c r="U74" s="23" t="s">
        <v>33</v>
      </c>
      <c r="V74" s="25" t="str">
        <f>"－"</f>
        <v>－</v>
      </c>
      <c r="W74" s="23"/>
      <c r="X74" s="26" t="n">
        <f>838</f>
        <v>838.0</v>
      </c>
      <c r="Y74" s="24"/>
      <c r="Z74" s="25" t="n">
        <f>99416</f>
        <v>99416.0</v>
      </c>
      <c r="AA74" s="23" t="s">
        <v>33</v>
      </c>
      <c r="AB74" s="25" t="n">
        <f>15700</f>
        <v>15700.0</v>
      </c>
      <c r="AC74" s="23"/>
      <c r="AD74" s="26" t="n">
        <f>115116</f>
        <v>115116.0</v>
      </c>
    </row>
    <row r="75">
      <c r="A75" s="30" t="s">
        <v>31</v>
      </c>
      <c r="B75" s="22" t="s">
        <v>63</v>
      </c>
      <c r="C75" s="22" t="s">
        <v>64</v>
      </c>
      <c r="D75" s="24"/>
      <c r="E75" s="25" t="n">
        <f>450</f>
        <v>450.0</v>
      </c>
      <c r="F75" s="23" t="s">
        <v>33</v>
      </c>
      <c r="G75" s="25" t="str">
        <f>"－"</f>
        <v>－</v>
      </c>
      <c r="H75" s="23"/>
      <c r="I75" s="26" t="n">
        <f>450</f>
        <v>450.0</v>
      </c>
      <c r="J75" s="24"/>
      <c r="K75" s="25" t="n">
        <f>166200000</f>
        <v>1.662E8</v>
      </c>
      <c r="L75" s="23" t="s">
        <v>33</v>
      </c>
      <c r="M75" s="25" t="str">
        <f>"－"</f>
        <v>－</v>
      </c>
      <c r="N75" s="23"/>
      <c r="O75" s="26" t="n">
        <f>166200000</f>
        <v>1.662E8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 t="s">
        <v>33</v>
      </c>
      <c r="T75" s="25" t="str">
        <f>"－"</f>
        <v>－</v>
      </c>
      <c r="U75" s="23"/>
      <c r="V75" s="25" t="str">
        <f>"－"</f>
        <v>－</v>
      </c>
      <c r="W75" s="23" t="s">
        <v>33</v>
      </c>
      <c r="X75" s="26" t="str">
        <f>"－"</f>
        <v>－</v>
      </c>
      <c r="Y75" s="24"/>
      <c r="Z75" s="25" t="n">
        <f>99566</f>
        <v>99566.0</v>
      </c>
      <c r="AA75" s="23"/>
      <c r="AB75" s="25" t="n">
        <f>15700</f>
        <v>15700.0</v>
      </c>
      <c r="AC75" s="23"/>
      <c r="AD75" s="26" t="n">
        <f>115266</f>
        <v>115266.0</v>
      </c>
    </row>
    <row r="76">
      <c r="A76" s="30" t="s">
        <v>32</v>
      </c>
      <c r="B76" s="22" t="s">
        <v>63</v>
      </c>
      <c r="C76" s="22" t="s">
        <v>64</v>
      </c>
      <c r="D76" s="24"/>
      <c r="E76" s="25" t="n">
        <f>1168</f>
        <v>1168.0</v>
      </c>
      <c r="F76" s="23"/>
      <c r="G76" s="25" t="n">
        <f>150</f>
        <v>150.0</v>
      </c>
      <c r="H76" s="23"/>
      <c r="I76" s="26" t="n">
        <f>1318</f>
        <v>1318.0</v>
      </c>
      <c r="J76" s="24"/>
      <c r="K76" s="25" t="n">
        <f>268259450</f>
        <v>2.6825945E8</v>
      </c>
      <c r="L76" s="23"/>
      <c r="M76" s="25" t="n">
        <f>91650000</f>
        <v>9.165E7</v>
      </c>
      <c r="N76" s="23"/>
      <c r="O76" s="26" t="n">
        <f>359909450</f>
        <v>3.5990945E8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n">
        <f>550</f>
        <v>550.0</v>
      </c>
      <c r="U76" s="23"/>
      <c r="V76" s="25" t="n">
        <f>450</f>
        <v>450.0</v>
      </c>
      <c r="W76" s="23"/>
      <c r="X76" s="26" t="n">
        <f>1000</f>
        <v>1000.0</v>
      </c>
      <c r="Y76" s="24" t="s">
        <v>40</v>
      </c>
      <c r="Z76" s="25" t="n">
        <f>100294</f>
        <v>100294.0</v>
      </c>
      <c r="AA76" s="23"/>
      <c r="AB76" s="25" t="n">
        <f>15850</f>
        <v>15850.0</v>
      </c>
      <c r="AC76" s="23" t="s">
        <v>40</v>
      </c>
      <c r="AD76" s="26" t="n">
        <f>116144</f>
        <v>116144.0</v>
      </c>
    </row>
    <row r="77">
      <c r="A77" s="30" t="s">
        <v>34</v>
      </c>
      <c r="B77" s="22" t="s">
        <v>63</v>
      </c>
      <c r="C77" s="22" t="s">
        <v>64</v>
      </c>
      <c r="D77" s="24" t="s">
        <v>40</v>
      </c>
      <c r="E77" s="25" t="n">
        <f>4081</f>
        <v>4081.0</v>
      </c>
      <c r="F77" s="23"/>
      <c r="G77" s="25" t="str">
        <f>"－"</f>
        <v>－</v>
      </c>
      <c r="H77" s="23" t="s">
        <v>40</v>
      </c>
      <c r="I77" s="26" t="n">
        <f>4081</f>
        <v>4081.0</v>
      </c>
      <c r="J77" s="24"/>
      <c r="K77" s="25" t="n">
        <f>209560500</f>
        <v>2.095605E8</v>
      </c>
      <c r="L77" s="23"/>
      <c r="M77" s="25" t="str">
        <f>"－"</f>
        <v>－</v>
      </c>
      <c r="N77" s="23"/>
      <c r="O77" s="26" t="n">
        <f>209560500</f>
        <v>2.095605E8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str">
        <f>"－"</f>
        <v>－</v>
      </c>
      <c r="U77" s="23"/>
      <c r="V77" s="25" t="str">
        <f>"－"</f>
        <v>－</v>
      </c>
      <c r="W77" s="23"/>
      <c r="X77" s="26" t="str">
        <f>"－"</f>
        <v>－</v>
      </c>
      <c r="Y77" s="24"/>
      <c r="Z77" s="25" t="n">
        <f>97326</f>
        <v>97326.0</v>
      </c>
      <c r="AA77" s="23"/>
      <c r="AB77" s="25" t="n">
        <f>15850</f>
        <v>15850.0</v>
      </c>
      <c r="AC77" s="23"/>
      <c r="AD77" s="26" t="n">
        <f>113176</f>
        <v>113176.0</v>
      </c>
    </row>
    <row r="78">
      <c r="A78" s="30" t="s">
        <v>35</v>
      </c>
      <c r="B78" s="22" t="s">
        <v>63</v>
      </c>
      <c r="C78" s="22" t="s">
        <v>64</v>
      </c>
      <c r="D78" s="24"/>
      <c r="E78" s="25" t="n">
        <f>3350</f>
        <v>3350.0</v>
      </c>
      <c r="F78" s="23"/>
      <c r="G78" s="25" t="n">
        <f>7</f>
        <v>7.0</v>
      </c>
      <c r="H78" s="23"/>
      <c r="I78" s="26" t="n">
        <f>3357</f>
        <v>3357.0</v>
      </c>
      <c r="J78" s="24"/>
      <c r="K78" s="25" t="n">
        <f>497258326</f>
        <v>4.97258326E8</v>
      </c>
      <c r="L78" s="23"/>
      <c r="M78" s="25" t="n">
        <f>7000</f>
        <v>7000.0</v>
      </c>
      <c r="N78" s="23"/>
      <c r="O78" s="26" t="n">
        <f>497265326</f>
        <v>4.97265326E8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 t="s">
        <v>40</v>
      </c>
      <c r="T78" s="25" t="n">
        <f>3343</f>
        <v>3343.0</v>
      </c>
      <c r="U78" s="23"/>
      <c r="V78" s="25" t="str">
        <f>"－"</f>
        <v>－</v>
      </c>
      <c r="W78" s="23" t="s">
        <v>40</v>
      </c>
      <c r="X78" s="26" t="n">
        <f>3343</f>
        <v>3343.0</v>
      </c>
      <c r="Y78" s="24"/>
      <c r="Z78" s="25" t="n">
        <f>98249</f>
        <v>98249.0</v>
      </c>
      <c r="AA78" s="23"/>
      <c r="AB78" s="25" t="n">
        <f>15850</f>
        <v>15850.0</v>
      </c>
      <c r="AC78" s="23"/>
      <c r="AD78" s="26" t="n">
        <f>114099</f>
        <v>114099.0</v>
      </c>
    </row>
    <row r="79">
      <c r="A79" s="30" t="s">
        <v>36</v>
      </c>
      <c r="B79" s="22" t="s">
        <v>63</v>
      </c>
      <c r="C79" s="22" t="s">
        <v>64</v>
      </c>
      <c r="D79" s="24"/>
      <c r="E79" s="25"/>
      <c r="F79" s="23"/>
      <c r="G79" s="25"/>
      <c r="H79" s="23"/>
      <c r="I79" s="26"/>
      <c r="J79" s="24"/>
      <c r="K79" s="25"/>
      <c r="L79" s="23"/>
      <c r="M79" s="25"/>
      <c r="N79" s="23"/>
      <c r="O79" s="26"/>
      <c r="P79" s="27"/>
      <c r="Q79" s="28"/>
      <c r="R79" s="29"/>
      <c r="S79" s="24"/>
      <c r="T79" s="25"/>
      <c r="U79" s="23"/>
      <c r="V79" s="25"/>
      <c r="W79" s="23"/>
      <c r="X79" s="26"/>
      <c r="Y79" s="24"/>
      <c r="Z79" s="25"/>
      <c r="AA79" s="23"/>
      <c r="AB79" s="25"/>
      <c r="AC79" s="23"/>
      <c r="AD79" s="26"/>
    </row>
    <row r="80">
      <c r="A80" s="30" t="s">
        <v>37</v>
      </c>
      <c r="B80" s="22" t="s">
        <v>63</v>
      </c>
      <c r="C80" s="22" t="s">
        <v>64</v>
      </c>
      <c r="D80" s="24"/>
      <c r="E80" s="25"/>
      <c r="F80" s="23"/>
      <c r="G80" s="25"/>
      <c r="H80" s="23"/>
      <c r="I80" s="26"/>
      <c r="J80" s="24"/>
      <c r="K80" s="25"/>
      <c r="L80" s="23"/>
      <c r="M80" s="25"/>
      <c r="N80" s="23"/>
      <c r="O80" s="26"/>
      <c r="P80" s="27"/>
      <c r="Q80" s="28"/>
      <c r="R80" s="29"/>
      <c r="S80" s="24"/>
      <c r="T80" s="25"/>
      <c r="U80" s="23"/>
      <c r="V80" s="25"/>
      <c r="W80" s="23"/>
      <c r="X80" s="26"/>
      <c r="Y80" s="24"/>
      <c r="Z80" s="25"/>
      <c r="AA80" s="23"/>
      <c r="AB80" s="25"/>
      <c r="AC80" s="23"/>
      <c r="AD80" s="26"/>
    </row>
    <row r="81">
      <c r="A81" s="30" t="s">
        <v>38</v>
      </c>
      <c r="B81" s="22" t="s">
        <v>63</v>
      </c>
      <c r="C81" s="22" t="s">
        <v>64</v>
      </c>
      <c r="D81" s="24"/>
      <c r="E81" s="25"/>
      <c r="F81" s="23"/>
      <c r="G81" s="25"/>
      <c r="H81" s="23"/>
      <c r="I81" s="26"/>
      <c r="J81" s="24"/>
      <c r="K81" s="25"/>
      <c r="L81" s="23"/>
      <c r="M81" s="25"/>
      <c r="N81" s="23"/>
      <c r="O81" s="26"/>
      <c r="P81" s="27"/>
      <c r="Q81" s="28"/>
      <c r="R81" s="29"/>
      <c r="S81" s="24"/>
      <c r="T81" s="25"/>
      <c r="U81" s="23"/>
      <c r="V81" s="25"/>
      <c r="W81" s="23"/>
      <c r="X81" s="26"/>
      <c r="Y81" s="24"/>
      <c r="Z81" s="25"/>
      <c r="AA81" s="23"/>
      <c r="AB81" s="25"/>
      <c r="AC81" s="23"/>
      <c r="AD81" s="26"/>
    </row>
    <row r="82">
      <c r="A82" s="30" t="s">
        <v>39</v>
      </c>
      <c r="B82" s="22" t="s">
        <v>63</v>
      </c>
      <c r="C82" s="22" t="s">
        <v>64</v>
      </c>
      <c r="D82" s="24"/>
      <c r="E82" s="25" t="n">
        <f>1012</f>
        <v>1012.0</v>
      </c>
      <c r="F82" s="23"/>
      <c r="G82" s="25" t="n">
        <f>403</f>
        <v>403.0</v>
      </c>
      <c r="H82" s="23"/>
      <c r="I82" s="26" t="n">
        <f>1415</f>
        <v>1415.0</v>
      </c>
      <c r="J82" s="24"/>
      <c r="K82" s="25" t="n">
        <f>35926000</f>
        <v>3.5926E7</v>
      </c>
      <c r="L82" s="23"/>
      <c r="M82" s="25" t="n">
        <f>247562900</f>
        <v>2.475629E8</v>
      </c>
      <c r="N82" s="23"/>
      <c r="O82" s="26" t="n">
        <f>283488900</f>
        <v>2.834889E8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n">
        <f>1012</f>
        <v>1012.0</v>
      </c>
      <c r="U82" s="23"/>
      <c r="V82" s="25" t="n">
        <f>403</f>
        <v>403.0</v>
      </c>
      <c r="W82" s="23"/>
      <c r="X82" s="26" t="n">
        <f>1415</f>
        <v>1415.0</v>
      </c>
      <c r="Y82" s="24"/>
      <c r="Z82" s="25" t="n">
        <f>97237</f>
        <v>97237.0</v>
      </c>
      <c r="AA82" s="23"/>
      <c r="AB82" s="25" t="n">
        <f>16253</f>
        <v>16253.0</v>
      </c>
      <c r="AC82" s="23"/>
      <c r="AD82" s="26" t="n">
        <f>113490</f>
        <v>113490.0</v>
      </c>
    </row>
    <row r="83">
      <c r="A83" s="30" t="s">
        <v>41</v>
      </c>
      <c r="B83" s="22" t="s">
        <v>63</v>
      </c>
      <c r="C83" s="22" t="s">
        <v>64</v>
      </c>
      <c r="D83" s="24"/>
      <c r="E83" s="25" t="n">
        <f>918</f>
        <v>918.0</v>
      </c>
      <c r="F83" s="23"/>
      <c r="G83" s="25" t="n">
        <f>695</f>
        <v>695.0</v>
      </c>
      <c r="H83" s="23"/>
      <c r="I83" s="26" t="n">
        <f>1613</f>
        <v>1613.0</v>
      </c>
      <c r="J83" s="24"/>
      <c r="K83" s="25" t="n">
        <f>95365200</f>
        <v>9.53652E7</v>
      </c>
      <c r="L83" s="23" t="s">
        <v>40</v>
      </c>
      <c r="M83" s="25" t="n">
        <f>386194575</f>
        <v>3.86194575E8</v>
      </c>
      <c r="N83" s="23"/>
      <c r="O83" s="26" t="n">
        <f>481559775</f>
        <v>4.81559775E8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n">
        <f>918</f>
        <v>918.0</v>
      </c>
      <c r="U83" s="23"/>
      <c r="V83" s="25" t="n">
        <f>395</f>
        <v>395.0</v>
      </c>
      <c r="W83" s="23"/>
      <c r="X83" s="26" t="n">
        <f>1313</f>
        <v>1313.0</v>
      </c>
      <c r="Y83" s="24"/>
      <c r="Z83" s="25" t="n">
        <f>97629</f>
        <v>97629.0</v>
      </c>
      <c r="AA83" s="23"/>
      <c r="AB83" s="25" t="n">
        <f>16628</f>
        <v>16628.0</v>
      </c>
      <c r="AC83" s="23"/>
      <c r="AD83" s="26" t="n">
        <f>114257</f>
        <v>114257.0</v>
      </c>
    </row>
    <row r="84">
      <c r="A84" s="30" t="s">
        <v>42</v>
      </c>
      <c r="B84" s="22" t="s">
        <v>63</v>
      </c>
      <c r="C84" s="22" t="s">
        <v>64</v>
      </c>
      <c r="D84" s="24" t="s">
        <v>33</v>
      </c>
      <c r="E84" s="25" t="str">
        <f>"－"</f>
        <v>－</v>
      </c>
      <c r="F84" s="23"/>
      <c r="G84" s="25" t="n">
        <f>1067</f>
        <v>1067.0</v>
      </c>
      <c r="H84" s="23"/>
      <c r="I84" s="26" t="n">
        <f>1067</f>
        <v>1067.0</v>
      </c>
      <c r="J84" s="24" t="s">
        <v>33</v>
      </c>
      <c r="K84" s="25" t="str">
        <f>"－"</f>
        <v>－</v>
      </c>
      <c r="L84" s="23"/>
      <c r="M84" s="25" t="n">
        <f>224130100</f>
        <v>2.241301E8</v>
      </c>
      <c r="N84" s="23"/>
      <c r="O84" s="26" t="n">
        <f>224130100</f>
        <v>2.241301E8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str">
        <f>"－"</f>
        <v>－</v>
      </c>
      <c r="U84" s="23" t="s">
        <v>40</v>
      </c>
      <c r="V84" s="25" t="n">
        <f>1067</f>
        <v>1067.0</v>
      </c>
      <c r="W84" s="23"/>
      <c r="X84" s="26" t="n">
        <f>1067</f>
        <v>1067.0</v>
      </c>
      <c r="Y84" s="24"/>
      <c r="Z84" s="25" t="n">
        <f>97629</f>
        <v>97629.0</v>
      </c>
      <c r="AA84" s="23"/>
      <c r="AB84" s="25" t="n">
        <f>16608</f>
        <v>16608.0</v>
      </c>
      <c r="AC84" s="23"/>
      <c r="AD84" s="26" t="n">
        <f>114237</f>
        <v>114237.0</v>
      </c>
    </row>
    <row r="85">
      <c r="A85" s="30" t="s">
        <v>43</v>
      </c>
      <c r="B85" s="22" t="s">
        <v>63</v>
      </c>
      <c r="C85" s="22" t="s">
        <v>64</v>
      </c>
      <c r="D85" s="24"/>
      <c r="E85" s="25" t="str">
        <f>"－"</f>
        <v>－</v>
      </c>
      <c r="F85" s="23"/>
      <c r="G85" s="25" t="n">
        <f>390</f>
        <v>390.0</v>
      </c>
      <c r="H85" s="23"/>
      <c r="I85" s="26" t="n">
        <f>390</f>
        <v>390.0</v>
      </c>
      <c r="J85" s="24"/>
      <c r="K85" s="25" t="str">
        <f>"－"</f>
        <v>－</v>
      </c>
      <c r="L85" s="23"/>
      <c r="M85" s="25" t="n">
        <f>260337870</f>
        <v>2.6033787E8</v>
      </c>
      <c r="N85" s="23"/>
      <c r="O85" s="26" t="n">
        <f>260337870</f>
        <v>2.6033787E8</v>
      </c>
      <c r="P85" s="27" t="str">
        <f>"－"</f>
        <v>－</v>
      </c>
      <c r="Q85" s="28" t="n">
        <f>418</f>
        <v>418.0</v>
      </c>
      <c r="R85" s="29" t="n">
        <f>418</f>
        <v>418.0</v>
      </c>
      <c r="S85" s="24"/>
      <c r="T85" s="25" t="str">
        <f>"－"</f>
        <v>－</v>
      </c>
      <c r="U85" s="23"/>
      <c r="V85" s="25" t="n">
        <f>390</f>
        <v>390.0</v>
      </c>
      <c r="W85" s="23"/>
      <c r="X85" s="26" t="n">
        <f>390</f>
        <v>390.0</v>
      </c>
      <c r="Y85" s="24" t="s">
        <v>33</v>
      </c>
      <c r="Z85" s="25" t="n">
        <f>95734</f>
        <v>95734.0</v>
      </c>
      <c r="AA85" s="23"/>
      <c r="AB85" s="25" t="n">
        <f>16580</f>
        <v>16580.0</v>
      </c>
      <c r="AC85" s="23" t="s">
        <v>33</v>
      </c>
      <c r="AD85" s="26" t="n">
        <f>112314</f>
        <v>112314.0</v>
      </c>
    </row>
    <row r="86">
      <c r="A86" s="30" t="s">
        <v>44</v>
      </c>
      <c r="B86" s="22" t="s">
        <v>63</v>
      </c>
      <c r="C86" s="22" t="s">
        <v>64</v>
      </c>
      <c r="D86" s="24"/>
      <c r="E86" s="25"/>
      <c r="F86" s="23"/>
      <c r="G86" s="25"/>
      <c r="H86" s="23"/>
      <c r="I86" s="26"/>
      <c r="J86" s="24"/>
      <c r="K86" s="25"/>
      <c r="L86" s="23"/>
      <c r="M86" s="25"/>
      <c r="N86" s="23"/>
      <c r="O86" s="26"/>
      <c r="P86" s="27"/>
      <c r="Q86" s="28"/>
      <c r="R86" s="29"/>
      <c r="S86" s="24"/>
      <c r="T86" s="25"/>
      <c r="U86" s="23"/>
      <c r="V86" s="25"/>
      <c r="W86" s="23"/>
      <c r="X86" s="26"/>
      <c r="Y86" s="24"/>
      <c r="Z86" s="25"/>
      <c r="AA86" s="23"/>
      <c r="AB86" s="25"/>
      <c r="AC86" s="23"/>
      <c r="AD86" s="26"/>
    </row>
    <row r="87">
      <c r="A87" s="30" t="s">
        <v>45</v>
      </c>
      <c r="B87" s="22" t="s">
        <v>63</v>
      </c>
      <c r="C87" s="22" t="s">
        <v>64</v>
      </c>
      <c r="D87" s="24"/>
      <c r="E87" s="25"/>
      <c r="F87" s="23"/>
      <c r="G87" s="25"/>
      <c r="H87" s="23"/>
      <c r="I87" s="26"/>
      <c r="J87" s="24"/>
      <c r="K87" s="25"/>
      <c r="L87" s="23"/>
      <c r="M87" s="25"/>
      <c r="N87" s="23"/>
      <c r="O87" s="26"/>
      <c r="P87" s="27"/>
      <c r="Q87" s="28"/>
      <c r="R87" s="29"/>
      <c r="S87" s="24"/>
      <c r="T87" s="25"/>
      <c r="U87" s="23"/>
      <c r="V87" s="25"/>
      <c r="W87" s="23"/>
      <c r="X87" s="26"/>
      <c r="Y87" s="24"/>
      <c r="Z87" s="25"/>
      <c r="AA87" s="23"/>
      <c r="AB87" s="25"/>
      <c r="AC87" s="23"/>
      <c r="AD87" s="26"/>
    </row>
    <row r="88">
      <c r="A88" s="30" t="s">
        <v>46</v>
      </c>
      <c r="B88" s="22" t="s">
        <v>63</v>
      </c>
      <c r="C88" s="22" t="s">
        <v>64</v>
      </c>
      <c r="D88" s="24"/>
      <c r="E88" s="25" t="n">
        <f>1950</f>
        <v>1950.0</v>
      </c>
      <c r="F88" s="23"/>
      <c r="G88" s="25" t="n">
        <f>416</f>
        <v>416.0</v>
      </c>
      <c r="H88" s="23"/>
      <c r="I88" s="26" t="n">
        <f>2366</f>
        <v>2366.0</v>
      </c>
      <c r="J88" s="24"/>
      <c r="K88" s="25" t="n">
        <f>173265000</f>
        <v>1.73265E8</v>
      </c>
      <c r="L88" s="23"/>
      <c r="M88" s="25" t="n">
        <f>171769200</f>
        <v>1.717692E8</v>
      </c>
      <c r="N88" s="23"/>
      <c r="O88" s="26" t="n">
        <f>345034200</f>
        <v>3.450342E8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n">
        <f>150</f>
        <v>150.0</v>
      </c>
      <c r="U88" s="23"/>
      <c r="V88" s="25" t="n">
        <f>416</f>
        <v>416.0</v>
      </c>
      <c r="W88" s="23"/>
      <c r="X88" s="26" t="n">
        <f>566</f>
        <v>566.0</v>
      </c>
      <c r="Y88" s="24"/>
      <c r="Z88" s="25" t="n">
        <f>96184</f>
        <v>96184.0</v>
      </c>
      <c r="AA88" s="23"/>
      <c r="AB88" s="25" t="n">
        <f>16696</f>
        <v>16696.0</v>
      </c>
      <c r="AC88" s="23"/>
      <c r="AD88" s="26" t="n">
        <f>112880</f>
        <v>112880.0</v>
      </c>
    </row>
    <row r="89">
      <c r="A89" s="30" t="s">
        <v>47</v>
      </c>
      <c r="B89" s="22" t="s">
        <v>63</v>
      </c>
      <c r="C89" s="22" t="s">
        <v>64</v>
      </c>
      <c r="D89" s="24"/>
      <c r="E89" s="25" t="str">
        <f>"－"</f>
        <v>－</v>
      </c>
      <c r="F89" s="23"/>
      <c r="G89" s="25" t="str">
        <f>"－"</f>
        <v>－</v>
      </c>
      <c r="H89" s="23" t="s">
        <v>33</v>
      </c>
      <c r="I89" s="26" t="str">
        <f>"－"</f>
        <v>－</v>
      </c>
      <c r="J89" s="24"/>
      <c r="K89" s="25" t="str">
        <f>"－"</f>
        <v>－</v>
      </c>
      <c r="L89" s="23"/>
      <c r="M89" s="25" t="str">
        <f>"－"</f>
        <v>－</v>
      </c>
      <c r="N89" s="23" t="s">
        <v>33</v>
      </c>
      <c r="O89" s="26" t="str">
        <f>"－"</f>
        <v>－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str">
        <f>"－"</f>
        <v>－</v>
      </c>
      <c r="U89" s="23"/>
      <c r="V89" s="25" t="str">
        <f>"－"</f>
        <v>－</v>
      </c>
      <c r="W89" s="23"/>
      <c r="X89" s="26" t="str">
        <f>"－"</f>
        <v>－</v>
      </c>
      <c r="Y89" s="24"/>
      <c r="Z89" s="25" t="n">
        <f>96184</f>
        <v>96184.0</v>
      </c>
      <c r="AA89" s="23"/>
      <c r="AB89" s="25" t="n">
        <f>16696</f>
        <v>16696.0</v>
      </c>
      <c r="AC89" s="23"/>
      <c r="AD89" s="26" t="n">
        <f>112880</f>
        <v>112880.0</v>
      </c>
    </row>
    <row r="90">
      <c r="A90" s="30" t="s">
        <v>48</v>
      </c>
      <c r="B90" s="22" t="s">
        <v>63</v>
      </c>
      <c r="C90" s="22" t="s">
        <v>64</v>
      </c>
      <c r="D90" s="24"/>
      <c r="E90" s="25" t="n">
        <f>886</f>
        <v>886.0</v>
      </c>
      <c r="F90" s="23"/>
      <c r="G90" s="25" t="str">
        <f>"－"</f>
        <v>－</v>
      </c>
      <c r="H90" s="23"/>
      <c r="I90" s="26" t="n">
        <f>886</f>
        <v>886.0</v>
      </c>
      <c r="J90" s="24"/>
      <c r="K90" s="25" t="n">
        <f>142978200</f>
        <v>1.429782E8</v>
      </c>
      <c r="L90" s="23"/>
      <c r="M90" s="25" t="str">
        <f>"－"</f>
        <v>－</v>
      </c>
      <c r="N90" s="23"/>
      <c r="O90" s="26" t="n">
        <f>142978200</f>
        <v>1.429782E8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str">
        <f>"－"</f>
        <v>－</v>
      </c>
      <c r="U90" s="23"/>
      <c r="V90" s="25" t="str">
        <f>"－"</f>
        <v>－</v>
      </c>
      <c r="W90" s="23"/>
      <c r="X90" s="26" t="str">
        <f>"－"</f>
        <v>－</v>
      </c>
      <c r="Y90" s="24"/>
      <c r="Z90" s="25" t="n">
        <f>97070</f>
        <v>97070.0</v>
      </c>
      <c r="AA90" s="23"/>
      <c r="AB90" s="25" t="n">
        <f>16696</f>
        <v>16696.0</v>
      </c>
      <c r="AC90" s="23"/>
      <c r="AD90" s="26" t="n">
        <f>113766</f>
        <v>113766.0</v>
      </c>
    </row>
    <row r="91">
      <c r="A91" s="30" t="s">
        <v>49</v>
      </c>
      <c r="B91" s="22" t="s">
        <v>63</v>
      </c>
      <c r="C91" s="22" t="s">
        <v>64</v>
      </c>
      <c r="D91" s="24"/>
      <c r="E91" s="25" t="n">
        <f>624</f>
        <v>624.0</v>
      </c>
      <c r="F91" s="23"/>
      <c r="G91" s="25" t="str">
        <f>"－"</f>
        <v>－</v>
      </c>
      <c r="H91" s="23"/>
      <c r="I91" s="26" t="n">
        <f>624</f>
        <v>624.0</v>
      </c>
      <c r="J91" s="24"/>
      <c r="K91" s="25" t="n">
        <f>123645100</f>
        <v>1.236451E8</v>
      </c>
      <c r="L91" s="23"/>
      <c r="M91" s="25" t="str">
        <f>"－"</f>
        <v>－</v>
      </c>
      <c r="N91" s="23"/>
      <c r="O91" s="26" t="n">
        <f>123645100</f>
        <v>1.236451E8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str">
        <f>"－"</f>
        <v>－</v>
      </c>
      <c r="U91" s="23"/>
      <c r="V91" s="25" t="str">
        <f>"－"</f>
        <v>－</v>
      </c>
      <c r="W91" s="23"/>
      <c r="X91" s="26" t="str">
        <f>"－"</f>
        <v>－</v>
      </c>
      <c r="Y91" s="24"/>
      <c r="Z91" s="25" t="n">
        <f>97694</f>
        <v>97694.0</v>
      </c>
      <c r="AA91" s="23"/>
      <c r="AB91" s="25" t="n">
        <f>16696</f>
        <v>16696.0</v>
      </c>
      <c r="AC91" s="23"/>
      <c r="AD91" s="26" t="n">
        <f>114390</f>
        <v>114390.0</v>
      </c>
    </row>
    <row r="92">
      <c r="A92" s="30" t="s">
        <v>50</v>
      </c>
      <c r="B92" s="22" t="s">
        <v>63</v>
      </c>
      <c r="C92" s="22" t="s">
        <v>64</v>
      </c>
      <c r="D92" s="24"/>
      <c r="E92" s="25" t="str">
        <f>"－"</f>
        <v>－</v>
      </c>
      <c r="F92" s="23"/>
      <c r="G92" s="25" t="str">
        <f>"－"</f>
        <v>－</v>
      </c>
      <c r="H92" s="23"/>
      <c r="I92" s="26" t="str">
        <f>"－"</f>
        <v>－</v>
      </c>
      <c r="J92" s="24"/>
      <c r="K92" s="25" t="str">
        <f>"－"</f>
        <v>－</v>
      </c>
      <c r="L92" s="23"/>
      <c r="M92" s="25" t="str">
        <f>"－"</f>
        <v>－</v>
      </c>
      <c r="N92" s="23"/>
      <c r="O92" s="26" t="str">
        <f>"－"</f>
        <v>－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str">
        <f>"－"</f>
        <v>－</v>
      </c>
      <c r="U92" s="23"/>
      <c r="V92" s="25" t="str">
        <f>"－"</f>
        <v>－</v>
      </c>
      <c r="W92" s="23"/>
      <c r="X92" s="26" t="str">
        <f>"－"</f>
        <v>－</v>
      </c>
      <c r="Y92" s="24"/>
      <c r="Z92" s="25" t="n">
        <f>97694</f>
        <v>97694.0</v>
      </c>
      <c r="AA92" s="23"/>
      <c r="AB92" s="25" t="n">
        <f>16696</f>
        <v>16696.0</v>
      </c>
      <c r="AC92" s="23"/>
      <c r="AD92" s="26" t="n">
        <f>114390</f>
        <v>114390.0</v>
      </c>
    </row>
    <row r="93">
      <c r="A93" s="30" t="s">
        <v>51</v>
      </c>
      <c r="B93" s="22" t="s">
        <v>63</v>
      </c>
      <c r="C93" s="22" t="s">
        <v>64</v>
      </c>
      <c r="D93" s="24"/>
      <c r="E93" s="25"/>
      <c r="F93" s="23"/>
      <c r="G93" s="25"/>
      <c r="H93" s="23"/>
      <c r="I93" s="26"/>
      <c r="J93" s="24"/>
      <c r="K93" s="25"/>
      <c r="L93" s="23"/>
      <c r="M93" s="25"/>
      <c r="N93" s="23"/>
      <c r="O93" s="26"/>
      <c r="P93" s="27"/>
      <c r="Q93" s="28"/>
      <c r="R93" s="29"/>
      <c r="S93" s="24"/>
      <c r="T93" s="25"/>
      <c r="U93" s="23"/>
      <c r="V93" s="25"/>
      <c r="W93" s="23"/>
      <c r="X93" s="26"/>
      <c r="Y93" s="24"/>
      <c r="Z93" s="25"/>
      <c r="AA93" s="23"/>
      <c r="AB93" s="25"/>
      <c r="AC93" s="23"/>
      <c r="AD93" s="26"/>
    </row>
    <row r="94">
      <c r="A94" s="30" t="s">
        <v>52</v>
      </c>
      <c r="B94" s="22" t="s">
        <v>63</v>
      </c>
      <c r="C94" s="22" t="s">
        <v>64</v>
      </c>
      <c r="D94" s="24"/>
      <c r="E94" s="25"/>
      <c r="F94" s="23"/>
      <c r="G94" s="25"/>
      <c r="H94" s="23"/>
      <c r="I94" s="26"/>
      <c r="J94" s="24"/>
      <c r="K94" s="25"/>
      <c r="L94" s="23"/>
      <c r="M94" s="25"/>
      <c r="N94" s="23"/>
      <c r="O94" s="26"/>
      <c r="P94" s="27"/>
      <c r="Q94" s="28"/>
      <c r="R94" s="29"/>
      <c r="S94" s="24"/>
      <c r="T94" s="25"/>
      <c r="U94" s="23"/>
      <c r="V94" s="25"/>
      <c r="W94" s="23"/>
      <c r="X94" s="26"/>
      <c r="Y94" s="24"/>
      <c r="Z94" s="25"/>
      <c r="AA94" s="23"/>
      <c r="AB94" s="25"/>
      <c r="AC94" s="23"/>
      <c r="AD94" s="26"/>
    </row>
    <row r="95">
      <c r="A95" s="30" t="s">
        <v>53</v>
      </c>
      <c r="B95" s="22" t="s">
        <v>63</v>
      </c>
      <c r="C95" s="22" t="s">
        <v>64</v>
      </c>
      <c r="D95" s="24"/>
      <c r="E95" s="25" t="str">
        <f>"－"</f>
        <v>－</v>
      </c>
      <c r="F95" s="23"/>
      <c r="G95" s="25" t="str">
        <f>"－"</f>
        <v>－</v>
      </c>
      <c r="H95" s="23"/>
      <c r="I95" s="26" t="str">
        <f>"－"</f>
        <v>－</v>
      </c>
      <c r="J95" s="24"/>
      <c r="K95" s="25" t="str">
        <f>"－"</f>
        <v>－</v>
      </c>
      <c r="L95" s="23"/>
      <c r="M95" s="25" t="str">
        <f>"－"</f>
        <v>－</v>
      </c>
      <c r="N95" s="23"/>
      <c r="O95" s="26" t="str">
        <f>"－"</f>
        <v>－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str">
        <f>"－"</f>
        <v>－</v>
      </c>
      <c r="U95" s="23"/>
      <c r="V95" s="25" t="str">
        <f>"－"</f>
        <v>－</v>
      </c>
      <c r="W95" s="23"/>
      <c r="X95" s="26" t="str">
        <f>"－"</f>
        <v>－</v>
      </c>
      <c r="Y95" s="24"/>
      <c r="Z95" s="25" t="n">
        <f>97694</f>
        <v>97694.0</v>
      </c>
      <c r="AA95" s="23"/>
      <c r="AB95" s="25" t="n">
        <f>16696</f>
        <v>16696.0</v>
      </c>
      <c r="AC95" s="23"/>
      <c r="AD95" s="26" t="n">
        <f>114390</f>
        <v>114390.0</v>
      </c>
    </row>
    <row r="96">
      <c r="A96" s="30" t="s">
        <v>54</v>
      </c>
      <c r="B96" s="22" t="s">
        <v>63</v>
      </c>
      <c r="C96" s="22" t="s">
        <v>64</v>
      </c>
      <c r="D96" s="24"/>
      <c r="E96" s="25" t="n">
        <f>350</f>
        <v>350.0</v>
      </c>
      <c r="F96" s="23"/>
      <c r="G96" s="25" t="str">
        <f>"－"</f>
        <v>－</v>
      </c>
      <c r="H96" s="23"/>
      <c r="I96" s="26" t="n">
        <f>350</f>
        <v>350.0</v>
      </c>
      <c r="J96" s="24"/>
      <c r="K96" s="25" t="n">
        <f>133210000</f>
        <v>1.3321E8</v>
      </c>
      <c r="L96" s="23"/>
      <c r="M96" s="25" t="str">
        <f>"－"</f>
        <v>－</v>
      </c>
      <c r="N96" s="23"/>
      <c r="O96" s="26" t="n">
        <f>133210000</f>
        <v>1.3321E8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str">
        <f>"－"</f>
        <v>－</v>
      </c>
      <c r="U96" s="23"/>
      <c r="V96" s="25" t="str">
        <f>"－"</f>
        <v>－</v>
      </c>
      <c r="W96" s="23"/>
      <c r="X96" s="26" t="str">
        <f>"－"</f>
        <v>－</v>
      </c>
      <c r="Y96" s="24"/>
      <c r="Z96" s="25" t="n">
        <f>98044</f>
        <v>98044.0</v>
      </c>
      <c r="AA96" s="23"/>
      <c r="AB96" s="25" t="n">
        <f>16696</f>
        <v>16696.0</v>
      </c>
      <c r="AC96" s="23"/>
      <c r="AD96" s="26" t="n">
        <f>114740</f>
        <v>114740.0</v>
      </c>
    </row>
    <row r="97">
      <c r="A97" s="30" t="s">
        <v>55</v>
      </c>
      <c r="B97" s="22" t="s">
        <v>63</v>
      </c>
      <c r="C97" s="22" t="s">
        <v>64</v>
      </c>
      <c r="D97" s="24"/>
      <c r="E97" s="25" t="n">
        <f>400</f>
        <v>400.0</v>
      </c>
      <c r="F97" s="23"/>
      <c r="G97" s="25" t="n">
        <f>400</f>
        <v>400.0</v>
      </c>
      <c r="H97" s="23"/>
      <c r="I97" s="26" t="n">
        <f>800</f>
        <v>800.0</v>
      </c>
      <c r="J97" s="24"/>
      <c r="K97" s="25" t="n">
        <f>36000000</f>
        <v>3.6E7</v>
      </c>
      <c r="L97" s="23"/>
      <c r="M97" s="25" t="n">
        <f>28000000</f>
        <v>2.8E7</v>
      </c>
      <c r="N97" s="23"/>
      <c r="O97" s="26" t="n">
        <f>64000000</f>
        <v>6.4E7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str">
        <f>"－"</f>
        <v>－</v>
      </c>
      <c r="W97" s="23"/>
      <c r="X97" s="26" t="str">
        <f>"－"</f>
        <v>－</v>
      </c>
      <c r="Y97" s="24"/>
      <c r="Z97" s="25" t="n">
        <f>98444</f>
        <v>98444.0</v>
      </c>
      <c r="AA97" s="23" t="s">
        <v>40</v>
      </c>
      <c r="AB97" s="25" t="n">
        <f>17096</f>
        <v>17096.0</v>
      </c>
      <c r="AC97" s="23"/>
      <c r="AD97" s="26" t="n">
        <f>115540</f>
        <v>115540.0</v>
      </c>
    </row>
    <row r="98">
      <c r="A98" s="30" t="s">
        <v>56</v>
      </c>
      <c r="B98" s="22" t="s">
        <v>63</v>
      </c>
      <c r="C98" s="22" t="s">
        <v>64</v>
      </c>
      <c r="D98" s="24"/>
      <c r="E98" s="25" t="str">
        <f>"－"</f>
        <v>－</v>
      </c>
      <c r="F98" s="23"/>
      <c r="G98" s="25" t="str">
        <f>"－"</f>
        <v>－</v>
      </c>
      <c r="H98" s="23"/>
      <c r="I98" s="26" t="str">
        <f>"－"</f>
        <v>－</v>
      </c>
      <c r="J98" s="24"/>
      <c r="K98" s="25" t="str">
        <f>"－"</f>
        <v>－</v>
      </c>
      <c r="L98" s="23"/>
      <c r="M98" s="25" t="str">
        <f>"－"</f>
        <v>－</v>
      </c>
      <c r="N98" s="23"/>
      <c r="O98" s="26" t="str">
        <f>"－"</f>
        <v>－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n">
        <f>98444</f>
        <v>98444.0</v>
      </c>
      <c r="AA98" s="23"/>
      <c r="AB98" s="25" t="n">
        <f>17096</f>
        <v>17096.0</v>
      </c>
      <c r="AC98" s="23"/>
      <c r="AD98" s="26" t="n">
        <f>115540</f>
        <v>115540.0</v>
      </c>
    </row>
    <row r="99">
      <c r="A99" s="30" t="s">
        <v>57</v>
      </c>
      <c r="B99" s="22" t="s">
        <v>63</v>
      </c>
      <c r="C99" s="22" t="s">
        <v>64</v>
      </c>
      <c r="D99" s="24"/>
      <c r="E99" s="25" t="str">
        <f>"－"</f>
        <v>－</v>
      </c>
      <c r="F99" s="23"/>
      <c r="G99" s="25" t="str">
        <f>"－"</f>
        <v>－</v>
      </c>
      <c r="H99" s="23"/>
      <c r="I99" s="26" t="str">
        <f>"－"</f>
        <v>－</v>
      </c>
      <c r="J99" s="24"/>
      <c r="K99" s="25" t="str">
        <f>"－"</f>
        <v>－</v>
      </c>
      <c r="L99" s="23"/>
      <c r="M99" s="25" t="str">
        <f>"－"</f>
        <v>－</v>
      </c>
      <c r="N99" s="23"/>
      <c r="O99" s="26" t="str">
        <f>"－"</f>
        <v>－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str">
        <f>"－"</f>
        <v>－</v>
      </c>
      <c r="U99" s="23"/>
      <c r="V99" s="25" t="str">
        <f>"－"</f>
        <v>－</v>
      </c>
      <c r="W99" s="23"/>
      <c r="X99" s="26" t="str">
        <f>"－"</f>
        <v>－</v>
      </c>
      <c r="Y99" s="24"/>
      <c r="Z99" s="25" t="n">
        <f>98444</f>
        <v>98444.0</v>
      </c>
      <c r="AA99" s="23"/>
      <c r="AB99" s="25" t="n">
        <f>17096</f>
        <v>17096.0</v>
      </c>
      <c r="AC99" s="23"/>
      <c r="AD99" s="26" t="n">
        <f>115540</f>
        <v>115540.0</v>
      </c>
    </row>
    <row r="100">
      <c r="A100" s="30" t="s">
        <v>58</v>
      </c>
      <c r="B100" s="22" t="s">
        <v>63</v>
      </c>
      <c r="C100" s="22" t="s">
        <v>64</v>
      </c>
      <c r="D100" s="24"/>
      <c r="E100" s="25"/>
      <c r="F100" s="23"/>
      <c r="G100" s="25"/>
      <c r="H100" s="23"/>
      <c r="I100" s="26"/>
      <c r="J100" s="24"/>
      <c r="K100" s="25"/>
      <c r="L100" s="23"/>
      <c r="M100" s="25"/>
      <c r="N100" s="23"/>
      <c r="O100" s="26"/>
      <c r="P100" s="27"/>
      <c r="Q100" s="28"/>
      <c r="R100" s="29"/>
      <c r="S100" s="24"/>
      <c r="T100" s="25"/>
      <c r="U100" s="23"/>
      <c r="V100" s="25"/>
      <c r="W100" s="23"/>
      <c r="X100" s="26"/>
      <c r="Y100" s="24"/>
      <c r="Z100" s="25"/>
      <c r="AA100" s="23"/>
      <c r="AB100" s="25"/>
      <c r="AC100" s="23"/>
      <c r="AD100" s="26"/>
    </row>
    <row r="101">
      <c r="A101" s="30" t="s">
        <v>59</v>
      </c>
      <c r="B101" s="22" t="s">
        <v>63</v>
      </c>
      <c r="C101" s="22" t="s">
        <v>64</v>
      </c>
      <c r="D101" s="24"/>
      <c r="E101" s="25"/>
      <c r="F101" s="23"/>
      <c r="G101" s="25"/>
      <c r="H101" s="23"/>
      <c r="I101" s="26"/>
      <c r="J101" s="24"/>
      <c r="K101" s="25"/>
      <c r="L101" s="23"/>
      <c r="M101" s="25"/>
      <c r="N101" s="23"/>
      <c r="O101" s="26"/>
      <c r="P101" s="27"/>
      <c r="Q101" s="28"/>
      <c r="R101" s="29"/>
      <c r="S101" s="24"/>
      <c r="T101" s="25"/>
      <c r="U101" s="23"/>
      <c r="V101" s="25"/>
      <c r="W101" s="23"/>
      <c r="X101" s="26"/>
      <c r="Y101" s="24"/>
      <c r="Z101" s="25"/>
      <c r="AA101" s="23"/>
      <c r="AB101" s="25"/>
      <c r="AC101" s="23"/>
      <c r="AD101" s="26"/>
    </row>
    <row r="102">
      <c r="A102" s="30" t="s">
        <v>60</v>
      </c>
      <c r="B102" s="22" t="s">
        <v>63</v>
      </c>
      <c r="C102" s="22" t="s">
        <v>64</v>
      </c>
      <c r="D102" s="24"/>
      <c r="E102" s="25" t="n">
        <f>500</f>
        <v>500.0</v>
      </c>
      <c r="F102" s="23"/>
      <c r="G102" s="25" t="str">
        <f>"－"</f>
        <v>－</v>
      </c>
      <c r="H102" s="23"/>
      <c r="I102" s="26" t="n">
        <f>500</f>
        <v>500.0</v>
      </c>
      <c r="J102" s="24"/>
      <c r="K102" s="25" t="n">
        <f>167500000</f>
        <v>1.675E8</v>
      </c>
      <c r="L102" s="23"/>
      <c r="M102" s="25" t="str">
        <f>"－"</f>
        <v>－</v>
      </c>
      <c r="N102" s="23"/>
      <c r="O102" s="26" t="n">
        <f>167500000</f>
        <v>1.675E8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n">
        <f>98744</f>
        <v>98744.0</v>
      </c>
      <c r="AA102" s="23"/>
      <c r="AB102" s="25" t="n">
        <f>17096</f>
        <v>17096.0</v>
      </c>
      <c r="AC102" s="23"/>
      <c r="AD102" s="26" t="n">
        <f>115840</f>
        <v>115840.0</v>
      </c>
    </row>
    <row r="103">
      <c r="A103" s="30" t="s">
        <v>26</v>
      </c>
      <c r="B103" s="22" t="s">
        <v>65</v>
      </c>
      <c r="C103" s="22" t="s">
        <v>66</v>
      </c>
      <c r="D103" s="24"/>
      <c r="E103" s="25"/>
      <c r="F103" s="23"/>
      <c r="G103" s="25"/>
      <c r="H103" s="23"/>
      <c r="I103" s="26"/>
      <c r="J103" s="24"/>
      <c r="K103" s="25"/>
      <c r="L103" s="23"/>
      <c r="M103" s="25"/>
      <c r="N103" s="23"/>
      <c r="O103" s="26"/>
      <c r="P103" s="27"/>
      <c r="Q103" s="28"/>
      <c r="R103" s="29"/>
      <c r="S103" s="24"/>
      <c r="T103" s="25"/>
      <c r="U103" s="23"/>
      <c r="V103" s="25"/>
      <c r="W103" s="23"/>
      <c r="X103" s="26"/>
      <c r="Y103" s="24"/>
      <c r="Z103" s="25"/>
      <c r="AA103" s="23"/>
      <c r="AB103" s="25"/>
      <c r="AC103" s="23"/>
      <c r="AD103" s="26"/>
    </row>
    <row r="104">
      <c r="A104" s="30" t="s">
        <v>29</v>
      </c>
      <c r="B104" s="22" t="s">
        <v>65</v>
      </c>
      <c r="C104" s="22" t="s">
        <v>66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30</v>
      </c>
      <c r="B105" s="22" t="s">
        <v>65</v>
      </c>
      <c r="C105" s="22" t="s">
        <v>66</v>
      </c>
      <c r="D105" s="24" t="s">
        <v>67</v>
      </c>
      <c r="E105" s="25" t="str">
        <f>"－"</f>
        <v>－</v>
      </c>
      <c r="F105" s="23" t="s">
        <v>67</v>
      </c>
      <c r="G105" s="25" t="str">
        <f>"－"</f>
        <v>－</v>
      </c>
      <c r="H105" s="23" t="s">
        <v>67</v>
      </c>
      <c r="I105" s="26" t="str">
        <f>"－"</f>
        <v>－</v>
      </c>
      <c r="J105" s="24" t="s">
        <v>67</v>
      </c>
      <c r="K105" s="25" t="str">
        <f>"－"</f>
        <v>－</v>
      </c>
      <c r="L105" s="23" t="s">
        <v>67</v>
      </c>
      <c r="M105" s="25" t="str">
        <f>"－"</f>
        <v>－</v>
      </c>
      <c r="N105" s="23" t="s">
        <v>67</v>
      </c>
      <c r="O105" s="26" t="str">
        <f>"－"</f>
        <v>－</v>
      </c>
      <c r="P105" s="27" t="str">
        <f>"－"</f>
        <v>－</v>
      </c>
      <c r="Q105" s="28" t="str">
        <f>"－"</f>
        <v>－</v>
      </c>
      <c r="R105" s="29" t="str">
        <f>"－"</f>
        <v>－</v>
      </c>
      <c r="S105" s="24" t="s">
        <v>67</v>
      </c>
      <c r="T105" s="25" t="str">
        <f>"－"</f>
        <v>－</v>
      </c>
      <c r="U105" s="23" t="s">
        <v>67</v>
      </c>
      <c r="V105" s="25" t="str">
        <f>"－"</f>
        <v>－</v>
      </c>
      <c r="W105" s="23" t="s">
        <v>67</v>
      </c>
      <c r="X105" s="26" t="str">
        <f>"－"</f>
        <v>－</v>
      </c>
      <c r="Y105" s="24" t="s">
        <v>67</v>
      </c>
      <c r="Z105" s="25" t="str">
        <f>"－"</f>
        <v>－</v>
      </c>
      <c r="AA105" s="23" t="s">
        <v>67</v>
      </c>
      <c r="AB105" s="25" t="str">
        <f>"－"</f>
        <v>－</v>
      </c>
      <c r="AC105" s="23" t="s">
        <v>67</v>
      </c>
      <c r="AD105" s="26" t="str">
        <f>"－"</f>
        <v>－</v>
      </c>
    </row>
    <row r="106">
      <c r="A106" s="30" t="s">
        <v>31</v>
      </c>
      <c r="B106" s="22" t="s">
        <v>65</v>
      </c>
      <c r="C106" s="22" t="s">
        <v>66</v>
      </c>
      <c r="D106" s="24"/>
      <c r="E106" s="25" t="str">
        <f>"－"</f>
        <v>－</v>
      </c>
      <c r="F106" s="23"/>
      <c r="G106" s="25" t="str">
        <f>"－"</f>
        <v>－</v>
      </c>
      <c r="H106" s="23"/>
      <c r="I106" s="26" t="str">
        <f>"－"</f>
        <v>－</v>
      </c>
      <c r="J106" s="24"/>
      <c r="K106" s="25" t="str">
        <f>"－"</f>
        <v>－</v>
      </c>
      <c r="L106" s="23"/>
      <c r="M106" s="25" t="str">
        <f>"－"</f>
        <v>－</v>
      </c>
      <c r="N106" s="23"/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/>
      <c r="T106" s="25" t="str">
        <f>"－"</f>
        <v>－</v>
      </c>
      <c r="U106" s="23"/>
      <c r="V106" s="25" t="str">
        <f>"－"</f>
        <v>－</v>
      </c>
      <c r="W106" s="23"/>
      <c r="X106" s="26" t="str">
        <f>"－"</f>
        <v>－</v>
      </c>
      <c r="Y106" s="24"/>
      <c r="Z106" s="25" t="str">
        <f>"－"</f>
        <v>－</v>
      </c>
      <c r="AA106" s="23"/>
      <c r="AB106" s="25" t="str">
        <f>"－"</f>
        <v>－</v>
      </c>
      <c r="AC106" s="23"/>
      <c r="AD106" s="26" t="str">
        <f>"－"</f>
        <v>－</v>
      </c>
    </row>
    <row r="107">
      <c r="A107" s="30" t="s">
        <v>32</v>
      </c>
      <c r="B107" s="22" t="s">
        <v>65</v>
      </c>
      <c r="C107" s="22" t="s">
        <v>66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34</v>
      </c>
      <c r="B108" s="22" t="s">
        <v>65</v>
      </c>
      <c r="C108" s="22" t="s">
        <v>66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35</v>
      </c>
      <c r="B109" s="22" t="s">
        <v>65</v>
      </c>
      <c r="C109" s="22" t="s">
        <v>66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36</v>
      </c>
      <c r="B110" s="22" t="s">
        <v>65</v>
      </c>
      <c r="C110" s="22" t="s">
        <v>66</v>
      </c>
      <c r="D110" s="24"/>
      <c r="E110" s="25"/>
      <c r="F110" s="23"/>
      <c r="G110" s="25"/>
      <c r="H110" s="23"/>
      <c r="I110" s="26"/>
      <c r="J110" s="24"/>
      <c r="K110" s="25"/>
      <c r="L110" s="23"/>
      <c r="M110" s="25"/>
      <c r="N110" s="23"/>
      <c r="O110" s="26"/>
      <c r="P110" s="27"/>
      <c r="Q110" s="28"/>
      <c r="R110" s="29"/>
      <c r="S110" s="24"/>
      <c r="T110" s="25"/>
      <c r="U110" s="23"/>
      <c r="V110" s="25"/>
      <c r="W110" s="23"/>
      <c r="X110" s="26"/>
      <c r="Y110" s="24"/>
      <c r="Z110" s="25"/>
      <c r="AA110" s="23"/>
      <c r="AB110" s="25"/>
      <c r="AC110" s="23"/>
      <c r="AD110" s="26"/>
    </row>
    <row r="111">
      <c r="A111" s="30" t="s">
        <v>37</v>
      </c>
      <c r="B111" s="22" t="s">
        <v>65</v>
      </c>
      <c r="C111" s="22" t="s">
        <v>66</v>
      </c>
      <c r="D111" s="24"/>
      <c r="E111" s="25"/>
      <c r="F111" s="23"/>
      <c r="G111" s="25"/>
      <c r="H111" s="23"/>
      <c r="I111" s="26"/>
      <c r="J111" s="24"/>
      <c r="K111" s="25"/>
      <c r="L111" s="23"/>
      <c r="M111" s="25"/>
      <c r="N111" s="23"/>
      <c r="O111" s="26"/>
      <c r="P111" s="27"/>
      <c r="Q111" s="28"/>
      <c r="R111" s="29"/>
      <c r="S111" s="24"/>
      <c r="T111" s="25"/>
      <c r="U111" s="23"/>
      <c r="V111" s="25"/>
      <c r="W111" s="23"/>
      <c r="X111" s="26"/>
      <c r="Y111" s="24"/>
      <c r="Z111" s="25"/>
      <c r="AA111" s="23"/>
      <c r="AB111" s="25"/>
      <c r="AC111" s="23"/>
      <c r="AD111" s="26"/>
    </row>
    <row r="112">
      <c r="A112" s="30" t="s">
        <v>38</v>
      </c>
      <c r="B112" s="22" t="s">
        <v>65</v>
      </c>
      <c r="C112" s="22" t="s">
        <v>66</v>
      </c>
      <c r="D112" s="24"/>
      <c r="E112" s="25"/>
      <c r="F112" s="23"/>
      <c r="G112" s="25"/>
      <c r="H112" s="23"/>
      <c r="I112" s="26"/>
      <c r="J112" s="24"/>
      <c r="K112" s="25"/>
      <c r="L112" s="23"/>
      <c r="M112" s="25"/>
      <c r="N112" s="23"/>
      <c r="O112" s="26"/>
      <c r="P112" s="27"/>
      <c r="Q112" s="28"/>
      <c r="R112" s="29"/>
      <c r="S112" s="24"/>
      <c r="T112" s="25"/>
      <c r="U112" s="23"/>
      <c r="V112" s="25"/>
      <c r="W112" s="23"/>
      <c r="X112" s="26"/>
      <c r="Y112" s="24"/>
      <c r="Z112" s="25"/>
      <c r="AA112" s="23"/>
      <c r="AB112" s="25"/>
      <c r="AC112" s="23"/>
      <c r="AD112" s="26"/>
    </row>
    <row r="113">
      <c r="A113" s="30" t="s">
        <v>39</v>
      </c>
      <c r="B113" s="22" t="s">
        <v>65</v>
      </c>
      <c r="C113" s="22" t="s">
        <v>66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41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42</v>
      </c>
      <c r="B115" s="22" t="s">
        <v>65</v>
      </c>
      <c r="C115" s="22" t="s">
        <v>66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43</v>
      </c>
      <c r="B116" s="22" t="s">
        <v>65</v>
      </c>
      <c r="C116" s="22" t="s">
        <v>66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44</v>
      </c>
      <c r="B117" s="22" t="s">
        <v>65</v>
      </c>
      <c r="C117" s="22" t="s">
        <v>66</v>
      </c>
      <c r="D117" s="24"/>
      <c r="E117" s="25"/>
      <c r="F117" s="23"/>
      <c r="G117" s="25"/>
      <c r="H117" s="23"/>
      <c r="I117" s="26"/>
      <c r="J117" s="24"/>
      <c r="K117" s="25"/>
      <c r="L117" s="23"/>
      <c r="M117" s="25"/>
      <c r="N117" s="23"/>
      <c r="O117" s="26"/>
      <c r="P117" s="27"/>
      <c r="Q117" s="28"/>
      <c r="R117" s="29"/>
      <c r="S117" s="24"/>
      <c r="T117" s="25"/>
      <c r="U117" s="23"/>
      <c r="V117" s="25"/>
      <c r="W117" s="23"/>
      <c r="X117" s="26"/>
      <c r="Y117" s="24"/>
      <c r="Z117" s="25"/>
      <c r="AA117" s="23"/>
      <c r="AB117" s="25"/>
      <c r="AC117" s="23"/>
      <c r="AD117" s="26"/>
    </row>
    <row r="118">
      <c r="A118" s="30" t="s">
        <v>45</v>
      </c>
      <c r="B118" s="22" t="s">
        <v>65</v>
      </c>
      <c r="C118" s="22" t="s">
        <v>66</v>
      </c>
      <c r="D118" s="24"/>
      <c r="E118" s="25"/>
      <c r="F118" s="23"/>
      <c r="G118" s="25"/>
      <c r="H118" s="23"/>
      <c r="I118" s="26"/>
      <c r="J118" s="24"/>
      <c r="K118" s="25"/>
      <c r="L118" s="23"/>
      <c r="M118" s="25"/>
      <c r="N118" s="23"/>
      <c r="O118" s="26"/>
      <c r="P118" s="27"/>
      <c r="Q118" s="28"/>
      <c r="R118" s="29"/>
      <c r="S118" s="24"/>
      <c r="T118" s="25"/>
      <c r="U118" s="23"/>
      <c r="V118" s="25"/>
      <c r="W118" s="23"/>
      <c r="X118" s="26"/>
      <c r="Y118" s="24"/>
      <c r="Z118" s="25"/>
      <c r="AA118" s="23"/>
      <c r="AB118" s="25"/>
      <c r="AC118" s="23"/>
      <c r="AD118" s="26"/>
    </row>
    <row r="119">
      <c r="A119" s="30" t="s">
        <v>46</v>
      </c>
      <c r="B119" s="22" t="s">
        <v>65</v>
      </c>
      <c r="C119" s="22" t="s">
        <v>66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47</v>
      </c>
      <c r="B120" s="22" t="s">
        <v>65</v>
      </c>
      <c r="C120" s="22" t="s">
        <v>66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50</v>
      </c>
      <c r="B123" s="22" t="s">
        <v>65</v>
      </c>
      <c r="C123" s="22" t="s">
        <v>66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51</v>
      </c>
      <c r="B124" s="22" t="s">
        <v>65</v>
      </c>
      <c r="C124" s="22" t="s">
        <v>66</v>
      </c>
      <c r="D124" s="24"/>
      <c r="E124" s="25"/>
      <c r="F124" s="23"/>
      <c r="G124" s="25"/>
      <c r="H124" s="23"/>
      <c r="I124" s="26"/>
      <c r="J124" s="24"/>
      <c r="K124" s="25"/>
      <c r="L124" s="23"/>
      <c r="M124" s="25"/>
      <c r="N124" s="23"/>
      <c r="O124" s="26"/>
      <c r="P124" s="27"/>
      <c r="Q124" s="28"/>
      <c r="R124" s="29"/>
      <c r="S124" s="24"/>
      <c r="T124" s="25"/>
      <c r="U124" s="23"/>
      <c r="V124" s="25"/>
      <c r="W124" s="23"/>
      <c r="X124" s="26"/>
      <c r="Y124" s="24"/>
      <c r="Z124" s="25"/>
      <c r="AA124" s="23"/>
      <c r="AB124" s="25"/>
      <c r="AC124" s="23"/>
      <c r="AD124" s="26"/>
    </row>
    <row r="125">
      <c r="A125" s="30" t="s">
        <v>52</v>
      </c>
      <c r="B125" s="22" t="s">
        <v>65</v>
      </c>
      <c r="C125" s="22" t="s">
        <v>66</v>
      </c>
      <c r="D125" s="24"/>
      <c r="E125" s="25"/>
      <c r="F125" s="23"/>
      <c r="G125" s="25"/>
      <c r="H125" s="23"/>
      <c r="I125" s="26"/>
      <c r="J125" s="24"/>
      <c r="K125" s="25"/>
      <c r="L125" s="23"/>
      <c r="M125" s="25"/>
      <c r="N125" s="23"/>
      <c r="O125" s="26"/>
      <c r="P125" s="27"/>
      <c r="Q125" s="28"/>
      <c r="R125" s="29"/>
      <c r="S125" s="24"/>
      <c r="T125" s="25"/>
      <c r="U125" s="23"/>
      <c r="V125" s="25"/>
      <c r="W125" s="23"/>
      <c r="X125" s="26"/>
      <c r="Y125" s="24"/>
      <c r="Z125" s="25"/>
      <c r="AA125" s="23"/>
      <c r="AB125" s="25"/>
      <c r="AC125" s="23"/>
      <c r="AD125" s="26"/>
    </row>
    <row r="126">
      <c r="A126" s="30" t="s">
        <v>53</v>
      </c>
      <c r="B126" s="22" t="s">
        <v>65</v>
      </c>
      <c r="C126" s="22" t="s">
        <v>66</v>
      </c>
      <c r="D126" s="24"/>
      <c r="E126" s="25" t="str">
        <f>"－"</f>
        <v>－</v>
      </c>
      <c r="F126" s="23"/>
      <c r="G126" s="25" t="str">
        <f>"－"</f>
        <v>－</v>
      </c>
      <c r="H126" s="23"/>
      <c r="I126" s="26" t="str">
        <f>"－"</f>
        <v>－</v>
      </c>
      <c r="J126" s="24"/>
      <c r="K126" s="25" t="str">
        <f>"－"</f>
        <v>－</v>
      </c>
      <c r="L126" s="23"/>
      <c r="M126" s="25" t="str">
        <f>"－"</f>
        <v>－</v>
      </c>
      <c r="N126" s="23"/>
      <c r="O126" s="26" t="str">
        <f>"－"</f>
        <v>－</v>
      </c>
      <c r="P126" s="27" t="str">
        <f>"－"</f>
        <v>－</v>
      </c>
      <c r="Q126" s="28" t="str">
        <f>"－"</f>
        <v>－</v>
      </c>
      <c r="R126" s="29" t="str">
        <f>"－"</f>
        <v>－</v>
      </c>
      <c r="S126" s="24"/>
      <c r="T126" s="25" t="str">
        <f>"－"</f>
        <v>－</v>
      </c>
      <c r="U126" s="23"/>
      <c r="V126" s="25" t="str">
        <f>"－"</f>
        <v>－</v>
      </c>
      <c r="W126" s="23"/>
      <c r="X126" s="26" t="str">
        <f>"－"</f>
        <v>－</v>
      </c>
      <c r="Y126" s="24"/>
      <c r="Z126" s="25" t="str">
        <f>"－"</f>
        <v>－</v>
      </c>
      <c r="AA126" s="23"/>
      <c r="AB126" s="25" t="str">
        <f>"－"</f>
        <v>－</v>
      </c>
      <c r="AC126" s="23"/>
      <c r="AD126" s="26" t="str">
        <f>"－"</f>
        <v>－</v>
      </c>
    </row>
    <row r="127">
      <c r="A127" s="30" t="s">
        <v>54</v>
      </c>
      <c r="B127" s="22" t="s">
        <v>65</v>
      </c>
      <c r="C127" s="22" t="s">
        <v>66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 t="str">
        <f>"－"</f>
        <v>－</v>
      </c>
      <c r="F130" s="23"/>
      <c r="G130" s="25" t="str">
        <f>"－"</f>
        <v>－</v>
      </c>
      <c r="H130" s="23"/>
      <c r="I130" s="26" t="str">
        <f>"－"</f>
        <v>－</v>
      </c>
      <c r="J130" s="24"/>
      <c r="K130" s="25" t="str">
        <f>"－"</f>
        <v>－</v>
      </c>
      <c r="L130" s="23"/>
      <c r="M130" s="25" t="str">
        <f>"－"</f>
        <v>－</v>
      </c>
      <c r="N130" s="23"/>
      <c r="O130" s="26" t="str">
        <f>"－"</f>
        <v>－</v>
      </c>
      <c r="P130" s="27" t="str">
        <f>"－"</f>
        <v>－</v>
      </c>
      <c r="Q130" s="28" t="str">
        <f>"－"</f>
        <v>－</v>
      </c>
      <c r="R130" s="29" t="str">
        <f>"－"</f>
        <v>－</v>
      </c>
      <c r="S130" s="24"/>
      <c r="T130" s="25" t="str">
        <f>"－"</f>
        <v>－</v>
      </c>
      <c r="U130" s="23"/>
      <c r="V130" s="25" t="str">
        <f>"－"</f>
        <v>－</v>
      </c>
      <c r="W130" s="23"/>
      <c r="X130" s="26" t="str">
        <f>"－"</f>
        <v>－</v>
      </c>
      <c r="Y130" s="24"/>
      <c r="Z130" s="25" t="str">
        <f>"－"</f>
        <v>－</v>
      </c>
      <c r="AA130" s="23"/>
      <c r="AB130" s="25" t="str">
        <f>"－"</f>
        <v>－</v>
      </c>
      <c r="AC130" s="23"/>
      <c r="AD130" s="26" t="str">
        <f>"－"</f>
        <v>－</v>
      </c>
    </row>
    <row r="131">
      <c r="A131" s="30" t="s">
        <v>58</v>
      </c>
      <c r="B131" s="22" t="s">
        <v>65</v>
      </c>
      <c r="C131" s="22" t="s">
        <v>66</v>
      </c>
      <c r="D131" s="24"/>
      <c r="E131" s="25"/>
      <c r="F131" s="23"/>
      <c r="G131" s="25"/>
      <c r="H131" s="23"/>
      <c r="I131" s="26"/>
      <c r="J131" s="24"/>
      <c r="K131" s="25"/>
      <c r="L131" s="23"/>
      <c r="M131" s="25"/>
      <c r="N131" s="23"/>
      <c r="O131" s="26"/>
      <c r="P131" s="27"/>
      <c r="Q131" s="28"/>
      <c r="R131" s="29"/>
      <c r="S131" s="24"/>
      <c r="T131" s="25"/>
      <c r="U131" s="23"/>
      <c r="V131" s="25"/>
      <c r="W131" s="23"/>
      <c r="X131" s="26"/>
      <c r="Y131" s="24"/>
      <c r="Z131" s="25"/>
      <c r="AA131" s="23"/>
      <c r="AB131" s="25"/>
      <c r="AC131" s="23"/>
      <c r="AD131" s="26"/>
    </row>
    <row r="132">
      <c r="A132" s="30" t="s">
        <v>59</v>
      </c>
      <c r="B132" s="22" t="s">
        <v>65</v>
      </c>
      <c r="C132" s="22" t="s">
        <v>66</v>
      </c>
      <c r="D132" s="24"/>
      <c r="E132" s="25"/>
      <c r="F132" s="23"/>
      <c r="G132" s="25"/>
      <c r="H132" s="23"/>
      <c r="I132" s="26"/>
      <c r="J132" s="24"/>
      <c r="K132" s="25"/>
      <c r="L132" s="23"/>
      <c r="M132" s="25"/>
      <c r="N132" s="23"/>
      <c r="O132" s="26"/>
      <c r="P132" s="27"/>
      <c r="Q132" s="28"/>
      <c r="R132" s="29"/>
      <c r="S132" s="24"/>
      <c r="T132" s="25"/>
      <c r="U132" s="23"/>
      <c r="V132" s="25"/>
      <c r="W132" s="23"/>
      <c r="X132" s="26"/>
      <c r="Y132" s="24"/>
      <c r="Z132" s="25"/>
      <c r="AA132" s="23"/>
      <c r="AB132" s="25"/>
      <c r="AC132" s="23"/>
      <c r="AD132" s="26"/>
    </row>
    <row r="133">
      <c r="A133" s="30" t="s">
        <v>60</v>
      </c>
      <c r="B133" s="22" t="s">
        <v>65</v>
      </c>
      <c r="C133" s="22" t="s">
        <v>66</v>
      </c>
      <c r="D133" s="24"/>
      <c r="E133" s="25" t="str">
        <f>"－"</f>
        <v>－</v>
      </c>
      <c r="F133" s="23"/>
      <c r="G133" s="25" t="str">
        <f>"－"</f>
        <v>－</v>
      </c>
      <c r="H133" s="23"/>
      <c r="I133" s="26" t="str">
        <f>"－"</f>
        <v>－</v>
      </c>
      <c r="J133" s="24"/>
      <c r="K133" s="25" t="str">
        <f>"－"</f>
        <v>－</v>
      </c>
      <c r="L133" s="23"/>
      <c r="M133" s="25" t="str">
        <f>"－"</f>
        <v>－</v>
      </c>
      <c r="N133" s="23"/>
      <c r="O133" s="26" t="str">
        <f>"－"</f>
        <v>－</v>
      </c>
      <c r="P133" s="27" t="str">
        <f>"－"</f>
        <v>－</v>
      </c>
      <c r="Q133" s="28" t="str">
        <f>"－"</f>
        <v>－</v>
      </c>
      <c r="R133" s="29" t="str">
        <f>"－"</f>
        <v>－</v>
      </c>
      <c r="S133" s="24"/>
      <c r="T133" s="25" t="str">
        <f>"－"</f>
        <v>－</v>
      </c>
      <c r="U133" s="23"/>
      <c r="V133" s="25" t="str">
        <f>"－"</f>
        <v>－</v>
      </c>
      <c r="W133" s="23"/>
      <c r="X133" s="26" t="str">
        <f>"－"</f>
        <v>－</v>
      </c>
      <c r="Y133" s="24"/>
      <c r="Z133" s="25" t="str">
        <f>"－"</f>
        <v>－</v>
      </c>
      <c r="AA133" s="23"/>
      <c r="AB133" s="25" t="str">
        <f>"－"</f>
        <v>－</v>
      </c>
      <c r="AC133" s="23"/>
      <c r="AD133" s="26" t="str">
        <f>"－"</f>
        <v>－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2020-05-11T05:38:57Z</dcterms:modified>
</cp:coreProperties>
</file>