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&#65279;<?xml version="1.0" encoding="utf-8" standalone="yes"?>
<Relationships xmlns="http://schemas.openxmlformats.org/package/2006/relationships">
  <Relationship Id="rId1" Target="xl/workbook.xml" Type="http://schemas.openxmlformats.org/officeDocument/2006/relationships/officeDocument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<sst xmlns="http://schemas.openxmlformats.org/spreadsheetml/2006/main" count="1275" uniqueCount="75">
  <si>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</si>
  <si>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</si>
  <si>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</si>
  <si>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</si>
  <si>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</si>
  <si>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</si>
  <si>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</si>
  <si>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</si>
  <si>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</si>
  <si>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</si>
  <si>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</si>
  <si>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</si>
  <si>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</si>
  <si>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</si>
  <si>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</si>
  <si>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</si>
  <si>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9.1</t>
  </si>
  <si>
    <t>金標準先物</t>
  </si>
  <si>
    <t>Gold Standard Futures</t>
  </si>
  <si>
    <t>◎●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</si>
  <si>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</si>
  <si>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</si>
  <si>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</si>
  <si>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</si>
  <si>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</si>
  <si>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</si>
  <si>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</si>
  <si>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</si>
  <si>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</si>
  <si>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</si>
  <si>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</si>
  <si>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</si>
  <si>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</si>
  <si>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</si>
  <si>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</si>
  <si>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</si>
  <si>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</si>
  <si>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</si>
  <si>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</si>
  <si>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</si>
  <si>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</si>
  <si>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</si>
  <si>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</si>
  <si>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◎</t>
  </si>
  <si>
    <t>24</t>
  </si>
  <si>
    <t>25</t>
  </si>
  <si>
    <t>26</t>
  </si>
  <si>
    <t>27</t>
  </si>
  <si>
    <t>28</t>
  </si>
  <si>
    <t>29</t>
  </si>
  <si>
    <t>30</t>
  </si>
  <si>
    <t>金ミニ先物</t>
  </si>
  <si>
    <t>Gold Mini Futures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</si>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</sst>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Fill="1" applyFont="1" applyNumberFormat="1" borderId="0" fillId="0" fontId="109" numFmtId="0" xfId="1937">
      <alignment horizontal="left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1" Target="worksheets/sheet1.xml" Type="http://schemas.openxmlformats.org/officeDocument/2006/relationships/worksheet" />
  <Relationship Id="rId2" Target="theme/theme1.xml" Type="http://schemas.openxmlformats.org/officeDocument/2006/relationships/theme" />
  <Relationship Id="rId3" Target="styles.xml" Type="http://schemas.openxmlformats.org/officeDocument/2006/relationships/styles" />
  <Relationship Id="rId4" Target="sharedStrings.xml" Type="http://schemas.openxmlformats.org/officeDocument/2006/relationships/sharedStrings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395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4" t="s">
        <v>13</v>
      </c>
      <c r="B1" s="14"/>
      <c r="C1" s="14"/>
    </row>
    <row customHeight="1" ht="30" r="2" spans="1:11">
      <c r="A2" s="14" t="s">
        <v>15</v>
      </c>
      <c r="B2" s="14"/>
      <c r="C2" s="14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3" t="s">
        <v>10</v>
      </c>
      <c r="C4" s="13" t="s">
        <v>14</v>
      </c>
      <c r="D4" s="13" t="s">
        <v>1</v>
      </c>
      <c r="E4" s="13"/>
      <c r="F4" s="13" t="s">
        <v>3</v>
      </c>
      <c r="G4" s="13"/>
      <c r="H4" s="13" t="s">
        <v>4</v>
      </c>
      <c r="I4" s="13"/>
      <c r="J4" s="13" t="s">
        <v>5</v>
      </c>
      <c r="K4" s="13"/>
    </row>
    <row customHeight="1" ht="17.100000000000001" r="5" spans="1:11">
      <c r="A5" s="7" t="s">
        <v>2</v>
      </c>
      <c r="B5" s="13"/>
      <c r="C5" s="13"/>
      <c r="D5" s="13" t="s">
        <v>6</v>
      </c>
      <c r="E5" s="13"/>
      <c r="F5" s="13" t="s">
        <v>7</v>
      </c>
      <c r="G5" s="13"/>
      <c r="H5" s="13" t="s">
        <v>8</v>
      </c>
      <c r="I5" s="13"/>
      <c r="J5" s="13" t="s">
        <v>9</v>
      </c>
      <c r="K5" s="13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 t="n">
        <f>33108</f>
        <v>33108.0</v>
      </c>
      <c r="F6" s="10"/>
      <c r="G6" s="11" t="n">
        <f>222485786000</f>
        <v>2.22485786E11</v>
      </c>
      <c r="H6" s="10" t="s">
        <v>19</v>
      </c>
      <c r="I6" s="11" t="str">
        <f>"－"</f>
        <v>－</v>
      </c>
      <c r="J6" s="10" t="s">
        <v>20</v>
      </c>
      <c r="K6" s="11" t="n">
        <f>44476</f>
        <v>44476.0</v>
      </c>
    </row>
    <row r="7">
      <c r="A7" s="8" t="s">
        <v>21</v>
      </c>
      <c r="B7" s="9" t="s">
        <v>17</v>
      </c>
      <c r="C7" s="9" t="s">
        <v>18</v>
      </c>
      <c r="D7" s="10"/>
      <c r="E7" s="11" t="n">
        <f>31726</f>
        <v>31726.0</v>
      </c>
      <c r="F7" s="10"/>
      <c r="G7" s="11" t="n">
        <f>213771281000</f>
        <v>2.13771281E11</v>
      </c>
      <c r="H7" s="10"/>
      <c r="I7" s="11" t="str">
        <f>"－"</f>
        <v>－</v>
      </c>
      <c r="J7" s="10"/>
      <c r="K7" s="11" t="n">
        <f>46174</f>
        <v>46174.0</v>
      </c>
    </row>
    <row r="8">
      <c r="A8" s="8" t="s">
        <v>22</v>
      </c>
      <c r="B8" s="9" t="s">
        <v>17</v>
      </c>
      <c r="C8" s="9" t="s">
        <v>18</v>
      </c>
      <c r="D8" s="10"/>
      <c r="E8" s="11" t="n">
        <f>36336</f>
        <v>36336.0</v>
      </c>
      <c r="F8" s="10"/>
      <c r="G8" s="11" t="n">
        <f>242276056000</f>
        <v>2.42276056E11</v>
      </c>
      <c r="H8" s="10"/>
      <c r="I8" s="11" t="str">
        <f>"－"</f>
        <v>－</v>
      </c>
      <c r="J8" s="10"/>
      <c r="K8" s="11" t="n">
        <f>47236</f>
        <v>47236.0</v>
      </c>
    </row>
    <row r="9">
      <c r="A9" s="8" t="s">
        <v>23</v>
      </c>
      <c r="B9" s="9" t="s">
        <v>17</v>
      </c>
      <c r="C9" s="9" t="s">
        <v>18</v>
      </c>
      <c r="D9" s="10"/>
      <c r="E9" s="11" t="n">
        <f>29056</f>
        <v>29056.0</v>
      </c>
      <c r="F9" s="10"/>
      <c r="G9" s="11" t="n">
        <f>192160816000</f>
        <v>1.92160816E11</v>
      </c>
      <c r="H9" s="10"/>
      <c r="I9" s="11" t="str">
        <f>"－"</f>
        <v>－</v>
      </c>
      <c r="J9" s="10"/>
      <c r="K9" s="11" t="n">
        <f>47225</f>
        <v>47225.0</v>
      </c>
    </row>
    <row r="10">
      <c r="A10" s="8" t="s">
        <v>24</v>
      </c>
      <c r="B10" s="9" t="s">
        <v>17</v>
      </c>
      <c r="C10" s="9" t="s">
        <v>18</v>
      </c>
      <c r="D10" s="10"/>
      <c r="E10" s="11"/>
      <c r="F10" s="10"/>
      <c r="G10" s="11"/>
      <c r="H10" s="10"/>
      <c r="I10" s="11"/>
      <c r="J10" s="10"/>
      <c r="K10" s="11"/>
    </row>
    <row r="11">
      <c r="A11" s="8" t="s">
        <v>25</v>
      </c>
      <c r="B11" s="9" t="s">
        <v>17</v>
      </c>
      <c r="C11" s="9" t="s">
        <v>18</v>
      </c>
      <c r="D11" s="10"/>
      <c r="E11" s="11"/>
      <c r="F11" s="10"/>
      <c r="G11" s="11"/>
      <c r="H11" s="10"/>
      <c r="I11" s="11"/>
      <c r="J11" s="10"/>
      <c r="K11" s="11"/>
    </row>
    <row r="12">
      <c r="A12" s="8" t="s">
        <v>26</v>
      </c>
      <c r="B12" s="9" t="s">
        <v>17</v>
      </c>
      <c r="C12" s="9" t="s">
        <v>18</v>
      </c>
      <c r="D12" s="10"/>
      <c r="E12" s="11" t="n">
        <f>27949</f>
        <v>27949.0</v>
      </c>
      <c r="F12" s="10"/>
      <c r="G12" s="11" t="n">
        <f>184724136000</f>
        <v>1.84724136E11</v>
      </c>
      <c r="H12" s="10"/>
      <c r="I12" s="11" t="str">
        <f>"－"</f>
        <v>－</v>
      </c>
      <c r="J12" s="10"/>
      <c r="K12" s="11" t="n">
        <f>47623</f>
        <v>47623.0</v>
      </c>
    </row>
    <row r="13">
      <c r="A13" s="8" t="s">
        <v>27</v>
      </c>
      <c r="B13" s="9" t="s">
        <v>17</v>
      </c>
      <c r="C13" s="9" t="s">
        <v>18</v>
      </c>
      <c r="D13" s="10" t="s">
        <v>20</v>
      </c>
      <c r="E13" s="11" t="n">
        <f>15558</f>
        <v>15558.0</v>
      </c>
      <c r="F13" s="10" t="s">
        <v>20</v>
      </c>
      <c r="G13" s="11" t="n">
        <f>102634118000</f>
        <v>1.02634118E11</v>
      </c>
      <c r="H13" s="10"/>
      <c r="I13" s="11" t="str">
        <f>"－"</f>
        <v>－</v>
      </c>
      <c r="J13" s="10"/>
      <c r="K13" s="11" t="n">
        <f>47940</f>
        <v>47940.0</v>
      </c>
    </row>
    <row r="14">
      <c r="A14" s="8" t="s">
        <v>28</v>
      </c>
      <c r="B14" s="9" t="s">
        <v>17</v>
      </c>
      <c r="C14" s="9" t="s">
        <v>18</v>
      </c>
      <c r="D14" s="10"/>
      <c r="E14" s="11" t="n">
        <f>40591</f>
        <v>40591.0</v>
      </c>
      <c r="F14" s="10"/>
      <c r="G14" s="11" t="n">
        <f>266544197000</f>
        <v>2.66544197E11</v>
      </c>
      <c r="H14" s="10"/>
      <c r="I14" s="11" t="str">
        <f>"－"</f>
        <v>－</v>
      </c>
      <c r="J14" s="10"/>
      <c r="K14" s="11" t="n">
        <f>49065</f>
        <v>49065.0</v>
      </c>
    </row>
    <row r="15">
      <c r="A15" s="8" t="s">
        <v>29</v>
      </c>
      <c r="B15" s="9" t="s">
        <v>17</v>
      </c>
      <c r="C15" s="9" t="s">
        <v>18</v>
      </c>
      <c r="D15" s="10"/>
      <c r="E15" s="11" t="n">
        <f>23285</f>
        <v>23285.0</v>
      </c>
      <c r="F15" s="10"/>
      <c r="G15" s="11" t="n">
        <f>154395829000</f>
        <v>1.54395829E11</v>
      </c>
      <c r="H15" s="10"/>
      <c r="I15" s="11" t="str">
        <f>"－"</f>
        <v>－</v>
      </c>
      <c r="J15" s="10"/>
      <c r="K15" s="11" t="n">
        <f>49037</f>
        <v>49037.0</v>
      </c>
    </row>
    <row r="16">
      <c r="A16" s="8" t="s">
        <v>30</v>
      </c>
      <c r="B16" s="9" t="s">
        <v>17</v>
      </c>
      <c r="C16" s="9" t="s">
        <v>18</v>
      </c>
      <c r="D16" s="10"/>
      <c r="E16" s="11" t="n">
        <f>24360</f>
        <v>24360.0</v>
      </c>
      <c r="F16" s="10"/>
      <c r="G16" s="11" t="n">
        <f>162402685000</f>
        <v>1.62402685E11</v>
      </c>
      <c r="H16" s="10"/>
      <c r="I16" s="11" t="str">
        <f>"－"</f>
        <v>－</v>
      </c>
      <c r="J16" s="10"/>
      <c r="K16" s="11" t="n">
        <f>48321</f>
        <v>48321.0</v>
      </c>
    </row>
    <row r="17">
      <c r="A17" s="8" t="s">
        <v>31</v>
      </c>
      <c r="B17" s="9" t="s">
        <v>17</v>
      </c>
      <c r="C17" s="9" t="s">
        <v>18</v>
      </c>
      <c r="D17" s="10"/>
      <c r="E17" s="11"/>
      <c r="F17" s="10"/>
      <c r="G17" s="11"/>
      <c r="H17" s="10"/>
      <c r="I17" s="11"/>
      <c r="J17" s="10"/>
      <c r="K17" s="11"/>
    </row>
    <row r="18">
      <c r="A18" s="8" t="s">
        <v>32</v>
      </c>
      <c r="B18" s="9" t="s">
        <v>17</v>
      </c>
      <c r="C18" s="9" t="s">
        <v>18</v>
      </c>
      <c r="D18" s="10"/>
      <c r="E18" s="11"/>
      <c r="F18" s="10"/>
      <c r="G18" s="11"/>
      <c r="H18" s="10"/>
      <c r="I18" s="11"/>
      <c r="J18" s="10"/>
      <c r="K18" s="11"/>
    </row>
    <row r="19">
      <c r="A19" s="8" t="s">
        <v>33</v>
      </c>
      <c r="B19" s="9" t="s">
        <v>17</v>
      </c>
      <c r="C19" s="9" t="s">
        <v>18</v>
      </c>
      <c r="D19" s="10"/>
      <c r="E19" s="11" t="n">
        <f>16136</f>
        <v>16136.0</v>
      </c>
      <c r="F19" s="10"/>
      <c r="G19" s="11" t="n">
        <f>107259462000</f>
        <v>1.07259462E11</v>
      </c>
      <c r="H19" s="10"/>
      <c r="I19" s="11" t="str">
        <f>"－"</f>
        <v>－</v>
      </c>
      <c r="J19" s="10"/>
      <c r="K19" s="11" t="n">
        <f>48912</f>
        <v>48912.0</v>
      </c>
    </row>
    <row r="20">
      <c r="A20" s="8" t="s">
        <v>34</v>
      </c>
      <c r="B20" s="9" t="s">
        <v>17</v>
      </c>
      <c r="C20" s="9" t="s">
        <v>18</v>
      </c>
      <c r="D20" s="10"/>
      <c r="E20" s="11" t="n">
        <f>19733</f>
        <v>19733.0</v>
      </c>
      <c r="F20" s="10"/>
      <c r="G20" s="11" t="n">
        <f>131435472000</f>
        <v>1.31435472E11</v>
      </c>
      <c r="H20" s="10"/>
      <c r="I20" s="11" t="str">
        <f>"－"</f>
        <v>－</v>
      </c>
      <c r="J20" s="10"/>
      <c r="K20" s="11" t="n">
        <f>50201</f>
        <v>50201.0</v>
      </c>
    </row>
    <row r="21">
      <c r="A21" s="8" t="s">
        <v>35</v>
      </c>
      <c r="B21" s="9" t="s">
        <v>17</v>
      </c>
      <c r="C21" s="9" t="s">
        <v>18</v>
      </c>
      <c r="D21" s="10"/>
      <c r="E21" s="11" t="n">
        <f>22584</f>
        <v>22584.0</v>
      </c>
      <c r="F21" s="10"/>
      <c r="G21" s="11" t="n">
        <f>150224403000</f>
        <v>1.50224403E11</v>
      </c>
      <c r="H21" s="10"/>
      <c r="I21" s="11" t="str">
        <f>"－"</f>
        <v>－</v>
      </c>
      <c r="J21" s="10"/>
      <c r="K21" s="11" t="n">
        <f>51538</f>
        <v>51538.0</v>
      </c>
    </row>
    <row r="22">
      <c r="A22" s="8" t="s">
        <v>36</v>
      </c>
      <c r="B22" s="9" t="s">
        <v>17</v>
      </c>
      <c r="C22" s="9" t="s">
        <v>18</v>
      </c>
      <c r="D22" s="10"/>
      <c r="E22" s="11" t="n">
        <f>34656</f>
        <v>34656.0</v>
      </c>
      <c r="F22" s="10"/>
      <c r="G22" s="11" t="n">
        <f>229383430000</f>
        <v>2.2938343E11</v>
      </c>
      <c r="H22" s="10"/>
      <c r="I22" s="11" t="str">
        <f>"－"</f>
        <v>－</v>
      </c>
      <c r="J22" s="10"/>
      <c r="K22" s="11" t="n">
        <f>53780</f>
        <v>53780.0</v>
      </c>
    </row>
    <row r="23">
      <c r="A23" s="8" t="s">
        <v>37</v>
      </c>
      <c r="B23" s="9" t="s">
        <v>17</v>
      </c>
      <c r="C23" s="9" t="s">
        <v>18</v>
      </c>
      <c r="D23" s="10"/>
      <c r="E23" s="11" t="n">
        <f>25372</f>
        <v>25372.0</v>
      </c>
      <c r="F23" s="10"/>
      <c r="G23" s="11" t="n">
        <f>166617627000</f>
        <v>1.66617627E11</v>
      </c>
      <c r="H23" s="10"/>
      <c r="I23" s="11" t="str">
        <f>"－"</f>
        <v>－</v>
      </c>
      <c r="J23" s="10"/>
      <c r="K23" s="11" t="n">
        <f>54514</f>
        <v>54514.0</v>
      </c>
    </row>
    <row r="24">
      <c r="A24" s="8" t="s">
        <v>38</v>
      </c>
      <c r="B24" s="9" t="s">
        <v>17</v>
      </c>
      <c r="C24" s="9" t="s">
        <v>18</v>
      </c>
      <c r="D24" s="10"/>
      <c r="E24" s="11"/>
      <c r="F24" s="10"/>
      <c r="G24" s="11"/>
      <c r="H24" s="10"/>
      <c r="I24" s="11"/>
      <c r="J24" s="10"/>
      <c r="K24" s="11"/>
    </row>
    <row r="25">
      <c r="A25" s="8" t="s">
        <v>39</v>
      </c>
      <c r="B25" s="9" t="s">
        <v>17</v>
      </c>
      <c r="C25" s="9" t="s">
        <v>18</v>
      </c>
      <c r="D25" s="10"/>
      <c r="E25" s="11"/>
      <c r="F25" s="10"/>
      <c r="G25" s="11"/>
      <c r="H25" s="10"/>
      <c r="I25" s="11"/>
      <c r="J25" s="10"/>
      <c r="K25" s="11"/>
    </row>
    <row r="26">
      <c r="A26" s="8" t="s">
        <v>40</v>
      </c>
      <c r="B26" s="9" t="s">
        <v>17</v>
      </c>
      <c r="C26" s="9" t="s">
        <v>18</v>
      </c>
      <c r="D26" s="10"/>
      <c r="E26" s="11"/>
      <c r="F26" s="10"/>
      <c r="G26" s="11"/>
      <c r="H26" s="10"/>
      <c r="I26" s="11"/>
      <c r="J26" s="10"/>
      <c r="K26" s="11"/>
    </row>
    <row r="27">
      <c r="A27" s="8" t="s">
        <v>41</v>
      </c>
      <c r="B27" s="9" t="s">
        <v>17</v>
      </c>
      <c r="C27" s="9" t="s">
        <v>18</v>
      </c>
      <c r="D27" s="10"/>
      <c r="E27" s="11"/>
      <c r="F27" s="10"/>
      <c r="G27" s="11"/>
      <c r="H27" s="10"/>
      <c r="I27" s="11"/>
      <c r="J27" s="10"/>
      <c r="K27" s="11"/>
    </row>
    <row r="28">
      <c r="A28" s="8" t="s">
        <v>42</v>
      </c>
      <c r="B28" s="9" t="s">
        <v>17</v>
      </c>
      <c r="C28" s="9" t="s">
        <v>18</v>
      </c>
      <c r="D28" s="10"/>
      <c r="E28" s="11" t="n">
        <f>47694</f>
        <v>47694.0</v>
      </c>
      <c r="F28" s="10"/>
      <c r="G28" s="11" t="n">
        <f>307826559000</f>
        <v>3.07826559E11</v>
      </c>
      <c r="H28" s="10"/>
      <c r="I28" s="11" t="str">
        <f>"－"</f>
        <v>－</v>
      </c>
      <c r="J28" s="10" t="s">
        <v>43</v>
      </c>
      <c r="K28" s="11" t="n">
        <f>55385</f>
        <v>55385.0</v>
      </c>
    </row>
    <row r="29">
      <c r="A29" s="8" t="s">
        <v>44</v>
      </c>
      <c r="B29" s="9" t="s">
        <v>17</v>
      </c>
      <c r="C29" s="9" t="s">
        <v>18</v>
      </c>
      <c r="D29" s="10" t="s">
        <v>43</v>
      </c>
      <c r="E29" s="11" t="n">
        <f>53198</f>
        <v>53198.0</v>
      </c>
      <c r="F29" s="10" t="s">
        <v>43</v>
      </c>
      <c r="G29" s="11" t="n">
        <f>336970596000</f>
        <v>3.36970596E11</v>
      </c>
      <c r="H29" s="10"/>
      <c r="I29" s="11" t="str">
        <f>"－"</f>
        <v>－</v>
      </c>
      <c r="J29" s="10"/>
      <c r="K29" s="11" t="n">
        <f>53832</f>
        <v>53832.0</v>
      </c>
    </row>
    <row r="30">
      <c r="A30" s="8" t="s">
        <v>45</v>
      </c>
      <c r="B30" s="9" t="s">
        <v>17</v>
      </c>
      <c r="C30" s="9" t="s">
        <v>18</v>
      </c>
      <c r="D30" s="10"/>
      <c r="E30" s="11" t="n">
        <f>33269</f>
        <v>33269.0</v>
      </c>
      <c r="F30" s="10"/>
      <c r="G30" s="11" t="n">
        <f>210324551000</f>
        <v>2.10324551E11</v>
      </c>
      <c r="H30" s="10"/>
      <c r="I30" s="11" t="str">
        <f>"－"</f>
        <v>－</v>
      </c>
      <c r="J30" s="10"/>
      <c r="K30" s="11" t="n">
        <f>53695</f>
        <v>53695.0</v>
      </c>
    </row>
    <row r="31">
      <c r="A31" s="8" t="s">
        <v>46</v>
      </c>
      <c r="B31" s="9" t="s">
        <v>17</v>
      </c>
      <c r="C31" s="9" t="s">
        <v>18</v>
      </c>
      <c r="D31" s="10"/>
      <c r="E31" s="11"/>
      <c r="F31" s="10"/>
      <c r="G31" s="11"/>
      <c r="H31" s="10"/>
      <c r="I31" s="11"/>
      <c r="J31" s="10"/>
      <c r="K31" s="11"/>
    </row>
    <row r="32">
      <c r="A32" s="8" t="s">
        <v>47</v>
      </c>
      <c r="B32" s="9" t="s">
        <v>17</v>
      </c>
      <c r="C32" s="9" t="s">
        <v>18</v>
      </c>
      <c r="D32" s="10"/>
      <c r="E32" s="11"/>
      <c r="F32" s="10"/>
      <c r="G32" s="11"/>
      <c r="H32" s="10"/>
      <c r="I32" s="11"/>
      <c r="J32" s="10"/>
      <c r="K32" s="11"/>
    </row>
    <row r="33">
      <c r="A33" s="8" t="s">
        <v>48</v>
      </c>
      <c r="B33" s="9" t="s">
        <v>17</v>
      </c>
      <c r="C33" s="9" t="s">
        <v>18</v>
      </c>
      <c r="D33" s="10"/>
      <c r="E33" s="11" t="n">
        <f>23728</f>
        <v>23728.0</v>
      </c>
      <c r="F33" s="10"/>
      <c r="G33" s="11" t="n">
        <f>150050677000</f>
        <v>1.50050677E11</v>
      </c>
      <c r="H33" s="10"/>
      <c r="I33" s="11" t="str">
        <f>"－"</f>
        <v>－</v>
      </c>
      <c r="J33" s="10"/>
      <c r="K33" s="11" t="n">
        <f>53474</f>
        <v>53474.0</v>
      </c>
    </row>
    <row r="34">
      <c r="A34" s="8" t="s">
        <v>49</v>
      </c>
      <c r="B34" s="9" t="s">
        <v>17</v>
      </c>
      <c r="C34" s="9" t="s">
        <v>18</v>
      </c>
      <c r="D34" s="10"/>
      <c r="E34" s="11" t="n">
        <f>28373</f>
        <v>28373.0</v>
      </c>
      <c r="F34" s="10"/>
      <c r="G34" s="11" t="n">
        <f>180497793000</f>
        <v>1.80497793E11</v>
      </c>
      <c r="H34" s="10"/>
      <c r="I34" s="11" t="str">
        <f>"－"</f>
        <v>－</v>
      </c>
      <c r="J34" s="10"/>
      <c r="K34" s="11" t="n">
        <f>53450</f>
        <v>53450.0</v>
      </c>
    </row>
    <row r="35">
      <c r="A35" s="8" t="s">
        <v>50</v>
      </c>
      <c r="B35" s="9" t="s">
        <v>17</v>
      </c>
      <c r="C35" s="9" t="s">
        <v>18</v>
      </c>
      <c r="D35" s="10"/>
      <c r="E35" s="11" t="n">
        <f>24586</f>
        <v>24586.0</v>
      </c>
      <c r="F35" s="10"/>
      <c r="G35" s="11" t="n">
        <f>158114720000</f>
        <v>1.5811472E11</v>
      </c>
      <c r="H35" s="10"/>
      <c r="I35" s="11" t="str">
        <f>"－"</f>
        <v>－</v>
      </c>
      <c r="J35" s="10"/>
      <c r="K35" s="11" t="n">
        <f>53987</f>
        <v>53987.0</v>
      </c>
    </row>
    <row r="36">
      <c r="A36" s="8" t="s">
        <v>16</v>
      </c>
      <c r="B36" s="9" t="s">
        <v>51</v>
      </c>
      <c r="C36" s="9" t="s">
        <v>52</v>
      </c>
      <c r="D36" s="10"/>
      <c r="E36" s="11" t="n">
        <f>8380</f>
        <v>8380.0</v>
      </c>
      <c r="F36" s="10"/>
      <c r="G36" s="11" t="n">
        <f>5627758700</f>
        <v>5.6277587E9</v>
      </c>
      <c r="H36" s="10" t="s">
        <v>19</v>
      </c>
      <c r="I36" s="11" t="str">
        <f>"－"</f>
        <v>－</v>
      </c>
      <c r="J36" s="10"/>
      <c r="K36" s="11" t="n">
        <f>13636</f>
        <v>13636.0</v>
      </c>
    </row>
    <row r="37">
      <c r="A37" s="8" t="s">
        <v>21</v>
      </c>
      <c r="B37" s="9" t="s">
        <v>51</v>
      </c>
      <c r="C37" s="9" t="s">
        <v>52</v>
      </c>
      <c r="D37" s="10"/>
      <c r="E37" s="11" t="n">
        <f>6653</f>
        <v>6653.0</v>
      </c>
      <c r="F37" s="10"/>
      <c r="G37" s="11" t="n">
        <f>4483698400</f>
        <v>4.4836984E9</v>
      </c>
      <c r="H37" s="10"/>
      <c r="I37" s="11" t="str">
        <f>"－"</f>
        <v>－</v>
      </c>
      <c r="J37" s="10"/>
      <c r="K37" s="11" t="n">
        <f>13365</f>
        <v>13365.0</v>
      </c>
    </row>
    <row r="38">
      <c r="A38" s="8" t="s">
        <v>22</v>
      </c>
      <c r="B38" s="9" t="s">
        <v>51</v>
      </c>
      <c r="C38" s="9" t="s">
        <v>52</v>
      </c>
      <c r="D38" s="10"/>
      <c r="E38" s="11" t="n">
        <f>8958</f>
        <v>8958.0</v>
      </c>
      <c r="F38" s="10"/>
      <c r="G38" s="11" t="n">
        <f>5977600000</f>
        <v>5.9776E9</v>
      </c>
      <c r="H38" s="10"/>
      <c r="I38" s="11" t="str">
        <f>"－"</f>
        <v>－</v>
      </c>
      <c r="J38" s="10" t="s">
        <v>20</v>
      </c>
      <c r="K38" s="11" t="n">
        <f>13121</f>
        <v>13121.0</v>
      </c>
    </row>
    <row r="39">
      <c r="A39" s="8" t="s">
        <v>23</v>
      </c>
      <c r="B39" s="9" t="s">
        <v>51</v>
      </c>
      <c r="C39" s="9" t="s">
        <v>52</v>
      </c>
      <c r="D39" s="10"/>
      <c r="E39" s="11" t="n">
        <f>6985</f>
        <v>6985.0</v>
      </c>
      <c r="F39" s="10"/>
      <c r="G39" s="11" t="n">
        <f>4619919700</f>
        <v>4.6199197E9</v>
      </c>
      <c r="H39" s="10"/>
      <c r="I39" s="11" t="str">
        <f>"－"</f>
        <v>－</v>
      </c>
      <c r="J39" s="10"/>
      <c r="K39" s="11" t="n">
        <f>13216</f>
        <v>13216.0</v>
      </c>
    </row>
    <row r="40">
      <c r="A40" s="8" t="s">
        <v>24</v>
      </c>
      <c r="B40" s="9" t="s">
        <v>51</v>
      </c>
      <c r="C40" s="9" t="s">
        <v>52</v>
      </c>
      <c r="D40" s="10"/>
      <c r="E40" s="11"/>
      <c r="F40" s="10"/>
      <c r="G40" s="11"/>
      <c r="H40" s="10"/>
      <c r="I40" s="11"/>
      <c r="J40" s="10"/>
      <c r="K40" s="11"/>
    </row>
    <row r="41">
      <c r="A41" s="8" t="s">
        <v>25</v>
      </c>
      <c r="B41" s="9" t="s">
        <v>51</v>
      </c>
      <c r="C41" s="9" t="s">
        <v>52</v>
      </c>
      <c r="D41" s="10"/>
      <c r="E41" s="11"/>
      <c r="F41" s="10"/>
      <c r="G41" s="11"/>
      <c r="H41" s="10"/>
      <c r="I41" s="11"/>
      <c r="J41" s="10"/>
      <c r="K41" s="11"/>
    </row>
    <row r="42">
      <c r="A42" s="8" t="s">
        <v>26</v>
      </c>
      <c r="B42" s="9" t="s">
        <v>51</v>
      </c>
      <c r="C42" s="9" t="s">
        <v>52</v>
      </c>
      <c r="D42" s="10"/>
      <c r="E42" s="11" t="n">
        <f>6701</f>
        <v>6701.0</v>
      </c>
      <c r="F42" s="10"/>
      <c r="G42" s="11" t="n">
        <f>4429300900</f>
        <v>4.4293009E9</v>
      </c>
      <c r="H42" s="10"/>
      <c r="I42" s="11" t="str">
        <f>"－"</f>
        <v>－</v>
      </c>
      <c r="J42" s="10"/>
      <c r="K42" s="11" t="n">
        <f>13564</f>
        <v>13564.0</v>
      </c>
    </row>
    <row r="43">
      <c r="A43" s="8" t="s">
        <v>27</v>
      </c>
      <c r="B43" s="9" t="s">
        <v>51</v>
      </c>
      <c r="C43" s="9" t="s">
        <v>52</v>
      </c>
      <c r="D43" s="10"/>
      <c r="E43" s="11" t="n">
        <f>4288</f>
        <v>4288.0</v>
      </c>
      <c r="F43" s="10"/>
      <c r="G43" s="11" t="n">
        <f>2830006700</f>
        <v>2.8300067E9</v>
      </c>
      <c r="H43" s="10"/>
      <c r="I43" s="11" t="str">
        <f>"－"</f>
        <v>－</v>
      </c>
      <c r="J43" s="10"/>
      <c r="K43" s="11" t="n">
        <f>13653</f>
        <v>13653.0</v>
      </c>
    </row>
    <row r="44">
      <c r="A44" s="8" t="s">
        <v>28</v>
      </c>
      <c r="B44" s="9" t="s">
        <v>51</v>
      </c>
      <c r="C44" s="9" t="s">
        <v>52</v>
      </c>
      <c r="D44" s="10"/>
      <c r="E44" s="11" t="n">
        <f>7247</f>
        <v>7247.0</v>
      </c>
      <c r="F44" s="10"/>
      <c r="G44" s="11" t="n">
        <f>4761516900</f>
        <v>4.7615169E9</v>
      </c>
      <c r="H44" s="10"/>
      <c r="I44" s="11" t="str">
        <f>"－"</f>
        <v>－</v>
      </c>
      <c r="J44" s="10"/>
      <c r="K44" s="11" t="n">
        <f>13777</f>
        <v>13777.0</v>
      </c>
    </row>
    <row r="45">
      <c r="A45" s="8" t="s">
        <v>29</v>
      </c>
      <c r="B45" s="9" t="s">
        <v>51</v>
      </c>
      <c r="C45" s="9" t="s">
        <v>52</v>
      </c>
      <c r="D45" s="10"/>
      <c r="E45" s="11" t="n">
        <f>4993</f>
        <v>4993.0</v>
      </c>
      <c r="F45" s="10"/>
      <c r="G45" s="11" t="n">
        <f>3309952500</f>
        <v>3.3099525E9</v>
      </c>
      <c r="H45" s="10"/>
      <c r="I45" s="11" t="str">
        <f>"－"</f>
        <v>－</v>
      </c>
      <c r="J45" s="10"/>
      <c r="K45" s="11" t="n">
        <f>13503</f>
        <v>13503.0</v>
      </c>
    </row>
    <row r="46">
      <c r="A46" s="8" t="s">
        <v>30</v>
      </c>
      <c r="B46" s="9" t="s">
        <v>51</v>
      </c>
      <c r="C46" s="9" t="s">
        <v>52</v>
      </c>
      <c r="D46" s="10"/>
      <c r="E46" s="11" t="n">
        <f>8257</f>
        <v>8257.0</v>
      </c>
      <c r="F46" s="10"/>
      <c r="G46" s="11" t="n">
        <f>5507839500</f>
        <v>5.5078395E9</v>
      </c>
      <c r="H46" s="10"/>
      <c r="I46" s="11" t="str">
        <f>"－"</f>
        <v>－</v>
      </c>
      <c r="J46" s="10"/>
      <c r="K46" s="11" t="n">
        <f>14246</f>
        <v>14246.0</v>
      </c>
    </row>
    <row r="47">
      <c r="A47" s="8" t="s">
        <v>31</v>
      </c>
      <c r="B47" s="9" t="s">
        <v>51</v>
      </c>
      <c r="C47" s="9" t="s">
        <v>52</v>
      </c>
      <c r="D47" s="10"/>
      <c r="E47" s="11"/>
      <c r="F47" s="10"/>
      <c r="G47" s="11"/>
      <c r="H47" s="10"/>
      <c r="I47" s="11"/>
      <c r="J47" s="10"/>
      <c r="K47" s="11"/>
    </row>
    <row r="48">
      <c r="A48" s="8" t="s">
        <v>32</v>
      </c>
      <c r="B48" s="9" t="s">
        <v>51</v>
      </c>
      <c r="C48" s="9" t="s">
        <v>52</v>
      </c>
      <c r="D48" s="10"/>
      <c r="E48" s="11"/>
      <c r="F48" s="10"/>
      <c r="G48" s="11"/>
      <c r="H48" s="10"/>
      <c r="I48" s="11"/>
      <c r="J48" s="10"/>
      <c r="K48" s="11"/>
    </row>
    <row r="49">
      <c r="A49" s="8" t="s">
        <v>33</v>
      </c>
      <c r="B49" s="9" t="s">
        <v>51</v>
      </c>
      <c r="C49" s="9" t="s">
        <v>52</v>
      </c>
      <c r="D49" s="10" t="s">
        <v>20</v>
      </c>
      <c r="E49" s="11" t="n">
        <f>4138</f>
        <v>4138.0</v>
      </c>
      <c r="F49" s="10" t="s">
        <v>20</v>
      </c>
      <c r="G49" s="11" t="n">
        <f>2750390900</f>
        <v>2.7503909E9</v>
      </c>
      <c r="H49" s="10"/>
      <c r="I49" s="11" t="str">
        <f>"－"</f>
        <v>－</v>
      </c>
      <c r="J49" s="10"/>
      <c r="K49" s="11" t="n">
        <f>14104</f>
        <v>14104.0</v>
      </c>
    </row>
    <row r="50">
      <c r="A50" s="8" t="s">
        <v>34</v>
      </c>
      <c r="B50" s="9" t="s">
        <v>51</v>
      </c>
      <c r="C50" s="9" t="s">
        <v>52</v>
      </c>
      <c r="D50" s="10"/>
      <c r="E50" s="11" t="n">
        <f>4725</f>
        <v>4725.0</v>
      </c>
      <c r="F50" s="10"/>
      <c r="G50" s="11" t="n">
        <f>3147691900</f>
        <v>3.1476919E9</v>
      </c>
      <c r="H50" s="10"/>
      <c r="I50" s="11" t="str">
        <f>"－"</f>
        <v>－</v>
      </c>
      <c r="J50" s="10"/>
      <c r="K50" s="11" t="n">
        <f>14360</f>
        <v>14360.0</v>
      </c>
    </row>
    <row r="51">
      <c r="A51" s="8" t="s">
        <v>35</v>
      </c>
      <c r="B51" s="9" t="s">
        <v>51</v>
      </c>
      <c r="C51" s="9" t="s">
        <v>52</v>
      </c>
      <c r="D51" s="10"/>
      <c r="E51" s="11" t="n">
        <f>8366</f>
        <v>8366.0</v>
      </c>
      <c r="F51" s="10"/>
      <c r="G51" s="11" t="n">
        <f>5568567100</f>
        <v>5.5685671E9</v>
      </c>
      <c r="H51" s="10"/>
      <c r="I51" s="11" t="str">
        <f>"－"</f>
        <v>－</v>
      </c>
      <c r="J51" s="10"/>
      <c r="K51" s="11" t="n">
        <f>14525</f>
        <v>14525.0</v>
      </c>
    </row>
    <row r="52">
      <c r="A52" s="8" t="s">
        <v>36</v>
      </c>
      <c r="B52" s="9" t="s">
        <v>51</v>
      </c>
      <c r="C52" s="9" t="s">
        <v>52</v>
      </c>
      <c r="D52" s="10"/>
      <c r="E52" s="11" t="n">
        <f>6949</f>
        <v>6949.0</v>
      </c>
      <c r="F52" s="10"/>
      <c r="G52" s="11" t="n">
        <f>4603545900</f>
        <v>4.6035459E9</v>
      </c>
      <c r="H52" s="10"/>
      <c r="I52" s="11" t="str">
        <f>"－"</f>
        <v>－</v>
      </c>
      <c r="J52" s="10"/>
      <c r="K52" s="11" t="n">
        <f>14745</f>
        <v>14745.0</v>
      </c>
    </row>
    <row r="53">
      <c r="A53" s="8" t="s">
        <v>37</v>
      </c>
      <c r="B53" s="9" t="s">
        <v>51</v>
      </c>
      <c r="C53" s="9" t="s">
        <v>52</v>
      </c>
      <c r="D53" s="10"/>
      <c r="E53" s="11" t="n">
        <f>6183</f>
        <v>6183.0</v>
      </c>
      <c r="F53" s="10"/>
      <c r="G53" s="11" t="n">
        <f>4059985100</f>
        <v>4.0599851E9</v>
      </c>
      <c r="H53" s="10"/>
      <c r="I53" s="11" t="str">
        <f>"－"</f>
        <v>－</v>
      </c>
      <c r="J53" s="10"/>
      <c r="K53" s="11" t="n">
        <f>14475</f>
        <v>14475.0</v>
      </c>
    </row>
    <row r="54">
      <c r="A54" s="8" t="s">
        <v>38</v>
      </c>
      <c r="B54" s="9" t="s">
        <v>51</v>
      </c>
      <c r="C54" s="9" t="s">
        <v>52</v>
      </c>
      <c r="D54" s="10"/>
      <c r="E54" s="11"/>
      <c r="F54" s="10"/>
      <c r="G54" s="11"/>
      <c r="H54" s="10"/>
      <c r="I54" s="11"/>
      <c r="J54" s="10"/>
      <c r="K54" s="11"/>
    </row>
    <row r="55">
      <c r="A55" s="8" t="s">
        <v>39</v>
      </c>
      <c r="B55" s="9" t="s">
        <v>51</v>
      </c>
      <c r="C55" s="9" t="s">
        <v>52</v>
      </c>
      <c r="D55" s="10"/>
      <c r="E55" s="11"/>
      <c r="F55" s="10"/>
      <c r="G55" s="11"/>
      <c r="H55" s="10"/>
      <c r="I55" s="11"/>
      <c r="J55" s="10"/>
      <c r="K55" s="11"/>
    </row>
    <row r="56">
      <c r="A56" s="8" t="s">
        <v>40</v>
      </c>
      <c r="B56" s="9" t="s">
        <v>51</v>
      </c>
      <c r="C56" s="9" t="s">
        <v>52</v>
      </c>
      <c r="D56" s="10"/>
      <c r="E56" s="11"/>
      <c r="F56" s="10"/>
      <c r="G56" s="11"/>
      <c r="H56" s="10"/>
      <c r="I56" s="11"/>
      <c r="J56" s="10"/>
      <c r="K56" s="11"/>
    </row>
    <row r="57">
      <c r="A57" s="8" t="s">
        <v>41</v>
      </c>
      <c r="B57" s="9" t="s">
        <v>51</v>
      </c>
      <c r="C57" s="9" t="s">
        <v>52</v>
      </c>
      <c r="D57" s="10"/>
      <c r="E57" s="11"/>
      <c r="F57" s="10"/>
      <c r="G57" s="11"/>
      <c r="H57" s="10"/>
      <c r="I57" s="11"/>
      <c r="J57" s="10"/>
      <c r="K57" s="11"/>
    </row>
    <row r="58">
      <c r="A58" s="8" t="s">
        <v>42</v>
      </c>
      <c r="B58" s="9" t="s">
        <v>51</v>
      </c>
      <c r="C58" s="9" t="s">
        <v>52</v>
      </c>
      <c r="D58" s="10" t="s">
        <v>43</v>
      </c>
      <c r="E58" s="11" t="n">
        <f>11971</f>
        <v>11971.0</v>
      </c>
      <c r="F58" s="10" t="s">
        <v>43</v>
      </c>
      <c r="G58" s="11" t="n">
        <f>7731218400</f>
        <v>7.7312184E9</v>
      </c>
      <c r="H58" s="10"/>
      <c r="I58" s="11" t="str">
        <f>"－"</f>
        <v>－</v>
      </c>
      <c r="J58" s="10"/>
      <c r="K58" s="11" t="n">
        <f>14434</f>
        <v>14434.0</v>
      </c>
    </row>
    <row r="59">
      <c r="A59" s="8" t="s">
        <v>44</v>
      </c>
      <c r="B59" s="9" t="s">
        <v>51</v>
      </c>
      <c r="C59" s="9" t="s">
        <v>52</v>
      </c>
      <c r="D59" s="10"/>
      <c r="E59" s="11" t="n">
        <f>11817</f>
        <v>11817.0</v>
      </c>
      <c r="F59" s="10"/>
      <c r="G59" s="11" t="n">
        <f>7486725600</f>
        <v>7.4867256E9</v>
      </c>
      <c r="H59" s="10"/>
      <c r="I59" s="11" t="str">
        <f>"－"</f>
        <v>－</v>
      </c>
      <c r="J59" s="10"/>
      <c r="K59" s="11" t="n">
        <f>14470</f>
        <v>14470.0</v>
      </c>
    </row>
    <row r="60">
      <c r="A60" s="8" t="s">
        <v>45</v>
      </c>
      <c r="B60" s="9" t="s">
        <v>51</v>
      </c>
      <c r="C60" s="9" t="s">
        <v>52</v>
      </c>
      <c r="D60" s="10"/>
      <c r="E60" s="11" t="n">
        <f>8583</f>
        <v>8583.0</v>
      </c>
      <c r="F60" s="10"/>
      <c r="G60" s="11" t="n">
        <f>5426636400</f>
        <v>5.4266364E9</v>
      </c>
      <c r="H60" s="10"/>
      <c r="I60" s="11" t="str">
        <f>"－"</f>
        <v>－</v>
      </c>
      <c r="J60" s="10"/>
      <c r="K60" s="11" t="n">
        <f>14554</f>
        <v>14554.0</v>
      </c>
    </row>
    <row r="61">
      <c r="A61" s="8" t="s">
        <v>46</v>
      </c>
      <c r="B61" s="9" t="s">
        <v>51</v>
      </c>
      <c r="C61" s="9" t="s">
        <v>52</v>
      </c>
      <c r="D61" s="10"/>
      <c r="E61" s="11"/>
      <c r="F61" s="10"/>
      <c r="G61" s="11"/>
      <c r="H61" s="10"/>
      <c r="I61" s="11"/>
      <c r="J61" s="10"/>
      <c r="K61" s="11"/>
    </row>
    <row r="62">
      <c r="A62" s="8" t="s">
        <v>47</v>
      </c>
      <c r="B62" s="9" t="s">
        <v>51</v>
      </c>
      <c r="C62" s="9" t="s">
        <v>52</v>
      </c>
      <c r="D62" s="10"/>
      <c r="E62" s="11"/>
      <c r="F62" s="10"/>
      <c r="G62" s="11"/>
      <c r="H62" s="10"/>
      <c r="I62" s="11"/>
      <c r="J62" s="10"/>
      <c r="K62" s="11"/>
    </row>
    <row r="63">
      <c r="A63" s="8" t="s">
        <v>48</v>
      </c>
      <c r="B63" s="9" t="s">
        <v>51</v>
      </c>
      <c r="C63" s="9" t="s">
        <v>52</v>
      </c>
      <c r="D63" s="10"/>
      <c r="E63" s="11" t="n">
        <f>5380</f>
        <v>5380.0</v>
      </c>
      <c r="F63" s="10"/>
      <c r="G63" s="11" t="n">
        <f>3401784100</f>
        <v>3.4017841E9</v>
      </c>
      <c r="H63" s="10"/>
      <c r="I63" s="11" t="str">
        <f>"－"</f>
        <v>－</v>
      </c>
      <c r="J63" s="10"/>
      <c r="K63" s="11" t="n">
        <f>14635</f>
        <v>14635.0</v>
      </c>
    </row>
    <row r="64">
      <c r="A64" s="8" t="s">
        <v>49</v>
      </c>
      <c r="B64" s="9" t="s">
        <v>51</v>
      </c>
      <c r="C64" s="9" t="s">
        <v>52</v>
      </c>
      <c r="D64" s="10"/>
      <c r="E64" s="11" t="n">
        <f>8535</f>
        <v>8535.0</v>
      </c>
      <c r="F64" s="10"/>
      <c r="G64" s="11" t="n">
        <f>5428396400</f>
        <v>5.4283964E9</v>
      </c>
      <c r="H64" s="10"/>
      <c r="I64" s="11" t="str">
        <f>"－"</f>
        <v>－</v>
      </c>
      <c r="J64" s="10"/>
      <c r="K64" s="11" t="n">
        <f>14903</f>
        <v>14903.0</v>
      </c>
    </row>
    <row r="65">
      <c r="A65" s="8" t="s">
        <v>50</v>
      </c>
      <c r="B65" s="9" t="s">
        <v>51</v>
      </c>
      <c r="C65" s="9" t="s">
        <v>52</v>
      </c>
      <c r="D65" s="10"/>
      <c r="E65" s="11" t="n">
        <f>6642</f>
        <v>6642.0</v>
      </c>
      <c r="F65" s="10"/>
      <c r="G65" s="11" t="n">
        <f>4269287500</f>
        <v>4.2692875E9</v>
      </c>
      <c r="H65" s="10"/>
      <c r="I65" s="11" t="str">
        <f>"－"</f>
        <v>－</v>
      </c>
      <c r="J65" s="10" t="s">
        <v>43</v>
      </c>
      <c r="K65" s="11" t="n">
        <f>15107</f>
        <v>15107.0</v>
      </c>
    </row>
    <row r="66">
      <c r="A66" s="8" t="s">
        <v>16</v>
      </c>
      <c r="B66" s="9" t="s">
        <v>53</v>
      </c>
      <c r="C66" s="9" t="s">
        <v>54</v>
      </c>
      <c r="D66" s="10"/>
      <c r="E66" s="11" t="n">
        <f>5107</f>
        <v>5107.0</v>
      </c>
      <c r="F66" s="10"/>
      <c r="G66" s="11" t="n">
        <f>3457976100</f>
        <v>3.4579761E9</v>
      </c>
      <c r="H66" s="10" t="s">
        <v>19</v>
      </c>
      <c r="I66" s="11" t="str">
        <f>"－"</f>
        <v>－</v>
      </c>
      <c r="J66" s="10" t="s">
        <v>20</v>
      </c>
      <c r="K66" s="11" t="n">
        <f>50038</f>
        <v>50038.0</v>
      </c>
    </row>
    <row r="67">
      <c r="A67" s="8" t="s">
        <v>21</v>
      </c>
      <c r="B67" s="9" t="s">
        <v>53</v>
      </c>
      <c r="C67" s="9" t="s">
        <v>54</v>
      </c>
      <c r="D67" s="10"/>
      <c r="E67" s="11" t="n">
        <f>4723</f>
        <v>4723.0</v>
      </c>
      <c r="F67" s="10"/>
      <c r="G67" s="11" t="n">
        <f>3200188900</f>
        <v>3.2001889E9</v>
      </c>
      <c r="H67" s="10"/>
      <c r="I67" s="11" t="str">
        <f>"－"</f>
        <v>－</v>
      </c>
      <c r="J67" s="10"/>
      <c r="K67" s="11" t="n">
        <f>50077</f>
        <v>50077.0</v>
      </c>
    </row>
    <row r="68">
      <c r="A68" s="8" t="s">
        <v>22</v>
      </c>
      <c r="B68" s="9" t="s">
        <v>53</v>
      </c>
      <c r="C68" s="9" t="s">
        <v>54</v>
      </c>
      <c r="D68" s="10"/>
      <c r="E68" s="11" t="n">
        <f>9710</f>
        <v>9710.0</v>
      </c>
      <c r="F68" s="10"/>
      <c r="G68" s="11" t="n">
        <f>6513428000</f>
        <v>6.513428E9</v>
      </c>
      <c r="H68" s="10"/>
      <c r="I68" s="11" t="str">
        <f>"－"</f>
        <v>－</v>
      </c>
      <c r="J68" s="10"/>
      <c r="K68" s="11" t="n">
        <f>51276</f>
        <v>51276.0</v>
      </c>
    </row>
    <row r="69">
      <c r="A69" s="8" t="s">
        <v>23</v>
      </c>
      <c r="B69" s="9" t="s">
        <v>53</v>
      </c>
      <c r="C69" s="9" t="s">
        <v>54</v>
      </c>
      <c r="D69" s="10"/>
      <c r="E69" s="11" t="n">
        <f>4733</f>
        <v>4733.0</v>
      </c>
      <c r="F69" s="10"/>
      <c r="G69" s="11" t="n">
        <f>3151836100</f>
        <v>3.1518361E9</v>
      </c>
      <c r="H69" s="10"/>
      <c r="I69" s="11" t="str">
        <f>"－"</f>
        <v>－</v>
      </c>
      <c r="J69" s="10"/>
      <c r="K69" s="11" t="n">
        <f>51345</f>
        <v>51345.0</v>
      </c>
    </row>
    <row r="70">
      <c r="A70" s="8" t="s">
        <v>24</v>
      </c>
      <c r="B70" s="9" t="s">
        <v>53</v>
      </c>
      <c r="C70" s="9" t="s">
        <v>54</v>
      </c>
      <c r="D70" s="10"/>
      <c r="E70" s="11"/>
      <c r="F70" s="10"/>
      <c r="G70" s="11"/>
      <c r="H70" s="10"/>
      <c r="I70" s="11"/>
      <c r="J70" s="10"/>
      <c r="K70" s="11"/>
    </row>
    <row r="71">
      <c r="A71" s="8" t="s">
        <v>25</v>
      </c>
      <c r="B71" s="9" t="s">
        <v>53</v>
      </c>
      <c r="C71" s="9" t="s">
        <v>54</v>
      </c>
      <c r="D71" s="10"/>
      <c r="E71" s="11"/>
      <c r="F71" s="10"/>
      <c r="G71" s="11"/>
      <c r="H71" s="10"/>
      <c r="I71" s="11"/>
      <c r="J71" s="10"/>
      <c r="K71" s="11"/>
    </row>
    <row r="72">
      <c r="A72" s="8" t="s">
        <v>26</v>
      </c>
      <c r="B72" s="9" t="s">
        <v>53</v>
      </c>
      <c r="C72" s="9" t="s">
        <v>54</v>
      </c>
      <c r="D72" s="10"/>
      <c r="E72" s="11" t="n">
        <f>3156</f>
        <v>3156.0</v>
      </c>
      <c r="F72" s="10"/>
      <c r="G72" s="11" t="n">
        <f>2100491000</f>
        <v>2.100491E9</v>
      </c>
      <c r="H72" s="10"/>
      <c r="I72" s="11" t="str">
        <f>"－"</f>
        <v>－</v>
      </c>
      <c r="J72" s="10"/>
      <c r="K72" s="11" t="n">
        <f>51546</f>
        <v>51546.0</v>
      </c>
    </row>
    <row r="73">
      <c r="A73" s="8" t="s">
        <v>27</v>
      </c>
      <c r="B73" s="9" t="s">
        <v>53</v>
      </c>
      <c r="C73" s="9" t="s">
        <v>54</v>
      </c>
      <c r="D73" s="10"/>
      <c r="E73" s="11" t="n">
        <f>2520</f>
        <v>2520.0</v>
      </c>
      <c r="F73" s="10"/>
      <c r="G73" s="11" t="n">
        <f>1674795600</f>
        <v>1.6747956E9</v>
      </c>
      <c r="H73" s="10"/>
      <c r="I73" s="11" t="str">
        <f>"－"</f>
        <v>－</v>
      </c>
      <c r="J73" s="10"/>
      <c r="K73" s="11" t="n">
        <f>51541</f>
        <v>51541.0</v>
      </c>
    </row>
    <row r="74">
      <c r="A74" s="8" t="s">
        <v>28</v>
      </c>
      <c r="B74" s="9" t="s">
        <v>53</v>
      </c>
      <c r="C74" s="9" t="s">
        <v>54</v>
      </c>
      <c r="D74" s="10"/>
      <c r="E74" s="11" t="n">
        <f>5842</f>
        <v>5842.0</v>
      </c>
      <c r="F74" s="10"/>
      <c r="G74" s="11" t="n">
        <f>3866689600</f>
        <v>3.8666896E9</v>
      </c>
      <c r="H74" s="10"/>
      <c r="I74" s="11" t="str">
        <f>"－"</f>
        <v>－</v>
      </c>
      <c r="J74" s="10"/>
      <c r="K74" s="11" t="n">
        <f>52129</f>
        <v>52129.0</v>
      </c>
    </row>
    <row r="75">
      <c r="A75" s="8" t="s">
        <v>29</v>
      </c>
      <c r="B75" s="9" t="s">
        <v>53</v>
      </c>
      <c r="C75" s="9" t="s">
        <v>54</v>
      </c>
      <c r="D75" s="10"/>
      <c r="E75" s="11" t="n">
        <f>2996</f>
        <v>2996.0</v>
      </c>
      <c r="F75" s="10"/>
      <c r="G75" s="11" t="n">
        <f>2002377900</f>
        <v>2.0023779E9</v>
      </c>
      <c r="H75" s="10"/>
      <c r="I75" s="11" t="str">
        <f>"－"</f>
        <v>－</v>
      </c>
      <c r="J75" s="10"/>
      <c r="K75" s="11" t="n">
        <f>52081</f>
        <v>52081.0</v>
      </c>
    </row>
    <row r="76">
      <c r="A76" s="8" t="s">
        <v>30</v>
      </c>
      <c r="B76" s="9" t="s">
        <v>53</v>
      </c>
      <c r="C76" s="9" t="s">
        <v>54</v>
      </c>
      <c r="D76" s="10"/>
      <c r="E76" s="11" t="n">
        <f>3956</f>
        <v>3956.0</v>
      </c>
      <c r="F76" s="10"/>
      <c r="G76" s="11" t="n">
        <f>2656536700</f>
        <v>2.6565367E9</v>
      </c>
      <c r="H76" s="10"/>
      <c r="I76" s="11" t="str">
        <f>"－"</f>
        <v>－</v>
      </c>
      <c r="J76" s="10"/>
      <c r="K76" s="11" t="n">
        <f>52163</f>
        <v>52163.0</v>
      </c>
    </row>
    <row r="77">
      <c r="A77" s="8" t="s">
        <v>31</v>
      </c>
      <c r="B77" s="9" t="s">
        <v>53</v>
      </c>
      <c r="C77" s="9" t="s">
        <v>54</v>
      </c>
      <c r="D77" s="10"/>
      <c r="E77" s="11"/>
      <c r="F77" s="10"/>
      <c r="G77" s="11"/>
      <c r="H77" s="10"/>
      <c r="I77" s="11"/>
      <c r="J77" s="10"/>
      <c r="K77" s="11"/>
    </row>
    <row r="78">
      <c r="A78" s="8" t="s">
        <v>32</v>
      </c>
      <c r="B78" s="9" t="s">
        <v>53</v>
      </c>
      <c r="C78" s="9" t="s">
        <v>54</v>
      </c>
      <c r="D78" s="10"/>
      <c r="E78" s="11"/>
      <c r="F78" s="10"/>
      <c r="G78" s="11"/>
      <c r="H78" s="10"/>
      <c r="I78" s="11"/>
      <c r="J78" s="10"/>
      <c r="K78" s="11"/>
    </row>
    <row r="79">
      <c r="A79" s="8" t="s">
        <v>33</v>
      </c>
      <c r="B79" s="9" t="s">
        <v>53</v>
      </c>
      <c r="C79" s="9" t="s">
        <v>54</v>
      </c>
      <c r="D79" s="10" t="s">
        <v>20</v>
      </c>
      <c r="E79" s="11" t="n">
        <f>2276</f>
        <v>2276.0</v>
      </c>
      <c r="F79" s="10" t="s">
        <v>20</v>
      </c>
      <c r="G79" s="11" t="n">
        <f>1523622200</f>
        <v>1.5236222E9</v>
      </c>
      <c r="H79" s="10"/>
      <c r="I79" s="11" t="str">
        <f>"－"</f>
        <v>－</v>
      </c>
      <c r="J79" s="10"/>
      <c r="K79" s="11" t="n">
        <f>52213</f>
        <v>52213.0</v>
      </c>
    </row>
    <row r="80">
      <c r="A80" s="8" t="s">
        <v>34</v>
      </c>
      <c r="B80" s="9" t="s">
        <v>53</v>
      </c>
      <c r="C80" s="9" t="s">
        <v>54</v>
      </c>
      <c r="D80" s="10"/>
      <c r="E80" s="11" t="n">
        <f>2787</f>
        <v>2787.0</v>
      </c>
      <c r="F80" s="10"/>
      <c r="G80" s="11" t="n">
        <f>1872589200</f>
        <v>1.8725892E9</v>
      </c>
      <c r="H80" s="10"/>
      <c r="I80" s="11" t="str">
        <f>"－"</f>
        <v>－</v>
      </c>
      <c r="J80" s="10"/>
      <c r="K80" s="11" t="n">
        <f>52395</f>
        <v>52395.0</v>
      </c>
    </row>
    <row r="81">
      <c r="A81" s="8" t="s">
        <v>35</v>
      </c>
      <c r="B81" s="9" t="s">
        <v>53</v>
      </c>
      <c r="C81" s="9" t="s">
        <v>54</v>
      </c>
      <c r="D81" s="10"/>
      <c r="E81" s="11" t="n">
        <f>4566</f>
        <v>4566.0</v>
      </c>
      <c r="F81" s="10"/>
      <c r="G81" s="11" t="n">
        <f>3058870200</f>
        <v>3.0588702E9</v>
      </c>
      <c r="H81" s="10"/>
      <c r="I81" s="11" t="str">
        <f>"－"</f>
        <v>－</v>
      </c>
      <c r="J81" s="10"/>
      <c r="K81" s="11" t="n">
        <f>53698</f>
        <v>53698.0</v>
      </c>
    </row>
    <row r="82">
      <c r="A82" s="8" t="s">
        <v>36</v>
      </c>
      <c r="B82" s="9" t="s">
        <v>53</v>
      </c>
      <c r="C82" s="9" t="s">
        <v>54</v>
      </c>
      <c r="D82" s="10"/>
      <c r="E82" s="11" t="n">
        <f>6334</f>
        <v>6334.0</v>
      </c>
      <c r="F82" s="10"/>
      <c r="G82" s="11" t="n">
        <f>4224710000</f>
        <v>4.22471E9</v>
      </c>
      <c r="H82" s="10"/>
      <c r="I82" s="11" t="str">
        <f>"－"</f>
        <v>－</v>
      </c>
      <c r="J82" s="10"/>
      <c r="K82" s="11" t="n">
        <f>54791</f>
        <v>54791.0</v>
      </c>
    </row>
    <row r="83">
      <c r="A83" s="8" t="s">
        <v>37</v>
      </c>
      <c r="B83" s="9" t="s">
        <v>53</v>
      </c>
      <c r="C83" s="9" t="s">
        <v>54</v>
      </c>
      <c r="D83" s="10"/>
      <c r="E83" s="11" t="n">
        <f>3962</f>
        <v>3962.0</v>
      </c>
      <c r="F83" s="10"/>
      <c r="G83" s="11" t="n">
        <f>2630951600</f>
        <v>2.6309516E9</v>
      </c>
      <c r="H83" s="10"/>
      <c r="I83" s="11" t="str">
        <f>"－"</f>
        <v>－</v>
      </c>
      <c r="J83" s="10"/>
      <c r="K83" s="11" t="n">
        <f>55265</f>
        <v>55265.0</v>
      </c>
    </row>
    <row r="84">
      <c r="A84" s="8" t="s">
        <v>38</v>
      </c>
      <c r="B84" s="9" t="s">
        <v>53</v>
      </c>
      <c r="C84" s="9" t="s">
        <v>54</v>
      </c>
      <c r="D84" s="10"/>
      <c r="E84" s="11"/>
      <c r="F84" s="10"/>
      <c r="G84" s="11"/>
      <c r="H84" s="10"/>
      <c r="I84" s="11"/>
      <c r="J84" s="10"/>
      <c r="K84" s="11"/>
    </row>
    <row r="85">
      <c r="A85" s="8" t="s">
        <v>39</v>
      </c>
      <c r="B85" s="9" t="s">
        <v>53</v>
      </c>
      <c r="C85" s="9" t="s">
        <v>54</v>
      </c>
      <c r="D85" s="10"/>
      <c r="E85" s="11"/>
      <c r="F85" s="10"/>
      <c r="G85" s="11"/>
      <c r="H85" s="10"/>
      <c r="I85" s="11"/>
      <c r="J85" s="10"/>
      <c r="K85" s="11"/>
    </row>
    <row r="86">
      <c r="A86" s="8" t="s">
        <v>40</v>
      </c>
      <c r="B86" s="9" t="s">
        <v>53</v>
      </c>
      <c r="C86" s="9" t="s">
        <v>54</v>
      </c>
      <c r="D86" s="10"/>
      <c r="E86" s="11"/>
      <c r="F86" s="10"/>
      <c r="G86" s="11"/>
      <c r="H86" s="10"/>
      <c r="I86" s="11"/>
      <c r="J86" s="10"/>
      <c r="K86" s="11"/>
    </row>
    <row r="87">
      <c r="A87" s="8" t="s">
        <v>41</v>
      </c>
      <c r="B87" s="9" t="s">
        <v>53</v>
      </c>
      <c r="C87" s="9" t="s">
        <v>54</v>
      </c>
      <c r="D87" s="10"/>
      <c r="E87" s="11"/>
      <c r="F87" s="10"/>
      <c r="G87" s="11"/>
      <c r="H87" s="10"/>
      <c r="I87" s="11"/>
      <c r="J87" s="10"/>
      <c r="K87" s="11"/>
    </row>
    <row r="88">
      <c r="A88" s="8" t="s">
        <v>42</v>
      </c>
      <c r="B88" s="9" t="s">
        <v>53</v>
      </c>
      <c r="C88" s="9" t="s">
        <v>54</v>
      </c>
      <c r="D88" s="10"/>
      <c r="E88" s="11" t="n">
        <f>10204</f>
        <v>10204.0</v>
      </c>
      <c r="F88" s="10" t="s">
        <v>43</v>
      </c>
      <c r="G88" s="11" t="n">
        <f>6654581000</f>
        <v>6.654581E9</v>
      </c>
      <c r="H88" s="10"/>
      <c r="I88" s="11" t="str">
        <f>"－"</f>
        <v>－</v>
      </c>
      <c r="J88" s="10" t="s">
        <v>43</v>
      </c>
      <c r="K88" s="11" t="n">
        <f>56459</f>
        <v>56459.0</v>
      </c>
    </row>
    <row r="89">
      <c r="A89" s="8" t="s">
        <v>44</v>
      </c>
      <c r="B89" s="9" t="s">
        <v>53</v>
      </c>
      <c r="C89" s="9" t="s">
        <v>54</v>
      </c>
      <c r="D89" s="10" t="s">
        <v>43</v>
      </c>
      <c r="E89" s="11" t="n">
        <f>10249</f>
        <v>10249.0</v>
      </c>
      <c r="F89" s="10"/>
      <c r="G89" s="11" t="n">
        <f>6553172700</f>
        <v>6.5531727E9</v>
      </c>
      <c r="H89" s="10"/>
      <c r="I89" s="11" t="str">
        <f>"－"</f>
        <v>－</v>
      </c>
      <c r="J89" s="10"/>
      <c r="K89" s="11" t="n">
        <f>55732</f>
        <v>55732.0</v>
      </c>
    </row>
    <row r="90">
      <c r="A90" s="8" t="s">
        <v>45</v>
      </c>
      <c r="B90" s="9" t="s">
        <v>53</v>
      </c>
      <c r="C90" s="9" t="s">
        <v>54</v>
      </c>
      <c r="D90" s="10"/>
      <c r="E90" s="11" t="n">
        <f>3884</f>
        <v>3884.0</v>
      </c>
      <c r="F90" s="10"/>
      <c r="G90" s="11" t="n">
        <f>2484222700</f>
        <v>2.4842227E9</v>
      </c>
      <c r="H90" s="10"/>
      <c r="I90" s="11" t="str">
        <f>"－"</f>
        <v>－</v>
      </c>
      <c r="J90" s="10"/>
      <c r="K90" s="11" t="n">
        <f>55800</f>
        <v>55800.0</v>
      </c>
    </row>
    <row r="91">
      <c r="A91" s="8" t="s">
        <v>46</v>
      </c>
      <c r="B91" s="9" t="s">
        <v>53</v>
      </c>
      <c r="C91" s="9" t="s">
        <v>54</v>
      </c>
      <c r="D91" s="10"/>
      <c r="E91" s="11"/>
      <c r="F91" s="10"/>
      <c r="G91" s="11"/>
      <c r="H91" s="10"/>
      <c r="I91" s="11"/>
      <c r="J91" s="10"/>
      <c r="K91" s="11"/>
    </row>
    <row r="92">
      <c r="A92" s="8" t="s">
        <v>47</v>
      </c>
      <c r="B92" s="9" t="s">
        <v>53</v>
      </c>
      <c r="C92" s="9" t="s">
        <v>54</v>
      </c>
      <c r="D92" s="10"/>
      <c r="E92" s="11"/>
      <c r="F92" s="10"/>
      <c r="G92" s="11"/>
      <c r="H92" s="10"/>
      <c r="I92" s="11"/>
      <c r="J92" s="10"/>
      <c r="K92" s="11"/>
    </row>
    <row r="93">
      <c r="A93" s="8" t="s">
        <v>48</v>
      </c>
      <c r="B93" s="9" t="s">
        <v>53</v>
      </c>
      <c r="C93" s="9" t="s">
        <v>54</v>
      </c>
      <c r="D93" s="10"/>
      <c r="E93" s="11" t="n">
        <f>3470</f>
        <v>3470.0</v>
      </c>
      <c r="F93" s="10"/>
      <c r="G93" s="11" t="n">
        <f>2214068800</f>
        <v>2.2140688E9</v>
      </c>
      <c r="H93" s="10"/>
      <c r="I93" s="11" t="str">
        <f>"－"</f>
        <v>－</v>
      </c>
      <c r="J93" s="10"/>
      <c r="K93" s="11" t="n">
        <f>55598</f>
        <v>55598.0</v>
      </c>
    </row>
    <row r="94">
      <c r="A94" s="8" t="s">
        <v>49</v>
      </c>
      <c r="B94" s="9" t="s">
        <v>53</v>
      </c>
      <c r="C94" s="9" t="s">
        <v>54</v>
      </c>
      <c r="D94" s="10"/>
      <c r="E94" s="11" t="n">
        <f>5328</f>
        <v>5328.0</v>
      </c>
      <c r="F94" s="10"/>
      <c r="G94" s="11" t="n">
        <f>3431082900</f>
        <v>3.4310829E9</v>
      </c>
      <c r="H94" s="10"/>
      <c r="I94" s="11" t="str">
        <f>"－"</f>
        <v>－</v>
      </c>
      <c r="J94" s="10"/>
      <c r="K94" s="11" t="n">
        <f>55545</f>
        <v>55545.0</v>
      </c>
    </row>
    <row r="95">
      <c r="A95" s="8" t="s">
        <v>50</v>
      </c>
      <c r="B95" s="9" t="s">
        <v>53</v>
      </c>
      <c r="C95" s="9" t="s">
        <v>54</v>
      </c>
      <c r="D95" s="10"/>
      <c r="E95" s="11" t="n">
        <f>4815</f>
        <v>4815.0</v>
      </c>
      <c r="F95" s="10"/>
      <c r="G95" s="11" t="n">
        <f>3127942600</f>
        <v>3.1279426E9</v>
      </c>
      <c r="H95" s="10"/>
      <c r="I95" s="11" t="str">
        <f>"－"</f>
        <v>－</v>
      </c>
      <c r="J95" s="10"/>
      <c r="K95" s="11" t="n">
        <f>55434</f>
        <v>55434.0</v>
      </c>
    </row>
    <row r="96">
      <c r="A96" s="8" t="s">
        <v>16</v>
      </c>
      <c r="B96" s="9" t="s">
        <v>55</v>
      </c>
      <c r="C96" s="9" t="s">
        <v>56</v>
      </c>
      <c r="D96" s="10"/>
      <c r="E96" s="11" t="n">
        <f>457</f>
        <v>457.0</v>
      </c>
      <c r="F96" s="10"/>
      <c r="G96" s="11" t="n">
        <f>437675000</f>
        <v>4.37675E8</v>
      </c>
      <c r="H96" s="10" t="s">
        <v>19</v>
      </c>
      <c r="I96" s="11" t="str">
        <f>"－"</f>
        <v>－</v>
      </c>
      <c r="J96" s="10"/>
      <c r="K96" s="11" t="n">
        <f>1021</f>
        <v>1021.0</v>
      </c>
    </row>
    <row r="97">
      <c r="A97" s="8" t="s">
        <v>21</v>
      </c>
      <c r="B97" s="9" t="s">
        <v>55</v>
      </c>
      <c r="C97" s="9" t="s">
        <v>56</v>
      </c>
      <c r="D97" s="10"/>
      <c r="E97" s="11" t="n">
        <f>328</f>
        <v>328.0</v>
      </c>
      <c r="F97" s="10"/>
      <c r="G97" s="11" t="n">
        <f>316685000</f>
        <v>3.16685E8</v>
      </c>
      <c r="H97" s="10"/>
      <c r="I97" s="11" t="str">
        <f>"－"</f>
        <v>－</v>
      </c>
      <c r="J97" s="10"/>
      <c r="K97" s="11" t="n">
        <f>1059</f>
        <v>1059.0</v>
      </c>
    </row>
    <row r="98">
      <c r="A98" s="8" t="s">
        <v>22</v>
      </c>
      <c r="B98" s="9" t="s">
        <v>55</v>
      </c>
      <c r="C98" s="9" t="s">
        <v>56</v>
      </c>
      <c r="D98" s="10"/>
      <c r="E98" s="11" t="n">
        <f>322</f>
        <v>322.0</v>
      </c>
      <c r="F98" s="10"/>
      <c r="G98" s="11" t="n">
        <f>302058000</f>
        <v>3.02058E8</v>
      </c>
      <c r="H98" s="10"/>
      <c r="I98" s="11" t="str">
        <f>"－"</f>
        <v>－</v>
      </c>
      <c r="J98" s="10"/>
      <c r="K98" s="11" t="n">
        <f>1080</f>
        <v>1080.0</v>
      </c>
    </row>
    <row r="99">
      <c r="A99" s="8" t="s">
        <v>23</v>
      </c>
      <c r="B99" s="9" t="s">
        <v>55</v>
      </c>
      <c r="C99" s="9" t="s">
        <v>56</v>
      </c>
      <c r="D99" s="10"/>
      <c r="E99" s="11" t="n">
        <f>299</f>
        <v>299.0</v>
      </c>
      <c r="F99" s="10"/>
      <c r="G99" s="11" t="n">
        <f>272828000</f>
        <v>2.72828E8</v>
      </c>
      <c r="H99" s="10"/>
      <c r="I99" s="11" t="str">
        <f>"－"</f>
        <v>－</v>
      </c>
      <c r="J99" s="10"/>
      <c r="K99" s="11" t="n">
        <f>1041</f>
        <v>1041.0</v>
      </c>
    </row>
    <row r="100">
      <c r="A100" s="8" t="s">
        <v>24</v>
      </c>
      <c r="B100" s="9" t="s">
        <v>55</v>
      </c>
      <c r="C100" s="9" t="s">
        <v>56</v>
      </c>
      <c r="D100" s="10"/>
      <c r="E100" s="11"/>
      <c r="F100" s="10"/>
      <c r="G100" s="11"/>
      <c r="H100" s="10"/>
      <c r="I100" s="11"/>
      <c r="J100" s="10"/>
      <c r="K100" s="11"/>
    </row>
    <row r="101">
      <c r="A101" s="8" t="s">
        <v>25</v>
      </c>
      <c r="B101" s="9" t="s">
        <v>55</v>
      </c>
      <c r="C101" s="9" t="s">
        <v>56</v>
      </c>
      <c r="D101" s="10"/>
      <c r="E101" s="11"/>
      <c r="F101" s="10"/>
      <c r="G101" s="11"/>
      <c r="H101" s="10"/>
      <c r="I101" s="11"/>
      <c r="J101" s="10"/>
      <c r="K101" s="11"/>
    </row>
    <row r="102">
      <c r="A102" s="8" t="s">
        <v>26</v>
      </c>
      <c r="B102" s="9" t="s">
        <v>55</v>
      </c>
      <c r="C102" s="9" t="s">
        <v>56</v>
      </c>
      <c r="D102" s="10"/>
      <c r="E102" s="11" t="n">
        <f>204</f>
        <v>204.0</v>
      </c>
      <c r="F102" s="10"/>
      <c r="G102" s="11" t="n">
        <f>187013000</f>
        <v>1.87013E8</v>
      </c>
      <c r="H102" s="10"/>
      <c r="I102" s="11" t="str">
        <f>"－"</f>
        <v>－</v>
      </c>
      <c r="J102" s="10"/>
      <c r="K102" s="11" t="n">
        <f>1045</f>
        <v>1045.0</v>
      </c>
    </row>
    <row r="103">
      <c r="A103" s="8" t="s">
        <v>27</v>
      </c>
      <c r="B103" s="9" t="s">
        <v>55</v>
      </c>
      <c r="C103" s="9" t="s">
        <v>56</v>
      </c>
      <c r="D103" s="10" t="s">
        <v>20</v>
      </c>
      <c r="E103" s="11" t="n">
        <f>61</f>
        <v>61.0</v>
      </c>
      <c r="F103" s="10" t="s">
        <v>20</v>
      </c>
      <c r="G103" s="11" t="n">
        <f>55863000</f>
        <v>5.5863E7</v>
      </c>
      <c r="H103" s="10"/>
      <c r="I103" s="11" t="str">
        <f>"－"</f>
        <v>－</v>
      </c>
      <c r="J103" s="10"/>
      <c r="K103" s="11" t="n">
        <f>1038</f>
        <v>1038.0</v>
      </c>
    </row>
    <row r="104">
      <c r="A104" s="8" t="s">
        <v>28</v>
      </c>
      <c r="B104" s="9" t="s">
        <v>55</v>
      </c>
      <c r="C104" s="9" t="s">
        <v>56</v>
      </c>
      <c r="D104" s="10"/>
      <c r="E104" s="11" t="n">
        <f>182</f>
        <v>182.0</v>
      </c>
      <c r="F104" s="10"/>
      <c r="G104" s="11" t="n">
        <f>164036000</f>
        <v>1.64036E8</v>
      </c>
      <c r="H104" s="10"/>
      <c r="I104" s="11" t="str">
        <f>"－"</f>
        <v>－</v>
      </c>
      <c r="J104" s="10"/>
      <c r="K104" s="11" t="n">
        <f>1032</f>
        <v>1032.0</v>
      </c>
    </row>
    <row r="105">
      <c r="A105" s="8" t="s">
        <v>29</v>
      </c>
      <c r="B105" s="9" t="s">
        <v>55</v>
      </c>
      <c r="C105" s="9" t="s">
        <v>56</v>
      </c>
      <c r="D105" s="10"/>
      <c r="E105" s="11" t="n">
        <f>118</f>
        <v>118.0</v>
      </c>
      <c r="F105" s="10"/>
      <c r="G105" s="11" t="n">
        <f>108212000</f>
        <v>1.08212E8</v>
      </c>
      <c r="H105" s="10"/>
      <c r="I105" s="11" t="str">
        <f>"－"</f>
        <v>－</v>
      </c>
      <c r="J105" s="10"/>
      <c r="K105" s="11" t="n">
        <f>1024</f>
        <v>1024.0</v>
      </c>
    </row>
    <row r="106">
      <c r="A106" s="8" t="s">
        <v>30</v>
      </c>
      <c r="B106" s="9" t="s">
        <v>55</v>
      </c>
      <c r="C106" s="9" t="s">
        <v>56</v>
      </c>
      <c r="D106" s="10"/>
      <c r="E106" s="11" t="n">
        <f>246</f>
        <v>246.0</v>
      </c>
      <c r="F106" s="10"/>
      <c r="G106" s="11" t="n">
        <f>227025000</f>
        <v>2.27025E8</v>
      </c>
      <c r="H106" s="10"/>
      <c r="I106" s="11" t="str">
        <f>"－"</f>
        <v>－</v>
      </c>
      <c r="J106" s="10"/>
      <c r="K106" s="11" t="n">
        <f>1087</f>
        <v>1087.0</v>
      </c>
    </row>
    <row r="107">
      <c r="A107" s="8" t="s">
        <v>31</v>
      </c>
      <c r="B107" s="9" t="s">
        <v>55</v>
      </c>
      <c r="C107" s="9" t="s">
        <v>56</v>
      </c>
      <c r="D107" s="10"/>
      <c r="E107" s="11"/>
      <c r="F107" s="10"/>
      <c r="G107" s="11"/>
      <c r="H107" s="10"/>
      <c r="I107" s="11"/>
      <c r="J107" s="10"/>
      <c r="K107" s="11"/>
    </row>
    <row r="108">
      <c r="A108" s="8" t="s">
        <v>32</v>
      </c>
      <c r="B108" s="9" t="s">
        <v>55</v>
      </c>
      <c r="C108" s="9" t="s">
        <v>56</v>
      </c>
      <c r="D108" s="10"/>
      <c r="E108" s="11"/>
      <c r="F108" s="10"/>
      <c r="G108" s="11"/>
      <c r="H108" s="10"/>
      <c r="I108" s="11"/>
      <c r="J108" s="10"/>
      <c r="K108" s="11"/>
    </row>
    <row r="109">
      <c r="A109" s="8" t="s">
        <v>33</v>
      </c>
      <c r="B109" s="9" t="s">
        <v>55</v>
      </c>
      <c r="C109" s="9" t="s">
        <v>56</v>
      </c>
      <c r="D109" s="10"/>
      <c r="E109" s="11" t="n">
        <f>113</f>
        <v>113.0</v>
      </c>
      <c r="F109" s="10"/>
      <c r="G109" s="11" t="n">
        <f>103319000</f>
        <v>1.03319E8</v>
      </c>
      <c r="H109" s="10"/>
      <c r="I109" s="11" t="str">
        <f>"－"</f>
        <v>－</v>
      </c>
      <c r="J109" s="10"/>
      <c r="K109" s="11" t="n">
        <f>1099</f>
        <v>1099.0</v>
      </c>
    </row>
    <row r="110">
      <c r="A110" s="8" t="s">
        <v>34</v>
      </c>
      <c r="B110" s="9" t="s">
        <v>55</v>
      </c>
      <c r="C110" s="9" t="s">
        <v>56</v>
      </c>
      <c r="D110" s="10"/>
      <c r="E110" s="11" t="n">
        <f>121</f>
        <v>121.0</v>
      </c>
      <c r="F110" s="10"/>
      <c r="G110" s="11" t="n">
        <f>112322000</f>
        <v>1.12322E8</v>
      </c>
      <c r="H110" s="10"/>
      <c r="I110" s="11" t="str">
        <f>"－"</f>
        <v>－</v>
      </c>
      <c r="J110" s="10"/>
      <c r="K110" s="11" t="n">
        <f>1078</f>
        <v>1078.0</v>
      </c>
    </row>
    <row r="111">
      <c r="A111" s="8" t="s">
        <v>35</v>
      </c>
      <c r="B111" s="9" t="s">
        <v>55</v>
      </c>
      <c r="C111" s="9" t="s">
        <v>56</v>
      </c>
      <c r="D111" s="10"/>
      <c r="E111" s="11" t="n">
        <f>121</f>
        <v>121.0</v>
      </c>
      <c r="F111" s="10"/>
      <c r="G111" s="11" t="n">
        <f>112367000</f>
        <v>1.12367E8</v>
      </c>
      <c r="H111" s="10"/>
      <c r="I111" s="11" t="str">
        <f>"－"</f>
        <v>－</v>
      </c>
      <c r="J111" s="10"/>
      <c r="K111" s="11" t="n">
        <f>1106</f>
        <v>1106.0</v>
      </c>
    </row>
    <row r="112">
      <c r="A112" s="8" t="s">
        <v>36</v>
      </c>
      <c r="B112" s="9" t="s">
        <v>55</v>
      </c>
      <c r="C112" s="9" t="s">
        <v>56</v>
      </c>
      <c r="D112" s="10"/>
      <c r="E112" s="11" t="n">
        <f>188</f>
        <v>188.0</v>
      </c>
      <c r="F112" s="10"/>
      <c r="G112" s="11" t="n">
        <f>172673000</f>
        <v>1.72673E8</v>
      </c>
      <c r="H112" s="10"/>
      <c r="I112" s="11" t="str">
        <f>"－"</f>
        <v>－</v>
      </c>
      <c r="J112" s="10"/>
      <c r="K112" s="11" t="n">
        <f>1108</f>
        <v>1108.0</v>
      </c>
    </row>
    <row r="113">
      <c r="A113" s="8" t="s">
        <v>37</v>
      </c>
      <c r="B113" s="9" t="s">
        <v>55</v>
      </c>
      <c r="C113" s="9" t="s">
        <v>56</v>
      </c>
      <c r="D113" s="10"/>
      <c r="E113" s="11" t="n">
        <f>115</f>
        <v>115.0</v>
      </c>
      <c r="F113" s="10"/>
      <c r="G113" s="11" t="n">
        <f>103672000</f>
        <v>1.03672E8</v>
      </c>
      <c r="H113" s="10"/>
      <c r="I113" s="11" t="str">
        <f>"－"</f>
        <v>－</v>
      </c>
      <c r="J113" s="10" t="s">
        <v>43</v>
      </c>
      <c r="K113" s="11" t="n">
        <f>1109</f>
        <v>1109.0</v>
      </c>
    </row>
    <row r="114">
      <c r="A114" s="8" t="s">
        <v>38</v>
      </c>
      <c r="B114" s="9" t="s">
        <v>55</v>
      </c>
      <c r="C114" s="9" t="s">
        <v>56</v>
      </c>
      <c r="D114" s="10"/>
      <c r="E114" s="11"/>
      <c r="F114" s="10"/>
      <c r="G114" s="11"/>
      <c r="H114" s="10"/>
      <c r="I114" s="11"/>
      <c r="J114" s="10"/>
      <c r="K114" s="11"/>
    </row>
    <row r="115">
      <c r="A115" s="8" t="s">
        <v>39</v>
      </c>
      <c r="B115" s="9" t="s">
        <v>55</v>
      </c>
      <c r="C115" s="9" t="s">
        <v>56</v>
      </c>
      <c r="D115" s="10"/>
      <c r="E115" s="11"/>
      <c r="F115" s="10"/>
      <c r="G115" s="11"/>
      <c r="H115" s="10"/>
      <c r="I115" s="11"/>
      <c r="J115" s="10"/>
      <c r="K115" s="11"/>
    </row>
    <row r="116">
      <c r="A116" s="8" t="s">
        <v>40</v>
      </c>
      <c r="B116" s="9" t="s">
        <v>55</v>
      </c>
      <c r="C116" s="9" t="s">
        <v>56</v>
      </c>
      <c r="D116" s="10"/>
      <c r="E116" s="11"/>
      <c r="F116" s="10"/>
      <c r="G116" s="11"/>
      <c r="H116" s="10"/>
      <c r="I116" s="11"/>
      <c r="J116" s="10"/>
      <c r="K116" s="11"/>
    </row>
    <row r="117">
      <c r="A117" s="8" t="s">
        <v>41</v>
      </c>
      <c r="B117" s="9" t="s">
        <v>55</v>
      </c>
      <c r="C117" s="9" t="s">
        <v>56</v>
      </c>
      <c r="D117" s="10"/>
      <c r="E117" s="11"/>
      <c r="F117" s="10"/>
      <c r="G117" s="11"/>
      <c r="H117" s="10"/>
      <c r="I117" s="11"/>
      <c r="J117" s="10"/>
      <c r="K117" s="11"/>
    </row>
    <row r="118">
      <c r="A118" s="8" t="s">
        <v>42</v>
      </c>
      <c r="B118" s="9" t="s">
        <v>55</v>
      </c>
      <c r="C118" s="9" t="s">
        <v>56</v>
      </c>
      <c r="D118" s="10"/>
      <c r="E118" s="11" t="n">
        <f>496</f>
        <v>496.0</v>
      </c>
      <c r="F118" s="10"/>
      <c r="G118" s="11" t="n">
        <f>411189000</f>
        <v>4.11189E8</v>
      </c>
      <c r="H118" s="10"/>
      <c r="I118" s="11" t="str">
        <f>"－"</f>
        <v>－</v>
      </c>
      <c r="J118" s="10"/>
      <c r="K118" s="11" t="n">
        <f>1075</f>
        <v>1075.0</v>
      </c>
    </row>
    <row r="119">
      <c r="A119" s="8" t="s">
        <v>44</v>
      </c>
      <c r="B119" s="9" t="s">
        <v>55</v>
      </c>
      <c r="C119" s="9" t="s">
        <v>56</v>
      </c>
      <c r="D119" s="10" t="s">
        <v>43</v>
      </c>
      <c r="E119" s="11" t="n">
        <f>701</f>
        <v>701.0</v>
      </c>
      <c r="F119" s="10" t="s">
        <v>43</v>
      </c>
      <c r="G119" s="11" t="n">
        <f>537739000</f>
        <v>5.37739E8</v>
      </c>
      <c r="H119" s="10"/>
      <c r="I119" s="11" t="str">
        <f>"－"</f>
        <v>－</v>
      </c>
      <c r="J119" s="10"/>
      <c r="K119" s="11" t="n">
        <f>1041</f>
        <v>1041.0</v>
      </c>
    </row>
    <row r="120">
      <c r="A120" s="8" t="s">
        <v>45</v>
      </c>
      <c r="B120" s="9" t="s">
        <v>55</v>
      </c>
      <c r="C120" s="9" t="s">
        <v>56</v>
      </c>
      <c r="D120" s="10"/>
      <c r="E120" s="11" t="n">
        <f>338</f>
        <v>338.0</v>
      </c>
      <c r="F120" s="10"/>
      <c r="G120" s="11" t="n">
        <f>261633000</f>
        <v>2.61633E8</v>
      </c>
      <c r="H120" s="10"/>
      <c r="I120" s="11" t="str">
        <f>"－"</f>
        <v>－</v>
      </c>
      <c r="J120" s="10"/>
      <c r="K120" s="11" t="n">
        <f>1006</f>
        <v>1006.0</v>
      </c>
    </row>
    <row r="121">
      <c r="A121" s="8" t="s">
        <v>46</v>
      </c>
      <c r="B121" s="9" t="s">
        <v>55</v>
      </c>
      <c r="C121" s="9" t="s">
        <v>56</v>
      </c>
      <c r="D121" s="10"/>
      <c r="E121" s="11"/>
      <c r="F121" s="10"/>
      <c r="G121" s="11"/>
      <c r="H121" s="10"/>
      <c r="I121" s="11"/>
      <c r="J121" s="10"/>
      <c r="K121" s="11"/>
    </row>
    <row r="122">
      <c r="A122" s="8" t="s">
        <v>47</v>
      </c>
      <c r="B122" s="9" t="s">
        <v>55</v>
      </c>
      <c r="C122" s="9" t="s">
        <v>56</v>
      </c>
      <c r="D122" s="10"/>
      <c r="E122" s="11"/>
      <c r="F122" s="10"/>
      <c r="G122" s="11"/>
      <c r="H122" s="10"/>
      <c r="I122" s="11"/>
      <c r="J122" s="10"/>
      <c r="K122" s="11"/>
    </row>
    <row r="123">
      <c r="A123" s="8" t="s">
        <v>48</v>
      </c>
      <c r="B123" s="9" t="s">
        <v>55</v>
      </c>
      <c r="C123" s="9" t="s">
        <v>56</v>
      </c>
      <c r="D123" s="10"/>
      <c r="E123" s="11" t="n">
        <f>227</f>
        <v>227.0</v>
      </c>
      <c r="F123" s="10"/>
      <c r="G123" s="11" t="n">
        <f>176487000</f>
        <v>1.76487E8</v>
      </c>
      <c r="H123" s="10"/>
      <c r="I123" s="11" t="str">
        <f>"－"</f>
        <v>－</v>
      </c>
      <c r="J123" s="10"/>
      <c r="K123" s="11" t="n">
        <f>1026</f>
        <v>1026.0</v>
      </c>
    </row>
    <row r="124">
      <c r="A124" s="8" t="s">
        <v>49</v>
      </c>
      <c r="B124" s="9" t="s">
        <v>55</v>
      </c>
      <c r="C124" s="9" t="s">
        <v>56</v>
      </c>
      <c r="D124" s="10"/>
      <c r="E124" s="11" t="n">
        <f>222</f>
        <v>222.0</v>
      </c>
      <c r="F124" s="10"/>
      <c r="G124" s="11" t="n">
        <f>176158000</f>
        <v>1.76158E8</v>
      </c>
      <c r="H124" s="10"/>
      <c r="I124" s="11" t="str">
        <f>"－"</f>
        <v>－</v>
      </c>
      <c r="J124" s="10" t="s">
        <v>20</v>
      </c>
      <c r="K124" s="11" t="n">
        <f>998</f>
        <v>998.0</v>
      </c>
    </row>
    <row r="125">
      <c r="A125" s="8" t="s">
        <v>50</v>
      </c>
      <c r="B125" s="9" t="s">
        <v>55</v>
      </c>
      <c r="C125" s="9" t="s">
        <v>56</v>
      </c>
      <c r="D125" s="10"/>
      <c r="E125" s="11" t="n">
        <f>151</f>
        <v>151.0</v>
      </c>
      <c r="F125" s="10"/>
      <c r="G125" s="11" t="n">
        <f>123233000</f>
        <v>1.23233E8</v>
      </c>
      <c r="H125" s="10"/>
      <c r="I125" s="11" t="str">
        <f>"－"</f>
        <v>－</v>
      </c>
      <c r="J125" s="10"/>
      <c r="K125" s="11" t="n">
        <f>1006</f>
        <v>1006.0</v>
      </c>
    </row>
    <row r="126">
      <c r="A126" s="8" t="s">
        <v>16</v>
      </c>
      <c r="B126" s="9" t="s">
        <v>57</v>
      </c>
      <c r="C126" s="9" t="s">
        <v>58</v>
      </c>
      <c r="D126" s="10"/>
      <c r="E126" s="11" t="n">
        <f>6073</f>
        <v>6073.0</v>
      </c>
      <c r="F126" s="10"/>
      <c r="G126" s="11" t="n">
        <f>9727655000</f>
        <v>9.727655E9</v>
      </c>
      <c r="H126" s="10" t="s">
        <v>20</v>
      </c>
      <c r="I126" s="11" t="str">
        <f>"－"</f>
        <v>－</v>
      </c>
      <c r="J126" s="10" t="s">
        <v>20</v>
      </c>
      <c r="K126" s="11" t="n">
        <f>24260</f>
        <v>24260.0</v>
      </c>
    </row>
    <row r="127">
      <c r="A127" s="8" t="s">
        <v>21</v>
      </c>
      <c r="B127" s="9" t="s">
        <v>57</v>
      </c>
      <c r="C127" s="9" t="s">
        <v>58</v>
      </c>
      <c r="D127" s="10"/>
      <c r="E127" s="11" t="n">
        <f>6193</f>
        <v>6193.0</v>
      </c>
      <c r="F127" s="10"/>
      <c r="G127" s="11" t="n">
        <f>10020109000</f>
        <v>1.0020109E10</v>
      </c>
      <c r="H127" s="10"/>
      <c r="I127" s="11" t="str">
        <f>"－"</f>
        <v>－</v>
      </c>
      <c r="J127" s="10"/>
      <c r="K127" s="11" t="n">
        <f>24609</f>
        <v>24609.0</v>
      </c>
    </row>
    <row r="128">
      <c r="A128" s="8" t="s">
        <v>22</v>
      </c>
      <c r="B128" s="9" t="s">
        <v>57</v>
      </c>
      <c r="C128" s="9" t="s">
        <v>58</v>
      </c>
      <c r="D128" s="10"/>
      <c r="E128" s="11" t="n">
        <f>9618</f>
        <v>9618.0</v>
      </c>
      <c r="F128" s="10"/>
      <c r="G128" s="11" t="n">
        <f>15076324000</f>
        <v>1.5076324E10</v>
      </c>
      <c r="H128" s="10"/>
      <c r="I128" s="11" t="str">
        <f>"－"</f>
        <v>－</v>
      </c>
      <c r="J128" s="10"/>
      <c r="K128" s="11" t="n">
        <f>25036</f>
        <v>25036.0</v>
      </c>
    </row>
    <row r="129">
      <c r="A129" s="8" t="s">
        <v>23</v>
      </c>
      <c r="B129" s="9" t="s">
        <v>57</v>
      </c>
      <c r="C129" s="9" t="s">
        <v>58</v>
      </c>
      <c r="D129" s="10"/>
      <c r="E129" s="11" t="n">
        <f>7437</f>
        <v>7437.0</v>
      </c>
      <c r="F129" s="10"/>
      <c r="G129" s="11" t="n">
        <f>11432288000</f>
        <v>1.1432288E10</v>
      </c>
      <c r="H129" s="10"/>
      <c r="I129" s="11" t="str">
        <f>"－"</f>
        <v>－</v>
      </c>
      <c r="J129" s="10"/>
      <c r="K129" s="11" t="n">
        <f>25167</f>
        <v>25167.0</v>
      </c>
    </row>
    <row r="130">
      <c r="A130" s="8" t="s">
        <v>24</v>
      </c>
      <c r="B130" s="9" t="s">
        <v>57</v>
      </c>
      <c r="C130" s="9" t="s">
        <v>58</v>
      </c>
      <c r="D130" s="10"/>
      <c r="E130" s="11"/>
      <c r="F130" s="10"/>
      <c r="G130" s="11"/>
      <c r="H130" s="10"/>
      <c r="I130" s="11"/>
      <c r="J130" s="10"/>
      <c r="K130" s="11"/>
    </row>
    <row r="131">
      <c r="A131" s="8" t="s">
        <v>25</v>
      </c>
      <c r="B131" s="9" t="s">
        <v>57</v>
      </c>
      <c r="C131" s="9" t="s">
        <v>58</v>
      </c>
      <c r="D131" s="10"/>
      <c r="E131" s="11"/>
      <c r="F131" s="10"/>
      <c r="G131" s="11"/>
      <c r="H131" s="10"/>
      <c r="I131" s="11"/>
      <c r="J131" s="10"/>
      <c r="K131" s="11"/>
    </row>
    <row r="132">
      <c r="A132" s="8" t="s">
        <v>26</v>
      </c>
      <c r="B132" s="9" t="s">
        <v>57</v>
      </c>
      <c r="C132" s="9" t="s">
        <v>58</v>
      </c>
      <c r="D132" s="10"/>
      <c r="E132" s="11" t="n">
        <f>4933</f>
        <v>4933.0</v>
      </c>
      <c r="F132" s="10"/>
      <c r="G132" s="11" t="n">
        <f>7636921000</f>
        <v>7.636921E9</v>
      </c>
      <c r="H132" s="10"/>
      <c r="I132" s="11" t="str">
        <f>"－"</f>
        <v>－</v>
      </c>
      <c r="J132" s="10"/>
      <c r="K132" s="11" t="n">
        <f>25080</f>
        <v>25080.0</v>
      </c>
    </row>
    <row r="133">
      <c r="A133" s="8" t="s">
        <v>27</v>
      </c>
      <c r="B133" s="9" t="s">
        <v>57</v>
      </c>
      <c r="C133" s="9" t="s">
        <v>58</v>
      </c>
      <c r="D133" s="10" t="s">
        <v>20</v>
      </c>
      <c r="E133" s="11" t="n">
        <f>3431</f>
        <v>3431.0</v>
      </c>
      <c r="F133" s="10" t="s">
        <v>20</v>
      </c>
      <c r="G133" s="11" t="n">
        <f>5335284000</f>
        <v>5.335284E9</v>
      </c>
      <c r="H133" s="10"/>
      <c r="I133" s="11" t="n">
        <f>2</f>
        <v>2.0</v>
      </c>
      <c r="J133" s="10"/>
      <c r="K133" s="11" t="n">
        <f>24857</f>
        <v>24857.0</v>
      </c>
    </row>
    <row r="134">
      <c r="A134" s="8" t="s">
        <v>28</v>
      </c>
      <c r="B134" s="9" t="s">
        <v>57</v>
      </c>
      <c r="C134" s="9" t="s">
        <v>58</v>
      </c>
      <c r="D134" s="10"/>
      <c r="E134" s="11" t="n">
        <f>5766</f>
        <v>5766.0</v>
      </c>
      <c r="F134" s="10"/>
      <c r="G134" s="11" t="n">
        <f>8901743500</f>
        <v>8.9017435E9</v>
      </c>
      <c r="H134" s="10"/>
      <c r="I134" s="11" t="str">
        <f>"－"</f>
        <v>－</v>
      </c>
      <c r="J134" s="10"/>
      <c r="K134" s="11" t="n">
        <f>24989</f>
        <v>24989.0</v>
      </c>
    </row>
    <row r="135">
      <c r="A135" s="8" t="s">
        <v>29</v>
      </c>
      <c r="B135" s="9" t="s">
        <v>57</v>
      </c>
      <c r="C135" s="9" t="s">
        <v>58</v>
      </c>
      <c r="D135" s="10"/>
      <c r="E135" s="11" t="n">
        <f>5319</f>
        <v>5319.0</v>
      </c>
      <c r="F135" s="10"/>
      <c r="G135" s="11" t="n">
        <f>8330474000</f>
        <v>8.330474E9</v>
      </c>
      <c r="H135" s="10"/>
      <c r="I135" s="11" t="str">
        <f>"－"</f>
        <v>－</v>
      </c>
      <c r="J135" s="10"/>
      <c r="K135" s="11" t="n">
        <f>24854</f>
        <v>24854.0</v>
      </c>
    </row>
    <row r="136">
      <c r="A136" s="8" t="s">
        <v>30</v>
      </c>
      <c r="B136" s="9" t="s">
        <v>57</v>
      </c>
      <c r="C136" s="9" t="s">
        <v>58</v>
      </c>
      <c r="D136" s="10"/>
      <c r="E136" s="11" t="n">
        <f>4674</f>
        <v>4674.0</v>
      </c>
      <c r="F136" s="10"/>
      <c r="G136" s="11" t="n">
        <f>7377939000</f>
        <v>7.377939E9</v>
      </c>
      <c r="H136" s="10"/>
      <c r="I136" s="11" t="str">
        <f>"－"</f>
        <v>－</v>
      </c>
      <c r="J136" s="10"/>
      <c r="K136" s="11" t="n">
        <f>24850</f>
        <v>24850.0</v>
      </c>
    </row>
    <row r="137">
      <c r="A137" s="8" t="s">
        <v>31</v>
      </c>
      <c r="B137" s="9" t="s">
        <v>57</v>
      </c>
      <c r="C137" s="9" t="s">
        <v>58</v>
      </c>
      <c r="D137" s="10"/>
      <c r="E137" s="11"/>
      <c r="F137" s="10"/>
      <c r="G137" s="11"/>
      <c r="H137" s="10"/>
      <c r="I137" s="11"/>
      <c r="J137" s="10"/>
      <c r="K137" s="11"/>
    </row>
    <row r="138">
      <c r="A138" s="8" t="s">
        <v>32</v>
      </c>
      <c r="B138" s="9" t="s">
        <v>57</v>
      </c>
      <c r="C138" s="9" t="s">
        <v>58</v>
      </c>
      <c r="D138" s="10"/>
      <c r="E138" s="11"/>
      <c r="F138" s="10"/>
      <c r="G138" s="11"/>
      <c r="H138" s="10"/>
      <c r="I138" s="11"/>
      <c r="J138" s="10"/>
      <c r="K138" s="11"/>
    </row>
    <row r="139">
      <c r="A139" s="8" t="s">
        <v>33</v>
      </c>
      <c r="B139" s="9" t="s">
        <v>57</v>
      </c>
      <c r="C139" s="9" t="s">
        <v>58</v>
      </c>
      <c r="D139" s="10"/>
      <c r="E139" s="11" t="n">
        <f>5714</f>
        <v>5714.0</v>
      </c>
      <c r="F139" s="10"/>
      <c r="G139" s="11" t="n">
        <f>9102653000</f>
        <v>9.102653E9</v>
      </c>
      <c r="H139" s="10"/>
      <c r="I139" s="11" t="str">
        <f>"－"</f>
        <v>－</v>
      </c>
      <c r="J139" s="10"/>
      <c r="K139" s="11" t="n">
        <f>24709</f>
        <v>24709.0</v>
      </c>
    </row>
    <row r="140">
      <c r="A140" s="8" t="s">
        <v>34</v>
      </c>
      <c r="B140" s="9" t="s">
        <v>57</v>
      </c>
      <c r="C140" s="9" t="s">
        <v>58</v>
      </c>
      <c r="D140" s="10"/>
      <c r="E140" s="11" t="n">
        <f>5626</f>
        <v>5626.0</v>
      </c>
      <c r="F140" s="10"/>
      <c r="G140" s="11" t="n">
        <f>9095528000</f>
        <v>9.095528E9</v>
      </c>
      <c r="H140" s="10"/>
      <c r="I140" s="11" t="n">
        <f>2</f>
        <v>2.0</v>
      </c>
      <c r="J140" s="10"/>
      <c r="K140" s="11" t="n">
        <f>24649</f>
        <v>24649.0</v>
      </c>
    </row>
    <row r="141">
      <c r="A141" s="8" t="s">
        <v>35</v>
      </c>
      <c r="B141" s="9" t="s">
        <v>57</v>
      </c>
      <c r="C141" s="9" t="s">
        <v>58</v>
      </c>
      <c r="D141" s="10"/>
      <c r="E141" s="11" t="n">
        <f>6706</f>
        <v>6706.0</v>
      </c>
      <c r="F141" s="10"/>
      <c r="G141" s="11" t="n">
        <f>10947393500</f>
        <v>1.09473935E10</v>
      </c>
      <c r="H141" s="10" t="s">
        <v>43</v>
      </c>
      <c r="I141" s="11" t="n">
        <f>24</f>
        <v>24.0</v>
      </c>
      <c r="J141" s="10"/>
      <c r="K141" s="11" t="n">
        <f>24433</f>
        <v>24433.0</v>
      </c>
    </row>
    <row r="142">
      <c r="A142" s="8" t="s">
        <v>36</v>
      </c>
      <c r="B142" s="9" t="s">
        <v>57</v>
      </c>
      <c r="C142" s="9" t="s">
        <v>58</v>
      </c>
      <c r="D142" s="10"/>
      <c r="E142" s="11" t="n">
        <f>9640</f>
        <v>9640.0</v>
      </c>
      <c r="F142" s="10"/>
      <c r="G142" s="11" t="n">
        <f>15557244500</f>
        <v>1.55572445E10</v>
      </c>
      <c r="H142" s="10"/>
      <c r="I142" s="11" t="n">
        <f>18</f>
        <v>18.0</v>
      </c>
      <c r="J142" s="10"/>
      <c r="K142" s="11" t="n">
        <f>24686</f>
        <v>24686.0</v>
      </c>
    </row>
    <row r="143">
      <c r="A143" s="8" t="s">
        <v>37</v>
      </c>
      <c r="B143" s="9" t="s">
        <v>57</v>
      </c>
      <c r="C143" s="9" t="s">
        <v>58</v>
      </c>
      <c r="D143" s="10"/>
      <c r="E143" s="11" t="n">
        <f>6010</f>
        <v>6010.0</v>
      </c>
      <c r="F143" s="10"/>
      <c r="G143" s="11" t="n">
        <f>9486935500</f>
        <v>9.4869355E9</v>
      </c>
      <c r="H143" s="10"/>
      <c r="I143" s="11" t="n">
        <f>1</f>
        <v>1.0</v>
      </c>
      <c r="J143" s="10"/>
      <c r="K143" s="11" t="n">
        <f>24952</f>
        <v>24952.0</v>
      </c>
    </row>
    <row r="144">
      <c r="A144" s="8" t="s">
        <v>38</v>
      </c>
      <c r="B144" s="9" t="s">
        <v>57</v>
      </c>
      <c r="C144" s="9" t="s">
        <v>58</v>
      </c>
      <c r="D144" s="10"/>
      <c r="E144" s="11"/>
      <c r="F144" s="10"/>
      <c r="G144" s="11"/>
      <c r="H144" s="10"/>
      <c r="I144" s="11"/>
      <c r="J144" s="10"/>
      <c r="K144" s="11"/>
    </row>
    <row r="145">
      <c r="A145" s="8" t="s">
        <v>39</v>
      </c>
      <c r="B145" s="9" t="s">
        <v>57</v>
      </c>
      <c r="C145" s="9" t="s">
        <v>58</v>
      </c>
      <c r="D145" s="10"/>
      <c r="E145" s="11"/>
      <c r="F145" s="10"/>
      <c r="G145" s="11"/>
      <c r="H145" s="10"/>
      <c r="I145" s="11"/>
      <c r="J145" s="10"/>
      <c r="K145" s="11"/>
    </row>
    <row r="146">
      <c r="A146" s="8" t="s">
        <v>40</v>
      </c>
      <c r="B146" s="9" t="s">
        <v>57</v>
      </c>
      <c r="C146" s="9" t="s">
        <v>58</v>
      </c>
      <c r="D146" s="10"/>
      <c r="E146" s="11"/>
      <c r="F146" s="10"/>
      <c r="G146" s="11"/>
      <c r="H146" s="10"/>
      <c r="I146" s="11"/>
      <c r="J146" s="10"/>
      <c r="K146" s="11"/>
    </row>
    <row r="147">
      <c r="A147" s="8" t="s">
        <v>41</v>
      </c>
      <c r="B147" s="9" t="s">
        <v>57</v>
      </c>
      <c r="C147" s="9" t="s">
        <v>58</v>
      </c>
      <c r="D147" s="10"/>
      <c r="E147" s="11"/>
      <c r="F147" s="10"/>
      <c r="G147" s="11"/>
      <c r="H147" s="10"/>
      <c r="I147" s="11"/>
      <c r="J147" s="10"/>
      <c r="K147" s="11"/>
    </row>
    <row r="148">
      <c r="A148" s="8" t="s">
        <v>42</v>
      </c>
      <c r="B148" s="9" t="s">
        <v>57</v>
      </c>
      <c r="C148" s="9" t="s">
        <v>58</v>
      </c>
      <c r="D148" s="10" t="s">
        <v>43</v>
      </c>
      <c r="E148" s="11" t="n">
        <f>12961</f>
        <v>12961.0</v>
      </c>
      <c r="F148" s="10" t="s">
        <v>43</v>
      </c>
      <c r="G148" s="11" t="n">
        <f>19392676500</f>
        <v>1.93926765E10</v>
      </c>
      <c r="H148" s="10"/>
      <c r="I148" s="11" t="str">
        <f>"－"</f>
        <v>－</v>
      </c>
      <c r="J148" s="10" t="s">
        <v>43</v>
      </c>
      <c r="K148" s="11" t="n">
        <f>25744</f>
        <v>25744.0</v>
      </c>
    </row>
    <row r="149">
      <c r="A149" s="8" t="s">
        <v>44</v>
      </c>
      <c r="B149" s="9" t="s">
        <v>57</v>
      </c>
      <c r="C149" s="9" t="s">
        <v>58</v>
      </c>
      <c r="D149" s="10"/>
      <c r="E149" s="11" t="n">
        <f>10748</f>
        <v>10748.0</v>
      </c>
      <c r="F149" s="10"/>
      <c r="G149" s="11" t="n">
        <f>15463868500</f>
        <v>1.54638685E10</v>
      </c>
      <c r="H149" s="10"/>
      <c r="I149" s="11" t="n">
        <f>11</f>
        <v>11.0</v>
      </c>
      <c r="J149" s="10"/>
      <c r="K149" s="11" t="n">
        <f>25341</f>
        <v>25341.0</v>
      </c>
    </row>
    <row r="150">
      <c r="A150" s="8" t="s">
        <v>45</v>
      </c>
      <c r="B150" s="9" t="s">
        <v>57</v>
      </c>
      <c r="C150" s="9" t="s">
        <v>58</v>
      </c>
      <c r="D150" s="10"/>
      <c r="E150" s="11" t="n">
        <f>7836</f>
        <v>7836.0</v>
      </c>
      <c r="F150" s="10"/>
      <c r="G150" s="11" t="n">
        <f>11290629000</f>
        <v>1.1290629E10</v>
      </c>
      <c r="H150" s="10"/>
      <c r="I150" s="11" t="str">
        <f>"－"</f>
        <v>－</v>
      </c>
      <c r="J150" s="10"/>
      <c r="K150" s="11" t="n">
        <f>25374</f>
        <v>25374.0</v>
      </c>
    </row>
    <row r="151">
      <c r="A151" s="8" t="s">
        <v>46</v>
      </c>
      <c r="B151" s="9" t="s">
        <v>57</v>
      </c>
      <c r="C151" s="9" t="s">
        <v>58</v>
      </c>
      <c r="D151" s="10"/>
      <c r="E151" s="11"/>
      <c r="F151" s="10"/>
      <c r="G151" s="11"/>
      <c r="H151" s="10"/>
      <c r="I151" s="11"/>
      <c r="J151" s="10"/>
      <c r="K151" s="11"/>
    </row>
    <row r="152">
      <c r="A152" s="8" t="s">
        <v>47</v>
      </c>
      <c r="B152" s="9" t="s">
        <v>57</v>
      </c>
      <c r="C152" s="9" t="s">
        <v>58</v>
      </c>
      <c r="D152" s="10"/>
      <c r="E152" s="11"/>
      <c r="F152" s="10"/>
      <c r="G152" s="11"/>
      <c r="H152" s="10"/>
      <c r="I152" s="11"/>
      <c r="J152" s="10"/>
      <c r="K152" s="11"/>
    </row>
    <row r="153">
      <c r="A153" s="8" t="s">
        <v>48</v>
      </c>
      <c r="B153" s="9" t="s">
        <v>57</v>
      </c>
      <c r="C153" s="9" t="s">
        <v>58</v>
      </c>
      <c r="D153" s="10"/>
      <c r="E153" s="11" t="n">
        <f>4730</f>
        <v>4730.0</v>
      </c>
      <c r="F153" s="10"/>
      <c r="G153" s="11" t="n">
        <f>6837565000</f>
        <v>6.837565E9</v>
      </c>
      <c r="H153" s="10"/>
      <c r="I153" s="11" t="str">
        <f>"－"</f>
        <v>－</v>
      </c>
      <c r="J153" s="10"/>
      <c r="K153" s="11" t="n">
        <f>25505</f>
        <v>25505.0</v>
      </c>
    </row>
    <row r="154">
      <c r="A154" s="8" t="s">
        <v>49</v>
      </c>
      <c r="B154" s="9" t="s">
        <v>57</v>
      </c>
      <c r="C154" s="9" t="s">
        <v>58</v>
      </c>
      <c r="D154" s="10"/>
      <c r="E154" s="11" t="n">
        <f>7491</f>
        <v>7491.0</v>
      </c>
      <c r="F154" s="10"/>
      <c r="G154" s="11" t="n">
        <f>11145730000</f>
        <v>1.114573E10</v>
      </c>
      <c r="H154" s="10"/>
      <c r="I154" s="11" t="n">
        <f>14</f>
        <v>14.0</v>
      </c>
      <c r="J154" s="10"/>
      <c r="K154" s="11" t="n">
        <f>24894</f>
        <v>24894.0</v>
      </c>
    </row>
    <row r="155">
      <c r="A155" s="8" t="s">
        <v>50</v>
      </c>
      <c r="B155" s="9" t="s">
        <v>57</v>
      </c>
      <c r="C155" s="9" t="s">
        <v>58</v>
      </c>
      <c r="D155" s="10"/>
      <c r="E155" s="11" t="n">
        <f>5467</f>
        <v>5467.0</v>
      </c>
      <c r="F155" s="10"/>
      <c r="G155" s="11" t="n">
        <f>8184617000</f>
        <v>8.184617E9</v>
      </c>
      <c r="H155" s="10"/>
      <c r="I155" s="11" t="n">
        <f>6</f>
        <v>6.0</v>
      </c>
      <c r="J155" s="10"/>
      <c r="K155" s="11" t="n">
        <f>24717</f>
        <v>24717.0</v>
      </c>
    </row>
    <row r="156">
      <c r="A156" s="8" t="s">
        <v>16</v>
      </c>
      <c r="B156" s="9" t="s">
        <v>59</v>
      </c>
      <c r="C156" s="9" t="s">
        <v>60</v>
      </c>
      <c r="D156" s="10" t="s">
        <v>20</v>
      </c>
      <c r="E156" s="11" t="n">
        <f>405</f>
        <v>405.0</v>
      </c>
      <c r="F156" s="10"/>
      <c r="G156" s="11" t="n">
        <f>129611800</f>
        <v>1.296118E8</v>
      </c>
      <c r="H156" s="10" t="s">
        <v>19</v>
      </c>
      <c r="I156" s="11" t="str">
        <f>"－"</f>
        <v>－</v>
      </c>
      <c r="J156" s="10" t="s">
        <v>20</v>
      </c>
      <c r="K156" s="11" t="n">
        <f>1971</f>
        <v>1971.0</v>
      </c>
    </row>
    <row r="157">
      <c r="A157" s="8" t="s">
        <v>21</v>
      </c>
      <c r="B157" s="9" t="s">
        <v>59</v>
      </c>
      <c r="C157" s="9" t="s">
        <v>60</v>
      </c>
      <c r="D157" s="10"/>
      <c r="E157" s="11" t="n">
        <f>633</f>
        <v>633.0</v>
      </c>
      <c r="F157" s="10"/>
      <c r="G157" s="11" t="n">
        <f>205370500</f>
        <v>2.053705E8</v>
      </c>
      <c r="H157" s="10"/>
      <c r="I157" s="11" t="str">
        <f>"－"</f>
        <v>－</v>
      </c>
      <c r="J157" s="10"/>
      <c r="K157" s="11" t="n">
        <f>1990</f>
        <v>1990.0</v>
      </c>
    </row>
    <row r="158">
      <c r="A158" s="8" t="s">
        <v>22</v>
      </c>
      <c r="B158" s="9" t="s">
        <v>59</v>
      </c>
      <c r="C158" s="9" t="s">
        <v>60</v>
      </c>
      <c r="D158" s="10"/>
      <c r="E158" s="11" t="n">
        <f>1032</f>
        <v>1032.0</v>
      </c>
      <c r="F158" s="10"/>
      <c r="G158" s="11" t="n">
        <f>324519800</f>
        <v>3.245198E8</v>
      </c>
      <c r="H158" s="10"/>
      <c r="I158" s="11" t="str">
        <f>"－"</f>
        <v>－</v>
      </c>
      <c r="J158" s="10"/>
      <c r="K158" s="11" t="n">
        <f>2119</f>
        <v>2119.0</v>
      </c>
    </row>
    <row r="159">
      <c r="A159" s="8" t="s">
        <v>23</v>
      </c>
      <c r="B159" s="9" t="s">
        <v>59</v>
      </c>
      <c r="C159" s="9" t="s">
        <v>60</v>
      </c>
      <c r="D159" s="10"/>
      <c r="E159" s="11" t="n">
        <f>661</f>
        <v>661.0</v>
      </c>
      <c r="F159" s="10"/>
      <c r="G159" s="11" t="n">
        <f>203504000</f>
        <v>2.03504E8</v>
      </c>
      <c r="H159" s="10"/>
      <c r="I159" s="11" t="str">
        <f>"－"</f>
        <v>－</v>
      </c>
      <c r="J159" s="10"/>
      <c r="K159" s="11" t="n">
        <f>2130</f>
        <v>2130.0</v>
      </c>
    </row>
    <row r="160">
      <c r="A160" s="8" t="s">
        <v>24</v>
      </c>
      <c r="B160" s="9" t="s">
        <v>59</v>
      </c>
      <c r="C160" s="9" t="s">
        <v>60</v>
      </c>
      <c r="D160" s="10"/>
      <c r="E160" s="11"/>
      <c r="F160" s="10"/>
      <c r="G160" s="11"/>
      <c r="H160" s="10"/>
      <c r="I160" s="11"/>
      <c r="J160" s="10"/>
      <c r="K160" s="11"/>
    </row>
    <row r="161">
      <c r="A161" s="8" t="s">
        <v>25</v>
      </c>
      <c r="B161" s="9" t="s">
        <v>59</v>
      </c>
      <c r="C161" s="9" t="s">
        <v>60</v>
      </c>
      <c r="D161" s="10"/>
      <c r="E161" s="11"/>
      <c r="F161" s="10"/>
      <c r="G161" s="11"/>
      <c r="H161" s="10"/>
      <c r="I161" s="11"/>
      <c r="J161" s="10"/>
      <c r="K161" s="11"/>
    </row>
    <row r="162">
      <c r="A162" s="8" t="s">
        <v>26</v>
      </c>
      <c r="B162" s="9" t="s">
        <v>59</v>
      </c>
      <c r="C162" s="9" t="s">
        <v>60</v>
      </c>
      <c r="D162" s="10"/>
      <c r="E162" s="11" t="n">
        <f>495</f>
        <v>495.0</v>
      </c>
      <c r="F162" s="10"/>
      <c r="G162" s="11" t="n">
        <f>153195600</f>
        <v>1.531956E8</v>
      </c>
      <c r="H162" s="10"/>
      <c r="I162" s="11" t="str">
        <f>"－"</f>
        <v>－</v>
      </c>
      <c r="J162" s="10"/>
      <c r="K162" s="11" t="n">
        <f>2122</f>
        <v>2122.0</v>
      </c>
    </row>
    <row r="163">
      <c r="A163" s="8" t="s">
        <v>27</v>
      </c>
      <c r="B163" s="9" t="s">
        <v>59</v>
      </c>
      <c r="C163" s="9" t="s">
        <v>60</v>
      </c>
      <c r="D163" s="10"/>
      <c r="E163" s="11" t="n">
        <f>410</f>
        <v>410.0</v>
      </c>
      <c r="F163" s="10" t="s">
        <v>20</v>
      </c>
      <c r="G163" s="11" t="n">
        <f>127330400</f>
        <v>1.273304E8</v>
      </c>
      <c r="H163" s="10"/>
      <c r="I163" s="11" t="str">
        <f>"－"</f>
        <v>－</v>
      </c>
      <c r="J163" s="10"/>
      <c r="K163" s="11" t="n">
        <f>2088</f>
        <v>2088.0</v>
      </c>
    </row>
    <row r="164">
      <c r="A164" s="8" t="s">
        <v>28</v>
      </c>
      <c r="B164" s="9" t="s">
        <v>59</v>
      </c>
      <c r="C164" s="9" t="s">
        <v>60</v>
      </c>
      <c r="D164" s="10"/>
      <c r="E164" s="11" t="n">
        <f>613</f>
        <v>613.0</v>
      </c>
      <c r="F164" s="10"/>
      <c r="G164" s="11" t="n">
        <f>189612400</f>
        <v>1.896124E8</v>
      </c>
      <c r="H164" s="10"/>
      <c r="I164" s="11" t="str">
        <f>"－"</f>
        <v>－</v>
      </c>
      <c r="J164" s="10"/>
      <c r="K164" s="11" t="n">
        <f>2121</f>
        <v>2121.0</v>
      </c>
    </row>
    <row r="165">
      <c r="A165" s="8" t="s">
        <v>29</v>
      </c>
      <c r="B165" s="9" t="s">
        <v>59</v>
      </c>
      <c r="C165" s="9" t="s">
        <v>60</v>
      </c>
      <c r="D165" s="10"/>
      <c r="E165" s="11" t="n">
        <f>546</f>
        <v>546.0</v>
      </c>
      <c r="F165" s="10"/>
      <c r="G165" s="11" t="n">
        <f>170854500</f>
        <v>1.708545E8</v>
      </c>
      <c r="H165" s="10"/>
      <c r="I165" s="11" t="str">
        <f>"－"</f>
        <v>－</v>
      </c>
      <c r="J165" s="10"/>
      <c r="K165" s="11" t="n">
        <f>2087</f>
        <v>2087.0</v>
      </c>
    </row>
    <row r="166">
      <c r="A166" s="8" t="s">
        <v>30</v>
      </c>
      <c r="B166" s="9" t="s">
        <v>59</v>
      </c>
      <c r="C166" s="9" t="s">
        <v>60</v>
      </c>
      <c r="D166" s="10"/>
      <c r="E166" s="11" t="n">
        <f>506</f>
        <v>506.0</v>
      </c>
      <c r="F166" s="10"/>
      <c r="G166" s="11" t="n">
        <f>159933100</f>
        <v>1.599331E8</v>
      </c>
      <c r="H166" s="10"/>
      <c r="I166" s="11" t="str">
        <f>"－"</f>
        <v>－</v>
      </c>
      <c r="J166" s="10"/>
      <c r="K166" s="11" t="n">
        <f>2081</f>
        <v>2081.0</v>
      </c>
    </row>
    <row r="167">
      <c r="A167" s="8" t="s">
        <v>31</v>
      </c>
      <c r="B167" s="9" t="s">
        <v>59</v>
      </c>
      <c r="C167" s="9" t="s">
        <v>60</v>
      </c>
      <c r="D167" s="10"/>
      <c r="E167" s="11"/>
      <c r="F167" s="10"/>
      <c r="G167" s="11"/>
      <c r="H167" s="10"/>
      <c r="I167" s="11"/>
      <c r="J167" s="10"/>
      <c r="K167" s="11"/>
    </row>
    <row r="168">
      <c r="A168" s="8" t="s">
        <v>32</v>
      </c>
      <c r="B168" s="9" t="s">
        <v>59</v>
      </c>
      <c r="C168" s="9" t="s">
        <v>60</v>
      </c>
      <c r="D168" s="10"/>
      <c r="E168" s="11"/>
      <c r="F168" s="10"/>
      <c r="G168" s="11"/>
      <c r="H168" s="10"/>
      <c r="I168" s="11"/>
      <c r="J168" s="10"/>
      <c r="K168" s="11"/>
    </row>
    <row r="169">
      <c r="A169" s="8" t="s">
        <v>33</v>
      </c>
      <c r="B169" s="9" t="s">
        <v>59</v>
      </c>
      <c r="C169" s="9" t="s">
        <v>60</v>
      </c>
      <c r="D169" s="10"/>
      <c r="E169" s="11" t="n">
        <f>544</f>
        <v>544.0</v>
      </c>
      <c r="F169" s="10"/>
      <c r="G169" s="11" t="n">
        <f>173151300</f>
        <v>1.731513E8</v>
      </c>
      <c r="H169" s="10"/>
      <c r="I169" s="11" t="str">
        <f>"－"</f>
        <v>－</v>
      </c>
      <c r="J169" s="10"/>
      <c r="K169" s="11" t="n">
        <f>2057</f>
        <v>2057.0</v>
      </c>
    </row>
    <row r="170">
      <c r="A170" s="8" t="s">
        <v>34</v>
      </c>
      <c r="B170" s="9" t="s">
        <v>59</v>
      </c>
      <c r="C170" s="9" t="s">
        <v>60</v>
      </c>
      <c r="D170" s="10"/>
      <c r="E170" s="11" t="n">
        <f>475</f>
        <v>475.0</v>
      </c>
      <c r="F170" s="10"/>
      <c r="G170" s="11" t="n">
        <f>153376300</f>
        <v>1.533763E8</v>
      </c>
      <c r="H170" s="10"/>
      <c r="I170" s="11" t="str">
        <f>"－"</f>
        <v>－</v>
      </c>
      <c r="J170" s="10"/>
      <c r="K170" s="11" t="n">
        <f>2089</f>
        <v>2089.0</v>
      </c>
    </row>
    <row r="171">
      <c r="A171" s="8" t="s">
        <v>35</v>
      </c>
      <c r="B171" s="9" t="s">
        <v>59</v>
      </c>
      <c r="C171" s="9" t="s">
        <v>60</v>
      </c>
      <c r="D171" s="10"/>
      <c r="E171" s="11" t="n">
        <f>782</f>
        <v>782.0</v>
      </c>
      <c r="F171" s="10"/>
      <c r="G171" s="11" t="n">
        <f>255220700</f>
        <v>2.552207E8</v>
      </c>
      <c r="H171" s="10"/>
      <c r="I171" s="11" t="str">
        <f>"－"</f>
        <v>－</v>
      </c>
      <c r="J171" s="10"/>
      <c r="K171" s="11" t="n">
        <f>2128</f>
        <v>2128.0</v>
      </c>
    </row>
    <row r="172">
      <c r="A172" s="8" t="s">
        <v>36</v>
      </c>
      <c r="B172" s="9" t="s">
        <v>59</v>
      </c>
      <c r="C172" s="9" t="s">
        <v>60</v>
      </c>
      <c r="D172" s="10" t="s">
        <v>43</v>
      </c>
      <c r="E172" s="11" t="n">
        <f>1063</f>
        <v>1063.0</v>
      </c>
      <c r="F172" s="10" t="s">
        <v>43</v>
      </c>
      <c r="G172" s="11" t="n">
        <f>343789600</f>
        <v>3.437896E8</v>
      </c>
      <c r="H172" s="10"/>
      <c r="I172" s="11" t="str">
        <f>"－"</f>
        <v>－</v>
      </c>
      <c r="J172" s="10"/>
      <c r="K172" s="11" t="n">
        <f>2221</f>
        <v>2221.0</v>
      </c>
    </row>
    <row r="173">
      <c r="A173" s="8" t="s">
        <v>37</v>
      </c>
      <c r="B173" s="9" t="s">
        <v>59</v>
      </c>
      <c r="C173" s="9" t="s">
        <v>60</v>
      </c>
      <c r="D173" s="10"/>
      <c r="E173" s="11" t="n">
        <f>671</f>
        <v>671.0</v>
      </c>
      <c r="F173" s="10"/>
      <c r="G173" s="11" t="n">
        <f>211838100</f>
        <v>2.118381E8</v>
      </c>
      <c r="H173" s="10"/>
      <c r="I173" s="11" t="str">
        <f>"－"</f>
        <v>－</v>
      </c>
      <c r="J173" s="10"/>
      <c r="K173" s="11" t="n">
        <f>2269</f>
        <v>2269.0</v>
      </c>
    </row>
    <row r="174">
      <c r="A174" s="8" t="s">
        <v>38</v>
      </c>
      <c r="B174" s="9" t="s">
        <v>59</v>
      </c>
      <c r="C174" s="9" t="s">
        <v>60</v>
      </c>
      <c r="D174" s="10"/>
      <c r="E174" s="11"/>
      <c r="F174" s="10"/>
      <c r="G174" s="11"/>
      <c r="H174" s="10"/>
      <c r="I174" s="11"/>
      <c r="J174" s="10"/>
      <c r="K174" s="11"/>
    </row>
    <row r="175">
      <c r="A175" s="8" t="s">
        <v>39</v>
      </c>
      <c r="B175" s="9" t="s">
        <v>59</v>
      </c>
      <c r="C175" s="9" t="s">
        <v>60</v>
      </c>
      <c r="D175" s="10"/>
      <c r="E175" s="11"/>
      <c r="F175" s="10"/>
      <c r="G175" s="11"/>
      <c r="H175" s="10"/>
      <c r="I175" s="11"/>
      <c r="J175" s="10"/>
      <c r="K175" s="11"/>
    </row>
    <row r="176">
      <c r="A176" s="8" t="s">
        <v>40</v>
      </c>
      <c r="B176" s="9" t="s">
        <v>59</v>
      </c>
      <c r="C176" s="9" t="s">
        <v>60</v>
      </c>
      <c r="D176" s="10"/>
      <c r="E176" s="11"/>
      <c r="F176" s="10"/>
      <c r="G176" s="11"/>
      <c r="H176" s="10"/>
      <c r="I176" s="11"/>
      <c r="J176" s="10"/>
      <c r="K176" s="11"/>
    </row>
    <row r="177">
      <c r="A177" s="8" t="s">
        <v>41</v>
      </c>
      <c r="B177" s="9" t="s">
        <v>59</v>
      </c>
      <c r="C177" s="9" t="s">
        <v>60</v>
      </c>
      <c r="D177" s="10"/>
      <c r="E177" s="11"/>
      <c r="F177" s="10"/>
      <c r="G177" s="11"/>
      <c r="H177" s="10"/>
      <c r="I177" s="11"/>
      <c r="J177" s="10"/>
      <c r="K177" s="11"/>
    </row>
    <row r="178">
      <c r="A178" s="8" t="s">
        <v>42</v>
      </c>
      <c r="B178" s="9" t="s">
        <v>59</v>
      </c>
      <c r="C178" s="9" t="s">
        <v>60</v>
      </c>
      <c r="D178" s="10"/>
      <c r="E178" s="11" t="n">
        <f>972</f>
        <v>972.0</v>
      </c>
      <c r="F178" s="10"/>
      <c r="G178" s="11" t="n">
        <f>293222300</f>
        <v>2.932223E8</v>
      </c>
      <c r="H178" s="10"/>
      <c r="I178" s="11" t="str">
        <f>"－"</f>
        <v>－</v>
      </c>
      <c r="J178" s="10"/>
      <c r="K178" s="11" t="n">
        <f>2352</f>
        <v>2352.0</v>
      </c>
    </row>
    <row r="179">
      <c r="A179" s="8" t="s">
        <v>44</v>
      </c>
      <c r="B179" s="9" t="s">
        <v>59</v>
      </c>
      <c r="C179" s="9" t="s">
        <v>60</v>
      </c>
      <c r="D179" s="10"/>
      <c r="E179" s="11" t="n">
        <f>1052</f>
        <v>1052.0</v>
      </c>
      <c r="F179" s="10"/>
      <c r="G179" s="11" t="n">
        <f>304011300</f>
        <v>3.040113E8</v>
      </c>
      <c r="H179" s="10"/>
      <c r="I179" s="11" t="str">
        <f>"－"</f>
        <v>－</v>
      </c>
      <c r="J179" s="10"/>
      <c r="K179" s="11" t="n">
        <f>2368</f>
        <v>2368.0</v>
      </c>
    </row>
    <row r="180">
      <c r="A180" s="8" t="s">
        <v>45</v>
      </c>
      <c r="B180" s="9" t="s">
        <v>59</v>
      </c>
      <c r="C180" s="9" t="s">
        <v>60</v>
      </c>
      <c r="D180" s="10"/>
      <c r="E180" s="11" t="n">
        <f>792</f>
        <v>792.0</v>
      </c>
      <c r="F180" s="10"/>
      <c r="G180" s="11" t="n">
        <f>227634800</f>
        <v>2.276348E8</v>
      </c>
      <c r="H180" s="10"/>
      <c r="I180" s="11" t="str">
        <f>"－"</f>
        <v>－</v>
      </c>
      <c r="J180" s="10"/>
      <c r="K180" s="11" t="n">
        <f>2367</f>
        <v>2367.0</v>
      </c>
    </row>
    <row r="181">
      <c r="A181" s="8" t="s">
        <v>46</v>
      </c>
      <c r="B181" s="9" t="s">
        <v>59</v>
      </c>
      <c r="C181" s="9" t="s">
        <v>60</v>
      </c>
      <c r="D181" s="10"/>
      <c r="E181" s="11"/>
      <c r="F181" s="10"/>
      <c r="G181" s="11"/>
      <c r="H181" s="10"/>
      <c r="I181" s="11"/>
      <c r="J181" s="10"/>
      <c r="K181" s="11"/>
    </row>
    <row r="182">
      <c r="A182" s="8" t="s">
        <v>47</v>
      </c>
      <c r="B182" s="9" t="s">
        <v>59</v>
      </c>
      <c r="C182" s="9" t="s">
        <v>60</v>
      </c>
      <c r="D182" s="10"/>
      <c r="E182" s="11"/>
      <c r="F182" s="10"/>
      <c r="G182" s="11"/>
      <c r="H182" s="10"/>
      <c r="I182" s="11"/>
      <c r="J182" s="10"/>
      <c r="K182" s="11"/>
    </row>
    <row r="183">
      <c r="A183" s="8" t="s">
        <v>48</v>
      </c>
      <c r="B183" s="9" t="s">
        <v>59</v>
      </c>
      <c r="C183" s="9" t="s">
        <v>60</v>
      </c>
      <c r="D183" s="10"/>
      <c r="E183" s="11" t="n">
        <f>708</f>
        <v>708.0</v>
      </c>
      <c r="F183" s="10"/>
      <c r="G183" s="11" t="n">
        <f>204670100</f>
        <v>2.046701E8</v>
      </c>
      <c r="H183" s="10"/>
      <c r="I183" s="11" t="str">
        <f>"－"</f>
        <v>－</v>
      </c>
      <c r="J183" s="10"/>
      <c r="K183" s="11" t="n">
        <f>2365</f>
        <v>2365.0</v>
      </c>
    </row>
    <row r="184">
      <c r="A184" s="8" t="s">
        <v>49</v>
      </c>
      <c r="B184" s="9" t="s">
        <v>59</v>
      </c>
      <c r="C184" s="9" t="s">
        <v>60</v>
      </c>
      <c r="D184" s="10"/>
      <c r="E184" s="11" t="n">
        <f>1029</f>
        <v>1029.0</v>
      </c>
      <c r="F184" s="10"/>
      <c r="G184" s="11" t="n">
        <f>305044500</f>
        <v>3.050445E8</v>
      </c>
      <c r="H184" s="10"/>
      <c r="I184" s="11" t="str">
        <f>"－"</f>
        <v>－</v>
      </c>
      <c r="J184" s="10"/>
      <c r="K184" s="11" t="n">
        <f>2360</f>
        <v>2360.0</v>
      </c>
    </row>
    <row r="185">
      <c r="A185" s="8" t="s">
        <v>50</v>
      </c>
      <c r="B185" s="9" t="s">
        <v>59</v>
      </c>
      <c r="C185" s="9" t="s">
        <v>60</v>
      </c>
      <c r="D185" s="10"/>
      <c r="E185" s="11" t="n">
        <f>769</f>
        <v>769.0</v>
      </c>
      <c r="F185" s="10"/>
      <c r="G185" s="11" t="n">
        <f>230293200</f>
        <v>2.302932E8</v>
      </c>
      <c r="H185" s="10"/>
      <c r="I185" s="11" t="str">
        <f>"－"</f>
        <v>－</v>
      </c>
      <c r="J185" s="10" t="s">
        <v>43</v>
      </c>
      <c r="K185" s="11" t="n">
        <f>2370</f>
        <v>2370.0</v>
      </c>
    </row>
    <row r="186">
      <c r="A186" s="8" t="s">
        <v>16</v>
      </c>
      <c r="B186" s="9" t="s">
        <v>61</v>
      </c>
      <c r="C186" s="9" t="s">
        <v>62</v>
      </c>
      <c r="D186" s="10"/>
      <c r="E186" s="11" t="n">
        <f>172</f>
        <v>172.0</v>
      </c>
      <c r="F186" s="10"/>
      <c r="G186" s="11" t="n">
        <f>55677200</f>
        <v>5.56772E7</v>
      </c>
      <c r="H186" s="10" t="s">
        <v>19</v>
      </c>
      <c r="I186" s="11" t="str">
        <f>"－"</f>
        <v>－</v>
      </c>
      <c r="J186" s="10"/>
      <c r="K186" s="11" t="n">
        <f>11659</f>
        <v>11659.0</v>
      </c>
    </row>
    <row r="187">
      <c r="A187" s="8" t="s">
        <v>21</v>
      </c>
      <c r="B187" s="9" t="s">
        <v>61</v>
      </c>
      <c r="C187" s="9" t="s">
        <v>62</v>
      </c>
      <c r="D187" s="10"/>
      <c r="E187" s="11" t="n">
        <f>369</f>
        <v>369.0</v>
      </c>
      <c r="F187" s="10"/>
      <c r="G187" s="11" t="n">
        <f>120580400</f>
        <v>1.205804E8</v>
      </c>
      <c r="H187" s="10"/>
      <c r="I187" s="11" t="str">
        <f>"－"</f>
        <v>－</v>
      </c>
      <c r="J187" s="10" t="s">
        <v>43</v>
      </c>
      <c r="K187" s="11" t="n">
        <f>11701</f>
        <v>11701.0</v>
      </c>
    </row>
    <row r="188">
      <c r="A188" s="8" t="s">
        <v>22</v>
      </c>
      <c r="B188" s="9" t="s">
        <v>61</v>
      </c>
      <c r="C188" s="9" t="s">
        <v>62</v>
      </c>
      <c r="D188" s="10"/>
      <c r="E188" s="11" t="n">
        <f>376</f>
        <v>376.0</v>
      </c>
      <c r="F188" s="10"/>
      <c r="G188" s="11" t="n">
        <f>119741100</f>
        <v>1.197411E8</v>
      </c>
      <c r="H188" s="10"/>
      <c r="I188" s="11" t="str">
        <f>"－"</f>
        <v>－</v>
      </c>
      <c r="J188" s="10"/>
      <c r="K188" s="11" t="n">
        <f>11625</f>
        <v>11625.0</v>
      </c>
    </row>
    <row r="189">
      <c r="A189" s="8" t="s">
        <v>23</v>
      </c>
      <c r="B189" s="9" t="s">
        <v>61</v>
      </c>
      <c r="C189" s="9" t="s">
        <v>62</v>
      </c>
      <c r="D189" s="10"/>
      <c r="E189" s="11" t="n">
        <f>429</f>
        <v>429.0</v>
      </c>
      <c r="F189" s="10"/>
      <c r="G189" s="11" t="n">
        <f>134029400</f>
        <v>1.340294E8</v>
      </c>
      <c r="H189" s="10"/>
      <c r="I189" s="11" t="str">
        <f>"－"</f>
        <v>－</v>
      </c>
      <c r="J189" s="10"/>
      <c r="K189" s="11" t="n">
        <f>11548</f>
        <v>11548.0</v>
      </c>
    </row>
    <row r="190">
      <c r="A190" s="8" t="s">
        <v>24</v>
      </c>
      <c r="B190" s="9" t="s">
        <v>61</v>
      </c>
      <c r="C190" s="9" t="s">
        <v>62</v>
      </c>
      <c r="D190" s="10"/>
      <c r="E190" s="11"/>
      <c r="F190" s="10"/>
      <c r="G190" s="11"/>
      <c r="H190" s="10"/>
      <c r="I190" s="11"/>
      <c r="J190" s="10"/>
      <c r="K190" s="11"/>
    </row>
    <row r="191">
      <c r="A191" s="8" t="s">
        <v>25</v>
      </c>
      <c r="B191" s="9" t="s">
        <v>61</v>
      </c>
      <c r="C191" s="9" t="s">
        <v>62</v>
      </c>
      <c r="D191" s="10"/>
      <c r="E191" s="11"/>
      <c r="F191" s="10"/>
      <c r="G191" s="11"/>
      <c r="H191" s="10"/>
      <c r="I191" s="11"/>
      <c r="J191" s="10"/>
      <c r="K191" s="11"/>
    </row>
    <row r="192">
      <c r="A192" s="8" t="s">
        <v>26</v>
      </c>
      <c r="B192" s="9" t="s">
        <v>61</v>
      </c>
      <c r="C192" s="9" t="s">
        <v>62</v>
      </c>
      <c r="D192" s="10"/>
      <c r="E192" s="11" t="n">
        <f>146</f>
        <v>146.0</v>
      </c>
      <c r="F192" s="10"/>
      <c r="G192" s="11" t="n">
        <f>45757200</f>
        <v>4.57572E7</v>
      </c>
      <c r="H192" s="10"/>
      <c r="I192" s="11" t="str">
        <f>"－"</f>
        <v>－</v>
      </c>
      <c r="J192" s="10"/>
      <c r="K192" s="11" t="n">
        <f>11554</f>
        <v>11554.0</v>
      </c>
    </row>
    <row r="193">
      <c r="A193" s="8" t="s">
        <v>27</v>
      </c>
      <c r="B193" s="9" t="s">
        <v>61</v>
      </c>
      <c r="C193" s="9" t="s">
        <v>62</v>
      </c>
      <c r="D193" s="10" t="s">
        <v>20</v>
      </c>
      <c r="E193" s="11" t="n">
        <f>100</f>
        <v>100.0</v>
      </c>
      <c r="F193" s="10" t="s">
        <v>20</v>
      </c>
      <c r="G193" s="11" t="n">
        <f>31546800</f>
        <v>3.15468E7</v>
      </c>
      <c r="H193" s="10"/>
      <c r="I193" s="11" t="str">
        <f>"－"</f>
        <v>－</v>
      </c>
      <c r="J193" s="10"/>
      <c r="K193" s="11" t="n">
        <f>11551</f>
        <v>11551.0</v>
      </c>
    </row>
    <row r="194">
      <c r="A194" s="8" t="s">
        <v>28</v>
      </c>
      <c r="B194" s="9" t="s">
        <v>61</v>
      </c>
      <c r="C194" s="9" t="s">
        <v>62</v>
      </c>
      <c r="D194" s="10"/>
      <c r="E194" s="11" t="n">
        <f>605</f>
        <v>605.0</v>
      </c>
      <c r="F194" s="10"/>
      <c r="G194" s="11" t="n">
        <f>190900600</f>
        <v>1.909006E8</v>
      </c>
      <c r="H194" s="10"/>
      <c r="I194" s="11" t="str">
        <f>"－"</f>
        <v>－</v>
      </c>
      <c r="J194" s="10"/>
      <c r="K194" s="11" t="n">
        <f>11452</f>
        <v>11452.0</v>
      </c>
    </row>
    <row r="195">
      <c r="A195" s="8" t="s">
        <v>29</v>
      </c>
      <c r="B195" s="9" t="s">
        <v>61</v>
      </c>
      <c r="C195" s="9" t="s">
        <v>62</v>
      </c>
      <c r="D195" s="10"/>
      <c r="E195" s="11" t="n">
        <f>175</f>
        <v>175.0</v>
      </c>
      <c r="F195" s="10"/>
      <c r="G195" s="11" t="n">
        <f>55649700</f>
        <v>5.56497E7</v>
      </c>
      <c r="H195" s="10"/>
      <c r="I195" s="11" t="str">
        <f>"－"</f>
        <v>－</v>
      </c>
      <c r="J195" s="10"/>
      <c r="K195" s="11" t="n">
        <f>11414</f>
        <v>11414.0</v>
      </c>
    </row>
    <row r="196">
      <c r="A196" s="8" t="s">
        <v>30</v>
      </c>
      <c r="B196" s="9" t="s">
        <v>61</v>
      </c>
      <c r="C196" s="9" t="s">
        <v>62</v>
      </c>
      <c r="D196" s="10"/>
      <c r="E196" s="11" t="n">
        <f>207</f>
        <v>207.0</v>
      </c>
      <c r="F196" s="10"/>
      <c r="G196" s="11" t="n">
        <f>66445800</f>
        <v>6.64458E7</v>
      </c>
      <c r="H196" s="10"/>
      <c r="I196" s="11" t="str">
        <f>"－"</f>
        <v>－</v>
      </c>
      <c r="J196" s="10"/>
      <c r="K196" s="11" t="n">
        <f>11390</f>
        <v>11390.0</v>
      </c>
    </row>
    <row r="197">
      <c r="A197" s="8" t="s">
        <v>31</v>
      </c>
      <c r="B197" s="9" t="s">
        <v>61</v>
      </c>
      <c r="C197" s="9" t="s">
        <v>62</v>
      </c>
      <c r="D197" s="10"/>
      <c r="E197" s="11"/>
      <c r="F197" s="10"/>
      <c r="G197" s="11"/>
      <c r="H197" s="10"/>
      <c r="I197" s="11"/>
      <c r="J197" s="10"/>
      <c r="K197" s="11"/>
    </row>
    <row r="198">
      <c r="A198" s="8" t="s">
        <v>32</v>
      </c>
      <c r="B198" s="9" t="s">
        <v>61</v>
      </c>
      <c r="C198" s="9" t="s">
        <v>62</v>
      </c>
      <c r="D198" s="10"/>
      <c r="E198" s="11"/>
      <c r="F198" s="10"/>
      <c r="G198" s="11"/>
      <c r="H198" s="10"/>
      <c r="I198" s="11"/>
      <c r="J198" s="10"/>
      <c r="K198" s="11"/>
    </row>
    <row r="199">
      <c r="A199" s="8" t="s">
        <v>33</v>
      </c>
      <c r="B199" s="9" t="s">
        <v>61</v>
      </c>
      <c r="C199" s="9" t="s">
        <v>62</v>
      </c>
      <c r="D199" s="10"/>
      <c r="E199" s="11" t="n">
        <f>130</f>
        <v>130.0</v>
      </c>
      <c r="F199" s="10"/>
      <c r="G199" s="11" t="n">
        <f>41837800</f>
        <v>4.18378E7</v>
      </c>
      <c r="H199" s="10"/>
      <c r="I199" s="11" t="str">
        <f>"－"</f>
        <v>－</v>
      </c>
      <c r="J199" s="10"/>
      <c r="K199" s="11" t="n">
        <f>11384</f>
        <v>11384.0</v>
      </c>
    </row>
    <row r="200">
      <c r="A200" s="8" t="s">
        <v>34</v>
      </c>
      <c r="B200" s="9" t="s">
        <v>61</v>
      </c>
      <c r="C200" s="9" t="s">
        <v>62</v>
      </c>
      <c r="D200" s="10"/>
      <c r="E200" s="11" t="n">
        <f>277</f>
        <v>277.0</v>
      </c>
      <c r="F200" s="10"/>
      <c r="G200" s="11" t="n">
        <f>90550900</f>
        <v>9.05509E7</v>
      </c>
      <c r="H200" s="10"/>
      <c r="I200" s="11" t="str">
        <f>"－"</f>
        <v>－</v>
      </c>
      <c r="J200" s="10"/>
      <c r="K200" s="11" t="n">
        <f>11378</f>
        <v>11378.0</v>
      </c>
    </row>
    <row r="201">
      <c r="A201" s="8" t="s">
        <v>35</v>
      </c>
      <c r="B201" s="9" t="s">
        <v>61</v>
      </c>
      <c r="C201" s="9" t="s">
        <v>62</v>
      </c>
      <c r="D201" s="10"/>
      <c r="E201" s="11" t="n">
        <f>291</f>
        <v>291.0</v>
      </c>
      <c r="F201" s="10"/>
      <c r="G201" s="11" t="n">
        <f>95991100</f>
        <v>9.59911E7</v>
      </c>
      <c r="H201" s="10"/>
      <c r="I201" s="11" t="str">
        <f>"－"</f>
        <v>－</v>
      </c>
      <c r="J201" s="10" t="s">
        <v>20</v>
      </c>
      <c r="K201" s="11" t="n">
        <f>11371</f>
        <v>11371.0</v>
      </c>
    </row>
    <row r="202">
      <c r="A202" s="8" t="s">
        <v>36</v>
      </c>
      <c r="B202" s="9" t="s">
        <v>61</v>
      </c>
      <c r="C202" s="9" t="s">
        <v>62</v>
      </c>
      <c r="D202" s="10"/>
      <c r="E202" s="11" t="n">
        <f>305</f>
        <v>305.0</v>
      </c>
      <c r="F202" s="10"/>
      <c r="G202" s="11" t="n">
        <f>100034000</f>
        <v>1.00034E8</v>
      </c>
      <c r="H202" s="10"/>
      <c r="I202" s="11" t="str">
        <f>"－"</f>
        <v>－</v>
      </c>
      <c r="J202" s="10"/>
      <c r="K202" s="11" t="n">
        <f>11413</f>
        <v>11413.0</v>
      </c>
    </row>
    <row r="203">
      <c r="A203" s="8" t="s">
        <v>37</v>
      </c>
      <c r="B203" s="9" t="s">
        <v>61</v>
      </c>
      <c r="C203" s="9" t="s">
        <v>62</v>
      </c>
      <c r="D203" s="10"/>
      <c r="E203" s="11" t="n">
        <f>278</f>
        <v>278.0</v>
      </c>
      <c r="F203" s="10"/>
      <c r="G203" s="11" t="n">
        <f>89414700</f>
        <v>8.94147E7</v>
      </c>
      <c r="H203" s="10"/>
      <c r="I203" s="11" t="str">
        <f>"－"</f>
        <v>－</v>
      </c>
      <c r="J203" s="10"/>
      <c r="K203" s="11" t="n">
        <f>11456</f>
        <v>11456.0</v>
      </c>
    </row>
    <row r="204">
      <c r="A204" s="8" t="s">
        <v>38</v>
      </c>
      <c r="B204" s="9" t="s">
        <v>61</v>
      </c>
      <c r="C204" s="9" t="s">
        <v>62</v>
      </c>
      <c r="D204" s="10"/>
      <c r="E204" s="11"/>
      <c r="F204" s="10"/>
      <c r="G204" s="11"/>
      <c r="H204" s="10"/>
      <c r="I204" s="11"/>
      <c r="J204" s="10"/>
      <c r="K204" s="11"/>
    </row>
    <row r="205">
      <c r="A205" s="8" t="s">
        <v>39</v>
      </c>
      <c r="B205" s="9" t="s">
        <v>61</v>
      </c>
      <c r="C205" s="9" t="s">
        <v>62</v>
      </c>
      <c r="D205" s="10"/>
      <c r="E205" s="11"/>
      <c r="F205" s="10"/>
      <c r="G205" s="11"/>
      <c r="H205" s="10"/>
      <c r="I205" s="11"/>
      <c r="J205" s="10"/>
      <c r="K205" s="11"/>
    </row>
    <row r="206">
      <c r="A206" s="8" t="s">
        <v>40</v>
      </c>
      <c r="B206" s="9" t="s">
        <v>61</v>
      </c>
      <c r="C206" s="9" t="s">
        <v>62</v>
      </c>
      <c r="D206" s="10"/>
      <c r="E206" s="11"/>
      <c r="F206" s="10"/>
      <c r="G206" s="11"/>
      <c r="H206" s="10"/>
      <c r="I206" s="11"/>
      <c r="J206" s="10"/>
      <c r="K206" s="11"/>
    </row>
    <row r="207">
      <c r="A207" s="8" t="s">
        <v>41</v>
      </c>
      <c r="B207" s="9" t="s">
        <v>61</v>
      </c>
      <c r="C207" s="9" t="s">
        <v>62</v>
      </c>
      <c r="D207" s="10"/>
      <c r="E207" s="11"/>
      <c r="F207" s="10"/>
      <c r="G207" s="11"/>
      <c r="H207" s="10"/>
      <c r="I207" s="11"/>
      <c r="J207" s="10"/>
      <c r="K207" s="11"/>
    </row>
    <row r="208">
      <c r="A208" s="8" t="s">
        <v>42</v>
      </c>
      <c r="B208" s="9" t="s">
        <v>61</v>
      </c>
      <c r="C208" s="9" t="s">
        <v>62</v>
      </c>
      <c r="D208" s="10"/>
      <c r="E208" s="11" t="n">
        <f>780</f>
        <v>780.0</v>
      </c>
      <c r="F208" s="10"/>
      <c r="G208" s="11" t="n">
        <f>238065300</f>
        <v>2.380653E8</v>
      </c>
      <c r="H208" s="10"/>
      <c r="I208" s="11" t="str">
        <f>"－"</f>
        <v>－</v>
      </c>
      <c r="J208" s="10"/>
      <c r="K208" s="11" t="n">
        <f>11483</f>
        <v>11483.0</v>
      </c>
    </row>
    <row r="209">
      <c r="A209" s="8" t="s">
        <v>44</v>
      </c>
      <c r="B209" s="9" t="s">
        <v>61</v>
      </c>
      <c r="C209" s="9" t="s">
        <v>62</v>
      </c>
      <c r="D209" s="10" t="s">
        <v>43</v>
      </c>
      <c r="E209" s="11" t="n">
        <f>935</f>
        <v>935.0</v>
      </c>
      <c r="F209" s="10" t="s">
        <v>43</v>
      </c>
      <c r="G209" s="11" t="n">
        <f>275349100</f>
        <v>2.753491E8</v>
      </c>
      <c r="H209" s="10"/>
      <c r="I209" s="11" t="str">
        <f>"－"</f>
        <v>－</v>
      </c>
      <c r="J209" s="10"/>
      <c r="K209" s="11" t="n">
        <f>11685</f>
        <v>11685.0</v>
      </c>
    </row>
    <row r="210">
      <c r="A210" s="8" t="s">
        <v>45</v>
      </c>
      <c r="B210" s="9" t="s">
        <v>61</v>
      </c>
      <c r="C210" s="9" t="s">
        <v>62</v>
      </c>
      <c r="D210" s="10"/>
      <c r="E210" s="11" t="n">
        <f>656</f>
        <v>656.0</v>
      </c>
      <c r="F210" s="10"/>
      <c r="G210" s="11" t="n">
        <f>193850100</f>
        <v>1.938501E8</v>
      </c>
      <c r="H210" s="10"/>
      <c r="I210" s="11" t="str">
        <f>"－"</f>
        <v>－</v>
      </c>
      <c r="J210" s="10"/>
      <c r="K210" s="11" t="n">
        <f>11681</f>
        <v>11681.0</v>
      </c>
    </row>
    <row r="211">
      <c r="A211" s="8" t="s">
        <v>46</v>
      </c>
      <c r="B211" s="9" t="s">
        <v>61</v>
      </c>
      <c r="C211" s="9" t="s">
        <v>62</v>
      </c>
      <c r="D211" s="10"/>
      <c r="E211" s="11"/>
      <c r="F211" s="10"/>
      <c r="G211" s="11"/>
      <c r="H211" s="10"/>
      <c r="I211" s="11"/>
      <c r="J211" s="10"/>
      <c r="K211" s="11"/>
    </row>
    <row r="212">
      <c r="A212" s="8" t="s">
        <v>47</v>
      </c>
      <c r="B212" s="9" t="s">
        <v>61</v>
      </c>
      <c r="C212" s="9" t="s">
        <v>62</v>
      </c>
      <c r="D212" s="10"/>
      <c r="E212" s="11"/>
      <c r="F212" s="10"/>
      <c r="G212" s="11"/>
      <c r="H212" s="10"/>
      <c r="I212" s="11"/>
      <c r="J212" s="10"/>
      <c r="K212" s="11"/>
    </row>
    <row r="213">
      <c r="A213" s="8" t="s">
        <v>48</v>
      </c>
      <c r="B213" s="9" t="s">
        <v>61</v>
      </c>
      <c r="C213" s="9" t="s">
        <v>62</v>
      </c>
      <c r="D213" s="10"/>
      <c r="E213" s="11" t="n">
        <f>168</f>
        <v>168.0</v>
      </c>
      <c r="F213" s="10"/>
      <c r="G213" s="11" t="n">
        <f>49812700</f>
        <v>4.98127E7</v>
      </c>
      <c r="H213" s="10"/>
      <c r="I213" s="11" t="str">
        <f>"－"</f>
        <v>－</v>
      </c>
      <c r="J213" s="10"/>
      <c r="K213" s="11" t="n">
        <f>11649</f>
        <v>11649.0</v>
      </c>
    </row>
    <row r="214">
      <c r="A214" s="8" t="s">
        <v>49</v>
      </c>
      <c r="B214" s="9" t="s">
        <v>61</v>
      </c>
      <c r="C214" s="9" t="s">
        <v>62</v>
      </c>
      <c r="D214" s="10"/>
      <c r="E214" s="11" t="n">
        <f>236</f>
        <v>236.0</v>
      </c>
      <c r="F214" s="10"/>
      <c r="G214" s="11" t="n">
        <f>71827400</f>
        <v>7.18274E7</v>
      </c>
      <c r="H214" s="10"/>
      <c r="I214" s="11" t="str">
        <f>"－"</f>
        <v>－</v>
      </c>
      <c r="J214" s="10"/>
      <c r="K214" s="11" t="n">
        <f>11623</f>
        <v>11623.0</v>
      </c>
    </row>
    <row r="215">
      <c r="A215" s="8" t="s">
        <v>50</v>
      </c>
      <c r="B215" s="9" t="s">
        <v>61</v>
      </c>
      <c r="C215" s="9" t="s">
        <v>62</v>
      </c>
      <c r="D215" s="10"/>
      <c r="E215" s="11" t="n">
        <f>303</f>
        <v>303.0</v>
      </c>
      <c r="F215" s="10"/>
      <c r="G215" s="11" t="n">
        <f>92247900</f>
        <v>9.22479E7</v>
      </c>
      <c r="H215" s="10"/>
      <c r="I215" s="11" t="str">
        <f>"－"</f>
        <v>－</v>
      </c>
      <c r="J215" s="10"/>
      <c r="K215" s="11" t="n">
        <f>11570</f>
        <v>11570.0</v>
      </c>
    </row>
    <row r="216">
      <c r="A216" s="8" t="s">
        <v>16</v>
      </c>
      <c r="B216" s="9" t="s">
        <v>63</v>
      </c>
      <c r="C216" s="9" t="s">
        <v>64</v>
      </c>
      <c r="D216" s="10"/>
      <c r="E216" s="11" t="n">
        <f>18</f>
        <v>18.0</v>
      </c>
      <c r="F216" s="10"/>
      <c r="G216" s="11" t="n">
        <f>68371000</f>
        <v>6.8371E7</v>
      </c>
      <c r="H216" s="10" t="s">
        <v>19</v>
      </c>
      <c r="I216" s="11" t="str">
        <f>"－"</f>
        <v>－</v>
      </c>
      <c r="J216" s="10"/>
      <c r="K216" s="11" t="n">
        <f>500</f>
        <v>500.0</v>
      </c>
    </row>
    <row r="217">
      <c r="A217" s="8" t="s">
        <v>21</v>
      </c>
      <c r="B217" s="9" t="s">
        <v>63</v>
      </c>
      <c r="C217" s="9" t="s">
        <v>64</v>
      </c>
      <c r="D217" s="10"/>
      <c r="E217" s="11" t="n">
        <f>4</f>
        <v>4.0</v>
      </c>
      <c r="F217" s="10"/>
      <c r="G217" s="11" t="n">
        <f>15679000</f>
        <v>1.5679E7</v>
      </c>
      <c r="H217" s="10"/>
      <c r="I217" s="11" t="str">
        <f>"－"</f>
        <v>－</v>
      </c>
      <c r="J217" s="10"/>
      <c r="K217" s="11" t="n">
        <f>502</f>
        <v>502.0</v>
      </c>
    </row>
    <row r="218">
      <c r="A218" s="8" t="s">
        <v>22</v>
      </c>
      <c r="B218" s="9" t="s">
        <v>63</v>
      </c>
      <c r="C218" s="9" t="s">
        <v>64</v>
      </c>
      <c r="D218" s="10"/>
      <c r="E218" s="11" t="n">
        <f>8</f>
        <v>8.0</v>
      </c>
      <c r="F218" s="10"/>
      <c r="G218" s="11" t="n">
        <f>30616500</f>
        <v>3.06165E7</v>
      </c>
      <c r="H218" s="10"/>
      <c r="I218" s="11" t="str">
        <f>"－"</f>
        <v>－</v>
      </c>
      <c r="J218" s="10"/>
      <c r="K218" s="11" t="n">
        <f>502</f>
        <v>502.0</v>
      </c>
    </row>
    <row r="219">
      <c r="A219" s="8" t="s">
        <v>23</v>
      </c>
      <c r="B219" s="9" t="s">
        <v>63</v>
      </c>
      <c r="C219" s="9" t="s">
        <v>64</v>
      </c>
      <c r="D219" s="10"/>
      <c r="E219" s="11" t="n">
        <f>58</f>
        <v>58.0</v>
      </c>
      <c r="F219" s="10"/>
      <c r="G219" s="11" t="n">
        <f>227122500</f>
        <v>2.271225E8</v>
      </c>
      <c r="H219" s="10"/>
      <c r="I219" s="11" t="str">
        <f>"－"</f>
        <v>－</v>
      </c>
      <c r="J219" s="10"/>
      <c r="K219" s="11" t="n">
        <f>516</f>
        <v>516.0</v>
      </c>
    </row>
    <row r="220">
      <c r="A220" s="8" t="s">
        <v>24</v>
      </c>
      <c r="B220" s="9" t="s">
        <v>63</v>
      </c>
      <c r="C220" s="9" t="s">
        <v>64</v>
      </c>
      <c r="D220" s="10"/>
      <c r="E220" s="11"/>
      <c r="F220" s="10"/>
      <c r="G220" s="11"/>
      <c r="H220" s="10"/>
      <c r="I220" s="11"/>
      <c r="J220" s="10"/>
      <c r="K220" s="11"/>
    </row>
    <row r="221">
      <c r="A221" s="8" t="s">
        <v>25</v>
      </c>
      <c r="B221" s="9" t="s">
        <v>63</v>
      </c>
      <c r="C221" s="9" t="s">
        <v>64</v>
      </c>
      <c r="D221" s="10"/>
      <c r="E221" s="11"/>
      <c r="F221" s="10"/>
      <c r="G221" s="11"/>
      <c r="H221" s="10"/>
      <c r="I221" s="11"/>
      <c r="J221" s="10"/>
      <c r="K221" s="11"/>
    </row>
    <row r="222">
      <c r="A222" s="8" t="s">
        <v>26</v>
      </c>
      <c r="B222" s="9" t="s">
        <v>63</v>
      </c>
      <c r="C222" s="9" t="s">
        <v>64</v>
      </c>
      <c r="D222" s="10"/>
      <c r="E222" s="11" t="n">
        <f>25</f>
        <v>25.0</v>
      </c>
      <c r="F222" s="10"/>
      <c r="G222" s="11" t="n">
        <f>98208000</f>
        <v>9.8208E7</v>
      </c>
      <c r="H222" s="10"/>
      <c r="I222" s="11" t="str">
        <f>"－"</f>
        <v>－</v>
      </c>
      <c r="J222" s="10"/>
      <c r="K222" s="11" t="n">
        <f>510</f>
        <v>510.0</v>
      </c>
    </row>
    <row r="223">
      <c r="A223" s="8" t="s">
        <v>27</v>
      </c>
      <c r="B223" s="9" t="s">
        <v>63</v>
      </c>
      <c r="C223" s="9" t="s">
        <v>64</v>
      </c>
      <c r="D223" s="10"/>
      <c r="E223" s="11" t="n">
        <f>2</f>
        <v>2.0</v>
      </c>
      <c r="F223" s="10"/>
      <c r="G223" s="11" t="n">
        <f>7880000</f>
        <v>7880000.0</v>
      </c>
      <c r="H223" s="10"/>
      <c r="I223" s="11" t="str">
        <f>"－"</f>
        <v>－</v>
      </c>
      <c r="J223" s="10"/>
      <c r="K223" s="11" t="n">
        <f>510</f>
        <v>510.0</v>
      </c>
    </row>
    <row r="224">
      <c r="A224" s="8" t="s">
        <v>28</v>
      </c>
      <c r="B224" s="9" t="s">
        <v>63</v>
      </c>
      <c r="C224" s="9" t="s">
        <v>64</v>
      </c>
      <c r="D224" s="10"/>
      <c r="E224" s="11" t="n">
        <f>17</f>
        <v>17.0</v>
      </c>
      <c r="F224" s="10"/>
      <c r="G224" s="11" t="n">
        <f>66459000</f>
        <v>6.6459E7</v>
      </c>
      <c r="H224" s="10"/>
      <c r="I224" s="11" t="str">
        <f>"－"</f>
        <v>－</v>
      </c>
      <c r="J224" s="10"/>
      <c r="K224" s="11" t="n">
        <f>511</f>
        <v>511.0</v>
      </c>
    </row>
    <row r="225">
      <c r="A225" s="8" t="s">
        <v>29</v>
      </c>
      <c r="B225" s="9" t="s">
        <v>63</v>
      </c>
      <c r="C225" s="9" t="s">
        <v>64</v>
      </c>
      <c r="D225" s="10"/>
      <c r="E225" s="11" t="n">
        <f>7</f>
        <v>7.0</v>
      </c>
      <c r="F225" s="10"/>
      <c r="G225" s="11" t="n">
        <f>27273500</f>
        <v>2.72735E7</v>
      </c>
      <c r="H225" s="10"/>
      <c r="I225" s="11" t="str">
        <f>"－"</f>
        <v>－</v>
      </c>
      <c r="J225" s="10"/>
      <c r="K225" s="11" t="n">
        <f>508</f>
        <v>508.0</v>
      </c>
    </row>
    <row r="226">
      <c r="A226" s="8" t="s">
        <v>30</v>
      </c>
      <c r="B226" s="9" t="s">
        <v>63</v>
      </c>
      <c r="C226" s="9" t="s">
        <v>64</v>
      </c>
      <c r="D226" s="10" t="s">
        <v>20</v>
      </c>
      <c r="E226" s="11" t="str">
        <f>"－"</f>
        <v>－</v>
      </c>
      <c r="F226" s="10" t="s">
        <v>20</v>
      </c>
      <c r="G226" s="11" t="str">
        <f>"－"</f>
        <v>－</v>
      </c>
      <c r="H226" s="10"/>
      <c r="I226" s="11" t="str">
        <f>"－"</f>
        <v>－</v>
      </c>
      <c r="J226" s="10"/>
      <c r="K226" s="11" t="n">
        <f>508</f>
        <v>508.0</v>
      </c>
    </row>
    <row r="227">
      <c r="A227" s="8" t="s">
        <v>31</v>
      </c>
      <c r="B227" s="9" t="s">
        <v>63</v>
      </c>
      <c r="C227" s="9" t="s">
        <v>64</v>
      </c>
      <c r="D227" s="10"/>
      <c r="E227" s="11"/>
      <c r="F227" s="10"/>
      <c r="G227" s="11"/>
      <c r="H227" s="10"/>
      <c r="I227" s="11"/>
      <c r="J227" s="10"/>
      <c r="K227" s="11"/>
    </row>
    <row r="228">
      <c r="A228" s="8" t="s">
        <v>32</v>
      </c>
      <c r="B228" s="9" t="s">
        <v>63</v>
      </c>
      <c r="C228" s="9" t="s">
        <v>64</v>
      </c>
      <c r="D228" s="10"/>
      <c r="E228" s="11"/>
      <c r="F228" s="10"/>
      <c r="G228" s="11"/>
      <c r="H228" s="10"/>
      <c r="I228" s="11"/>
      <c r="J228" s="10"/>
      <c r="K228" s="11"/>
    </row>
    <row r="229">
      <c r="A229" s="8" t="s">
        <v>33</v>
      </c>
      <c r="B229" s="9" t="s">
        <v>63</v>
      </c>
      <c r="C229" s="9" t="s">
        <v>64</v>
      </c>
      <c r="D229" s="10"/>
      <c r="E229" s="11" t="n">
        <f>6</f>
        <v>6.0</v>
      </c>
      <c r="F229" s="10"/>
      <c r="G229" s="11" t="n">
        <f>23516000</f>
        <v>2.3516E7</v>
      </c>
      <c r="H229" s="10"/>
      <c r="I229" s="11" t="str">
        <f>"－"</f>
        <v>－</v>
      </c>
      <c r="J229" s="10"/>
      <c r="K229" s="11" t="n">
        <f>511</f>
        <v>511.0</v>
      </c>
    </row>
    <row r="230">
      <c r="A230" s="8" t="s">
        <v>34</v>
      </c>
      <c r="B230" s="9" t="s">
        <v>63</v>
      </c>
      <c r="C230" s="9" t="s">
        <v>64</v>
      </c>
      <c r="D230" s="10"/>
      <c r="E230" s="11" t="n">
        <f>8</f>
        <v>8.0</v>
      </c>
      <c r="F230" s="10"/>
      <c r="G230" s="11" t="n">
        <f>31163000</f>
        <v>3.1163E7</v>
      </c>
      <c r="H230" s="10"/>
      <c r="I230" s="11" t="str">
        <f>"－"</f>
        <v>－</v>
      </c>
      <c r="J230" s="10"/>
      <c r="K230" s="11" t="n">
        <f>518</f>
        <v>518.0</v>
      </c>
    </row>
    <row r="231">
      <c r="A231" s="8" t="s">
        <v>35</v>
      </c>
      <c r="B231" s="9" t="s">
        <v>63</v>
      </c>
      <c r="C231" s="9" t="s">
        <v>64</v>
      </c>
      <c r="D231" s="10"/>
      <c r="E231" s="11" t="n">
        <f>9</f>
        <v>9.0</v>
      </c>
      <c r="F231" s="10"/>
      <c r="G231" s="11" t="n">
        <f>36074500</f>
        <v>3.60745E7</v>
      </c>
      <c r="H231" s="10"/>
      <c r="I231" s="11" t="str">
        <f>"－"</f>
        <v>－</v>
      </c>
      <c r="J231" s="10"/>
      <c r="K231" s="11" t="n">
        <f>522</f>
        <v>522.0</v>
      </c>
    </row>
    <row r="232">
      <c r="A232" s="8" t="s">
        <v>36</v>
      </c>
      <c r="B232" s="9" t="s">
        <v>63</v>
      </c>
      <c r="C232" s="9" t="s">
        <v>64</v>
      </c>
      <c r="D232" s="10"/>
      <c r="E232" s="11" t="n">
        <f>4</f>
        <v>4.0</v>
      </c>
      <c r="F232" s="10"/>
      <c r="G232" s="11" t="n">
        <f>15975500</f>
        <v>1.59755E7</v>
      </c>
      <c r="H232" s="10"/>
      <c r="I232" s="11" t="str">
        <f>"－"</f>
        <v>－</v>
      </c>
      <c r="J232" s="10"/>
      <c r="K232" s="11" t="n">
        <f>521</f>
        <v>521.0</v>
      </c>
    </row>
    <row r="233">
      <c r="A233" s="8" t="s">
        <v>37</v>
      </c>
      <c r="B233" s="9" t="s">
        <v>63</v>
      </c>
      <c r="C233" s="9" t="s">
        <v>64</v>
      </c>
      <c r="D233" s="10"/>
      <c r="E233" s="11" t="n">
        <f>15</f>
        <v>15.0</v>
      </c>
      <c r="F233" s="10"/>
      <c r="G233" s="11" t="n">
        <f>58929500</f>
        <v>5.89295E7</v>
      </c>
      <c r="H233" s="10"/>
      <c r="I233" s="11" t="str">
        <f>"－"</f>
        <v>－</v>
      </c>
      <c r="J233" s="10"/>
      <c r="K233" s="11" t="n">
        <f>520</f>
        <v>520.0</v>
      </c>
    </row>
    <row r="234">
      <c r="A234" s="8" t="s">
        <v>38</v>
      </c>
      <c r="B234" s="9" t="s">
        <v>63</v>
      </c>
      <c r="C234" s="9" t="s">
        <v>64</v>
      </c>
      <c r="D234" s="10"/>
      <c r="E234" s="11"/>
      <c r="F234" s="10"/>
      <c r="G234" s="11"/>
      <c r="H234" s="10"/>
      <c r="I234" s="11"/>
      <c r="J234" s="10"/>
      <c r="K234" s="11"/>
    </row>
    <row r="235">
      <c r="A235" s="8" t="s">
        <v>39</v>
      </c>
      <c r="B235" s="9" t="s">
        <v>63</v>
      </c>
      <c r="C235" s="9" t="s">
        <v>64</v>
      </c>
      <c r="D235" s="10"/>
      <c r="E235" s="11"/>
      <c r="F235" s="10"/>
      <c r="G235" s="11"/>
      <c r="H235" s="10"/>
      <c r="I235" s="11"/>
      <c r="J235" s="10"/>
      <c r="K235" s="11"/>
    </row>
    <row r="236">
      <c r="A236" s="8" t="s">
        <v>40</v>
      </c>
      <c r="B236" s="9" t="s">
        <v>63</v>
      </c>
      <c r="C236" s="9" t="s">
        <v>64</v>
      </c>
      <c r="D236" s="10"/>
      <c r="E236" s="11"/>
      <c r="F236" s="10"/>
      <c r="G236" s="11"/>
      <c r="H236" s="10"/>
      <c r="I236" s="11"/>
      <c r="J236" s="10"/>
      <c r="K236" s="11"/>
    </row>
    <row r="237">
      <c r="A237" s="8" t="s">
        <v>41</v>
      </c>
      <c r="B237" s="9" t="s">
        <v>63</v>
      </c>
      <c r="C237" s="9" t="s">
        <v>64</v>
      </c>
      <c r="D237" s="10"/>
      <c r="E237" s="11"/>
      <c r="F237" s="10"/>
      <c r="G237" s="11"/>
      <c r="H237" s="10"/>
      <c r="I237" s="11"/>
      <c r="J237" s="10"/>
      <c r="K237" s="11"/>
    </row>
    <row r="238">
      <c r="A238" s="8" t="s">
        <v>42</v>
      </c>
      <c r="B238" s="9" t="s">
        <v>63</v>
      </c>
      <c r="C238" s="9" t="s">
        <v>64</v>
      </c>
      <c r="D238" s="10"/>
      <c r="E238" s="11" t="n">
        <f>22</f>
        <v>22.0</v>
      </c>
      <c r="F238" s="10"/>
      <c r="G238" s="11" t="n">
        <f>81113000</f>
        <v>8.1113E7</v>
      </c>
      <c r="H238" s="10"/>
      <c r="I238" s="11" t="str">
        <f>"－"</f>
        <v>－</v>
      </c>
      <c r="J238" s="10"/>
      <c r="K238" s="11" t="n">
        <f>525</f>
        <v>525.0</v>
      </c>
    </row>
    <row r="239">
      <c r="A239" s="8" t="s">
        <v>44</v>
      </c>
      <c r="B239" s="9" t="s">
        <v>63</v>
      </c>
      <c r="C239" s="9" t="s">
        <v>64</v>
      </c>
      <c r="D239" s="10"/>
      <c r="E239" s="11" t="n">
        <f>28</f>
        <v>28.0</v>
      </c>
      <c r="F239" s="10"/>
      <c r="G239" s="11" t="n">
        <f>103147000</f>
        <v>1.03147E8</v>
      </c>
      <c r="H239" s="10"/>
      <c r="I239" s="11" t="str">
        <f>"－"</f>
        <v>－</v>
      </c>
      <c r="J239" s="10" t="s">
        <v>43</v>
      </c>
      <c r="K239" s="11" t="n">
        <f>529</f>
        <v>529.0</v>
      </c>
    </row>
    <row r="240">
      <c r="A240" s="8" t="s">
        <v>45</v>
      </c>
      <c r="B240" s="9" t="s">
        <v>63</v>
      </c>
      <c r="C240" s="9" t="s">
        <v>64</v>
      </c>
      <c r="D240" s="10"/>
      <c r="E240" s="11" t="n">
        <f>50</f>
        <v>50.0</v>
      </c>
      <c r="F240" s="10"/>
      <c r="G240" s="11" t="n">
        <f>185398500</f>
        <v>1.853985E8</v>
      </c>
      <c r="H240" s="10"/>
      <c r="I240" s="11" t="str">
        <f>"－"</f>
        <v>－</v>
      </c>
      <c r="J240" s="10"/>
      <c r="K240" s="11" t="n">
        <f>516</f>
        <v>516.0</v>
      </c>
    </row>
    <row r="241">
      <c r="A241" s="8" t="s">
        <v>46</v>
      </c>
      <c r="B241" s="9" t="s">
        <v>63</v>
      </c>
      <c r="C241" s="9" t="s">
        <v>64</v>
      </c>
      <c r="D241" s="10"/>
      <c r="E241" s="11"/>
      <c r="F241" s="10"/>
      <c r="G241" s="11"/>
      <c r="H241" s="10"/>
      <c r="I241" s="11"/>
      <c r="J241" s="10"/>
      <c r="K241" s="11"/>
    </row>
    <row r="242">
      <c r="A242" s="8" t="s">
        <v>47</v>
      </c>
      <c r="B242" s="9" t="s">
        <v>63</v>
      </c>
      <c r="C242" s="9" t="s">
        <v>64</v>
      </c>
      <c r="D242" s="10"/>
      <c r="E242" s="11"/>
      <c r="F242" s="10"/>
      <c r="G242" s="11"/>
      <c r="H242" s="10"/>
      <c r="I242" s="11"/>
      <c r="J242" s="10"/>
      <c r="K242" s="11"/>
    </row>
    <row r="243">
      <c r="A243" s="8" t="s">
        <v>48</v>
      </c>
      <c r="B243" s="9" t="s">
        <v>63</v>
      </c>
      <c r="C243" s="9" t="s">
        <v>64</v>
      </c>
      <c r="D243" s="10"/>
      <c r="E243" s="11" t="n">
        <f>4</f>
        <v>4.0</v>
      </c>
      <c r="F243" s="10"/>
      <c r="G243" s="11" t="n">
        <f>14976000</f>
        <v>1.4976E7</v>
      </c>
      <c r="H243" s="10"/>
      <c r="I243" s="11" t="str">
        <f>"－"</f>
        <v>－</v>
      </c>
      <c r="J243" s="10"/>
      <c r="K243" s="11" t="n">
        <f>514</f>
        <v>514.0</v>
      </c>
    </row>
    <row r="244">
      <c r="A244" s="8" t="s">
        <v>49</v>
      </c>
      <c r="B244" s="9" t="s">
        <v>63</v>
      </c>
      <c r="C244" s="9" t="s">
        <v>64</v>
      </c>
      <c r="D244" s="10"/>
      <c r="E244" s="11" t="n">
        <f>46</f>
        <v>46.0</v>
      </c>
      <c r="F244" s="10"/>
      <c r="G244" s="11" t="n">
        <f>172070000</f>
        <v>1.7207E8</v>
      </c>
      <c r="H244" s="10"/>
      <c r="I244" s="11" t="str">
        <f>"－"</f>
        <v>－</v>
      </c>
      <c r="J244" s="10"/>
      <c r="K244" s="11" t="n">
        <f>509</f>
        <v>509.0</v>
      </c>
    </row>
    <row r="245">
      <c r="A245" s="8" t="s">
        <v>50</v>
      </c>
      <c r="B245" s="9" t="s">
        <v>63</v>
      </c>
      <c r="C245" s="9" t="s">
        <v>64</v>
      </c>
      <c r="D245" s="10" t="s">
        <v>43</v>
      </c>
      <c r="E245" s="11" t="n">
        <f>518</f>
        <v>518.0</v>
      </c>
      <c r="F245" s="10" t="s">
        <v>43</v>
      </c>
      <c r="G245" s="11" t="n">
        <f>2039149000</f>
        <v>2.039149E9</v>
      </c>
      <c r="H245" s="10"/>
      <c r="I245" s="11" t="str">
        <f>"－"</f>
        <v>－</v>
      </c>
      <c r="J245" s="10" t="s">
        <v>20</v>
      </c>
      <c r="K245" s="11" t="n">
        <f>498</f>
        <v>498.0</v>
      </c>
    </row>
    <row r="246">
      <c r="A246" s="8" t="s">
        <v>16</v>
      </c>
      <c r="B246" s="9" t="s">
        <v>65</v>
      </c>
      <c r="C246" s="9" t="s">
        <v>66</v>
      </c>
      <c r="D246" s="10"/>
      <c r="E246" s="11" t="n">
        <f>8203</f>
        <v>8203.0</v>
      </c>
      <c r="F246" s="10"/>
      <c r="G246" s="11" t="n">
        <f>8101684000</f>
        <v>8.101684E9</v>
      </c>
      <c r="H246" s="10" t="s">
        <v>19</v>
      </c>
      <c r="I246" s="11" t="str">
        <f>"－"</f>
        <v>－</v>
      </c>
      <c r="J246" s="10"/>
      <c r="K246" s="11" t="n">
        <f>15560</f>
        <v>15560.0</v>
      </c>
    </row>
    <row r="247">
      <c r="A247" s="8" t="s">
        <v>21</v>
      </c>
      <c r="B247" s="9" t="s">
        <v>65</v>
      </c>
      <c r="C247" s="9" t="s">
        <v>66</v>
      </c>
      <c r="D247" s="10"/>
      <c r="E247" s="11" t="n">
        <f>7516</f>
        <v>7516.0</v>
      </c>
      <c r="F247" s="10"/>
      <c r="G247" s="11" t="n">
        <f>7511636500</f>
        <v>7.5116365E9</v>
      </c>
      <c r="H247" s="10"/>
      <c r="I247" s="11" t="str">
        <f>"－"</f>
        <v>－</v>
      </c>
      <c r="J247" s="10" t="s">
        <v>43</v>
      </c>
      <c r="K247" s="11" t="n">
        <f>16342</f>
        <v>16342.0</v>
      </c>
    </row>
    <row r="248">
      <c r="A248" s="8" t="s">
        <v>22</v>
      </c>
      <c r="B248" s="9" t="s">
        <v>65</v>
      </c>
      <c r="C248" s="9" t="s">
        <v>66</v>
      </c>
      <c r="D248" s="10" t="s">
        <v>43</v>
      </c>
      <c r="E248" s="11" t="n">
        <f>10485</f>
        <v>10485.0</v>
      </c>
      <c r="F248" s="10" t="s">
        <v>43</v>
      </c>
      <c r="G248" s="11" t="n">
        <f>10130746000</f>
        <v>1.0130746E10</v>
      </c>
      <c r="H248" s="10"/>
      <c r="I248" s="11" t="str">
        <f>"－"</f>
        <v>－</v>
      </c>
      <c r="J248" s="10"/>
      <c r="K248" s="11" t="n">
        <f>16019</f>
        <v>16019.0</v>
      </c>
    </row>
    <row r="249">
      <c r="A249" s="8" t="s">
        <v>23</v>
      </c>
      <c r="B249" s="9" t="s">
        <v>65</v>
      </c>
      <c r="C249" s="9" t="s">
        <v>66</v>
      </c>
      <c r="D249" s="10"/>
      <c r="E249" s="11" t="n">
        <f>8092</f>
        <v>8092.0</v>
      </c>
      <c r="F249" s="10"/>
      <c r="G249" s="11" t="n">
        <f>7422179500</f>
        <v>7.4221795E9</v>
      </c>
      <c r="H249" s="10"/>
      <c r="I249" s="11" t="str">
        <f>"－"</f>
        <v>－</v>
      </c>
      <c r="J249" s="10"/>
      <c r="K249" s="11" t="n">
        <f>15773</f>
        <v>15773.0</v>
      </c>
    </row>
    <row r="250">
      <c r="A250" s="8" t="s">
        <v>24</v>
      </c>
      <c r="B250" s="9" t="s">
        <v>65</v>
      </c>
      <c r="C250" s="9" t="s">
        <v>66</v>
      </c>
      <c r="D250" s="10"/>
      <c r="E250" s="11"/>
      <c r="F250" s="10"/>
      <c r="G250" s="11"/>
      <c r="H250" s="10"/>
      <c r="I250" s="11"/>
      <c r="J250" s="10"/>
      <c r="K250" s="11"/>
    </row>
    <row r="251">
      <c r="A251" s="8" t="s">
        <v>25</v>
      </c>
      <c r="B251" s="9" t="s">
        <v>65</v>
      </c>
      <c r="C251" s="9" t="s">
        <v>66</v>
      </c>
      <c r="D251" s="10"/>
      <c r="E251" s="11"/>
      <c r="F251" s="10"/>
      <c r="G251" s="11"/>
      <c r="H251" s="10"/>
      <c r="I251" s="11"/>
      <c r="J251" s="10"/>
      <c r="K251" s="11"/>
    </row>
    <row r="252">
      <c r="A252" s="8" t="s">
        <v>26</v>
      </c>
      <c r="B252" s="9" t="s">
        <v>65</v>
      </c>
      <c r="C252" s="9" t="s">
        <v>66</v>
      </c>
      <c r="D252" s="10"/>
      <c r="E252" s="11" t="n">
        <f>6467</f>
        <v>6467.0</v>
      </c>
      <c r="F252" s="10"/>
      <c r="G252" s="11" t="n">
        <f>5844735500</f>
        <v>5.8447355E9</v>
      </c>
      <c r="H252" s="10"/>
      <c r="I252" s="11" t="str">
        <f>"－"</f>
        <v>－</v>
      </c>
      <c r="J252" s="10"/>
      <c r="K252" s="11" t="n">
        <f>15234</f>
        <v>15234.0</v>
      </c>
    </row>
    <row r="253">
      <c r="A253" s="8" t="s">
        <v>27</v>
      </c>
      <c r="B253" s="9" t="s">
        <v>65</v>
      </c>
      <c r="C253" s="9" t="s">
        <v>66</v>
      </c>
      <c r="D253" s="10"/>
      <c r="E253" s="11" t="n">
        <f>2476</f>
        <v>2476.0</v>
      </c>
      <c r="F253" s="10"/>
      <c r="G253" s="11" t="n">
        <f>2251901000</f>
        <v>2.251901E9</v>
      </c>
      <c r="H253" s="10"/>
      <c r="I253" s="11" t="str">
        <f>"－"</f>
        <v>－</v>
      </c>
      <c r="J253" s="10"/>
      <c r="K253" s="11" t="n">
        <f>15086</f>
        <v>15086.0</v>
      </c>
    </row>
    <row r="254">
      <c r="A254" s="8" t="s">
        <v>28</v>
      </c>
      <c r="B254" s="9" t="s">
        <v>65</v>
      </c>
      <c r="C254" s="9" t="s">
        <v>66</v>
      </c>
      <c r="D254" s="10"/>
      <c r="E254" s="11" t="n">
        <f>3011</f>
        <v>3011.0</v>
      </c>
      <c r="F254" s="10"/>
      <c r="G254" s="11" t="n">
        <f>2689880000</f>
        <v>2.68988E9</v>
      </c>
      <c r="H254" s="10"/>
      <c r="I254" s="11" t="str">
        <f>"－"</f>
        <v>－</v>
      </c>
      <c r="J254" s="10"/>
      <c r="K254" s="11" t="n">
        <f>14992</f>
        <v>14992.0</v>
      </c>
    </row>
    <row r="255">
      <c r="A255" s="8" t="s">
        <v>29</v>
      </c>
      <c r="B255" s="9" t="s">
        <v>65</v>
      </c>
      <c r="C255" s="9" t="s">
        <v>66</v>
      </c>
      <c r="D255" s="10"/>
      <c r="E255" s="11" t="n">
        <f>2567</f>
        <v>2567.0</v>
      </c>
      <c r="F255" s="10"/>
      <c r="G255" s="11" t="n">
        <f>2317511500</f>
        <v>2.3175115E9</v>
      </c>
      <c r="H255" s="10"/>
      <c r="I255" s="11" t="str">
        <f>"－"</f>
        <v>－</v>
      </c>
      <c r="J255" s="10"/>
      <c r="K255" s="11" t="n">
        <f>15038</f>
        <v>15038.0</v>
      </c>
    </row>
    <row r="256">
      <c r="A256" s="8" t="s">
        <v>30</v>
      </c>
      <c r="B256" s="9" t="s">
        <v>65</v>
      </c>
      <c r="C256" s="9" t="s">
        <v>66</v>
      </c>
      <c r="D256" s="10" t="s">
        <v>20</v>
      </c>
      <c r="E256" s="11" t="n">
        <f>2191</f>
        <v>2191.0</v>
      </c>
      <c r="F256" s="10" t="s">
        <v>20</v>
      </c>
      <c r="G256" s="11" t="n">
        <f>1960289000</f>
        <v>1.960289E9</v>
      </c>
      <c r="H256" s="10"/>
      <c r="I256" s="11" t="str">
        <f>"－"</f>
        <v>－</v>
      </c>
      <c r="J256" s="10"/>
      <c r="K256" s="11" t="n">
        <f>14980</f>
        <v>14980.0</v>
      </c>
    </row>
    <row r="257">
      <c r="A257" s="8" t="s">
        <v>31</v>
      </c>
      <c r="B257" s="9" t="s">
        <v>65</v>
      </c>
      <c r="C257" s="9" t="s">
        <v>66</v>
      </c>
      <c r="D257" s="10"/>
      <c r="E257" s="11"/>
      <c r="F257" s="10"/>
      <c r="G257" s="11"/>
      <c r="H257" s="10"/>
      <c r="I257" s="11"/>
      <c r="J257" s="10"/>
      <c r="K257" s="11"/>
    </row>
    <row r="258">
      <c r="A258" s="8" t="s">
        <v>32</v>
      </c>
      <c r="B258" s="9" t="s">
        <v>65</v>
      </c>
      <c r="C258" s="9" t="s">
        <v>66</v>
      </c>
      <c r="D258" s="10"/>
      <c r="E258" s="11"/>
      <c r="F258" s="10"/>
      <c r="G258" s="11"/>
      <c r="H258" s="10"/>
      <c r="I258" s="11"/>
      <c r="J258" s="10"/>
      <c r="K258" s="11"/>
    </row>
    <row r="259">
      <c r="A259" s="8" t="s">
        <v>33</v>
      </c>
      <c r="B259" s="9" t="s">
        <v>65</v>
      </c>
      <c r="C259" s="9" t="s">
        <v>66</v>
      </c>
      <c r="D259" s="10"/>
      <c r="E259" s="11" t="n">
        <f>2627</f>
        <v>2627.0</v>
      </c>
      <c r="F259" s="10"/>
      <c r="G259" s="11" t="n">
        <f>2378953000</f>
        <v>2.378953E9</v>
      </c>
      <c r="H259" s="10"/>
      <c r="I259" s="11" t="str">
        <f>"－"</f>
        <v>－</v>
      </c>
      <c r="J259" s="10"/>
      <c r="K259" s="11" t="n">
        <f>15042</f>
        <v>15042.0</v>
      </c>
    </row>
    <row r="260">
      <c r="A260" s="8" t="s">
        <v>34</v>
      </c>
      <c r="B260" s="9" t="s">
        <v>65</v>
      </c>
      <c r="C260" s="9" t="s">
        <v>66</v>
      </c>
      <c r="D260" s="10"/>
      <c r="E260" s="11" t="n">
        <f>3093</f>
        <v>3093.0</v>
      </c>
      <c r="F260" s="10"/>
      <c r="G260" s="11" t="n">
        <f>2852124500</f>
        <v>2.8521245E9</v>
      </c>
      <c r="H260" s="10"/>
      <c r="I260" s="11" t="str">
        <f>"－"</f>
        <v>－</v>
      </c>
      <c r="J260" s="10"/>
      <c r="K260" s="11" t="n">
        <f>15305</f>
        <v>15305.0</v>
      </c>
    </row>
    <row r="261">
      <c r="A261" s="8" t="s">
        <v>35</v>
      </c>
      <c r="B261" s="9" t="s">
        <v>65</v>
      </c>
      <c r="C261" s="9" t="s">
        <v>66</v>
      </c>
      <c r="D261" s="10"/>
      <c r="E261" s="11" t="n">
        <f>3476</f>
        <v>3476.0</v>
      </c>
      <c r="F261" s="10"/>
      <c r="G261" s="11" t="n">
        <f>3213059500</f>
        <v>3.2130595E9</v>
      </c>
      <c r="H261" s="10"/>
      <c r="I261" s="11" t="str">
        <f>"－"</f>
        <v>－</v>
      </c>
      <c r="J261" s="10"/>
      <c r="K261" s="11" t="n">
        <f>15259</f>
        <v>15259.0</v>
      </c>
    </row>
    <row r="262">
      <c r="A262" s="8" t="s">
        <v>36</v>
      </c>
      <c r="B262" s="9" t="s">
        <v>65</v>
      </c>
      <c r="C262" s="9" t="s">
        <v>66</v>
      </c>
      <c r="D262" s="10"/>
      <c r="E262" s="11" t="n">
        <f>3991</f>
        <v>3991.0</v>
      </c>
      <c r="F262" s="10"/>
      <c r="G262" s="11" t="n">
        <f>3739996500</f>
        <v>3.7399965E9</v>
      </c>
      <c r="H262" s="10"/>
      <c r="I262" s="11" t="str">
        <f>"－"</f>
        <v>－</v>
      </c>
      <c r="J262" s="10"/>
      <c r="K262" s="11" t="n">
        <f>15646</f>
        <v>15646.0</v>
      </c>
    </row>
    <row r="263">
      <c r="A263" s="8" t="s">
        <v>37</v>
      </c>
      <c r="B263" s="9" t="s">
        <v>65</v>
      </c>
      <c r="C263" s="9" t="s">
        <v>66</v>
      </c>
      <c r="D263" s="10"/>
      <c r="E263" s="11" t="n">
        <f>2615</f>
        <v>2615.0</v>
      </c>
      <c r="F263" s="10"/>
      <c r="G263" s="11" t="n">
        <f>2418340000</f>
        <v>2.41834E9</v>
      </c>
      <c r="H263" s="10"/>
      <c r="I263" s="11" t="str">
        <f>"－"</f>
        <v>－</v>
      </c>
      <c r="J263" s="10"/>
      <c r="K263" s="11" t="n">
        <f>15600</f>
        <v>15600.0</v>
      </c>
    </row>
    <row r="264">
      <c r="A264" s="8" t="s">
        <v>38</v>
      </c>
      <c r="B264" s="9" t="s">
        <v>65</v>
      </c>
      <c r="C264" s="9" t="s">
        <v>66</v>
      </c>
      <c r="D264" s="10"/>
      <c r="E264" s="11"/>
      <c r="F264" s="10"/>
      <c r="G264" s="11"/>
      <c r="H264" s="10"/>
      <c r="I264" s="11"/>
      <c r="J264" s="10"/>
      <c r="K264" s="11"/>
    </row>
    <row r="265">
      <c r="A265" s="8" t="s">
        <v>39</v>
      </c>
      <c r="B265" s="9" t="s">
        <v>65</v>
      </c>
      <c r="C265" s="9" t="s">
        <v>66</v>
      </c>
      <c r="D265" s="10"/>
      <c r="E265" s="11"/>
      <c r="F265" s="10"/>
      <c r="G265" s="11"/>
      <c r="H265" s="10"/>
      <c r="I265" s="11"/>
      <c r="J265" s="10"/>
      <c r="K265" s="11"/>
    </row>
    <row r="266">
      <c r="A266" s="8" t="s">
        <v>40</v>
      </c>
      <c r="B266" s="9" t="s">
        <v>65</v>
      </c>
      <c r="C266" s="9" t="s">
        <v>66</v>
      </c>
      <c r="D266" s="10"/>
      <c r="E266" s="11"/>
      <c r="F266" s="10"/>
      <c r="G266" s="11"/>
      <c r="H266" s="10"/>
      <c r="I266" s="11"/>
      <c r="J266" s="10"/>
      <c r="K266" s="11"/>
    </row>
    <row r="267">
      <c r="A267" s="8" t="s">
        <v>41</v>
      </c>
      <c r="B267" s="9" t="s">
        <v>65</v>
      </c>
      <c r="C267" s="9" t="s">
        <v>66</v>
      </c>
      <c r="D267" s="10"/>
      <c r="E267" s="11"/>
      <c r="F267" s="10"/>
      <c r="G267" s="11"/>
      <c r="H267" s="10"/>
      <c r="I267" s="11"/>
      <c r="J267" s="10"/>
      <c r="K267" s="11"/>
    </row>
    <row r="268">
      <c r="A268" s="8" t="s">
        <v>42</v>
      </c>
      <c r="B268" s="9" t="s">
        <v>65</v>
      </c>
      <c r="C268" s="9" t="s">
        <v>66</v>
      </c>
      <c r="D268" s="10"/>
      <c r="E268" s="11" t="n">
        <f>3056</f>
        <v>3056.0</v>
      </c>
      <c r="F268" s="10"/>
      <c r="G268" s="11" t="n">
        <f>2821006500</f>
        <v>2.8210065E9</v>
      </c>
      <c r="H268" s="10"/>
      <c r="I268" s="11" t="str">
        <f>"－"</f>
        <v>－</v>
      </c>
      <c r="J268" s="10"/>
      <c r="K268" s="11" t="n">
        <f>15520</f>
        <v>15520.0</v>
      </c>
    </row>
    <row r="269">
      <c r="A269" s="8" t="s">
        <v>44</v>
      </c>
      <c r="B269" s="9" t="s">
        <v>65</v>
      </c>
      <c r="C269" s="9" t="s">
        <v>66</v>
      </c>
      <c r="D269" s="10"/>
      <c r="E269" s="11" t="n">
        <f>2537</f>
        <v>2537.0</v>
      </c>
      <c r="F269" s="10"/>
      <c r="G269" s="11" t="n">
        <f>2345790000</f>
        <v>2.34579E9</v>
      </c>
      <c r="H269" s="10"/>
      <c r="I269" s="11" t="str">
        <f>"－"</f>
        <v>－</v>
      </c>
      <c r="J269" s="10"/>
      <c r="K269" s="11" t="n">
        <f>15457</f>
        <v>15457.0</v>
      </c>
    </row>
    <row r="270">
      <c r="A270" s="8" t="s">
        <v>45</v>
      </c>
      <c r="B270" s="9" t="s">
        <v>65</v>
      </c>
      <c r="C270" s="9" t="s">
        <v>66</v>
      </c>
      <c r="D270" s="10"/>
      <c r="E270" s="11" t="n">
        <f>5565</f>
        <v>5565.0</v>
      </c>
      <c r="F270" s="10"/>
      <c r="G270" s="11" t="n">
        <f>5162474500</f>
        <v>5.1624745E9</v>
      </c>
      <c r="H270" s="10"/>
      <c r="I270" s="11" t="str">
        <f>"－"</f>
        <v>－</v>
      </c>
      <c r="J270" s="10"/>
      <c r="K270" s="11" t="n">
        <f>15030</f>
        <v>15030.0</v>
      </c>
    </row>
    <row r="271">
      <c r="A271" s="8" t="s">
        <v>46</v>
      </c>
      <c r="B271" s="9" t="s">
        <v>65</v>
      </c>
      <c r="C271" s="9" t="s">
        <v>66</v>
      </c>
      <c r="D271" s="10"/>
      <c r="E271" s="11"/>
      <c r="F271" s="10"/>
      <c r="G271" s="11"/>
      <c r="H271" s="10"/>
      <c r="I271" s="11"/>
      <c r="J271" s="10"/>
      <c r="K271" s="11"/>
    </row>
    <row r="272">
      <c r="A272" s="8" t="s">
        <v>47</v>
      </c>
      <c r="B272" s="9" t="s">
        <v>65</v>
      </c>
      <c r="C272" s="9" t="s">
        <v>66</v>
      </c>
      <c r="D272" s="10"/>
      <c r="E272" s="11"/>
      <c r="F272" s="10"/>
      <c r="G272" s="11"/>
      <c r="H272" s="10"/>
      <c r="I272" s="11"/>
      <c r="J272" s="10"/>
      <c r="K272" s="11"/>
    </row>
    <row r="273">
      <c r="A273" s="8" t="s">
        <v>48</v>
      </c>
      <c r="B273" s="9" t="s">
        <v>65</v>
      </c>
      <c r="C273" s="9" t="s">
        <v>66</v>
      </c>
      <c r="D273" s="10"/>
      <c r="E273" s="11" t="n">
        <f>4582</f>
        <v>4582.0</v>
      </c>
      <c r="F273" s="10"/>
      <c r="G273" s="11" t="n">
        <f>4370358500</f>
        <v>4.3703585E9</v>
      </c>
      <c r="H273" s="10"/>
      <c r="I273" s="11" t="str">
        <f>"－"</f>
        <v>－</v>
      </c>
      <c r="J273" s="10" t="s">
        <v>20</v>
      </c>
      <c r="K273" s="11" t="n">
        <f>14920</f>
        <v>14920.0</v>
      </c>
    </row>
    <row r="274">
      <c r="A274" s="8" t="s">
        <v>49</v>
      </c>
      <c r="B274" s="9" t="s">
        <v>65</v>
      </c>
      <c r="C274" s="9" t="s">
        <v>66</v>
      </c>
      <c r="D274" s="10"/>
      <c r="E274" s="11" t="n">
        <f>2575</f>
        <v>2575.0</v>
      </c>
      <c r="F274" s="10"/>
      <c r="G274" s="11" t="n">
        <f>2452148500</f>
        <v>2.4521485E9</v>
      </c>
      <c r="H274" s="10"/>
      <c r="I274" s="11" t="str">
        <f>"－"</f>
        <v>－</v>
      </c>
      <c r="J274" s="10"/>
      <c r="K274" s="11" t="n">
        <f>15015</f>
        <v>15015.0</v>
      </c>
    </row>
    <row r="275">
      <c r="A275" s="8" t="s">
        <v>50</v>
      </c>
      <c r="B275" s="9" t="s">
        <v>65</v>
      </c>
      <c r="C275" s="9" t="s">
        <v>66</v>
      </c>
      <c r="D275" s="10"/>
      <c r="E275" s="11" t="n">
        <f>4354</f>
        <v>4354.0</v>
      </c>
      <c r="F275" s="10"/>
      <c r="G275" s="11" t="n">
        <f>4079462000</f>
        <v>4.079462E9</v>
      </c>
      <c r="H275" s="10"/>
      <c r="I275" s="11" t="str">
        <f>"－"</f>
        <v>－</v>
      </c>
      <c r="J275" s="10"/>
      <c r="K275" s="11" t="n">
        <f>15125</f>
        <v>15125.0</v>
      </c>
    </row>
    <row r="276">
      <c r="A276" s="8" t="s">
        <v>16</v>
      </c>
      <c r="B276" s="9" t="s">
        <v>67</v>
      </c>
      <c r="C276" s="9" t="s">
        <v>68</v>
      </c>
      <c r="D276" s="10" t="s">
        <v>20</v>
      </c>
      <c r="E276" s="11" t="str">
        <f>"－"</f>
        <v>－</v>
      </c>
      <c r="F276" s="10" t="s">
        <v>20</v>
      </c>
      <c r="G276" s="11" t="str">
        <f>"－"</f>
        <v>－</v>
      </c>
      <c r="H276" s="10" t="s">
        <v>19</v>
      </c>
      <c r="I276" s="11" t="str">
        <f>"－"</f>
        <v>－</v>
      </c>
      <c r="J276" s="10" t="s">
        <v>20</v>
      </c>
      <c r="K276" s="11" t="str">
        <f>"－"</f>
        <v>－</v>
      </c>
    </row>
    <row r="277">
      <c r="A277" s="8" t="s">
        <v>21</v>
      </c>
      <c r="B277" s="9" t="s">
        <v>67</v>
      </c>
      <c r="C277" s="9" t="s">
        <v>68</v>
      </c>
      <c r="D277" s="10"/>
      <c r="E277" s="11" t="str">
        <f>"－"</f>
        <v>－</v>
      </c>
      <c r="F277" s="10"/>
      <c r="G277" s="11" t="str">
        <f>"－"</f>
        <v>－</v>
      </c>
      <c r="H277" s="10"/>
      <c r="I277" s="11" t="str">
        <f>"－"</f>
        <v>－</v>
      </c>
      <c r="J277" s="10"/>
      <c r="K277" s="11" t="str">
        <f>"－"</f>
        <v>－</v>
      </c>
    </row>
    <row r="278">
      <c r="A278" s="8" t="s">
        <v>22</v>
      </c>
      <c r="B278" s="9" t="s">
        <v>67</v>
      </c>
      <c r="C278" s="9" t="s">
        <v>68</v>
      </c>
      <c r="D278" s="10"/>
      <c r="E278" s="11" t="str">
        <f>"－"</f>
        <v>－</v>
      </c>
      <c r="F278" s="10"/>
      <c r="G278" s="11" t="str">
        <f>"－"</f>
        <v>－</v>
      </c>
      <c r="H278" s="10"/>
      <c r="I278" s="11" t="str">
        <f>"－"</f>
        <v>－</v>
      </c>
      <c r="J278" s="10"/>
      <c r="K278" s="11" t="str">
        <f>"－"</f>
        <v>－</v>
      </c>
    </row>
    <row r="279">
      <c r="A279" s="8" t="s">
        <v>23</v>
      </c>
      <c r="B279" s="9" t="s">
        <v>67</v>
      </c>
      <c r="C279" s="9" t="s">
        <v>68</v>
      </c>
      <c r="D279" s="10"/>
      <c r="E279" s="11" t="str">
        <f>"－"</f>
        <v>－</v>
      </c>
      <c r="F279" s="10"/>
      <c r="G279" s="11" t="str">
        <f>"－"</f>
        <v>－</v>
      </c>
      <c r="H279" s="10"/>
      <c r="I279" s="11" t="str">
        <f>"－"</f>
        <v>－</v>
      </c>
      <c r="J279" s="10"/>
      <c r="K279" s="11" t="str">
        <f>"－"</f>
        <v>－</v>
      </c>
    </row>
    <row r="280">
      <c r="A280" s="8" t="s">
        <v>24</v>
      </c>
      <c r="B280" s="9" t="s">
        <v>67</v>
      </c>
      <c r="C280" s="9" t="s">
        <v>68</v>
      </c>
      <c r="D280" s="10"/>
      <c r="E280" s="11"/>
      <c r="F280" s="10"/>
      <c r="G280" s="11"/>
      <c r="H280" s="10"/>
      <c r="I280" s="11"/>
      <c r="J280" s="10"/>
      <c r="K280" s="11"/>
    </row>
    <row r="281">
      <c r="A281" s="8" t="s">
        <v>25</v>
      </c>
      <c r="B281" s="9" t="s">
        <v>67</v>
      </c>
      <c r="C281" s="9" t="s">
        <v>68</v>
      </c>
      <c r="D281" s="10"/>
      <c r="E281" s="11"/>
      <c r="F281" s="10"/>
      <c r="G281" s="11"/>
      <c r="H281" s="10"/>
      <c r="I281" s="11"/>
      <c r="J281" s="10"/>
      <c r="K281" s="11"/>
    </row>
    <row r="282">
      <c r="A282" s="8" t="s">
        <v>26</v>
      </c>
      <c r="B282" s="9" t="s">
        <v>67</v>
      </c>
      <c r="C282" s="9" t="s">
        <v>68</v>
      </c>
      <c r="D282" s="10"/>
      <c r="E282" s="11" t="str">
        <f>"－"</f>
        <v>－</v>
      </c>
      <c r="F282" s="10"/>
      <c r="G282" s="11" t="str">
        <f>"－"</f>
        <v>－</v>
      </c>
      <c r="H282" s="10"/>
      <c r="I282" s="11" t="str">
        <f>"－"</f>
        <v>－</v>
      </c>
      <c r="J282" s="10"/>
      <c r="K282" s="11" t="str">
        <f>"－"</f>
        <v>－</v>
      </c>
    </row>
    <row r="283">
      <c r="A283" s="8" t="s">
        <v>27</v>
      </c>
      <c r="B283" s="9" t="s">
        <v>67</v>
      </c>
      <c r="C283" s="9" t="s">
        <v>68</v>
      </c>
      <c r="D283" s="10" t="s">
        <v>43</v>
      </c>
      <c r="E283" s="11" t="n">
        <f>40</f>
        <v>40.0</v>
      </c>
      <c r="F283" s="10"/>
      <c r="G283" s="11" t="n">
        <f>28500000</f>
        <v>2.85E7</v>
      </c>
      <c r="H283" s="10"/>
      <c r="I283" s="11" t="str">
        <f>"－"</f>
        <v>－</v>
      </c>
      <c r="J283" s="10" t="s">
        <v>43</v>
      </c>
      <c r="K283" s="11" t="n">
        <f>40</f>
        <v>40.0</v>
      </c>
    </row>
    <row r="284">
      <c r="A284" s="8" t="s">
        <v>28</v>
      </c>
      <c r="B284" s="9" t="s">
        <v>67</v>
      </c>
      <c r="C284" s="9" t="s">
        <v>68</v>
      </c>
      <c r="D284" s="10"/>
      <c r="E284" s="11" t="str">
        <f>"－"</f>
        <v>－</v>
      </c>
      <c r="F284" s="10"/>
      <c r="G284" s="11" t="str">
        <f>"－"</f>
        <v>－</v>
      </c>
      <c r="H284" s="10"/>
      <c r="I284" s="11" t="str">
        <f>"－"</f>
        <v>－</v>
      </c>
      <c r="J284" s="10"/>
      <c r="K284" s="11" t="n">
        <f>40</f>
        <v>40.0</v>
      </c>
    </row>
    <row r="285">
      <c r="A285" s="8" t="s">
        <v>29</v>
      </c>
      <c r="B285" s="9" t="s">
        <v>67</v>
      </c>
      <c r="C285" s="9" t="s">
        <v>68</v>
      </c>
      <c r="D285" s="10"/>
      <c r="E285" s="11" t="str">
        <f>"－"</f>
        <v>－</v>
      </c>
      <c r="F285" s="10"/>
      <c r="G285" s="11" t="str">
        <f>"－"</f>
        <v>－</v>
      </c>
      <c r="H285" s="10"/>
      <c r="I285" s="11" t="str">
        <f>"－"</f>
        <v>－</v>
      </c>
      <c r="J285" s="10"/>
      <c r="K285" s="11" t="n">
        <f>40</f>
        <v>40.0</v>
      </c>
    </row>
    <row r="286">
      <c r="A286" s="8" t="s">
        <v>30</v>
      </c>
      <c r="B286" s="9" t="s">
        <v>67</v>
      </c>
      <c r="C286" s="9" t="s">
        <v>68</v>
      </c>
      <c r="D286" s="10"/>
      <c r="E286" s="11" t="str">
        <f>"－"</f>
        <v>－</v>
      </c>
      <c r="F286" s="10"/>
      <c r="G286" s="11" t="str">
        <f>"－"</f>
        <v>－</v>
      </c>
      <c r="H286" s="10"/>
      <c r="I286" s="11" t="str">
        <f>"－"</f>
        <v>－</v>
      </c>
      <c r="J286" s="10"/>
      <c r="K286" s="11" t="n">
        <f>40</f>
        <v>40.0</v>
      </c>
    </row>
    <row r="287">
      <c r="A287" s="8" t="s">
        <v>31</v>
      </c>
      <c r="B287" s="9" t="s">
        <v>67</v>
      </c>
      <c r="C287" s="9" t="s">
        <v>68</v>
      </c>
      <c r="D287" s="10"/>
      <c r="E287" s="11"/>
      <c r="F287" s="10"/>
      <c r="G287" s="11"/>
      <c r="H287" s="10"/>
      <c r="I287" s="11"/>
      <c r="J287" s="10"/>
      <c r="K287" s="11"/>
    </row>
    <row r="288">
      <c r="A288" s="8" t="s">
        <v>32</v>
      </c>
      <c r="B288" s="9" t="s">
        <v>67</v>
      </c>
      <c r="C288" s="9" t="s">
        <v>68</v>
      </c>
      <c r="D288" s="10"/>
      <c r="E288" s="11"/>
      <c r="F288" s="10"/>
      <c r="G288" s="11"/>
      <c r="H288" s="10"/>
      <c r="I288" s="11"/>
      <c r="J288" s="10"/>
      <c r="K288" s="11"/>
    </row>
    <row r="289">
      <c r="A289" s="8" t="s">
        <v>33</v>
      </c>
      <c r="B289" s="9" t="s">
        <v>67</v>
      </c>
      <c r="C289" s="9" t="s">
        <v>68</v>
      </c>
      <c r="D289" s="10"/>
      <c r="E289" s="11" t="str">
        <f>"－"</f>
        <v>－</v>
      </c>
      <c r="F289" s="10"/>
      <c r="G289" s="11" t="str">
        <f>"－"</f>
        <v>－</v>
      </c>
      <c r="H289" s="10"/>
      <c r="I289" s="11" t="str">
        <f>"－"</f>
        <v>－</v>
      </c>
      <c r="J289" s="10"/>
      <c r="K289" s="11" t="n">
        <f>40</f>
        <v>40.0</v>
      </c>
    </row>
    <row r="290">
      <c r="A290" s="8" t="s">
        <v>34</v>
      </c>
      <c r="B290" s="9" t="s">
        <v>67</v>
      </c>
      <c r="C290" s="9" t="s">
        <v>68</v>
      </c>
      <c r="D290" s="10"/>
      <c r="E290" s="11" t="str">
        <f>"－"</f>
        <v>－</v>
      </c>
      <c r="F290" s="10"/>
      <c r="G290" s="11" t="str">
        <f>"－"</f>
        <v>－</v>
      </c>
      <c r="H290" s="10"/>
      <c r="I290" s="11" t="str">
        <f>"－"</f>
        <v>－</v>
      </c>
      <c r="J290" s="10"/>
      <c r="K290" s="11" t="n">
        <f>40</f>
        <v>40.0</v>
      </c>
    </row>
    <row r="291">
      <c r="A291" s="8" t="s">
        <v>35</v>
      </c>
      <c r="B291" s="9" t="s">
        <v>67</v>
      </c>
      <c r="C291" s="9" t="s">
        <v>68</v>
      </c>
      <c r="D291" s="10"/>
      <c r="E291" s="11" t="str">
        <f>"－"</f>
        <v>－</v>
      </c>
      <c r="F291" s="10"/>
      <c r="G291" s="11" t="str">
        <f>"－"</f>
        <v>－</v>
      </c>
      <c r="H291" s="10"/>
      <c r="I291" s="11" t="str">
        <f>"－"</f>
        <v>－</v>
      </c>
      <c r="J291" s="10"/>
      <c r="K291" s="11" t="n">
        <f>40</f>
        <v>40.0</v>
      </c>
    </row>
    <row r="292">
      <c r="A292" s="8" t="s">
        <v>36</v>
      </c>
      <c r="B292" s="9" t="s">
        <v>67</v>
      </c>
      <c r="C292" s="9" t="s">
        <v>68</v>
      </c>
      <c r="D292" s="10"/>
      <c r="E292" s="11" t="str">
        <f>"－"</f>
        <v>－</v>
      </c>
      <c r="F292" s="10"/>
      <c r="G292" s="11" t="str">
        <f>"－"</f>
        <v>－</v>
      </c>
      <c r="H292" s="10"/>
      <c r="I292" s="11" t="str">
        <f>"－"</f>
        <v>－</v>
      </c>
      <c r="J292" s="10"/>
      <c r="K292" s="11" t="n">
        <f>40</f>
        <v>40.0</v>
      </c>
    </row>
    <row r="293">
      <c r="A293" s="8" t="s">
        <v>37</v>
      </c>
      <c r="B293" s="9" t="s">
        <v>67</v>
      </c>
      <c r="C293" s="9" t="s">
        <v>68</v>
      </c>
      <c r="D293" s="10"/>
      <c r="E293" s="11" t="str">
        <f>"－"</f>
        <v>－</v>
      </c>
      <c r="F293" s="10"/>
      <c r="G293" s="11" t="str">
        <f>"－"</f>
        <v>－</v>
      </c>
      <c r="H293" s="10"/>
      <c r="I293" s="11" t="str">
        <f>"－"</f>
        <v>－</v>
      </c>
      <c r="J293" s="10"/>
      <c r="K293" s="11" t="n">
        <f>40</f>
        <v>40.0</v>
      </c>
    </row>
    <row r="294">
      <c r="A294" s="8" t="s">
        <v>38</v>
      </c>
      <c r="B294" s="9" t="s">
        <v>67</v>
      </c>
      <c r="C294" s="9" t="s">
        <v>68</v>
      </c>
      <c r="D294" s="10"/>
      <c r="E294" s="11"/>
      <c r="F294" s="10"/>
      <c r="G294" s="11"/>
      <c r="H294" s="10"/>
      <c r="I294" s="11"/>
      <c r="J294" s="10"/>
      <c r="K294" s="11"/>
    </row>
    <row r="295">
      <c r="A295" s="8" t="s">
        <v>39</v>
      </c>
      <c r="B295" s="9" t="s">
        <v>67</v>
      </c>
      <c r="C295" s="9" t="s">
        <v>68</v>
      </c>
      <c r="D295" s="10"/>
      <c r="E295" s="11"/>
      <c r="F295" s="10"/>
      <c r="G295" s="11"/>
      <c r="H295" s="10"/>
      <c r="I295" s="11"/>
      <c r="J295" s="10"/>
      <c r="K295" s="11"/>
    </row>
    <row r="296">
      <c r="A296" s="8" t="s">
        <v>40</v>
      </c>
      <c r="B296" s="9" t="s">
        <v>67</v>
      </c>
      <c r="C296" s="9" t="s">
        <v>68</v>
      </c>
      <c r="D296" s="10"/>
      <c r="E296" s="11"/>
      <c r="F296" s="10"/>
      <c r="G296" s="11"/>
      <c r="H296" s="10"/>
      <c r="I296" s="11"/>
      <c r="J296" s="10"/>
      <c r="K296" s="11"/>
    </row>
    <row r="297">
      <c r="A297" s="8" t="s">
        <v>41</v>
      </c>
      <c r="B297" s="9" t="s">
        <v>67</v>
      </c>
      <c r="C297" s="9" t="s">
        <v>68</v>
      </c>
      <c r="D297" s="10"/>
      <c r="E297" s="11"/>
      <c r="F297" s="10"/>
      <c r="G297" s="11"/>
      <c r="H297" s="10"/>
      <c r="I297" s="11"/>
      <c r="J297" s="10"/>
      <c r="K297" s="11"/>
    </row>
    <row r="298">
      <c r="A298" s="8" t="s">
        <v>42</v>
      </c>
      <c r="B298" s="9" t="s">
        <v>67</v>
      </c>
      <c r="C298" s="9" t="s">
        <v>68</v>
      </c>
      <c r="D298" s="10"/>
      <c r="E298" s="11" t="str">
        <f>"－"</f>
        <v>－</v>
      </c>
      <c r="F298" s="10"/>
      <c r="G298" s="11" t="str">
        <f>"－"</f>
        <v>－</v>
      </c>
      <c r="H298" s="10"/>
      <c r="I298" s="11" t="str">
        <f>"－"</f>
        <v>－</v>
      </c>
      <c r="J298" s="10"/>
      <c r="K298" s="11" t="n">
        <f>40</f>
        <v>40.0</v>
      </c>
    </row>
    <row r="299">
      <c r="A299" s="8" t="s">
        <v>44</v>
      </c>
      <c r="B299" s="9" t="s">
        <v>67</v>
      </c>
      <c r="C299" s="9" t="s">
        <v>68</v>
      </c>
      <c r="D299" s="10"/>
      <c r="E299" s="11" t="str">
        <f>"－"</f>
        <v>－</v>
      </c>
      <c r="F299" s="10"/>
      <c r="G299" s="11" t="str">
        <f>"－"</f>
        <v>－</v>
      </c>
      <c r="H299" s="10"/>
      <c r="I299" s="11" t="str">
        <f>"－"</f>
        <v>－</v>
      </c>
      <c r="J299" s="10"/>
      <c r="K299" s="11" t="n">
        <f>40</f>
        <v>40.0</v>
      </c>
    </row>
    <row r="300">
      <c r="A300" s="8" t="s">
        <v>45</v>
      </c>
      <c r="B300" s="9" t="s">
        <v>67</v>
      </c>
      <c r="C300" s="9" t="s">
        <v>68</v>
      </c>
      <c r="D300" s="10"/>
      <c r="E300" s="11" t="n">
        <f>40</f>
        <v>40.0</v>
      </c>
      <c r="F300" s="10" t="s">
        <v>43</v>
      </c>
      <c r="G300" s="11" t="n">
        <f>29000000</f>
        <v>2.9E7</v>
      </c>
      <c r="H300" s="10"/>
      <c r="I300" s="11" t="str">
        <f>"－"</f>
        <v>－</v>
      </c>
      <c r="J300" s="10"/>
      <c r="K300" s="11" t="n">
        <f>40</f>
        <v>40.0</v>
      </c>
    </row>
    <row r="301">
      <c r="A301" s="8" t="s">
        <v>46</v>
      </c>
      <c r="B301" s="9" t="s">
        <v>67</v>
      </c>
      <c r="C301" s="9" t="s">
        <v>68</v>
      </c>
      <c r="D301" s="10"/>
      <c r="E301" s="11"/>
      <c r="F301" s="10"/>
      <c r="G301" s="11"/>
      <c r="H301" s="10"/>
      <c r="I301" s="11"/>
      <c r="J301" s="10"/>
      <c r="K301" s="11"/>
    </row>
    <row r="302">
      <c r="A302" s="8" t="s">
        <v>47</v>
      </c>
      <c r="B302" s="9" t="s">
        <v>67</v>
      </c>
      <c r="C302" s="9" t="s">
        <v>68</v>
      </c>
      <c r="D302" s="10"/>
      <c r="E302" s="11"/>
      <c r="F302" s="10"/>
      <c r="G302" s="11"/>
      <c r="H302" s="10"/>
      <c r="I302" s="11"/>
      <c r="J302" s="10"/>
      <c r="K302" s="11"/>
    </row>
    <row r="303">
      <c r="A303" s="8" t="s">
        <v>48</v>
      </c>
      <c r="B303" s="9" t="s">
        <v>67</v>
      </c>
      <c r="C303" s="9" t="s">
        <v>68</v>
      </c>
      <c r="D303" s="10"/>
      <c r="E303" s="11" t="str">
        <f>"－"</f>
        <v>－</v>
      </c>
      <c r="F303" s="10"/>
      <c r="G303" s="11" t="str">
        <f>"－"</f>
        <v>－</v>
      </c>
      <c r="H303" s="10"/>
      <c r="I303" s="11" t="str">
        <f>"－"</f>
        <v>－</v>
      </c>
      <c r="J303" s="10"/>
      <c r="K303" s="11" t="n">
        <f>40</f>
        <v>40.0</v>
      </c>
    </row>
    <row r="304">
      <c r="A304" s="8" t="s">
        <v>49</v>
      </c>
      <c r="B304" s="9" t="s">
        <v>67</v>
      </c>
      <c r="C304" s="9" t="s">
        <v>68</v>
      </c>
      <c r="D304" s="10"/>
      <c r="E304" s="11" t="str">
        <f>"－"</f>
        <v>－</v>
      </c>
      <c r="F304" s="10"/>
      <c r="G304" s="11" t="str">
        <f>"－"</f>
        <v>－</v>
      </c>
      <c r="H304" s="10"/>
      <c r="I304" s="11" t="str">
        <f>"－"</f>
        <v>－</v>
      </c>
      <c r="J304" s="10"/>
      <c r="K304" s="11" t="n">
        <f>40</f>
        <v>40.0</v>
      </c>
    </row>
    <row r="305">
      <c r="A305" s="8" t="s">
        <v>50</v>
      </c>
      <c r="B305" s="9" t="s">
        <v>67</v>
      </c>
      <c r="C305" s="9" t="s">
        <v>68</v>
      </c>
      <c r="D305" s="10"/>
      <c r="E305" s="11" t="str">
        <f>"－"</f>
        <v>－</v>
      </c>
      <c r="F305" s="10"/>
      <c r="G305" s="11" t="str">
        <f>"－"</f>
        <v>－</v>
      </c>
      <c r="H305" s="10"/>
      <c r="I305" s="11" t="str">
        <f>"－"</f>
        <v>－</v>
      </c>
      <c r="J305" s="10"/>
      <c r="K305" s="11" t="n">
        <f>40</f>
        <v>40.0</v>
      </c>
    </row>
    <row r="306">
      <c r="A306" s="8" t="s">
        <v>16</v>
      </c>
      <c r="B306" s="9" t="s">
        <v>69</v>
      </c>
      <c r="C306" s="9" t="s">
        <v>70</v>
      </c>
      <c r="D306" s="10"/>
      <c r="E306" s="11" t="n">
        <f>240</f>
        <v>240.0</v>
      </c>
      <c r="F306" s="10"/>
      <c r="G306" s="11" t="n">
        <f>284146500</f>
        <v>2.841465E8</v>
      </c>
      <c r="H306" s="10" t="s">
        <v>19</v>
      </c>
      <c r="I306" s="11" t="str">
        <f>"－"</f>
        <v>－</v>
      </c>
      <c r="J306" s="10"/>
      <c r="K306" s="11" t="n">
        <f>1845</f>
        <v>1845.0</v>
      </c>
    </row>
    <row r="307">
      <c r="A307" s="8" t="s">
        <v>21</v>
      </c>
      <c r="B307" s="9" t="s">
        <v>69</v>
      </c>
      <c r="C307" s="9" t="s">
        <v>70</v>
      </c>
      <c r="D307" s="10"/>
      <c r="E307" s="11" t="n">
        <f>180</f>
        <v>180.0</v>
      </c>
      <c r="F307" s="10"/>
      <c r="G307" s="11" t="n">
        <f>212606000</f>
        <v>2.12606E8</v>
      </c>
      <c r="H307" s="10"/>
      <c r="I307" s="11" t="str">
        <f>"－"</f>
        <v>－</v>
      </c>
      <c r="J307" s="10"/>
      <c r="K307" s="11" t="n">
        <f>1835</f>
        <v>1835.0</v>
      </c>
    </row>
    <row r="308">
      <c r="A308" s="8" t="s">
        <v>22</v>
      </c>
      <c r="B308" s="9" t="s">
        <v>69</v>
      </c>
      <c r="C308" s="9" t="s">
        <v>70</v>
      </c>
      <c r="D308" s="10"/>
      <c r="E308" s="11" t="n">
        <f>125</f>
        <v>125.0</v>
      </c>
      <c r="F308" s="10"/>
      <c r="G308" s="11" t="n">
        <f>147257000</f>
        <v>1.47257E8</v>
      </c>
      <c r="H308" s="10"/>
      <c r="I308" s="11" t="str">
        <f>"－"</f>
        <v>－</v>
      </c>
      <c r="J308" s="10"/>
      <c r="K308" s="11" t="n">
        <f>1829</f>
        <v>1829.0</v>
      </c>
    </row>
    <row r="309">
      <c r="A309" s="8" t="s">
        <v>23</v>
      </c>
      <c r="B309" s="9" t="s">
        <v>69</v>
      </c>
      <c r="C309" s="9" t="s">
        <v>70</v>
      </c>
      <c r="D309" s="10"/>
      <c r="E309" s="11" t="n">
        <f>258</f>
        <v>258.0</v>
      </c>
      <c r="F309" s="10"/>
      <c r="G309" s="11" t="n">
        <f>301882000</f>
        <v>3.01882E8</v>
      </c>
      <c r="H309" s="10"/>
      <c r="I309" s="11" t="str">
        <f>"－"</f>
        <v>－</v>
      </c>
      <c r="J309" s="10"/>
      <c r="K309" s="11" t="n">
        <f>1804</f>
        <v>1804.0</v>
      </c>
    </row>
    <row r="310">
      <c r="A310" s="8" t="s">
        <v>24</v>
      </c>
      <c r="B310" s="9" t="s">
        <v>69</v>
      </c>
      <c r="C310" s="9" t="s">
        <v>70</v>
      </c>
      <c r="D310" s="10"/>
      <c r="E310" s="11"/>
      <c r="F310" s="10"/>
      <c r="G310" s="11"/>
      <c r="H310" s="10"/>
      <c r="I310" s="11"/>
      <c r="J310" s="10"/>
      <c r="K310" s="11"/>
    </row>
    <row r="311">
      <c r="A311" s="8" t="s">
        <v>25</v>
      </c>
      <c r="B311" s="9" t="s">
        <v>69</v>
      </c>
      <c r="C311" s="9" t="s">
        <v>70</v>
      </c>
      <c r="D311" s="10"/>
      <c r="E311" s="11"/>
      <c r="F311" s="10"/>
      <c r="G311" s="11"/>
      <c r="H311" s="10"/>
      <c r="I311" s="11"/>
      <c r="J311" s="10"/>
      <c r="K311" s="11"/>
    </row>
    <row r="312">
      <c r="A312" s="8" t="s">
        <v>26</v>
      </c>
      <c r="B312" s="9" t="s">
        <v>69</v>
      </c>
      <c r="C312" s="9" t="s">
        <v>70</v>
      </c>
      <c r="D312" s="10"/>
      <c r="E312" s="11" t="n">
        <f>210</f>
        <v>210.0</v>
      </c>
      <c r="F312" s="10"/>
      <c r="G312" s="11" t="n">
        <f>245739500</f>
        <v>2.457395E8</v>
      </c>
      <c r="H312" s="10"/>
      <c r="I312" s="11" t="str">
        <f>"－"</f>
        <v>－</v>
      </c>
      <c r="J312" s="10"/>
      <c r="K312" s="11" t="n">
        <f>1806</f>
        <v>1806.0</v>
      </c>
    </row>
    <row r="313">
      <c r="A313" s="8" t="s">
        <v>27</v>
      </c>
      <c r="B313" s="9" t="s">
        <v>69</v>
      </c>
      <c r="C313" s="9" t="s">
        <v>70</v>
      </c>
      <c r="D313" s="10"/>
      <c r="E313" s="11" t="n">
        <f>203</f>
        <v>203.0</v>
      </c>
      <c r="F313" s="10"/>
      <c r="G313" s="11" t="n">
        <f>239620500</f>
        <v>2.396205E8</v>
      </c>
      <c r="H313" s="10"/>
      <c r="I313" s="11" t="str">
        <f>"－"</f>
        <v>－</v>
      </c>
      <c r="J313" s="10"/>
      <c r="K313" s="11" t="n">
        <f>1832</f>
        <v>1832.0</v>
      </c>
    </row>
    <row r="314">
      <c r="A314" s="8" t="s">
        <v>28</v>
      </c>
      <c r="B314" s="9" t="s">
        <v>69</v>
      </c>
      <c r="C314" s="9" t="s">
        <v>70</v>
      </c>
      <c r="D314" s="10"/>
      <c r="E314" s="11" t="n">
        <f>223</f>
        <v>223.0</v>
      </c>
      <c r="F314" s="10"/>
      <c r="G314" s="11" t="n">
        <f>263179000</f>
        <v>2.63179E8</v>
      </c>
      <c r="H314" s="10"/>
      <c r="I314" s="11" t="str">
        <f>"－"</f>
        <v>－</v>
      </c>
      <c r="J314" s="10"/>
      <c r="K314" s="11" t="n">
        <f>1849</f>
        <v>1849.0</v>
      </c>
    </row>
    <row r="315">
      <c r="A315" s="8" t="s">
        <v>29</v>
      </c>
      <c r="B315" s="9" t="s">
        <v>69</v>
      </c>
      <c r="C315" s="9" t="s">
        <v>70</v>
      </c>
      <c r="D315" s="10"/>
      <c r="E315" s="11" t="n">
        <f>113</f>
        <v>113.0</v>
      </c>
      <c r="F315" s="10"/>
      <c r="G315" s="11" t="n">
        <f>133232500</f>
        <v>1.332325E8</v>
      </c>
      <c r="H315" s="10"/>
      <c r="I315" s="11" t="str">
        <f>"－"</f>
        <v>－</v>
      </c>
      <c r="J315" s="10"/>
      <c r="K315" s="11" t="n">
        <f>1865</f>
        <v>1865.0</v>
      </c>
    </row>
    <row r="316">
      <c r="A316" s="8" t="s">
        <v>30</v>
      </c>
      <c r="B316" s="9" t="s">
        <v>69</v>
      </c>
      <c r="C316" s="9" t="s">
        <v>70</v>
      </c>
      <c r="D316" s="10"/>
      <c r="E316" s="11" t="n">
        <f>160</f>
        <v>160.0</v>
      </c>
      <c r="F316" s="10"/>
      <c r="G316" s="11" t="n">
        <f>189579500</f>
        <v>1.895795E8</v>
      </c>
      <c r="H316" s="10"/>
      <c r="I316" s="11" t="str">
        <f>"－"</f>
        <v>－</v>
      </c>
      <c r="J316" s="10"/>
      <c r="K316" s="11" t="n">
        <f>1873</f>
        <v>1873.0</v>
      </c>
    </row>
    <row r="317">
      <c r="A317" s="8" t="s">
        <v>31</v>
      </c>
      <c r="B317" s="9" t="s">
        <v>69</v>
      </c>
      <c r="C317" s="9" t="s">
        <v>70</v>
      </c>
      <c r="D317" s="10"/>
      <c r="E317" s="11"/>
      <c r="F317" s="10"/>
      <c r="G317" s="11"/>
      <c r="H317" s="10"/>
      <c r="I317" s="11"/>
      <c r="J317" s="10"/>
      <c r="K317" s="11"/>
    </row>
    <row r="318">
      <c r="A318" s="8" t="s">
        <v>32</v>
      </c>
      <c r="B318" s="9" t="s">
        <v>69</v>
      </c>
      <c r="C318" s="9" t="s">
        <v>70</v>
      </c>
      <c r="D318" s="10"/>
      <c r="E318" s="11"/>
      <c r="F318" s="10"/>
      <c r="G318" s="11"/>
      <c r="H318" s="10"/>
      <c r="I318" s="11"/>
      <c r="J318" s="10"/>
      <c r="K318" s="11"/>
    </row>
    <row r="319">
      <c r="A319" s="8" t="s">
        <v>33</v>
      </c>
      <c r="B319" s="9" t="s">
        <v>69</v>
      </c>
      <c r="C319" s="9" t="s">
        <v>70</v>
      </c>
      <c r="D319" s="10"/>
      <c r="E319" s="11" t="n">
        <f>227</f>
        <v>227.0</v>
      </c>
      <c r="F319" s="10"/>
      <c r="G319" s="11" t="n">
        <f>272116500</f>
        <v>2.721165E8</v>
      </c>
      <c r="H319" s="10"/>
      <c r="I319" s="11" t="str">
        <f>"－"</f>
        <v>－</v>
      </c>
      <c r="J319" s="10"/>
      <c r="K319" s="11" t="n">
        <f>1897</f>
        <v>1897.0</v>
      </c>
    </row>
    <row r="320">
      <c r="A320" s="8" t="s">
        <v>34</v>
      </c>
      <c r="B320" s="9" t="s">
        <v>69</v>
      </c>
      <c r="C320" s="9" t="s">
        <v>70</v>
      </c>
      <c r="D320" s="10"/>
      <c r="E320" s="11" t="n">
        <f>147</f>
        <v>147.0</v>
      </c>
      <c r="F320" s="10"/>
      <c r="G320" s="11" t="n">
        <f>174277500</f>
        <v>1.742775E8</v>
      </c>
      <c r="H320" s="10"/>
      <c r="I320" s="11" t="str">
        <f>"－"</f>
        <v>－</v>
      </c>
      <c r="J320" s="10"/>
      <c r="K320" s="11" t="n">
        <f>1905</f>
        <v>1905.0</v>
      </c>
    </row>
    <row r="321">
      <c r="A321" s="8" t="s">
        <v>35</v>
      </c>
      <c r="B321" s="9" t="s">
        <v>69</v>
      </c>
      <c r="C321" s="9" t="s">
        <v>70</v>
      </c>
      <c r="D321" s="10"/>
      <c r="E321" s="11" t="n">
        <f>226</f>
        <v>226.0</v>
      </c>
      <c r="F321" s="10"/>
      <c r="G321" s="11" t="n">
        <f>266291500</f>
        <v>2.662915E8</v>
      </c>
      <c r="H321" s="10"/>
      <c r="I321" s="11" t="str">
        <f>"－"</f>
        <v>－</v>
      </c>
      <c r="J321" s="10" t="s">
        <v>43</v>
      </c>
      <c r="K321" s="11" t="n">
        <f>1936</f>
        <v>1936.0</v>
      </c>
    </row>
    <row r="322">
      <c r="A322" s="8" t="s">
        <v>36</v>
      </c>
      <c r="B322" s="9" t="s">
        <v>69</v>
      </c>
      <c r="C322" s="9" t="s">
        <v>70</v>
      </c>
      <c r="D322" s="10" t="s">
        <v>43</v>
      </c>
      <c r="E322" s="11" t="n">
        <f>269</f>
        <v>269.0</v>
      </c>
      <c r="F322" s="10" t="s">
        <v>43</v>
      </c>
      <c r="G322" s="11" t="n">
        <f>316897500</f>
        <v>3.168975E8</v>
      </c>
      <c r="H322" s="10"/>
      <c r="I322" s="11" t="str">
        <f>"－"</f>
        <v>－</v>
      </c>
      <c r="J322" s="10"/>
      <c r="K322" s="11" t="n">
        <f>1881</f>
        <v>1881.0</v>
      </c>
    </row>
    <row r="323">
      <c r="A323" s="8" t="s">
        <v>37</v>
      </c>
      <c r="B323" s="9" t="s">
        <v>69</v>
      </c>
      <c r="C323" s="9" t="s">
        <v>70</v>
      </c>
      <c r="D323" s="10"/>
      <c r="E323" s="11" t="n">
        <f>264</f>
        <v>264.0</v>
      </c>
      <c r="F323" s="10"/>
      <c r="G323" s="11" t="n">
        <f>312491000</f>
        <v>3.12491E8</v>
      </c>
      <c r="H323" s="10"/>
      <c r="I323" s="11" t="str">
        <f>"－"</f>
        <v>－</v>
      </c>
      <c r="J323" s="10"/>
      <c r="K323" s="11" t="n">
        <f>1841</f>
        <v>1841.0</v>
      </c>
    </row>
    <row r="324">
      <c r="A324" s="8" t="s">
        <v>38</v>
      </c>
      <c r="B324" s="9" t="s">
        <v>69</v>
      </c>
      <c r="C324" s="9" t="s">
        <v>70</v>
      </c>
      <c r="D324" s="10"/>
      <c r="E324" s="11"/>
      <c r="F324" s="10"/>
      <c r="G324" s="11"/>
      <c r="H324" s="10"/>
      <c r="I324" s="11"/>
      <c r="J324" s="10"/>
      <c r="K324" s="11"/>
    </row>
    <row r="325">
      <c r="A325" s="8" t="s">
        <v>39</v>
      </c>
      <c r="B325" s="9" t="s">
        <v>69</v>
      </c>
      <c r="C325" s="9" t="s">
        <v>70</v>
      </c>
      <c r="D325" s="10"/>
      <c r="E325" s="11"/>
      <c r="F325" s="10"/>
      <c r="G325" s="11"/>
      <c r="H325" s="10"/>
      <c r="I325" s="11"/>
      <c r="J325" s="10"/>
      <c r="K325" s="11"/>
    </row>
    <row r="326">
      <c r="A326" s="8" t="s">
        <v>40</v>
      </c>
      <c r="B326" s="9" t="s">
        <v>69</v>
      </c>
      <c r="C326" s="9" t="s">
        <v>70</v>
      </c>
      <c r="D326" s="10"/>
      <c r="E326" s="11"/>
      <c r="F326" s="10"/>
      <c r="G326" s="11"/>
      <c r="H326" s="10"/>
      <c r="I326" s="11"/>
      <c r="J326" s="10"/>
      <c r="K326" s="11"/>
    </row>
    <row r="327">
      <c r="A327" s="8" t="s">
        <v>41</v>
      </c>
      <c r="B327" s="9" t="s">
        <v>69</v>
      </c>
      <c r="C327" s="9" t="s">
        <v>70</v>
      </c>
      <c r="D327" s="10"/>
      <c r="E327" s="11"/>
      <c r="F327" s="10"/>
      <c r="G327" s="11"/>
      <c r="H327" s="10"/>
      <c r="I327" s="11"/>
      <c r="J327" s="10"/>
      <c r="K327" s="11"/>
    </row>
    <row r="328">
      <c r="A328" s="8" t="s">
        <v>42</v>
      </c>
      <c r="B328" s="9" t="s">
        <v>69</v>
      </c>
      <c r="C328" s="9" t="s">
        <v>70</v>
      </c>
      <c r="D328" s="10"/>
      <c r="E328" s="11" t="n">
        <f>230</f>
        <v>230.0</v>
      </c>
      <c r="F328" s="10"/>
      <c r="G328" s="11" t="n">
        <f>280625000</f>
        <v>2.80625E8</v>
      </c>
      <c r="H328" s="10"/>
      <c r="I328" s="11" t="str">
        <f>"－"</f>
        <v>－</v>
      </c>
      <c r="J328" s="10"/>
      <c r="K328" s="11" t="n">
        <f>1842</f>
        <v>1842.0</v>
      </c>
    </row>
    <row r="329">
      <c r="A329" s="8" t="s">
        <v>44</v>
      </c>
      <c r="B329" s="9" t="s">
        <v>69</v>
      </c>
      <c r="C329" s="9" t="s">
        <v>70</v>
      </c>
      <c r="D329" s="10"/>
      <c r="E329" s="11" t="n">
        <f>214</f>
        <v>214.0</v>
      </c>
      <c r="F329" s="10"/>
      <c r="G329" s="11" t="n">
        <f>257336500</f>
        <v>2.573365E8</v>
      </c>
      <c r="H329" s="10"/>
      <c r="I329" s="11" t="str">
        <f>"－"</f>
        <v>－</v>
      </c>
      <c r="J329" s="10"/>
      <c r="K329" s="11" t="n">
        <f>1802</f>
        <v>1802.0</v>
      </c>
    </row>
    <row r="330">
      <c r="A330" s="8" t="s">
        <v>45</v>
      </c>
      <c r="B330" s="9" t="s">
        <v>69</v>
      </c>
      <c r="C330" s="9" t="s">
        <v>70</v>
      </c>
      <c r="D330" s="10"/>
      <c r="E330" s="11" t="n">
        <f>237</f>
        <v>237.0</v>
      </c>
      <c r="F330" s="10"/>
      <c r="G330" s="11" t="n">
        <f>278770500</f>
        <v>2.787705E8</v>
      </c>
      <c r="H330" s="10"/>
      <c r="I330" s="11" t="str">
        <f>"－"</f>
        <v>－</v>
      </c>
      <c r="J330" s="10"/>
      <c r="K330" s="11" t="n">
        <f>1746</f>
        <v>1746.0</v>
      </c>
    </row>
    <row r="331">
      <c r="A331" s="8" t="s">
        <v>46</v>
      </c>
      <c r="B331" s="9" t="s">
        <v>69</v>
      </c>
      <c r="C331" s="9" t="s">
        <v>70</v>
      </c>
      <c r="D331" s="10"/>
      <c r="E331" s="11"/>
      <c r="F331" s="10"/>
      <c r="G331" s="11"/>
      <c r="H331" s="10"/>
      <c r="I331" s="11"/>
      <c r="J331" s="10"/>
      <c r="K331" s="11"/>
    </row>
    <row r="332">
      <c r="A332" s="8" t="s">
        <v>47</v>
      </c>
      <c r="B332" s="9" t="s">
        <v>69</v>
      </c>
      <c r="C332" s="9" t="s">
        <v>70</v>
      </c>
      <c r="D332" s="10"/>
      <c r="E332" s="11"/>
      <c r="F332" s="10"/>
      <c r="G332" s="11"/>
      <c r="H332" s="10"/>
      <c r="I332" s="11"/>
      <c r="J332" s="10"/>
      <c r="K332" s="11"/>
    </row>
    <row r="333">
      <c r="A333" s="8" t="s">
        <v>48</v>
      </c>
      <c r="B333" s="9" t="s">
        <v>69</v>
      </c>
      <c r="C333" s="9" t="s">
        <v>70</v>
      </c>
      <c r="D333" s="10"/>
      <c r="E333" s="11" t="n">
        <f>82</f>
        <v>82.0</v>
      </c>
      <c r="F333" s="10"/>
      <c r="G333" s="11" t="n">
        <f>96978500</f>
        <v>9.69785E7</v>
      </c>
      <c r="H333" s="10"/>
      <c r="I333" s="11" t="str">
        <f>"－"</f>
        <v>－</v>
      </c>
      <c r="J333" s="10"/>
      <c r="K333" s="11" t="n">
        <f>1724</f>
        <v>1724.0</v>
      </c>
    </row>
    <row r="334">
      <c r="A334" s="8" t="s">
        <v>49</v>
      </c>
      <c r="B334" s="9" t="s">
        <v>69</v>
      </c>
      <c r="C334" s="9" t="s">
        <v>70</v>
      </c>
      <c r="D334" s="10"/>
      <c r="E334" s="11" t="n">
        <f>111</f>
        <v>111.0</v>
      </c>
      <c r="F334" s="10"/>
      <c r="G334" s="11" t="n">
        <f>131739000</f>
        <v>1.31739E8</v>
      </c>
      <c r="H334" s="10"/>
      <c r="I334" s="11" t="str">
        <f>"－"</f>
        <v>－</v>
      </c>
      <c r="J334" s="10" t="s">
        <v>20</v>
      </c>
      <c r="K334" s="11" t="n">
        <f>1694</f>
        <v>1694.0</v>
      </c>
    </row>
    <row r="335">
      <c r="A335" s="8" t="s">
        <v>50</v>
      </c>
      <c r="B335" s="9" t="s">
        <v>69</v>
      </c>
      <c r="C335" s="9" t="s">
        <v>70</v>
      </c>
      <c r="D335" s="10" t="s">
        <v>20</v>
      </c>
      <c r="E335" s="11" t="n">
        <f>19</f>
        <v>19.0</v>
      </c>
      <c r="F335" s="10" t="s">
        <v>20</v>
      </c>
      <c r="G335" s="11" t="n">
        <f>22506500</f>
        <v>2.25065E7</v>
      </c>
      <c r="H335" s="10"/>
      <c r="I335" s="11" t="str">
        <f>"－"</f>
        <v>－</v>
      </c>
      <c r="J335" s="10"/>
      <c r="K335" s="11" t="n">
        <f>1696</f>
        <v>1696.0</v>
      </c>
    </row>
    <row r="336">
      <c r="A336" s="8" t="s">
        <v>16</v>
      </c>
      <c r="B336" s="9" t="s">
        <v>71</v>
      </c>
      <c r="C336" s="9" t="s">
        <v>72</v>
      </c>
      <c r="D336" s="10" t="s">
        <v>19</v>
      </c>
      <c r="E336" s="11" t="str">
        <f>"－"</f>
        <v>－</v>
      </c>
      <c r="F336" s="10" t="s">
        <v>19</v>
      </c>
      <c r="G336" s="11" t="str">
        <f>"－"</f>
        <v>－</v>
      </c>
      <c r="H336" s="10" t="s">
        <v>19</v>
      </c>
      <c r="I336" s="11" t="str">
        <f>"－"</f>
        <v>－</v>
      </c>
      <c r="J336" s="10" t="s">
        <v>19</v>
      </c>
      <c r="K336" s="11" t="str">
        <f>"－"</f>
        <v>－</v>
      </c>
    </row>
    <row r="337">
      <c r="A337" s="8" t="s">
        <v>21</v>
      </c>
      <c r="B337" s="9" t="s">
        <v>71</v>
      </c>
      <c r="C337" s="9" t="s">
        <v>72</v>
      </c>
      <c r="D337" s="10"/>
      <c r="E337" s="11" t="str">
        <f>"－"</f>
        <v>－</v>
      </c>
      <c r="F337" s="10"/>
      <c r="G337" s="11" t="str">
        <f>"－"</f>
        <v>－</v>
      </c>
      <c r="H337" s="10"/>
      <c r="I337" s="11" t="str">
        <f>"－"</f>
        <v>－</v>
      </c>
      <c r="J337" s="10"/>
      <c r="K337" s="11" t="str">
        <f>"－"</f>
        <v>－</v>
      </c>
    </row>
    <row r="338">
      <c r="A338" s="8" t="s">
        <v>22</v>
      </c>
      <c r="B338" s="9" t="s">
        <v>71</v>
      </c>
      <c r="C338" s="9" t="s">
        <v>72</v>
      </c>
      <c r="D338" s="10"/>
      <c r="E338" s="11" t="str">
        <f>"－"</f>
        <v>－</v>
      </c>
      <c r="F338" s="10"/>
      <c r="G338" s="11" t="str">
        <f>"－"</f>
        <v>－</v>
      </c>
      <c r="H338" s="10"/>
      <c r="I338" s="11" t="str">
        <f>"－"</f>
        <v>－</v>
      </c>
      <c r="J338" s="10"/>
      <c r="K338" s="11" t="str">
        <f>"－"</f>
        <v>－</v>
      </c>
    </row>
    <row r="339">
      <c r="A339" s="8" t="s">
        <v>23</v>
      </c>
      <c r="B339" s="9" t="s">
        <v>71</v>
      </c>
      <c r="C339" s="9" t="s">
        <v>72</v>
      </c>
      <c r="D339" s="10"/>
      <c r="E339" s="11" t="str">
        <f>"－"</f>
        <v>－</v>
      </c>
      <c r="F339" s="10"/>
      <c r="G339" s="11" t="str">
        <f>"－"</f>
        <v>－</v>
      </c>
      <c r="H339" s="10"/>
      <c r="I339" s="11" t="str">
        <f>"－"</f>
        <v>－</v>
      </c>
      <c r="J339" s="10"/>
      <c r="K339" s="11" t="str">
        <f>"－"</f>
        <v>－</v>
      </c>
    </row>
    <row r="340">
      <c r="A340" s="8" t="s">
        <v>24</v>
      </c>
      <c r="B340" s="9" t="s">
        <v>71</v>
      </c>
      <c r="C340" s="9" t="s">
        <v>72</v>
      </c>
      <c r="D340" s="10"/>
      <c r="E340" s="11"/>
      <c r="F340" s="10"/>
      <c r="G340" s="11"/>
      <c r="H340" s="10"/>
      <c r="I340" s="11"/>
      <c r="J340" s="10"/>
      <c r="K340" s="11"/>
    </row>
    <row r="341">
      <c r="A341" s="8" t="s">
        <v>25</v>
      </c>
      <c r="B341" s="9" t="s">
        <v>71</v>
      </c>
      <c r="C341" s="9" t="s">
        <v>72</v>
      </c>
      <c r="D341" s="10"/>
      <c r="E341" s="11"/>
      <c r="F341" s="10"/>
      <c r="G341" s="11"/>
      <c r="H341" s="10"/>
      <c r="I341" s="11"/>
      <c r="J341" s="10"/>
      <c r="K341" s="11"/>
    </row>
    <row r="342">
      <c r="A342" s="8" t="s">
        <v>26</v>
      </c>
      <c r="B342" s="9" t="s">
        <v>71</v>
      </c>
      <c r="C342" s="9" t="s">
        <v>72</v>
      </c>
      <c r="D342" s="10"/>
      <c r="E342" s="11" t="str">
        <f>"－"</f>
        <v>－</v>
      </c>
      <c r="F342" s="10"/>
      <c r="G342" s="11" t="str">
        <f>"－"</f>
        <v>－</v>
      </c>
      <c r="H342" s="10"/>
      <c r="I342" s="11" t="str">
        <f>"－"</f>
        <v>－</v>
      </c>
      <c r="J342" s="10"/>
      <c r="K342" s="11" t="str">
        <f>"－"</f>
        <v>－</v>
      </c>
    </row>
    <row r="343">
      <c r="A343" s="8" t="s">
        <v>27</v>
      </c>
      <c r="B343" s="9" t="s">
        <v>71</v>
      </c>
      <c r="C343" s="9" t="s">
        <v>72</v>
      </c>
      <c r="D343" s="10"/>
      <c r="E343" s="11" t="str">
        <f>"－"</f>
        <v>－</v>
      </c>
      <c r="F343" s="10"/>
      <c r="G343" s="11" t="str">
        <f>"－"</f>
        <v>－</v>
      </c>
      <c r="H343" s="10"/>
      <c r="I343" s="11" t="str">
        <f>"－"</f>
        <v>－</v>
      </c>
      <c r="J343" s="10"/>
      <c r="K343" s="11" t="str">
        <f>"－"</f>
        <v>－</v>
      </c>
    </row>
    <row r="344">
      <c r="A344" s="8" t="s">
        <v>28</v>
      </c>
      <c r="B344" s="9" t="s">
        <v>71</v>
      </c>
      <c r="C344" s="9" t="s">
        <v>72</v>
      </c>
      <c r="D344" s="10"/>
      <c r="E344" s="11" t="str">
        <f>"－"</f>
        <v>－</v>
      </c>
      <c r="F344" s="10"/>
      <c r="G344" s="11" t="str">
        <f>"－"</f>
        <v>－</v>
      </c>
      <c r="H344" s="10"/>
      <c r="I344" s="11" t="str">
        <f>"－"</f>
        <v>－</v>
      </c>
      <c r="J344" s="10"/>
      <c r="K344" s="11" t="str">
        <f>"－"</f>
        <v>－</v>
      </c>
    </row>
    <row r="345">
      <c r="A345" s="8" t="s">
        <v>29</v>
      </c>
      <c r="B345" s="9" t="s">
        <v>71</v>
      </c>
      <c r="C345" s="9" t="s">
        <v>72</v>
      </c>
      <c r="D345" s="10"/>
      <c r="E345" s="11" t="str">
        <f>"－"</f>
        <v>－</v>
      </c>
      <c r="F345" s="10"/>
      <c r="G345" s="11" t="str">
        <f>"－"</f>
        <v>－</v>
      </c>
      <c r="H345" s="10"/>
      <c r="I345" s="11" t="str">
        <f>"－"</f>
        <v>－</v>
      </c>
      <c r="J345" s="10"/>
      <c r="K345" s="11" t="str">
        <f>"－"</f>
        <v>－</v>
      </c>
    </row>
    <row r="346">
      <c r="A346" s="8" t="s">
        <v>30</v>
      </c>
      <c r="B346" s="9" t="s">
        <v>71</v>
      </c>
      <c r="C346" s="9" t="s">
        <v>72</v>
      </c>
      <c r="D346" s="10"/>
      <c r="E346" s="11" t="str">
        <f>"－"</f>
        <v>－</v>
      </c>
      <c r="F346" s="10"/>
      <c r="G346" s="11" t="str">
        <f>"－"</f>
        <v>－</v>
      </c>
      <c r="H346" s="10"/>
      <c r="I346" s="11" t="str">
        <f>"－"</f>
        <v>－</v>
      </c>
      <c r="J346" s="10"/>
      <c r="K346" s="11" t="str">
        <f>"－"</f>
        <v>－</v>
      </c>
    </row>
    <row r="347">
      <c r="A347" s="8" t="s">
        <v>31</v>
      </c>
      <c r="B347" s="9" t="s">
        <v>71</v>
      </c>
      <c r="C347" s="9" t="s">
        <v>72</v>
      </c>
      <c r="D347" s="10"/>
      <c r="E347" s="11"/>
      <c r="F347" s="10"/>
      <c r="G347" s="11"/>
      <c r="H347" s="10"/>
      <c r="I347" s="11"/>
      <c r="J347" s="10"/>
      <c r="K347" s="11"/>
    </row>
    <row r="348">
      <c r="A348" s="8" t="s">
        <v>32</v>
      </c>
      <c r="B348" s="9" t="s">
        <v>71</v>
      </c>
      <c r="C348" s="9" t="s">
        <v>72</v>
      </c>
      <c r="D348" s="10"/>
      <c r="E348" s="11"/>
      <c r="F348" s="10"/>
      <c r="G348" s="11"/>
      <c r="H348" s="10"/>
      <c r="I348" s="11"/>
      <c r="J348" s="10"/>
      <c r="K348" s="11"/>
    </row>
    <row r="349">
      <c r="A349" s="8" t="s">
        <v>33</v>
      </c>
      <c r="B349" s="9" t="s">
        <v>71</v>
      </c>
      <c r="C349" s="9" t="s">
        <v>72</v>
      </c>
      <c r="D349" s="10"/>
      <c r="E349" s="11" t="str">
        <f>"－"</f>
        <v>－</v>
      </c>
      <c r="F349" s="10"/>
      <c r="G349" s="11" t="str">
        <f>"－"</f>
        <v>－</v>
      </c>
      <c r="H349" s="10"/>
      <c r="I349" s="11" t="str">
        <f>"－"</f>
        <v>－</v>
      </c>
      <c r="J349" s="10"/>
      <c r="K349" s="11" t="str">
        <f>"－"</f>
        <v>－</v>
      </c>
    </row>
    <row r="350">
      <c r="A350" s="8" t="s">
        <v>34</v>
      </c>
      <c r="B350" s="9" t="s">
        <v>71</v>
      </c>
      <c r="C350" s="9" t="s">
        <v>72</v>
      </c>
      <c r="D350" s="10"/>
      <c r="E350" s="11" t="str">
        <f>"－"</f>
        <v>－</v>
      </c>
      <c r="F350" s="10"/>
      <c r="G350" s="11" t="str">
        <f>"－"</f>
        <v>－</v>
      </c>
      <c r="H350" s="10"/>
      <c r="I350" s="11" t="str">
        <f>"－"</f>
        <v>－</v>
      </c>
      <c r="J350" s="10"/>
      <c r="K350" s="11" t="str">
        <f>"－"</f>
        <v>－</v>
      </c>
    </row>
    <row r="351">
      <c r="A351" s="8" t="s">
        <v>35</v>
      </c>
      <c r="B351" s="9" t="s">
        <v>71</v>
      </c>
      <c r="C351" s="9" t="s">
        <v>72</v>
      </c>
      <c r="D351" s="10"/>
      <c r="E351" s="11" t="str">
        <f>"－"</f>
        <v>－</v>
      </c>
      <c r="F351" s="10"/>
      <c r="G351" s="11" t="str">
        <f>"－"</f>
        <v>－</v>
      </c>
      <c r="H351" s="10"/>
      <c r="I351" s="11" t="str">
        <f>"－"</f>
        <v>－</v>
      </c>
      <c r="J351" s="10"/>
      <c r="K351" s="11" t="str">
        <f>"－"</f>
        <v>－</v>
      </c>
    </row>
    <row r="352">
      <c r="A352" s="8" t="s">
        <v>36</v>
      </c>
      <c r="B352" s="9" t="s">
        <v>71</v>
      </c>
      <c r="C352" s="9" t="s">
        <v>72</v>
      </c>
      <c r="D352" s="10"/>
      <c r="E352" s="11" t="str">
        <f>"－"</f>
        <v>－</v>
      </c>
      <c r="F352" s="10"/>
      <c r="G352" s="11" t="str">
        <f>"－"</f>
        <v>－</v>
      </c>
      <c r="H352" s="10"/>
      <c r="I352" s="11" t="str">
        <f>"－"</f>
        <v>－</v>
      </c>
      <c r="J352" s="10"/>
      <c r="K352" s="11" t="str">
        <f>"－"</f>
        <v>－</v>
      </c>
    </row>
    <row r="353">
      <c r="A353" s="8" t="s">
        <v>37</v>
      </c>
      <c r="B353" s="9" t="s">
        <v>71</v>
      </c>
      <c r="C353" s="9" t="s">
        <v>72</v>
      </c>
      <c r="D353" s="10"/>
      <c r="E353" s="11" t="str">
        <f>"－"</f>
        <v>－</v>
      </c>
      <c r="F353" s="10"/>
      <c r="G353" s="11" t="str">
        <f>"－"</f>
        <v>－</v>
      </c>
      <c r="H353" s="10"/>
      <c r="I353" s="11" t="str">
        <f>"－"</f>
        <v>－</v>
      </c>
      <c r="J353" s="10"/>
      <c r="K353" s="11" t="str">
        <f>"－"</f>
        <v>－</v>
      </c>
    </row>
    <row r="354">
      <c r="A354" s="8" t="s">
        <v>38</v>
      </c>
      <c r="B354" s="9" t="s">
        <v>71</v>
      </c>
      <c r="C354" s="9" t="s">
        <v>72</v>
      </c>
      <c r="D354" s="10"/>
      <c r="E354" s="11"/>
      <c r="F354" s="10"/>
      <c r="G354" s="11"/>
      <c r="H354" s="10"/>
      <c r="I354" s="11"/>
      <c r="J354" s="10"/>
      <c r="K354" s="11"/>
    </row>
    <row r="355">
      <c r="A355" s="8" t="s">
        <v>39</v>
      </c>
      <c r="B355" s="9" t="s">
        <v>71</v>
      </c>
      <c r="C355" s="9" t="s">
        <v>72</v>
      </c>
      <c r="D355" s="10"/>
      <c r="E355" s="11"/>
      <c r="F355" s="10"/>
      <c r="G355" s="11"/>
      <c r="H355" s="10"/>
      <c r="I355" s="11"/>
      <c r="J355" s="10"/>
      <c r="K355" s="11"/>
    </row>
    <row r="356">
      <c r="A356" s="8" t="s">
        <v>40</v>
      </c>
      <c r="B356" s="9" t="s">
        <v>71</v>
      </c>
      <c r="C356" s="9" t="s">
        <v>72</v>
      </c>
      <c r="D356" s="10"/>
      <c r="E356" s="11"/>
      <c r="F356" s="10"/>
      <c r="G356" s="11"/>
      <c r="H356" s="10"/>
      <c r="I356" s="11"/>
      <c r="J356" s="10"/>
      <c r="K356" s="11"/>
    </row>
    <row r="357">
      <c r="A357" s="8" t="s">
        <v>41</v>
      </c>
      <c r="B357" s="9" t="s">
        <v>71</v>
      </c>
      <c r="C357" s="9" t="s">
        <v>72</v>
      </c>
      <c r="D357" s="10"/>
      <c r="E357" s="11"/>
      <c r="F357" s="10"/>
      <c r="G357" s="11"/>
      <c r="H357" s="10"/>
      <c r="I357" s="11"/>
      <c r="J357" s="10"/>
      <c r="K357" s="11"/>
    </row>
    <row r="358">
      <c r="A358" s="8" t="s">
        <v>42</v>
      </c>
      <c r="B358" s="9" t="s">
        <v>71</v>
      </c>
      <c r="C358" s="9" t="s">
        <v>72</v>
      </c>
      <c r="D358" s="10"/>
      <c r="E358" s="11" t="str">
        <f>"－"</f>
        <v>－</v>
      </c>
      <c r="F358" s="10"/>
      <c r="G358" s="11" t="str">
        <f>"－"</f>
        <v>－</v>
      </c>
      <c r="H358" s="10"/>
      <c r="I358" s="11" t="str">
        <f>"－"</f>
        <v>－</v>
      </c>
      <c r="J358" s="10"/>
      <c r="K358" s="11" t="str">
        <f>"－"</f>
        <v>－</v>
      </c>
    </row>
    <row r="359">
      <c r="A359" s="8" t="s">
        <v>44</v>
      </c>
      <c r="B359" s="9" t="s">
        <v>71</v>
      </c>
      <c r="C359" s="9" t="s">
        <v>72</v>
      </c>
      <c r="D359" s="10"/>
      <c r="E359" s="11" t="str">
        <f>"－"</f>
        <v>－</v>
      </c>
      <c r="F359" s="10"/>
      <c r="G359" s="11" t="str">
        <f>"－"</f>
        <v>－</v>
      </c>
      <c r="H359" s="10"/>
      <c r="I359" s="11" t="str">
        <f>"－"</f>
        <v>－</v>
      </c>
      <c r="J359" s="10"/>
      <c r="K359" s="11" t="str">
        <f>"－"</f>
        <v>－</v>
      </c>
    </row>
    <row r="360">
      <c r="A360" s="8" t="s">
        <v>45</v>
      </c>
      <c r="B360" s="9" t="s">
        <v>71</v>
      </c>
      <c r="C360" s="9" t="s">
        <v>72</v>
      </c>
      <c r="D360" s="10"/>
      <c r="E360" s="11" t="str">
        <f>"－"</f>
        <v>－</v>
      </c>
      <c r="F360" s="10"/>
      <c r="G360" s="11" t="str">
        <f>"－"</f>
        <v>－</v>
      </c>
      <c r="H360" s="10"/>
      <c r="I360" s="11" t="str">
        <f>"－"</f>
        <v>－</v>
      </c>
      <c r="J360" s="10"/>
      <c r="K360" s="11" t="str">
        <f>"－"</f>
        <v>－</v>
      </c>
    </row>
    <row r="361">
      <c r="A361" s="8" t="s">
        <v>46</v>
      </c>
      <c r="B361" s="9" t="s">
        <v>71</v>
      </c>
      <c r="C361" s="9" t="s">
        <v>72</v>
      </c>
      <c r="D361" s="10"/>
      <c r="E361" s="11"/>
      <c r="F361" s="10"/>
      <c r="G361" s="11"/>
      <c r="H361" s="10"/>
      <c r="I361" s="11"/>
      <c r="J361" s="10"/>
      <c r="K361" s="11"/>
    </row>
    <row r="362">
      <c r="A362" s="8" t="s">
        <v>47</v>
      </c>
      <c r="B362" s="9" t="s">
        <v>71</v>
      </c>
      <c r="C362" s="9" t="s">
        <v>72</v>
      </c>
      <c r="D362" s="10"/>
      <c r="E362" s="11"/>
      <c r="F362" s="10"/>
      <c r="G362" s="11"/>
      <c r="H362" s="10"/>
      <c r="I362" s="11"/>
      <c r="J362" s="10"/>
      <c r="K362" s="11"/>
    </row>
    <row r="363">
      <c r="A363" s="8" t="s">
        <v>48</v>
      </c>
      <c r="B363" s="9" t="s">
        <v>71</v>
      </c>
      <c r="C363" s="9" t="s">
        <v>72</v>
      </c>
      <c r="D363" s="10"/>
      <c r="E363" s="11" t="str">
        <f>"－"</f>
        <v>－</v>
      </c>
      <c r="F363" s="10"/>
      <c r="G363" s="11" t="str">
        <f>"－"</f>
        <v>－</v>
      </c>
      <c r="H363" s="10"/>
      <c r="I363" s="11" t="str">
        <f>"－"</f>
        <v>－</v>
      </c>
      <c r="J363" s="10"/>
      <c r="K363" s="11" t="str">
        <f>"－"</f>
        <v>－</v>
      </c>
    </row>
    <row r="364">
      <c r="A364" s="8" t="s">
        <v>49</v>
      </c>
      <c r="B364" s="9" t="s">
        <v>71</v>
      </c>
      <c r="C364" s="9" t="s">
        <v>72</v>
      </c>
      <c r="D364" s="10"/>
      <c r="E364" s="11" t="str">
        <f>"－"</f>
        <v>－</v>
      </c>
      <c r="F364" s="10"/>
      <c r="G364" s="11" t="str">
        <f>"－"</f>
        <v>－</v>
      </c>
      <c r="H364" s="10"/>
      <c r="I364" s="11" t="str">
        <f>"－"</f>
        <v>－</v>
      </c>
      <c r="J364" s="10"/>
      <c r="K364" s="11" t="str">
        <f>"－"</f>
        <v>－</v>
      </c>
    </row>
    <row r="365">
      <c r="A365" s="8" t="s">
        <v>50</v>
      </c>
      <c r="B365" s="9" t="s">
        <v>71</v>
      </c>
      <c r="C365" s="9" t="s">
        <v>72</v>
      </c>
      <c r="D365" s="10"/>
      <c r="E365" s="11" t="str">
        <f>"－"</f>
        <v>－</v>
      </c>
      <c r="F365" s="10"/>
      <c r="G365" s="11" t="str">
        <f>"－"</f>
        <v>－</v>
      </c>
      <c r="H365" s="10"/>
      <c r="I365" s="11" t="str">
        <f>"－"</f>
        <v>－</v>
      </c>
      <c r="J365" s="10"/>
      <c r="K365" s="11" t="str">
        <f>"－"</f>
        <v>－</v>
      </c>
    </row>
    <row r="366">
      <c r="A366" s="8" t="s">
        <v>16</v>
      </c>
      <c r="B366" s="9" t="s">
        <v>73</v>
      </c>
      <c r="C366" s="9" t="s">
        <v>74</v>
      </c>
      <c r="D366" s="10" t="s">
        <v>20</v>
      </c>
      <c r="E366" s="11" t="str">
        <f>"－"</f>
        <v>－</v>
      </c>
      <c r="F366" s="10" t="s">
        <v>20</v>
      </c>
      <c r="G366" s="11" t="str">
        <f>"－"</f>
        <v>－</v>
      </c>
      <c r="H366" s="10" t="s">
        <v>19</v>
      </c>
      <c r="I366" s="11" t="str">
        <f>"－"</f>
        <v>－</v>
      </c>
      <c r="J366" s="10"/>
      <c r="K366" s="11" t="n">
        <f>6</f>
        <v>6.0</v>
      </c>
    </row>
    <row r="367">
      <c r="A367" s="8" t="s">
        <v>21</v>
      </c>
      <c r="B367" s="9" t="s">
        <v>73</v>
      </c>
      <c r="C367" s="9" t="s">
        <v>74</v>
      </c>
      <c r="D367" s="10"/>
      <c r="E367" s="11" t="n">
        <f>1</f>
        <v>1.0</v>
      </c>
      <c r="F367" s="10"/>
      <c r="G367" s="11" t="n">
        <f>951200</f>
        <v>951200.0</v>
      </c>
      <c r="H367" s="10"/>
      <c r="I367" s="11" t="str">
        <f>"－"</f>
        <v>－</v>
      </c>
      <c r="J367" s="10"/>
      <c r="K367" s="11" t="n">
        <f>7</f>
        <v>7.0</v>
      </c>
    </row>
    <row r="368">
      <c r="A368" s="8" t="s">
        <v>22</v>
      </c>
      <c r="B368" s="9" t="s">
        <v>73</v>
      </c>
      <c r="C368" s="9" t="s">
        <v>74</v>
      </c>
      <c r="D368" s="10"/>
      <c r="E368" s="11" t="str">
        <f>"－"</f>
        <v>－</v>
      </c>
      <c r="F368" s="10"/>
      <c r="G368" s="11" t="str">
        <f>"－"</f>
        <v>－</v>
      </c>
      <c r="H368" s="10"/>
      <c r="I368" s="11" t="str">
        <f>"－"</f>
        <v>－</v>
      </c>
      <c r="J368" s="10"/>
      <c r="K368" s="11" t="n">
        <f>7</f>
        <v>7.0</v>
      </c>
    </row>
    <row r="369">
      <c r="A369" s="8" t="s">
        <v>23</v>
      </c>
      <c r="B369" s="9" t="s">
        <v>73</v>
      </c>
      <c r="C369" s="9" t="s">
        <v>74</v>
      </c>
      <c r="D369" s="10"/>
      <c r="E369" s="11" t="str">
        <f>"－"</f>
        <v>－</v>
      </c>
      <c r="F369" s="10"/>
      <c r="G369" s="11" t="str">
        <f>"－"</f>
        <v>－</v>
      </c>
      <c r="H369" s="10"/>
      <c r="I369" s="11" t="str">
        <f>"－"</f>
        <v>－</v>
      </c>
      <c r="J369" s="10"/>
      <c r="K369" s="11" t="n">
        <f>7</f>
        <v>7.0</v>
      </c>
    </row>
    <row r="370">
      <c r="A370" s="8" t="s">
        <v>24</v>
      </c>
      <c r="B370" s="9" t="s">
        <v>73</v>
      </c>
      <c r="C370" s="9" t="s">
        <v>74</v>
      </c>
      <c r="D370" s="10"/>
      <c r="E370" s="11"/>
      <c r="F370" s="10"/>
      <c r="G370" s="11"/>
      <c r="H370" s="10"/>
      <c r="I370" s="11"/>
      <c r="J370" s="10"/>
      <c r="K370" s="11"/>
    </row>
    <row r="371">
      <c r="A371" s="8" t="s">
        <v>25</v>
      </c>
      <c r="B371" s="9" t="s">
        <v>73</v>
      </c>
      <c r="C371" s="9" t="s">
        <v>74</v>
      </c>
      <c r="D371" s="10"/>
      <c r="E371" s="11"/>
      <c r="F371" s="10"/>
      <c r="G371" s="11"/>
      <c r="H371" s="10"/>
      <c r="I371" s="11"/>
      <c r="J371" s="10"/>
      <c r="K371" s="11"/>
    </row>
    <row r="372">
      <c r="A372" s="8" t="s">
        <v>26</v>
      </c>
      <c r="B372" s="9" t="s">
        <v>73</v>
      </c>
      <c r="C372" s="9" t="s">
        <v>74</v>
      </c>
      <c r="D372" s="10" t="s">
        <v>43</v>
      </c>
      <c r="E372" s="11" t="n">
        <f>3</f>
        <v>3.0</v>
      </c>
      <c r="F372" s="10" t="s">
        <v>43</v>
      </c>
      <c r="G372" s="11" t="n">
        <f>2736800</f>
        <v>2736800.0</v>
      </c>
      <c r="H372" s="10"/>
      <c r="I372" s="11" t="str">
        <f>"－"</f>
        <v>－</v>
      </c>
      <c r="J372" s="10" t="s">
        <v>43</v>
      </c>
      <c r="K372" s="11" t="n">
        <f>8</f>
        <v>8.0</v>
      </c>
    </row>
    <row r="373">
      <c r="A373" s="8" t="s">
        <v>27</v>
      </c>
      <c r="B373" s="9" t="s">
        <v>73</v>
      </c>
      <c r="C373" s="9" t="s">
        <v>74</v>
      </c>
      <c r="D373" s="10"/>
      <c r="E373" s="11" t="str">
        <f>"－"</f>
        <v>－</v>
      </c>
      <c r="F373" s="10"/>
      <c r="G373" s="11" t="str">
        <f>"－"</f>
        <v>－</v>
      </c>
      <c r="H373" s="10"/>
      <c r="I373" s="11" t="str">
        <f>"－"</f>
        <v>－</v>
      </c>
      <c r="J373" s="10"/>
      <c r="K373" s="11" t="n">
        <f>6</f>
        <v>6.0</v>
      </c>
    </row>
    <row r="374">
      <c r="A374" s="8" t="s">
        <v>28</v>
      </c>
      <c r="B374" s="9" t="s">
        <v>73</v>
      </c>
      <c r="C374" s="9" t="s">
        <v>74</v>
      </c>
      <c r="D374" s="10"/>
      <c r="E374" s="11" t="str">
        <f>"－"</f>
        <v>－</v>
      </c>
      <c r="F374" s="10"/>
      <c r="G374" s="11" t="str">
        <f>"－"</f>
        <v>－</v>
      </c>
      <c r="H374" s="10"/>
      <c r="I374" s="11" t="str">
        <f>"－"</f>
        <v>－</v>
      </c>
      <c r="J374" s="10"/>
      <c r="K374" s="11" t="n">
        <f>6</f>
        <v>6.0</v>
      </c>
    </row>
    <row r="375">
      <c r="A375" s="8" t="s">
        <v>29</v>
      </c>
      <c r="B375" s="9" t="s">
        <v>73</v>
      </c>
      <c r="C375" s="9" t="s">
        <v>74</v>
      </c>
      <c r="D375" s="10"/>
      <c r="E375" s="11" t="str">
        <f>"－"</f>
        <v>－</v>
      </c>
      <c r="F375" s="10"/>
      <c r="G375" s="11" t="str">
        <f>"－"</f>
        <v>－</v>
      </c>
      <c r="H375" s="10"/>
      <c r="I375" s="11" t="str">
        <f>"－"</f>
        <v>－</v>
      </c>
      <c r="J375" s="10"/>
      <c r="K375" s="11" t="n">
        <f>6</f>
        <v>6.0</v>
      </c>
    </row>
    <row r="376">
      <c r="A376" s="8" t="s">
        <v>30</v>
      </c>
      <c r="B376" s="9" t="s">
        <v>73</v>
      </c>
      <c r="C376" s="9" t="s">
        <v>74</v>
      </c>
      <c r="D376" s="10"/>
      <c r="E376" s="11" t="str">
        <f>"－"</f>
        <v>－</v>
      </c>
      <c r="F376" s="10"/>
      <c r="G376" s="11" t="str">
        <f>"－"</f>
        <v>－</v>
      </c>
      <c r="H376" s="10"/>
      <c r="I376" s="11" t="str">
        <f>"－"</f>
        <v>－</v>
      </c>
      <c r="J376" s="10"/>
      <c r="K376" s="11" t="n">
        <f>6</f>
        <v>6.0</v>
      </c>
    </row>
    <row r="377">
      <c r="A377" s="8" t="s">
        <v>31</v>
      </c>
      <c r="B377" s="9" t="s">
        <v>73</v>
      </c>
      <c r="C377" s="9" t="s">
        <v>74</v>
      </c>
      <c r="D377" s="10"/>
      <c r="E377" s="11"/>
      <c r="F377" s="10"/>
      <c r="G377" s="11"/>
      <c r="H377" s="10"/>
      <c r="I377" s="11"/>
      <c r="J377" s="10"/>
      <c r="K377" s="11"/>
    </row>
    <row r="378">
      <c r="A378" s="8" t="s">
        <v>32</v>
      </c>
      <c r="B378" s="9" t="s">
        <v>73</v>
      </c>
      <c r="C378" s="9" t="s">
        <v>74</v>
      </c>
      <c r="D378" s="10"/>
      <c r="E378" s="11"/>
      <c r="F378" s="10"/>
      <c r="G378" s="11"/>
      <c r="H378" s="10"/>
      <c r="I378" s="11"/>
      <c r="J378" s="10"/>
      <c r="K378" s="11"/>
    </row>
    <row r="379">
      <c r="A379" s="8" t="s">
        <v>33</v>
      </c>
      <c r="B379" s="9" t="s">
        <v>73</v>
      </c>
      <c r="C379" s="9" t="s">
        <v>74</v>
      </c>
      <c r="D379" s="10"/>
      <c r="E379" s="11" t="n">
        <f>2</f>
        <v>2.0</v>
      </c>
      <c r="F379" s="10"/>
      <c r="G379" s="11" t="n">
        <f>1839200</f>
        <v>1839200.0</v>
      </c>
      <c r="H379" s="10"/>
      <c r="I379" s="11" t="str">
        <f>"－"</f>
        <v>－</v>
      </c>
      <c r="J379" s="10"/>
      <c r="K379" s="11" t="n">
        <f>7</f>
        <v>7.0</v>
      </c>
    </row>
    <row r="380">
      <c r="A380" s="8" t="s">
        <v>34</v>
      </c>
      <c r="B380" s="9" t="s">
        <v>73</v>
      </c>
      <c r="C380" s="9" t="s">
        <v>74</v>
      </c>
      <c r="D380" s="10"/>
      <c r="E380" s="11" t="str">
        <f>"－"</f>
        <v>－</v>
      </c>
      <c r="F380" s="10"/>
      <c r="G380" s="11" t="str">
        <f>"－"</f>
        <v>－</v>
      </c>
      <c r="H380" s="10"/>
      <c r="I380" s="11" t="str">
        <f>"－"</f>
        <v>－</v>
      </c>
      <c r="J380" s="10"/>
      <c r="K380" s="11" t="n">
        <f>7</f>
        <v>7.0</v>
      </c>
    </row>
    <row r="381">
      <c r="A381" s="8" t="s">
        <v>35</v>
      </c>
      <c r="B381" s="9" t="s">
        <v>73</v>
      </c>
      <c r="C381" s="9" t="s">
        <v>74</v>
      </c>
      <c r="D381" s="10"/>
      <c r="E381" s="11" t="str">
        <f>"－"</f>
        <v>－</v>
      </c>
      <c r="F381" s="10"/>
      <c r="G381" s="11" t="str">
        <f>"－"</f>
        <v>－</v>
      </c>
      <c r="H381" s="10"/>
      <c r="I381" s="11" t="str">
        <f>"－"</f>
        <v>－</v>
      </c>
      <c r="J381" s="10"/>
      <c r="K381" s="11" t="n">
        <f>7</f>
        <v>7.0</v>
      </c>
    </row>
    <row r="382">
      <c r="A382" s="8" t="s">
        <v>36</v>
      </c>
      <c r="B382" s="9" t="s">
        <v>73</v>
      </c>
      <c r="C382" s="9" t="s">
        <v>74</v>
      </c>
      <c r="D382" s="10"/>
      <c r="E382" s="11" t="str">
        <f>"－"</f>
        <v>－</v>
      </c>
      <c r="F382" s="10"/>
      <c r="G382" s="11" t="str">
        <f>"－"</f>
        <v>－</v>
      </c>
      <c r="H382" s="10"/>
      <c r="I382" s="11" t="str">
        <f>"－"</f>
        <v>－</v>
      </c>
      <c r="J382" s="10"/>
      <c r="K382" s="11" t="n">
        <f>7</f>
        <v>7.0</v>
      </c>
    </row>
    <row r="383">
      <c r="A383" s="8" t="s">
        <v>37</v>
      </c>
      <c r="B383" s="9" t="s">
        <v>73</v>
      </c>
      <c r="C383" s="9" t="s">
        <v>74</v>
      </c>
      <c r="D383" s="10"/>
      <c r="E383" s="11" t="str">
        <f>"－"</f>
        <v>－</v>
      </c>
      <c r="F383" s="10"/>
      <c r="G383" s="11" t="str">
        <f>"－"</f>
        <v>－</v>
      </c>
      <c r="H383" s="10"/>
      <c r="I383" s="11" t="str">
        <f>"－"</f>
        <v>－</v>
      </c>
      <c r="J383" s="10"/>
      <c r="K383" s="11" t="n">
        <f>7</f>
        <v>7.0</v>
      </c>
    </row>
    <row r="384">
      <c r="A384" s="8" t="s">
        <v>38</v>
      </c>
      <c r="B384" s="9" t="s">
        <v>73</v>
      </c>
      <c r="C384" s="9" t="s">
        <v>74</v>
      </c>
      <c r="D384" s="10"/>
      <c r="E384" s="11"/>
      <c r="F384" s="10"/>
      <c r="G384" s="11"/>
      <c r="H384" s="10"/>
      <c r="I384" s="11"/>
      <c r="J384" s="10"/>
      <c r="K384" s="11"/>
    </row>
    <row r="385">
      <c r="A385" s="8" t="s">
        <v>39</v>
      </c>
      <c r="B385" s="9" t="s">
        <v>73</v>
      </c>
      <c r="C385" s="9" t="s">
        <v>74</v>
      </c>
      <c r="D385" s="10"/>
      <c r="E385" s="11"/>
      <c r="F385" s="10"/>
      <c r="G385" s="11"/>
      <c r="H385" s="10"/>
      <c r="I385" s="11"/>
      <c r="J385" s="10"/>
      <c r="K385" s="11"/>
    </row>
    <row r="386">
      <c r="A386" s="8" t="s">
        <v>40</v>
      </c>
      <c r="B386" s="9" t="s">
        <v>73</v>
      </c>
      <c r="C386" s="9" t="s">
        <v>74</v>
      </c>
      <c r="D386" s="10"/>
      <c r="E386" s="11"/>
      <c r="F386" s="10"/>
      <c r="G386" s="11"/>
      <c r="H386" s="10"/>
      <c r="I386" s="11"/>
      <c r="J386" s="10"/>
      <c r="K386" s="11"/>
    </row>
    <row r="387">
      <c r="A387" s="8" t="s">
        <v>41</v>
      </c>
      <c r="B387" s="9" t="s">
        <v>73</v>
      </c>
      <c r="C387" s="9" t="s">
        <v>74</v>
      </c>
      <c r="D387" s="10"/>
      <c r="E387" s="11"/>
      <c r="F387" s="10"/>
      <c r="G387" s="11"/>
      <c r="H387" s="10"/>
      <c r="I387" s="11"/>
      <c r="J387" s="10"/>
      <c r="K387" s="11"/>
    </row>
    <row r="388">
      <c r="A388" s="8" t="s">
        <v>42</v>
      </c>
      <c r="B388" s="9" t="s">
        <v>73</v>
      </c>
      <c r="C388" s="9" t="s">
        <v>74</v>
      </c>
      <c r="D388" s="10"/>
      <c r="E388" s="11" t="str">
        <f>"－"</f>
        <v>－</v>
      </c>
      <c r="F388" s="10"/>
      <c r="G388" s="11" t="str">
        <f>"－"</f>
        <v>－</v>
      </c>
      <c r="H388" s="10"/>
      <c r="I388" s="11" t="str">
        <f>"－"</f>
        <v>－</v>
      </c>
      <c r="J388" s="10"/>
      <c r="K388" s="11" t="n">
        <f>7</f>
        <v>7.0</v>
      </c>
    </row>
    <row r="389">
      <c r="A389" s="8" t="s">
        <v>44</v>
      </c>
      <c r="B389" s="9" t="s">
        <v>73</v>
      </c>
      <c r="C389" s="9" t="s">
        <v>74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n">
        <f>7</f>
        <v>7.0</v>
      </c>
    </row>
    <row r="390">
      <c r="A390" s="8" t="s">
        <v>45</v>
      </c>
      <c r="B390" s="9" t="s">
        <v>73</v>
      </c>
      <c r="C390" s="9" t="s">
        <v>74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n">
        <f>7</f>
        <v>7.0</v>
      </c>
    </row>
    <row r="391">
      <c r="A391" s="8" t="s">
        <v>46</v>
      </c>
      <c r="B391" s="9" t="s">
        <v>73</v>
      </c>
      <c r="C391" s="9" t="s">
        <v>74</v>
      </c>
      <c r="D391" s="10"/>
      <c r="E391" s="11"/>
      <c r="F391" s="10"/>
      <c r="G391" s="11"/>
      <c r="H391" s="10"/>
      <c r="I391" s="11"/>
      <c r="J391" s="10"/>
      <c r="K391" s="11"/>
    </row>
    <row r="392">
      <c r="A392" s="8" t="s">
        <v>47</v>
      </c>
      <c r="B392" s="9" t="s">
        <v>73</v>
      </c>
      <c r="C392" s="9" t="s">
        <v>74</v>
      </c>
      <c r="D392" s="10"/>
      <c r="E392" s="11"/>
      <c r="F392" s="10"/>
      <c r="G392" s="11"/>
      <c r="H392" s="10"/>
      <c r="I392" s="11"/>
      <c r="J392" s="10"/>
      <c r="K392" s="11"/>
    </row>
    <row r="393">
      <c r="A393" s="8" t="s">
        <v>48</v>
      </c>
      <c r="B393" s="9" t="s">
        <v>73</v>
      </c>
      <c r="C393" s="9" t="s">
        <v>74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 t="s">
        <v>20</v>
      </c>
      <c r="K393" s="11" t="n">
        <f>5</f>
        <v>5.0</v>
      </c>
    </row>
    <row r="394">
      <c r="A394" s="8" t="s">
        <v>49</v>
      </c>
      <c r="B394" s="9" t="s">
        <v>73</v>
      </c>
      <c r="C394" s="9" t="s">
        <v>74</v>
      </c>
      <c r="D394" s="10"/>
      <c r="E394" s="11" t="str">
        <f>"－"</f>
        <v>－</v>
      </c>
      <c r="F394" s="10"/>
      <c r="G394" s="11" t="str">
        <f>"－"</f>
        <v>－</v>
      </c>
      <c r="H394" s="10"/>
      <c r="I394" s="11" t="str">
        <f>"－"</f>
        <v>－</v>
      </c>
      <c r="J394" s="10"/>
      <c r="K394" s="11" t="n">
        <f>5</f>
        <v>5.0</v>
      </c>
    </row>
    <row r="395">
      <c r="A395" s="8" t="s">
        <v>50</v>
      </c>
      <c r="B395" s="9" t="s">
        <v>73</v>
      </c>
      <c r="C395" s="9" t="s">
        <v>74</v>
      </c>
      <c r="D395" s="10"/>
      <c r="E395" s="11" t="str">
        <f>"－"</f>
        <v>－</v>
      </c>
      <c r="F395" s="10"/>
      <c r="G395" s="11" t="str">
        <f>"－"</f>
        <v>－</v>
      </c>
      <c r="H395" s="10"/>
      <c r="I395" s="11" t="str">
        <f>"－"</f>
        <v>－</v>
      </c>
      <c r="J395" s="10"/>
      <c r="K395" s="11" t="n">
        <f>5</f>
        <v>5.0</v>
      </c>
    </row>
  </sheetData>
  <mergeCells count="12">
    <mergeCell ref="A1:C1"/>
    <mergeCell ref="A2:C2"/>
    <mergeCell ref="D4:E4"/>
    <mergeCell ref="F4:G4"/>
    <mergeCell ref="H4:I4"/>
    <mergeCell ref="B4:B5"/>
    <mergeCell ref="C4:C5"/>
    <mergeCell ref="J4:K4"/>
    <mergeCell ref="D5:E5"/>
    <mergeCell ref="F5:G5"/>
    <mergeCell ref="H5:I5"/>
    <mergeCell ref="J5:K5"/>
  </mergeCells>
  <phoneticPr fontId="5"/>
  <printOptions horizontalCentered="1"/>
  <pageMargins bottom="0.59055118110236227" footer="0.35433070866141736" header="0.35433070866141736" left="0.55118110236220474" right="0.55118110236220474" top="0.59055118110236227"/>
  <headerFooter>
    <oddFooter>&amp;C&amp;P / &amp;N&amp;RCopyright (c) Osaka Exchange, Inc. All Rights Reserved.</oddFooter>
  </headerFooter>
</worksheet>
</file>