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<sst xmlns="http://schemas.openxmlformats.org/spreadsheetml/2006/main" count="512" uniqueCount="68">
  <si>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</si>
  <si>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</si>
  <si>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</si>
  <si>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</si>
  <si>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</si>
  <si>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</si>
  <si>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</si>
  <si>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</si>
  <si>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</si>
  <si>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</si>
  <si>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</si>
  <si>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</si>
  <si>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</si>
  <si>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</si>
  <si>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</si>
  <si>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</si>
  <si>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</si>
  <si>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</si>
  <si>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</si>
  <si>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</si>
  <si>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</si>
  <si>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</si>
  <si>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</si>
  <si>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</si>
  <si>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</si>
  <si>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</si>
  <si>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10.1</t>
  </si>
  <si>
    <t>日経225オプション</t>
  </si>
  <si>
    <t>Nikkei 225 Options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</si>
  <si>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</si>
  <si>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</si>
  <si>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</si>
  <si>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</si>
  <si>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</si>
  <si>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</si>
  <si>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</si>
  <si>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</si>
  <si>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</si>
  <si>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●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</si>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</sst>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41474</f>
        <v>41474.0</v>
      </c>
      <c r="F10" s="23"/>
      <c r="G10" s="25" t="n">
        <f>25099</f>
        <v>25099.0</v>
      </c>
      <c r="H10" s="23"/>
      <c r="I10" s="26" t="n">
        <f>66573</f>
        <v>66573.0</v>
      </c>
      <c r="J10" s="24"/>
      <c r="K10" s="25" t="n">
        <f>7216364140</f>
        <v>7.21636414E9</v>
      </c>
      <c r="L10" s="23"/>
      <c r="M10" s="25" t="n">
        <f>3481313000</f>
        <v>3.481313E9</v>
      </c>
      <c r="N10" s="23"/>
      <c r="O10" s="26" t="n">
        <f>10697677140</f>
        <v>1.069767714E10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7540</f>
        <v>7540.0</v>
      </c>
      <c r="U10" s="23"/>
      <c r="V10" s="25" t="n">
        <f>3487</f>
        <v>3487.0</v>
      </c>
      <c r="W10" s="23"/>
      <c r="X10" s="26" t="n">
        <f>11027</f>
        <v>11027.0</v>
      </c>
      <c r="Y10" s="24"/>
      <c r="Z10" s="25" t="n">
        <f>1063696</f>
        <v>1063696.0</v>
      </c>
      <c r="AA10" s="23"/>
      <c r="AB10" s="25" t="n">
        <f>591438</f>
        <v>591438.0</v>
      </c>
      <c r="AC10" s="23"/>
      <c r="AD10" s="26" t="n">
        <f>1655134</f>
        <v>1655134.0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68139</f>
        <v>68139.0</v>
      </c>
      <c r="F11" s="23"/>
      <c r="G11" s="25" t="n">
        <f>42088</f>
        <v>42088.0</v>
      </c>
      <c r="H11" s="23"/>
      <c r="I11" s="26" t="n">
        <f>110227</f>
        <v>110227.0</v>
      </c>
      <c r="J11" s="24"/>
      <c r="K11" s="25" t="n">
        <f>8047457010</f>
        <v>8.04745701E9</v>
      </c>
      <c r="L11" s="23"/>
      <c r="M11" s="25" t="n">
        <f>4026827000</f>
        <v>4.026827E9</v>
      </c>
      <c r="N11" s="23"/>
      <c r="O11" s="26" t="n">
        <f>12074284010</f>
        <v>1.207428401E10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8636</f>
        <v>8636.0</v>
      </c>
      <c r="U11" s="23" t="s">
        <v>30</v>
      </c>
      <c r="V11" s="25" t="n">
        <f>12939</f>
        <v>12939.0</v>
      </c>
      <c r="W11" s="23"/>
      <c r="X11" s="26" t="n">
        <f>21575</f>
        <v>21575.0</v>
      </c>
      <c r="Y11" s="24"/>
      <c r="Z11" s="25" t="n">
        <f>1070821</f>
        <v>1070821.0</v>
      </c>
      <c r="AA11" s="23"/>
      <c r="AB11" s="25" t="n">
        <f>591184</f>
        <v>591184.0</v>
      </c>
      <c r="AC11" s="23"/>
      <c r="AD11" s="26" t="n">
        <f>1662005</f>
        <v>1662005.0</v>
      </c>
    </row>
    <row r="12">
      <c r="A12" s="30" t="s">
        <v>31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32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33</v>
      </c>
      <c r="B14" s="22" t="s">
        <v>27</v>
      </c>
      <c r="C14" s="22" t="s">
        <v>28</v>
      </c>
      <c r="D14" s="24"/>
      <c r="E14" s="25" t="n">
        <f>56565</f>
        <v>56565.0</v>
      </c>
      <c r="F14" s="23"/>
      <c r="G14" s="25" t="n">
        <f>35552</f>
        <v>35552.0</v>
      </c>
      <c r="H14" s="23"/>
      <c r="I14" s="26" t="n">
        <f>92117</f>
        <v>92117.0</v>
      </c>
      <c r="J14" s="24"/>
      <c r="K14" s="25" t="n">
        <f>9648591940</f>
        <v>9.64859194E9</v>
      </c>
      <c r="L14" s="23"/>
      <c r="M14" s="25" t="n">
        <f>7092968700</f>
        <v>7.0929687E9</v>
      </c>
      <c r="N14" s="23"/>
      <c r="O14" s="26" t="n">
        <f>16741560640</f>
        <v>1.674156064E10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11410</f>
        <v>11410.0</v>
      </c>
      <c r="U14" s="23"/>
      <c r="V14" s="25" t="n">
        <f>7116</f>
        <v>7116.0</v>
      </c>
      <c r="W14" s="23"/>
      <c r="X14" s="26" t="n">
        <f>18526</f>
        <v>18526.0</v>
      </c>
      <c r="Y14" s="24"/>
      <c r="Z14" s="25" t="n">
        <f>1074075</f>
        <v>1074075.0</v>
      </c>
      <c r="AA14" s="23"/>
      <c r="AB14" s="25" t="n">
        <f>591259</f>
        <v>591259.0</v>
      </c>
      <c r="AC14" s="23"/>
      <c r="AD14" s="26" t="n">
        <f>1665334</f>
        <v>1665334.0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59385</f>
        <v>59385.0</v>
      </c>
      <c r="F15" s="23"/>
      <c r="G15" s="25" t="n">
        <f>35564</f>
        <v>35564.0</v>
      </c>
      <c r="H15" s="23"/>
      <c r="I15" s="26" t="n">
        <f>94949</f>
        <v>94949.0</v>
      </c>
      <c r="J15" s="24"/>
      <c r="K15" s="25" t="n">
        <f>10955054000</f>
        <v>1.0955054E10</v>
      </c>
      <c r="L15" s="23"/>
      <c r="M15" s="25" t="n">
        <f>5547497000</f>
        <v>5.547497E9</v>
      </c>
      <c r="N15" s="23"/>
      <c r="O15" s="26" t="n">
        <f>16502551000</f>
        <v>1.6502551E10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12143</f>
        <v>12143.0</v>
      </c>
      <c r="U15" s="23"/>
      <c r="V15" s="25" t="n">
        <f>5037</f>
        <v>5037.0</v>
      </c>
      <c r="W15" s="23"/>
      <c r="X15" s="26" t="n">
        <f>17180</f>
        <v>17180.0</v>
      </c>
      <c r="Y15" s="24"/>
      <c r="Z15" s="25" t="n">
        <f>1080292</f>
        <v>1080292.0</v>
      </c>
      <c r="AA15" s="23"/>
      <c r="AB15" s="25" t="n">
        <f>591027</f>
        <v>591027.0</v>
      </c>
      <c r="AC15" s="23"/>
      <c r="AD15" s="26" t="n">
        <f>1671319</f>
        <v>1671319.0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49176</f>
        <v>49176.0</v>
      </c>
      <c r="F16" s="23"/>
      <c r="G16" s="25" t="n">
        <f>35265</f>
        <v>35265.0</v>
      </c>
      <c r="H16" s="23"/>
      <c r="I16" s="26" t="n">
        <f>84441</f>
        <v>84441.0</v>
      </c>
      <c r="J16" s="24"/>
      <c r="K16" s="25" t="n">
        <f>7220521350</f>
        <v>7.22052135E9</v>
      </c>
      <c r="L16" s="23"/>
      <c r="M16" s="25" t="n">
        <f>6009813000</f>
        <v>6.009813E9</v>
      </c>
      <c r="N16" s="23"/>
      <c r="O16" s="26" t="n">
        <f>13230334350</f>
        <v>1.323033435E10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6027</f>
        <v>6027.0</v>
      </c>
      <c r="U16" s="23"/>
      <c r="V16" s="25" t="n">
        <f>6092</f>
        <v>6092.0</v>
      </c>
      <c r="W16" s="23"/>
      <c r="X16" s="26" t="n">
        <f>12119</f>
        <v>12119.0</v>
      </c>
      <c r="Y16" s="24"/>
      <c r="Z16" s="25" t="n">
        <f>1085225</f>
        <v>1085225.0</v>
      </c>
      <c r="AA16" s="23"/>
      <c r="AB16" s="25" t="n">
        <f>596385</f>
        <v>596385.0</v>
      </c>
      <c r="AC16" s="23"/>
      <c r="AD16" s="26" t="n">
        <f>1681610</f>
        <v>1681610.0</v>
      </c>
    </row>
    <row r="17">
      <c r="A17" s="30" t="s">
        <v>36</v>
      </c>
      <c r="B17" s="22" t="s">
        <v>27</v>
      </c>
      <c r="C17" s="22" t="s">
        <v>28</v>
      </c>
      <c r="D17" s="24" t="s">
        <v>30</v>
      </c>
      <c r="E17" s="25" t="n">
        <f>73279</f>
        <v>73279.0</v>
      </c>
      <c r="F17" s="23" t="s">
        <v>30</v>
      </c>
      <c r="G17" s="25" t="n">
        <f>58604</f>
        <v>58604.0</v>
      </c>
      <c r="H17" s="23" t="s">
        <v>30</v>
      </c>
      <c r="I17" s="26" t="n">
        <f>131883</f>
        <v>131883.0</v>
      </c>
      <c r="J17" s="24"/>
      <c r="K17" s="25" t="n">
        <f>12367623000</f>
        <v>1.2367623E10</v>
      </c>
      <c r="L17" s="23" t="s">
        <v>30</v>
      </c>
      <c r="M17" s="25" t="n">
        <f>9713016600</f>
        <v>9.7130166E9</v>
      </c>
      <c r="N17" s="23" t="s">
        <v>30</v>
      </c>
      <c r="O17" s="26" t="n">
        <f>22080639600</f>
        <v>2.20806396E10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13429</f>
        <v>13429.0</v>
      </c>
      <c r="U17" s="23"/>
      <c r="V17" s="25" t="n">
        <f>11598</f>
        <v>11598.0</v>
      </c>
      <c r="W17" s="23" t="s">
        <v>30</v>
      </c>
      <c r="X17" s="26" t="n">
        <f>25027</f>
        <v>25027.0</v>
      </c>
      <c r="Y17" s="24"/>
      <c r="Z17" s="25" t="n">
        <f>1099985</f>
        <v>1099985.0</v>
      </c>
      <c r="AA17" s="23" t="s">
        <v>30</v>
      </c>
      <c r="AB17" s="25" t="n">
        <f>603475</f>
        <v>603475.0</v>
      </c>
      <c r="AC17" s="23"/>
      <c r="AD17" s="26" t="n">
        <f>1703460</f>
        <v>1703460.0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35328</f>
        <v>35328.0</v>
      </c>
      <c r="F18" s="23"/>
      <c r="G18" s="25" t="n">
        <f>23260</f>
        <v>23260.0</v>
      </c>
      <c r="H18" s="23"/>
      <c r="I18" s="26" t="n">
        <f>58588</f>
        <v>58588.0</v>
      </c>
      <c r="J18" s="24"/>
      <c r="K18" s="25" t="n">
        <f>8961735780</f>
        <v>8.96173578E9</v>
      </c>
      <c r="L18" s="23"/>
      <c r="M18" s="25" t="n">
        <f>6058182180</f>
        <v>6.05818218E9</v>
      </c>
      <c r="N18" s="23"/>
      <c r="O18" s="26" t="n">
        <f>15019917960</f>
        <v>1.501991796E10</v>
      </c>
      <c r="P18" s="27" t="n">
        <f>519</f>
        <v>519.0</v>
      </c>
      <c r="Q18" s="28" t="n">
        <f>15088</f>
        <v>15088.0</v>
      </c>
      <c r="R18" s="29" t="n">
        <f>15607</f>
        <v>15607.0</v>
      </c>
      <c r="S18" s="24"/>
      <c r="T18" s="25" t="n">
        <f>5321</f>
        <v>5321.0</v>
      </c>
      <c r="U18" s="23"/>
      <c r="V18" s="25" t="n">
        <f>5875</f>
        <v>5875.0</v>
      </c>
      <c r="W18" s="23"/>
      <c r="X18" s="26" t="n">
        <f>11196</f>
        <v>11196.0</v>
      </c>
      <c r="Y18" s="24" t="s">
        <v>38</v>
      </c>
      <c r="Z18" s="25" t="n">
        <f>1003023</f>
        <v>1003023.0</v>
      </c>
      <c r="AA18" s="23" t="s">
        <v>38</v>
      </c>
      <c r="AB18" s="25" t="n">
        <f>550453</f>
        <v>550453.0</v>
      </c>
      <c r="AC18" s="23" t="s">
        <v>38</v>
      </c>
      <c r="AD18" s="26" t="n">
        <f>1553476</f>
        <v>1553476.0</v>
      </c>
    </row>
    <row r="19">
      <c r="A19" s="30" t="s">
        <v>39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 t="n">
        <f>29443</f>
        <v>29443.0</v>
      </c>
      <c r="F21" s="23"/>
      <c r="G21" s="25" t="n">
        <f>21031</f>
        <v>21031.0</v>
      </c>
      <c r="H21" s="23"/>
      <c r="I21" s="26" t="n">
        <f>50474</f>
        <v>50474.0</v>
      </c>
      <c r="J21" s="24"/>
      <c r="K21" s="25" t="n">
        <f>6530139640</f>
        <v>6.53013964E9</v>
      </c>
      <c r="L21" s="23"/>
      <c r="M21" s="25" t="n">
        <f>3810946000</f>
        <v>3.810946E9</v>
      </c>
      <c r="N21" s="23"/>
      <c r="O21" s="26" t="n">
        <f>10341085640</f>
        <v>1.034108564E10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4996</f>
        <v>4996.0</v>
      </c>
      <c r="U21" s="23"/>
      <c r="V21" s="25" t="n">
        <f>4133</f>
        <v>4133.0</v>
      </c>
      <c r="W21" s="23"/>
      <c r="X21" s="26" t="n">
        <f>9129</f>
        <v>9129.0</v>
      </c>
      <c r="Y21" s="24"/>
      <c r="Z21" s="25" t="n">
        <f>1010650</f>
        <v>1010650.0</v>
      </c>
      <c r="AA21" s="23"/>
      <c r="AB21" s="25" t="n">
        <f>557644</f>
        <v>557644.0</v>
      </c>
      <c r="AC21" s="23"/>
      <c r="AD21" s="26" t="n">
        <f>1568294</f>
        <v>1568294.0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32815</f>
        <v>32815.0</v>
      </c>
      <c r="F22" s="23"/>
      <c r="G22" s="25" t="n">
        <f>25569</f>
        <v>25569.0</v>
      </c>
      <c r="H22" s="23"/>
      <c r="I22" s="26" t="n">
        <f>58384</f>
        <v>58384.0</v>
      </c>
      <c r="J22" s="24"/>
      <c r="K22" s="25" t="n">
        <f>7927570020</f>
        <v>7.92757002E9</v>
      </c>
      <c r="L22" s="23"/>
      <c r="M22" s="25" t="n">
        <f>8015237000</f>
        <v>8.015237E9</v>
      </c>
      <c r="N22" s="23"/>
      <c r="O22" s="26" t="n">
        <f>15942807020</f>
        <v>1.594280702E10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7263</f>
        <v>7263.0</v>
      </c>
      <c r="U22" s="23"/>
      <c r="V22" s="25" t="n">
        <f>4378</f>
        <v>4378.0</v>
      </c>
      <c r="W22" s="23"/>
      <c r="X22" s="26" t="n">
        <f>11641</f>
        <v>11641.0</v>
      </c>
      <c r="Y22" s="24"/>
      <c r="Z22" s="25" t="n">
        <f>1015833</f>
        <v>1015833.0</v>
      </c>
      <c r="AA22" s="23"/>
      <c r="AB22" s="25" t="n">
        <f>566421</f>
        <v>566421.0</v>
      </c>
      <c r="AC22" s="23"/>
      <c r="AD22" s="26" t="n">
        <f>1582254</f>
        <v>1582254.0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30994</f>
        <v>30994.0</v>
      </c>
      <c r="F23" s="23"/>
      <c r="G23" s="25" t="n">
        <f>20237</f>
        <v>20237.0</v>
      </c>
      <c r="H23" s="23"/>
      <c r="I23" s="26" t="n">
        <f>51231</f>
        <v>51231.0</v>
      </c>
      <c r="J23" s="24"/>
      <c r="K23" s="25" t="n">
        <f>7518954650</f>
        <v>7.51895465E9</v>
      </c>
      <c r="L23" s="23"/>
      <c r="M23" s="25" t="n">
        <f>3391422700</f>
        <v>3.3914227E9</v>
      </c>
      <c r="N23" s="23"/>
      <c r="O23" s="26" t="n">
        <f>10910377350</f>
        <v>1.091037735E10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4591</f>
        <v>4591.0</v>
      </c>
      <c r="U23" s="23"/>
      <c r="V23" s="25" t="n">
        <f>4754</f>
        <v>4754.0</v>
      </c>
      <c r="W23" s="23"/>
      <c r="X23" s="26" t="n">
        <f>9345</f>
        <v>9345.0</v>
      </c>
      <c r="Y23" s="24"/>
      <c r="Z23" s="25" t="n">
        <f>1016384</f>
        <v>1016384.0</v>
      </c>
      <c r="AA23" s="23"/>
      <c r="AB23" s="25" t="n">
        <f>572901</f>
        <v>572901.0</v>
      </c>
      <c r="AC23" s="23"/>
      <c r="AD23" s="26" t="n">
        <f>1589285</f>
        <v>1589285.0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25701</f>
        <v>25701.0</v>
      </c>
      <c r="F24" s="23"/>
      <c r="G24" s="25" t="n">
        <f>19025</f>
        <v>19025.0</v>
      </c>
      <c r="H24" s="23"/>
      <c r="I24" s="26" t="n">
        <f>44726</f>
        <v>44726.0</v>
      </c>
      <c r="J24" s="24"/>
      <c r="K24" s="25" t="n">
        <f>6278102850</f>
        <v>6.27810285E9</v>
      </c>
      <c r="L24" s="23"/>
      <c r="M24" s="25" t="n">
        <f>4852679065</f>
        <v>4.852679065E9</v>
      </c>
      <c r="N24" s="23"/>
      <c r="O24" s="26" t="n">
        <f>11130781915</f>
        <v>1.1130781915E10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 t="s">
        <v>38</v>
      </c>
      <c r="T24" s="25" t="n">
        <f>2944</f>
        <v>2944.0</v>
      </c>
      <c r="U24" s="23"/>
      <c r="V24" s="25" t="n">
        <f>5568</f>
        <v>5568.0</v>
      </c>
      <c r="W24" s="23"/>
      <c r="X24" s="26" t="n">
        <f>8512</f>
        <v>8512.0</v>
      </c>
      <c r="Y24" s="24"/>
      <c r="Z24" s="25" t="n">
        <f>1021758</f>
        <v>1021758.0</v>
      </c>
      <c r="AA24" s="23"/>
      <c r="AB24" s="25" t="n">
        <f>574574</f>
        <v>574574.0</v>
      </c>
      <c r="AC24" s="23"/>
      <c r="AD24" s="26" t="n">
        <f>1596332</f>
        <v>1596332.0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60402</f>
        <v>60402.0</v>
      </c>
      <c r="F25" s="23"/>
      <c r="G25" s="25" t="n">
        <f>26700</f>
        <v>26700.0</v>
      </c>
      <c r="H25" s="23"/>
      <c r="I25" s="26" t="n">
        <f>87102</f>
        <v>87102.0</v>
      </c>
      <c r="J25" s="24"/>
      <c r="K25" s="25" t="n">
        <f>12447640000</f>
        <v>1.244764E10</v>
      </c>
      <c r="L25" s="23"/>
      <c r="M25" s="25" t="n">
        <f>7392248430</f>
        <v>7.39224843E9</v>
      </c>
      <c r="N25" s="23"/>
      <c r="O25" s="26" t="n">
        <f>19839888430</f>
        <v>1.983988843E10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 t="s">
        <v>30</v>
      </c>
      <c r="T25" s="25" t="n">
        <f>16887</f>
        <v>16887.0</v>
      </c>
      <c r="U25" s="23"/>
      <c r="V25" s="25" t="n">
        <f>5023</f>
        <v>5023.0</v>
      </c>
      <c r="W25" s="23"/>
      <c r="X25" s="26" t="n">
        <f>21910</f>
        <v>21910.0</v>
      </c>
      <c r="Y25" s="24"/>
      <c r="Z25" s="25" t="n">
        <f>1039551</f>
        <v>1039551.0</v>
      </c>
      <c r="AA25" s="23"/>
      <c r="AB25" s="25" t="n">
        <f>577808</f>
        <v>577808.0</v>
      </c>
      <c r="AC25" s="23"/>
      <c r="AD25" s="26" t="n">
        <f>1617359</f>
        <v>1617359.0</v>
      </c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 t="n">
        <f>36216</f>
        <v>36216.0</v>
      </c>
      <c r="F28" s="23"/>
      <c r="G28" s="25" t="n">
        <f>20321</f>
        <v>20321.0</v>
      </c>
      <c r="H28" s="23"/>
      <c r="I28" s="26" t="n">
        <f>56537</f>
        <v>56537.0</v>
      </c>
      <c r="J28" s="24"/>
      <c r="K28" s="25" t="n">
        <f>7687242840</f>
        <v>7.68724284E9</v>
      </c>
      <c r="L28" s="23"/>
      <c r="M28" s="25" t="n">
        <f>3946003000</f>
        <v>3.946003E9</v>
      </c>
      <c r="N28" s="23"/>
      <c r="O28" s="26" t="n">
        <f>11633245840</f>
        <v>1.163324584E10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4281</f>
        <v>4281.0</v>
      </c>
      <c r="U28" s="23"/>
      <c r="V28" s="25" t="n">
        <f>3592</f>
        <v>3592.0</v>
      </c>
      <c r="W28" s="23"/>
      <c r="X28" s="26" t="n">
        <f>7873</f>
        <v>7873.0</v>
      </c>
      <c r="Y28" s="24"/>
      <c r="Z28" s="25" t="n">
        <f>1047187</f>
        <v>1047187.0</v>
      </c>
      <c r="AA28" s="23"/>
      <c r="AB28" s="25" t="n">
        <f>579356</f>
        <v>579356.0</v>
      </c>
      <c r="AC28" s="23"/>
      <c r="AD28" s="26" t="n">
        <f>1626543</f>
        <v>1626543.0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44539</f>
        <v>44539.0</v>
      </c>
      <c r="F29" s="23"/>
      <c r="G29" s="25" t="n">
        <f>16569</f>
        <v>16569.0</v>
      </c>
      <c r="H29" s="23"/>
      <c r="I29" s="26" t="n">
        <f>61108</f>
        <v>61108.0</v>
      </c>
      <c r="J29" s="24"/>
      <c r="K29" s="25" t="n">
        <f>12895102000</f>
        <v>1.2895102E10</v>
      </c>
      <c r="L29" s="23"/>
      <c r="M29" s="25" t="n">
        <f>3009547200</f>
        <v>3.0095472E9</v>
      </c>
      <c r="N29" s="23"/>
      <c r="O29" s="26" t="n">
        <f>15904649200</f>
        <v>1.59046492E10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7584</f>
        <v>7584.0</v>
      </c>
      <c r="U29" s="23"/>
      <c r="V29" s="25" t="n">
        <f>5942</f>
        <v>5942.0</v>
      </c>
      <c r="W29" s="23"/>
      <c r="X29" s="26" t="n">
        <f>13526</f>
        <v>13526.0</v>
      </c>
      <c r="Y29" s="24"/>
      <c r="Z29" s="25" t="n">
        <f>1059465</f>
        <v>1059465.0</v>
      </c>
      <c r="AA29" s="23"/>
      <c r="AB29" s="25" t="n">
        <f>580680</f>
        <v>580680.0</v>
      </c>
      <c r="AC29" s="23"/>
      <c r="AD29" s="26" t="n">
        <f>1640145</f>
        <v>1640145.0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34397</f>
        <v>34397.0</v>
      </c>
      <c r="F30" s="23"/>
      <c r="G30" s="25" t="n">
        <f>17885</f>
        <v>17885.0</v>
      </c>
      <c r="H30" s="23"/>
      <c r="I30" s="26" t="n">
        <f>52282</f>
        <v>52282.0</v>
      </c>
      <c r="J30" s="24"/>
      <c r="K30" s="25" t="n">
        <f>11864456440</f>
        <v>1.186445644E10</v>
      </c>
      <c r="L30" s="23"/>
      <c r="M30" s="25" t="n">
        <f>4553861565</f>
        <v>4.553861565E9</v>
      </c>
      <c r="N30" s="23"/>
      <c r="O30" s="26" t="n">
        <f>16418318005</f>
        <v>1.6418318005E10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3990</f>
        <v>3990.0</v>
      </c>
      <c r="U30" s="23"/>
      <c r="V30" s="25" t="n">
        <f>5619</f>
        <v>5619.0</v>
      </c>
      <c r="W30" s="23"/>
      <c r="X30" s="26" t="n">
        <f>9609</f>
        <v>9609.0</v>
      </c>
      <c r="Y30" s="24"/>
      <c r="Z30" s="25" t="n">
        <f>1067578</f>
        <v>1067578.0</v>
      </c>
      <c r="AA30" s="23"/>
      <c r="AB30" s="25" t="n">
        <f>582634</f>
        <v>582634.0</v>
      </c>
      <c r="AC30" s="23"/>
      <c r="AD30" s="26" t="n">
        <f>1650212</f>
        <v>1650212.0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38682</f>
        <v>38682.0</v>
      </c>
      <c r="F31" s="23"/>
      <c r="G31" s="25" t="n">
        <f>17603</f>
        <v>17603.0</v>
      </c>
      <c r="H31" s="23"/>
      <c r="I31" s="26" t="n">
        <f>56285</f>
        <v>56285.0</v>
      </c>
      <c r="J31" s="24"/>
      <c r="K31" s="25" t="n">
        <f>11235162800</f>
        <v>1.12351628E10</v>
      </c>
      <c r="L31" s="23"/>
      <c r="M31" s="25" t="n">
        <f>5819174000</f>
        <v>5.819174E9</v>
      </c>
      <c r="N31" s="23"/>
      <c r="O31" s="26" t="n">
        <f>17054336800</f>
        <v>1.70543368E10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5011</f>
        <v>5011.0</v>
      </c>
      <c r="U31" s="23"/>
      <c r="V31" s="25" t="n">
        <f>2115</f>
        <v>2115.0</v>
      </c>
      <c r="W31" s="23"/>
      <c r="X31" s="26" t="n">
        <f>7126</f>
        <v>7126.0</v>
      </c>
      <c r="Y31" s="24"/>
      <c r="Z31" s="25" t="n">
        <f>1079247</f>
        <v>1079247.0</v>
      </c>
      <c r="AA31" s="23"/>
      <c r="AB31" s="25" t="n">
        <f>586492</f>
        <v>586492.0</v>
      </c>
      <c r="AC31" s="23"/>
      <c r="AD31" s="26" t="n">
        <f>1665739</f>
        <v>1665739.0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28476</f>
        <v>28476.0</v>
      </c>
      <c r="F32" s="23" t="s">
        <v>38</v>
      </c>
      <c r="G32" s="25" t="n">
        <f>11334</f>
        <v>11334.0</v>
      </c>
      <c r="H32" s="23"/>
      <c r="I32" s="26" t="n">
        <f>39810</f>
        <v>39810.0</v>
      </c>
      <c r="J32" s="24"/>
      <c r="K32" s="25" t="n">
        <f>5294563000</f>
        <v>5.294563E9</v>
      </c>
      <c r="L32" s="23" t="s">
        <v>38</v>
      </c>
      <c r="M32" s="25" t="n">
        <f>2426533400</f>
        <v>2.4265334E9</v>
      </c>
      <c r="N32" s="23"/>
      <c r="O32" s="26" t="n">
        <f>7721096400</f>
        <v>7.7210964E9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3419</f>
        <v>3419.0</v>
      </c>
      <c r="U32" s="23"/>
      <c r="V32" s="25" t="n">
        <f>2014</f>
        <v>2014.0</v>
      </c>
      <c r="W32" s="23" t="s">
        <v>38</v>
      </c>
      <c r="X32" s="26" t="n">
        <f>5433</f>
        <v>5433.0</v>
      </c>
      <c r="Y32" s="24"/>
      <c r="Z32" s="25" t="n">
        <f>1081176</f>
        <v>1081176.0</v>
      </c>
      <c r="AA32" s="23"/>
      <c r="AB32" s="25" t="n">
        <f>586862</f>
        <v>586862.0</v>
      </c>
      <c r="AC32" s="23"/>
      <c r="AD32" s="26" t="n">
        <f>1668038</f>
        <v>1668038.0</v>
      </c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 t="s">
        <v>38</v>
      </c>
      <c r="E35" s="25" t="n">
        <f>20994</f>
        <v>20994.0</v>
      </c>
      <c r="F35" s="23"/>
      <c r="G35" s="25" t="n">
        <f>12573</f>
        <v>12573.0</v>
      </c>
      <c r="H35" s="23" t="s">
        <v>38</v>
      </c>
      <c r="I35" s="26" t="n">
        <f>33567</f>
        <v>33567.0</v>
      </c>
      <c r="J35" s="24" t="s">
        <v>38</v>
      </c>
      <c r="K35" s="25" t="n">
        <f>4653791000</f>
        <v>4.653791E9</v>
      </c>
      <c r="L35" s="23"/>
      <c r="M35" s="25" t="n">
        <f>2657176000</f>
        <v>2.657176E9</v>
      </c>
      <c r="N35" s="23" t="s">
        <v>38</v>
      </c>
      <c r="O35" s="26" t="n">
        <f>7310967000</f>
        <v>7.310967E9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3581</f>
        <v>3581.0</v>
      </c>
      <c r="U35" s="23" t="s">
        <v>38</v>
      </c>
      <c r="V35" s="25" t="n">
        <f>1921</f>
        <v>1921.0</v>
      </c>
      <c r="W35" s="23"/>
      <c r="X35" s="26" t="n">
        <f>5502</f>
        <v>5502.0</v>
      </c>
      <c r="Y35" s="24"/>
      <c r="Z35" s="25" t="n">
        <f>1083458</f>
        <v>1083458.0</v>
      </c>
      <c r="AA35" s="23"/>
      <c r="AB35" s="25" t="n">
        <f>588815</f>
        <v>588815.0</v>
      </c>
      <c r="AC35" s="23"/>
      <c r="AD35" s="26" t="n">
        <f>1672273</f>
        <v>1672273.0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40545</f>
        <v>40545.0</v>
      </c>
      <c r="F36" s="23"/>
      <c r="G36" s="25" t="n">
        <f>21594</f>
        <v>21594.0</v>
      </c>
      <c r="H36" s="23"/>
      <c r="I36" s="26" t="n">
        <f>62139</f>
        <v>62139.0</v>
      </c>
      <c r="J36" s="24"/>
      <c r="K36" s="25" t="n">
        <f>7654900000</f>
        <v>7.6549E9</v>
      </c>
      <c r="L36" s="23"/>
      <c r="M36" s="25" t="n">
        <f>4129576180</f>
        <v>4.12957618E9</v>
      </c>
      <c r="N36" s="23"/>
      <c r="O36" s="26" t="n">
        <f>11784476180</f>
        <v>1.178447618E10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7883</f>
        <v>7883.0</v>
      </c>
      <c r="U36" s="23"/>
      <c r="V36" s="25" t="n">
        <f>4849</f>
        <v>4849.0</v>
      </c>
      <c r="W36" s="23"/>
      <c r="X36" s="26" t="n">
        <f>12732</f>
        <v>12732.0</v>
      </c>
      <c r="Y36" s="24"/>
      <c r="Z36" s="25" t="n">
        <f>1087481</f>
        <v>1087481.0</v>
      </c>
      <c r="AA36" s="23"/>
      <c r="AB36" s="25" t="n">
        <f>592266</f>
        <v>592266.0</v>
      </c>
      <c r="AC36" s="23"/>
      <c r="AD36" s="26" t="n">
        <f>1679747</f>
        <v>1679747.0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27538</f>
        <v>27538.0</v>
      </c>
      <c r="F37" s="23"/>
      <c r="G37" s="25" t="n">
        <f>17718</f>
        <v>17718.0</v>
      </c>
      <c r="H37" s="23"/>
      <c r="I37" s="26" t="n">
        <f>45256</f>
        <v>45256.0</v>
      </c>
      <c r="J37" s="24"/>
      <c r="K37" s="25" t="n">
        <f>6398904260</f>
        <v>6.39890426E9</v>
      </c>
      <c r="L37" s="23"/>
      <c r="M37" s="25" t="n">
        <f>3057325995</f>
        <v>3.057325995E9</v>
      </c>
      <c r="N37" s="23"/>
      <c r="O37" s="26" t="n">
        <f>9456230255</f>
        <v>9.456230255E9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4566</f>
        <v>4566.0</v>
      </c>
      <c r="U37" s="23"/>
      <c r="V37" s="25" t="n">
        <f>3282</f>
        <v>3282.0</v>
      </c>
      <c r="W37" s="23"/>
      <c r="X37" s="26" t="n">
        <f>7848</f>
        <v>7848.0</v>
      </c>
      <c r="Y37" s="24"/>
      <c r="Z37" s="25" t="n">
        <f>1092542</f>
        <v>1092542.0</v>
      </c>
      <c r="AA37" s="23"/>
      <c r="AB37" s="25" t="n">
        <f>597367</f>
        <v>597367.0</v>
      </c>
      <c r="AC37" s="23"/>
      <c r="AD37" s="26" t="n">
        <f>1689909</f>
        <v>1689909.0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62571</f>
        <v>62571.0</v>
      </c>
      <c r="F38" s="23"/>
      <c r="G38" s="25" t="n">
        <f>38221</f>
        <v>38221.0</v>
      </c>
      <c r="H38" s="23"/>
      <c r="I38" s="26" t="n">
        <f>100792</f>
        <v>100792.0</v>
      </c>
      <c r="J38" s="24" t="s">
        <v>30</v>
      </c>
      <c r="K38" s="25" t="n">
        <f>13108029180</f>
        <v>1.310802918E10</v>
      </c>
      <c r="L38" s="23"/>
      <c r="M38" s="25" t="n">
        <f>7588527910</f>
        <v>7.58852791E9</v>
      </c>
      <c r="N38" s="23"/>
      <c r="O38" s="26" t="n">
        <f>20696557090</f>
        <v>2.069655709E10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13957</f>
        <v>13957.0</v>
      </c>
      <c r="U38" s="23"/>
      <c r="V38" s="25" t="n">
        <f>10182</f>
        <v>10182.0</v>
      </c>
      <c r="W38" s="23"/>
      <c r="X38" s="26" t="n">
        <f>24139</f>
        <v>24139.0</v>
      </c>
      <c r="Y38" s="24"/>
      <c r="Z38" s="25" t="n">
        <f>1102507</f>
        <v>1102507.0</v>
      </c>
      <c r="AA38" s="23"/>
      <c r="AB38" s="25" t="n">
        <f>601122</f>
        <v>601122.0</v>
      </c>
      <c r="AC38" s="23"/>
      <c r="AD38" s="26" t="n">
        <f>1703629</f>
        <v>1703629.0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58989</f>
        <v>58989.0</v>
      </c>
      <c r="F39" s="23"/>
      <c r="G39" s="25" t="n">
        <f>34409</f>
        <v>34409.0</v>
      </c>
      <c r="H39" s="23"/>
      <c r="I39" s="26" t="n">
        <f>93398</f>
        <v>93398.0</v>
      </c>
      <c r="J39" s="24"/>
      <c r="K39" s="25" t="n">
        <f>11972176700</f>
        <v>1.19721767E10</v>
      </c>
      <c r="L39" s="23"/>
      <c r="M39" s="25" t="n">
        <f>6578682185</f>
        <v>6.578682185E9</v>
      </c>
      <c r="N39" s="23"/>
      <c r="O39" s="26" t="n">
        <f>18550858885</f>
        <v>1.8550858885E10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9308</f>
        <v>9308.0</v>
      </c>
      <c r="U39" s="23"/>
      <c r="V39" s="25" t="n">
        <f>5754</f>
        <v>5754.0</v>
      </c>
      <c r="W39" s="23"/>
      <c r="X39" s="26" t="n">
        <f>15062</f>
        <v>15062.0</v>
      </c>
      <c r="Y39" s="24" t="s">
        <v>30</v>
      </c>
      <c r="Z39" s="25" t="n">
        <f>1113552</f>
        <v>1113552.0</v>
      </c>
      <c r="AA39" s="23"/>
      <c r="AB39" s="25" t="n">
        <f>603239</f>
        <v>603239.0</v>
      </c>
      <c r="AC39" s="23" t="s">
        <v>30</v>
      </c>
      <c r="AD39" s="26" t="n">
        <f>1716791</f>
        <v>1716791.0</v>
      </c>
    </row>
    <row r="40">
      <c r="A40" s="30" t="s">
        <v>60</v>
      </c>
      <c r="B40" s="22" t="s">
        <v>27</v>
      </c>
      <c r="C40" s="22" t="s">
        <v>28</v>
      </c>
      <c r="D40" s="24"/>
      <c r="E40" s="25"/>
      <c r="F40" s="23"/>
      <c r="G40" s="25"/>
      <c r="H40" s="23"/>
      <c r="I40" s="26"/>
      <c r="J40" s="24"/>
      <c r="K40" s="25"/>
      <c r="L40" s="23"/>
      <c r="M40" s="25"/>
      <c r="N40" s="23"/>
      <c r="O40" s="26"/>
      <c r="P40" s="27"/>
      <c r="Q40" s="28"/>
      <c r="R40" s="29"/>
      <c r="S40" s="24"/>
      <c r="T40" s="25"/>
      <c r="U40" s="23"/>
      <c r="V40" s="25"/>
      <c r="W40" s="23"/>
      <c r="X40" s="26"/>
      <c r="Y40" s="24"/>
      <c r="Z40" s="25"/>
      <c r="AA40" s="23"/>
      <c r="AB40" s="25"/>
      <c r="AC40" s="23"/>
      <c r="AD40" s="26"/>
    </row>
    <row r="41">
      <c r="A41" s="30" t="s">
        <v>26</v>
      </c>
      <c r="B41" s="22" t="s">
        <v>61</v>
      </c>
      <c r="C41" s="22" t="s">
        <v>62</v>
      </c>
      <c r="D41" s="24"/>
      <c r="E41" s="25" t="n">
        <f>1834</f>
        <v>1834.0</v>
      </c>
      <c r="F41" s="23"/>
      <c r="G41" s="25" t="n">
        <f>2072</f>
        <v>2072.0</v>
      </c>
      <c r="H41" s="23"/>
      <c r="I41" s="26" t="n">
        <f>3906</f>
        <v>3906.0</v>
      </c>
      <c r="J41" s="24"/>
      <c r="K41" s="25" t="n">
        <f>59988000</f>
        <v>5.9988E7</v>
      </c>
      <c r="L41" s="23"/>
      <c r="M41" s="25" t="n">
        <f>155991000</f>
        <v>1.55991E8</v>
      </c>
      <c r="N41" s="23"/>
      <c r="O41" s="26" t="n">
        <f>215979000</f>
        <v>2.15979E8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127</f>
        <v>127.0</v>
      </c>
      <c r="U41" s="23"/>
      <c r="V41" s="25" t="n">
        <f>136</f>
        <v>136.0</v>
      </c>
      <c r="W41" s="23"/>
      <c r="X41" s="26" t="n">
        <f>263</f>
        <v>263.0</v>
      </c>
      <c r="Y41" s="24"/>
      <c r="Z41" s="25" t="n">
        <f>2311</f>
        <v>2311.0</v>
      </c>
      <c r="AA41" s="23"/>
      <c r="AB41" s="25" t="n">
        <f>3943</f>
        <v>3943.0</v>
      </c>
      <c r="AC41" s="23"/>
      <c r="AD41" s="26" t="n">
        <f>6254</f>
        <v>6254.0</v>
      </c>
    </row>
    <row r="42">
      <c r="A42" s="30" t="s">
        <v>29</v>
      </c>
      <c r="B42" s="22" t="s">
        <v>61</v>
      </c>
      <c r="C42" s="22" t="s">
        <v>62</v>
      </c>
      <c r="D42" s="24"/>
      <c r="E42" s="25" t="n">
        <f>300</f>
        <v>300.0</v>
      </c>
      <c r="F42" s="23"/>
      <c r="G42" s="25" t="n">
        <f>864</f>
        <v>864.0</v>
      </c>
      <c r="H42" s="23"/>
      <c r="I42" s="26" t="n">
        <f>1164</f>
        <v>1164.0</v>
      </c>
      <c r="J42" s="24"/>
      <c r="K42" s="25" t="n">
        <f>77010000</f>
        <v>7.701E7</v>
      </c>
      <c r="L42" s="23" t="s">
        <v>30</v>
      </c>
      <c r="M42" s="25" t="n">
        <f>249318570</f>
        <v>2.4931857E8</v>
      </c>
      <c r="N42" s="23"/>
      <c r="O42" s="26" t="n">
        <f>326328570</f>
        <v>3.2632857E8</v>
      </c>
      <c r="P42" s="27" t="n">
        <f>59</f>
        <v>59.0</v>
      </c>
      <c r="Q42" s="28" t="n">
        <f>185</f>
        <v>185.0</v>
      </c>
      <c r="R42" s="29" t="n">
        <f>244</f>
        <v>244.0</v>
      </c>
      <c r="S42" s="24"/>
      <c r="T42" s="25" t="n">
        <f>256</f>
        <v>256.0</v>
      </c>
      <c r="U42" s="23"/>
      <c r="V42" s="25" t="n">
        <f>294</f>
        <v>294.0</v>
      </c>
      <c r="W42" s="23"/>
      <c r="X42" s="26" t="n">
        <f>550</f>
        <v>550.0</v>
      </c>
      <c r="Y42" s="24" t="s">
        <v>38</v>
      </c>
      <c r="Z42" s="25" t="n">
        <f>540</f>
        <v>540.0</v>
      </c>
      <c r="AA42" s="23" t="s">
        <v>38</v>
      </c>
      <c r="AB42" s="25" t="n">
        <f>2058</f>
        <v>2058.0</v>
      </c>
      <c r="AC42" s="23" t="s">
        <v>38</v>
      </c>
      <c r="AD42" s="26" t="n">
        <f>2598</f>
        <v>2598.0</v>
      </c>
    </row>
    <row r="43">
      <c r="A43" s="30" t="s">
        <v>31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32</v>
      </c>
      <c r="B44" s="22" t="s">
        <v>61</v>
      </c>
      <c r="C44" s="22" t="s">
        <v>62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33</v>
      </c>
      <c r="B45" s="22" t="s">
        <v>61</v>
      </c>
      <c r="C45" s="22" t="s">
        <v>62</v>
      </c>
      <c r="D45" s="24"/>
      <c r="E45" s="25" t="n">
        <f>651</f>
        <v>651.0</v>
      </c>
      <c r="F45" s="23" t="s">
        <v>38</v>
      </c>
      <c r="G45" s="25" t="n">
        <f>68</f>
        <v>68.0</v>
      </c>
      <c r="H45" s="23"/>
      <c r="I45" s="26" t="n">
        <f>719</f>
        <v>719.0</v>
      </c>
      <c r="J45" s="24"/>
      <c r="K45" s="25" t="n">
        <f>153394000</f>
        <v>1.53394E8</v>
      </c>
      <c r="L45" s="23" t="s">
        <v>38</v>
      </c>
      <c r="M45" s="25" t="n">
        <f>6931000</f>
        <v>6931000.0</v>
      </c>
      <c r="N45" s="23"/>
      <c r="O45" s="26" t="n">
        <f>160325000</f>
        <v>1.60325E8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224</f>
        <v>224.0</v>
      </c>
      <c r="U45" s="23" t="s">
        <v>38</v>
      </c>
      <c r="V45" s="25" t="n">
        <f>9</f>
        <v>9.0</v>
      </c>
      <c r="W45" s="23"/>
      <c r="X45" s="26" t="n">
        <f>233</f>
        <v>233.0</v>
      </c>
      <c r="Y45" s="24"/>
      <c r="Z45" s="25" t="n">
        <f>1116</f>
        <v>1116.0</v>
      </c>
      <c r="AA45" s="23"/>
      <c r="AB45" s="25" t="n">
        <f>2089</f>
        <v>2089.0</v>
      </c>
      <c r="AC45" s="23"/>
      <c r="AD45" s="26" t="n">
        <f>3205</f>
        <v>3205.0</v>
      </c>
    </row>
    <row r="46">
      <c r="A46" s="30" t="s">
        <v>34</v>
      </c>
      <c r="B46" s="22" t="s">
        <v>61</v>
      </c>
      <c r="C46" s="22" t="s">
        <v>62</v>
      </c>
      <c r="D46" s="24" t="s">
        <v>38</v>
      </c>
      <c r="E46" s="25" t="n">
        <f>58</f>
        <v>58.0</v>
      </c>
      <c r="F46" s="23"/>
      <c r="G46" s="25" t="n">
        <f>183</f>
        <v>183.0</v>
      </c>
      <c r="H46" s="23" t="s">
        <v>38</v>
      </c>
      <c r="I46" s="26" t="n">
        <f>241</f>
        <v>241.0</v>
      </c>
      <c r="J46" s="24" t="s">
        <v>38</v>
      </c>
      <c r="K46" s="25" t="n">
        <f>4884000</f>
        <v>4884000.0</v>
      </c>
      <c r="L46" s="23"/>
      <c r="M46" s="25" t="n">
        <f>34105000</f>
        <v>3.4105E7</v>
      </c>
      <c r="N46" s="23" t="s">
        <v>38</v>
      </c>
      <c r="O46" s="26" t="n">
        <f>38989000</f>
        <v>3.8989E7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 t="s">
        <v>38</v>
      </c>
      <c r="T46" s="25" t="n">
        <f>12</f>
        <v>12.0</v>
      </c>
      <c r="U46" s="23"/>
      <c r="V46" s="25" t="n">
        <f>11</f>
        <v>11.0</v>
      </c>
      <c r="W46" s="23" t="s">
        <v>38</v>
      </c>
      <c r="X46" s="26" t="n">
        <f>23</f>
        <v>23.0</v>
      </c>
      <c r="Y46" s="24"/>
      <c r="Z46" s="25" t="n">
        <f>1157</f>
        <v>1157.0</v>
      </c>
      <c r="AA46" s="23"/>
      <c r="AB46" s="25" t="n">
        <f>2256</f>
        <v>2256.0</v>
      </c>
      <c r="AC46" s="23"/>
      <c r="AD46" s="26" t="n">
        <f>3413</f>
        <v>3413.0</v>
      </c>
    </row>
    <row r="47">
      <c r="A47" s="30" t="s">
        <v>35</v>
      </c>
      <c r="B47" s="22" t="s">
        <v>61</v>
      </c>
      <c r="C47" s="22" t="s">
        <v>62</v>
      </c>
      <c r="D47" s="24"/>
      <c r="E47" s="25" t="n">
        <f>1176</f>
        <v>1176.0</v>
      </c>
      <c r="F47" s="23"/>
      <c r="G47" s="25" t="n">
        <f>476</f>
        <v>476.0</v>
      </c>
      <c r="H47" s="23"/>
      <c r="I47" s="26" t="n">
        <f>1652</f>
        <v>1652.0</v>
      </c>
      <c r="J47" s="24"/>
      <c r="K47" s="25" t="n">
        <f>148485000</f>
        <v>1.48485E8</v>
      </c>
      <c r="L47" s="23"/>
      <c r="M47" s="25" t="n">
        <f>45029000</f>
        <v>4.5029E7</v>
      </c>
      <c r="N47" s="23"/>
      <c r="O47" s="26" t="n">
        <f>193514000</f>
        <v>1.93514E8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19</f>
        <v>19.0</v>
      </c>
      <c r="U47" s="23"/>
      <c r="V47" s="25" t="n">
        <f>12</f>
        <v>12.0</v>
      </c>
      <c r="W47" s="23"/>
      <c r="X47" s="26" t="n">
        <f>31</f>
        <v>31.0</v>
      </c>
      <c r="Y47" s="24"/>
      <c r="Z47" s="25" t="n">
        <f>2257</f>
        <v>2257.0</v>
      </c>
      <c r="AA47" s="23"/>
      <c r="AB47" s="25" t="n">
        <f>2696</f>
        <v>2696.0</v>
      </c>
      <c r="AC47" s="23"/>
      <c r="AD47" s="26" t="n">
        <f>4953</f>
        <v>4953.0</v>
      </c>
    </row>
    <row r="48">
      <c r="A48" s="30" t="s">
        <v>36</v>
      </c>
      <c r="B48" s="22" t="s">
        <v>61</v>
      </c>
      <c r="C48" s="22" t="s">
        <v>62</v>
      </c>
      <c r="D48" s="24"/>
      <c r="E48" s="25" t="n">
        <f>2015</f>
        <v>2015.0</v>
      </c>
      <c r="F48" s="23"/>
      <c r="G48" s="25" t="n">
        <f>796</f>
        <v>796.0</v>
      </c>
      <c r="H48" s="23"/>
      <c r="I48" s="26" t="n">
        <f>2811</f>
        <v>2811.0</v>
      </c>
      <c r="J48" s="24" t="s">
        <v>30</v>
      </c>
      <c r="K48" s="25" t="n">
        <f>283755000</f>
        <v>2.83755E8</v>
      </c>
      <c r="L48" s="23"/>
      <c r="M48" s="25" t="n">
        <f>64465000</f>
        <v>6.4465E7</v>
      </c>
      <c r="N48" s="23" t="s">
        <v>30</v>
      </c>
      <c r="O48" s="26" t="n">
        <f>348220000</f>
        <v>3.4822E8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45</f>
        <v>45.0</v>
      </c>
      <c r="U48" s="23"/>
      <c r="V48" s="25" t="n">
        <f>30</f>
        <v>30.0</v>
      </c>
      <c r="W48" s="23"/>
      <c r="X48" s="26" t="n">
        <f>75</f>
        <v>75.0</v>
      </c>
      <c r="Y48" s="24"/>
      <c r="Z48" s="25" t="n">
        <f>3765</f>
        <v>3765.0</v>
      </c>
      <c r="AA48" s="23"/>
      <c r="AB48" s="25" t="n">
        <f>3062</f>
        <v>3062.0</v>
      </c>
      <c r="AC48" s="23"/>
      <c r="AD48" s="26" t="n">
        <f>6827</f>
        <v>6827.0</v>
      </c>
    </row>
    <row r="49">
      <c r="A49" s="30" t="s">
        <v>37</v>
      </c>
      <c r="B49" s="22" t="s">
        <v>61</v>
      </c>
      <c r="C49" s="22" t="s">
        <v>62</v>
      </c>
      <c r="D49" s="24"/>
      <c r="E49" s="25" t="n">
        <f>1572</f>
        <v>1572.0</v>
      </c>
      <c r="F49" s="23"/>
      <c r="G49" s="25" t="n">
        <f>1247</f>
        <v>1247.0</v>
      </c>
      <c r="H49" s="23"/>
      <c r="I49" s="26" t="n">
        <f>2819</f>
        <v>2819.0</v>
      </c>
      <c r="J49" s="24"/>
      <c r="K49" s="25" t="n">
        <f>134752000</f>
        <v>1.34752E8</v>
      </c>
      <c r="L49" s="23"/>
      <c r="M49" s="25" t="n">
        <f>138435594</f>
        <v>1.38435594E8</v>
      </c>
      <c r="N49" s="23"/>
      <c r="O49" s="26" t="n">
        <f>273187594</f>
        <v>2.73187594E8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52</f>
        <v>52.0</v>
      </c>
      <c r="U49" s="23"/>
      <c r="V49" s="25" t="n">
        <f>269</f>
        <v>269.0</v>
      </c>
      <c r="W49" s="23"/>
      <c r="X49" s="26" t="n">
        <f>321</f>
        <v>321.0</v>
      </c>
      <c r="Y49" s="24"/>
      <c r="Z49" s="25" t="n">
        <f>4623</f>
        <v>4623.0</v>
      </c>
      <c r="AA49" s="23"/>
      <c r="AB49" s="25" t="n">
        <f>3975</f>
        <v>3975.0</v>
      </c>
      <c r="AC49" s="23"/>
      <c r="AD49" s="26" t="n">
        <f>8598</f>
        <v>8598.0</v>
      </c>
    </row>
    <row r="50">
      <c r="A50" s="30" t="s">
        <v>39</v>
      </c>
      <c r="B50" s="22" t="s">
        <v>61</v>
      </c>
      <c r="C50" s="22" t="s">
        <v>62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40</v>
      </c>
      <c r="B51" s="22" t="s">
        <v>61</v>
      </c>
      <c r="C51" s="22" t="s">
        <v>62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41</v>
      </c>
      <c r="B52" s="22" t="s">
        <v>61</v>
      </c>
      <c r="C52" s="22" t="s">
        <v>62</v>
      </c>
      <c r="D52" s="24"/>
      <c r="E52" s="25" t="n">
        <f>2355</f>
        <v>2355.0</v>
      </c>
      <c r="F52" s="23"/>
      <c r="G52" s="25" t="n">
        <f>1282</f>
        <v>1282.0</v>
      </c>
      <c r="H52" s="23"/>
      <c r="I52" s="26" t="n">
        <f>3637</f>
        <v>3637.0</v>
      </c>
      <c r="J52" s="24"/>
      <c r="K52" s="25" t="n">
        <f>154511000</f>
        <v>1.54511E8</v>
      </c>
      <c r="L52" s="23"/>
      <c r="M52" s="25" t="n">
        <f>36443000</f>
        <v>3.6443E7</v>
      </c>
      <c r="N52" s="23"/>
      <c r="O52" s="26" t="n">
        <f>190954000</f>
        <v>1.90954E8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115</f>
        <v>115.0</v>
      </c>
      <c r="U52" s="23"/>
      <c r="V52" s="25" t="n">
        <f>125</f>
        <v>125.0</v>
      </c>
      <c r="W52" s="23"/>
      <c r="X52" s="26" t="n">
        <f>240</f>
        <v>240.0</v>
      </c>
      <c r="Y52" s="24"/>
      <c r="Z52" s="25" t="n">
        <f>6197</f>
        <v>6197.0</v>
      </c>
      <c r="AA52" s="23"/>
      <c r="AB52" s="25" t="n">
        <f>4361</f>
        <v>4361.0</v>
      </c>
      <c r="AC52" s="23"/>
      <c r="AD52" s="26" t="n">
        <f>10558</f>
        <v>10558.0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2427</f>
        <v>2427.0</v>
      </c>
      <c r="F53" s="23"/>
      <c r="G53" s="25" t="n">
        <f>780</f>
        <v>780.0</v>
      </c>
      <c r="H53" s="23"/>
      <c r="I53" s="26" t="n">
        <f>3207</f>
        <v>3207.0</v>
      </c>
      <c r="J53" s="24"/>
      <c r="K53" s="25" t="n">
        <f>112876000</f>
        <v>1.12876E8</v>
      </c>
      <c r="L53" s="23"/>
      <c r="M53" s="25" t="n">
        <f>27085000</f>
        <v>2.7085E7</v>
      </c>
      <c r="N53" s="23"/>
      <c r="O53" s="26" t="n">
        <f>139961000</f>
        <v>1.39961E8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99</f>
        <v>99.0</v>
      </c>
      <c r="U53" s="23"/>
      <c r="V53" s="25" t="n">
        <f>93</f>
        <v>93.0</v>
      </c>
      <c r="W53" s="23"/>
      <c r="X53" s="26" t="n">
        <f>192</f>
        <v>192.0</v>
      </c>
      <c r="Y53" s="24"/>
      <c r="Z53" s="25" t="n">
        <f>7160</f>
        <v>7160.0</v>
      </c>
      <c r="AA53" s="23"/>
      <c r="AB53" s="25" t="n">
        <f>4647</f>
        <v>4647.0</v>
      </c>
      <c r="AC53" s="23"/>
      <c r="AD53" s="26" t="n">
        <f>11807</f>
        <v>11807.0</v>
      </c>
    </row>
    <row r="54">
      <c r="A54" s="30" t="s">
        <v>43</v>
      </c>
      <c r="B54" s="22" t="s">
        <v>61</v>
      </c>
      <c r="C54" s="22" t="s">
        <v>62</v>
      </c>
      <c r="D54" s="24"/>
      <c r="E54" s="25" t="n">
        <f>1851</f>
        <v>1851.0</v>
      </c>
      <c r="F54" s="23"/>
      <c r="G54" s="25" t="n">
        <f>978</f>
        <v>978.0</v>
      </c>
      <c r="H54" s="23"/>
      <c r="I54" s="26" t="n">
        <f>2829</f>
        <v>2829.0</v>
      </c>
      <c r="J54" s="24"/>
      <c r="K54" s="25" t="n">
        <f>88095000</f>
        <v>8.8095E7</v>
      </c>
      <c r="L54" s="23"/>
      <c r="M54" s="25" t="n">
        <f>45575500</f>
        <v>4.55755E7</v>
      </c>
      <c r="N54" s="23"/>
      <c r="O54" s="26" t="n">
        <f>133670500</f>
        <v>1.336705E8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112</f>
        <v>112.0</v>
      </c>
      <c r="U54" s="23"/>
      <c r="V54" s="25" t="n">
        <f>103</f>
        <v>103.0</v>
      </c>
      <c r="W54" s="23"/>
      <c r="X54" s="26" t="n">
        <f>215</f>
        <v>215.0</v>
      </c>
      <c r="Y54" s="24"/>
      <c r="Z54" s="25" t="n">
        <f>7678</f>
        <v>7678.0</v>
      </c>
      <c r="AA54" s="23"/>
      <c r="AB54" s="25" t="n">
        <f>4847</f>
        <v>4847.0</v>
      </c>
      <c r="AC54" s="23"/>
      <c r="AD54" s="26" t="n">
        <f>12525</f>
        <v>12525.0</v>
      </c>
    </row>
    <row r="55">
      <c r="A55" s="30" t="s">
        <v>44</v>
      </c>
      <c r="B55" s="22" t="s">
        <v>61</v>
      </c>
      <c r="C55" s="22" t="s">
        <v>62</v>
      </c>
      <c r="D55" s="24" t="s">
        <v>30</v>
      </c>
      <c r="E55" s="25" t="n">
        <f>3681</f>
        <v>3681.0</v>
      </c>
      <c r="F55" s="23"/>
      <c r="G55" s="25" t="n">
        <f>1802</f>
        <v>1802.0</v>
      </c>
      <c r="H55" s="23" t="s">
        <v>30</v>
      </c>
      <c r="I55" s="26" t="n">
        <f>5483</f>
        <v>5483.0</v>
      </c>
      <c r="J55" s="24"/>
      <c r="K55" s="25" t="n">
        <f>124948510</f>
        <v>1.2494851E8</v>
      </c>
      <c r="L55" s="23"/>
      <c r="M55" s="25" t="n">
        <f>82722000</f>
        <v>8.2722E7</v>
      </c>
      <c r="N55" s="23"/>
      <c r="O55" s="26" t="n">
        <f>207670510</f>
        <v>2.0767051E8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97</f>
        <v>97.0</v>
      </c>
      <c r="U55" s="23"/>
      <c r="V55" s="25" t="n">
        <f>85</f>
        <v>85.0</v>
      </c>
      <c r="W55" s="23"/>
      <c r="X55" s="26" t="n">
        <f>182</f>
        <v>182.0</v>
      </c>
      <c r="Y55" s="24"/>
      <c r="Z55" s="25" t="n">
        <f>7701</f>
        <v>7701.0</v>
      </c>
      <c r="AA55" s="23"/>
      <c r="AB55" s="25" t="n">
        <f>5306</f>
        <v>5306.0</v>
      </c>
      <c r="AC55" s="23" t="s">
        <v>30</v>
      </c>
      <c r="AD55" s="26" t="n">
        <f>13007</f>
        <v>13007.0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1355</f>
        <v>1355.0</v>
      </c>
      <c r="F56" s="23"/>
      <c r="G56" s="25" t="n">
        <f>1045</f>
        <v>1045.0</v>
      </c>
      <c r="H56" s="23"/>
      <c r="I56" s="26" t="n">
        <f>2400</f>
        <v>2400.0</v>
      </c>
      <c r="J56" s="24"/>
      <c r="K56" s="25" t="n">
        <f>125067000</f>
        <v>1.25067E8</v>
      </c>
      <c r="L56" s="23"/>
      <c r="M56" s="25" t="n">
        <f>80013000</f>
        <v>8.0013E7</v>
      </c>
      <c r="N56" s="23"/>
      <c r="O56" s="26" t="n">
        <f>205080000</f>
        <v>2.0508E8</v>
      </c>
      <c r="P56" s="27" t="n">
        <f>548</f>
        <v>548.0</v>
      </c>
      <c r="Q56" s="28" t="n">
        <f>657</f>
        <v>657.0</v>
      </c>
      <c r="R56" s="29" t="n">
        <f>1205</f>
        <v>1205.0</v>
      </c>
      <c r="S56" s="24"/>
      <c r="T56" s="25" t="n">
        <f>69</f>
        <v>69.0</v>
      </c>
      <c r="U56" s="23"/>
      <c r="V56" s="25" t="n">
        <f>43</f>
        <v>43.0</v>
      </c>
      <c r="W56" s="23"/>
      <c r="X56" s="26" t="n">
        <f>112</f>
        <v>112.0</v>
      </c>
      <c r="Y56" s="24"/>
      <c r="Z56" s="25" t="n">
        <f>3844</f>
        <v>3844.0</v>
      </c>
      <c r="AA56" s="23"/>
      <c r="AB56" s="25" t="n">
        <f>3039</f>
        <v>3039.0</v>
      </c>
      <c r="AC56" s="23"/>
      <c r="AD56" s="26" t="n">
        <f>6883</f>
        <v>6883.0</v>
      </c>
    </row>
    <row r="57">
      <c r="A57" s="30" t="s">
        <v>46</v>
      </c>
      <c r="B57" s="22" t="s">
        <v>61</v>
      </c>
      <c r="C57" s="22" t="s">
        <v>62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47</v>
      </c>
      <c r="B58" s="22" t="s">
        <v>61</v>
      </c>
      <c r="C58" s="22" t="s">
        <v>62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48</v>
      </c>
      <c r="B59" s="22" t="s">
        <v>61</v>
      </c>
      <c r="C59" s="22" t="s">
        <v>62</v>
      </c>
      <c r="D59" s="24"/>
      <c r="E59" s="25" t="n">
        <f>2142</f>
        <v>2142.0</v>
      </c>
      <c r="F59" s="23"/>
      <c r="G59" s="25" t="n">
        <f>1117</f>
        <v>1117.0</v>
      </c>
      <c r="H59" s="23"/>
      <c r="I59" s="26" t="n">
        <f>3259</f>
        <v>3259.0</v>
      </c>
      <c r="J59" s="24"/>
      <c r="K59" s="25" t="n">
        <f>147299000</f>
        <v>1.47299E8</v>
      </c>
      <c r="L59" s="23"/>
      <c r="M59" s="25" t="n">
        <f>84292000</f>
        <v>8.4292E7</v>
      </c>
      <c r="N59" s="23"/>
      <c r="O59" s="26" t="n">
        <f>231591000</f>
        <v>2.31591E8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167</f>
        <v>167.0</v>
      </c>
      <c r="U59" s="23"/>
      <c r="V59" s="25" t="n">
        <f>160</f>
        <v>160.0</v>
      </c>
      <c r="W59" s="23"/>
      <c r="X59" s="26" t="n">
        <f>327</f>
        <v>327.0</v>
      </c>
      <c r="Y59" s="24"/>
      <c r="Z59" s="25" t="n">
        <f>4592</f>
        <v>4592.0</v>
      </c>
      <c r="AA59" s="23"/>
      <c r="AB59" s="25" t="n">
        <f>3482</f>
        <v>3482.0</v>
      </c>
      <c r="AC59" s="23"/>
      <c r="AD59" s="26" t="n">
        <f>8074</f>
        <v>8074.0</v>
      </c>
    </row>
    <row r="60">
      <c r="A60" s="30" t="s">
        <v>49</v>
      </c>
      <c r="B60" s="22" t="s">
        <v>61</v>
      </c>
      <c r="C60" s="22" t="s">
        <v>62</v>
      </c>
      <c r="D60" s="24"/>
      <c r="E60" s="25" t="n">
        <f>2162</f>
        <v>2162.0</v>
      </c>
      <c r="F60" s="23"/>
      <c r="G60" s="25" t="n">
        <f>1361</f>
        <v>1361.0</v>
      </c>
      <c r="H60" s="23"/>
      <c r="I60" s="26" t="n">
        <f>3523</f>
        <v>3523.0</v>
      </c>
      <c r="J60" s="24"/>
      <c r="K60" s="25" t="n">
        <f>189545000</f>
        <v>1.89545E8</v>
      </c>
      <c r="L60" s="23"/>
      <c r="M60" s="25" t="n">
        <f>98439000</f>
        <v>9.8439E7</v>
      </c>
      <c r="N60" s="23"/>
      <c r="O60" s="26" t="n">
        <f>287984000</f>
        <v>2.87984E8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221</f>
        <v>221.0</v>
      </c>
      <c r="U60" s="23"/>
      <c r="V60" s="25" t="n">
        <f>229</f>
        <v>229.0</v>
      </c>
      <c r="W60" s="23"/>
      <c r="X60" s="26" t="n">
        <f>450</f>
        <v>450.0</v>
      </c>
      <c r="Y60" s="24"/>
      <c r="Z60" s="25" t="n">
        <f>5901</f>
        <v>5901.0</v>
      </c>
      <c r="AA60" s="23"/>
      <c r="AB60" s="25" t="n">
        <f>3910</f>
        <v>3910.0</v>
      </c>
      <c r="AC60" s="23"/>
      <c r="AD60" s="26" t="n">
        <f>9811</f>
        <v>9811.0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2461</f>
        <v>2461.0</v>
      </c>
      <c r="F61" s="23"/>
      <c r="G61" s="25" t="n">
        <f>1066</f>
        <v>1066.0</v>
      </c>
      <c r="H61" s="23"/>
      <c r="I61" s="26" t="n">
        <f>3527</f>
        <v>3527.0</v>
      </c>
      <c r="J61" s="24"/>
      <c r="K61" s="25" t="n">
        <f>148049000</f>
        <v>1.48049E8</v>
      </c>
      <c r="L61" s="23"/>
      <c r="M61" s="25" t="n">
        <f>96122580</f>
        <v>9.612258E7</v>
      </c>
      <c r="N61" s="23"/>
      <c r="O61" s="26" t="n">
        <f>244171580</f>
        <v>2.4417158E8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449</f>
        <v>449.0</v>
      </c>
      <c r="U61" s="23"/>
      <c r="V61" s="25" t="n">
        <f>184</f>
        <v>184.0</v>
      </c>
      <c r="W61" s="23"/>
      <c r="X61" s="26" t="n">
        <f>633</f>
        <v>633.0</v>
      </c>
      <c r="Y61" s="24"/>
      <c r="Z61" s="25" t="n">
        <f>7280</f>
        <v>7280.0</v>
      </c>
      <c r="AA61" s="23"/>
      <c r="AB61" s="25" t="n">
        <f>4025</f>
        <v>4025.0</v>
      </c>
      <c r="AC61" s="23"/>
      <c r="AD61" s="26" t="n">
        <f>11305</f>
        <v>11305.0</v>
      </c>
    </row>
    <row r="62">
      <c r="A62" s="30" t="s">
        <v>51</v>
      </c>
      <c r="B62" s="22" t="s">
        <v>61</v>
      </c>
      <c r="C62" s="22" t="s">
        <v>62</v>
      </c>
      <c r="D62" s="24"/>
      <c r="E62" s="25" t="n">
        <f>3297</f>
        <v>3297.0</v>
      </c>
      <c r="F62" s="23"/>
      <c r="G62" s="25" t="n">
        <f>2049</f>
        <v>2049.0</v>
      </c>
      <c r="H62" s="23"/>
      <c r="I62" s="26" t="n">
        <f>5346</f>
        <v>5346.0</v>
      </c>
      <c r="J62" s="24"/>
      <c r="K62" s="25" t="n">
        <f>108593780</f>
        <v>1.0859378E8</v>
      </c>
      <c r="L62" s="23"/>
      <c r="M62" s="25" t="n">
        <f>120285000</f>
        <v>1.20285E8</v>
      </c>
      <c r="N62" s="23"/>
      <c r="O62" s="26" t="n">
        <f>228878780</f>
        <v>2.2887878E8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221</f>
        <v>221.0</v>
      </c>
      <c r="U62" s="23"/>
      <c r="V62" s="25" t="n">
        <f>351</f>
        <v>351.0</v>
      </c>
      <c r="W62" s="23"/>
      <c r="X62" s="26" t="n">
        <f>572</f>
        <v>572.0</v>
      </c>
      <c r="Y62" s="24" t="s">
        <v>30</v>
      </c>
      <c r="Z62" s="25" t="n">
        <f>8511</f>
        <v>8511.0</v>
      </c>
      <c r="AA62" s="23"/>
      <c r="AB62" s="25" t="n">
        <f>4066</f>
        <v>4066.0</v>
      </c>
      <c r="AC62" s="23"/>
      <c r="AD62" s="26" t="n">
        <f>12577</f>
        <v>12577.0</v>
      </c>
    </row>
    <row r="63">
      <c r="A63" s="30" t="s">
        <v>52</v>
      </c>
      <c r="B63" s="22" t="s">
        <v>61</v>
      </c>
      <c r="C63" s="22" t="s">
        <v>62</v>
      </c>
      <c r="D63" s="24"/>
      <c r="E63" s="25" t="n">
        <f>834</f>
        <v>834.0</v>
      </c>
      <c r="F63" s="23"/>
      <c r="G63" s="25" t="n">
        <f>1201</f>
        <v>1201.0</v>
      </c>
      <c r="H63" s="23"/>
      <c r="I63" s="26" t="n">
        <f>2035</f>
        <v>2035.0</v>
      </c>
      <c r="J63" s="24"/>
      <c r="K63" s="25" t="n">
        <f>79781000</f>
        <v>7.9781E7</v>
      </c>
      <c r="L63" s="23"/>
      <c r="M63" s="25" t="n">
        <f>112517000</f>
        <v>1.12517E8</v>
      </c>
      <c r="N63" s="23"/>
      <c r="O63" s="26" t="n">
        <f>192298000</f>
        <v>1.92298E8</v>
      </c>
      <c r="P63" s="27" t="n">
        <f>86</f>
        <v>86.0</v>
      </c>
      <c r="Q63" s="28" t="n">
        <f>369</f>
        <v>369.0</v>
      </c>
      <c r="R63" s="29" t="n">
        <f>455</f>
        <v>455.0</v>
      </c>
      <c r="S63" s="24"/>
      <c r="T63" s="25" t="n">
        <f>24</f>
        <v>24.0</v>
      </c>
      <c r="U63" s="23"/>
      <c r="V63" s="25" t="n">
        <f>55</f>
        <v>55.0</v>
      </c>
      <c r="W63" s="23"/>
      <c r="X63" s="26" t="n">
        <f>79</f>
        <v>79.0</v>
      </c>
      <c r="Y63" s="24"/>
      <c r="Z63" s="25" t="n">
        <f>2872</f>
        <v>2872.0</v>
      </c>
      <c r="AA63" s="23"/>
      <c r="AB63" s="25" t="n">
        <f>2395</f>
        <v>2395.0</v>
      </c>
      <c r="AC63" s="23"/>
      <c r="AD63" s="26" t="n">
        <f>5267</f>
        <v>5267.0</v>
      </c>
    </row>
    <row r="64">
      <c r="A64" s="30" t="s">
        <v>53</v>
      </c>
      <c r="B64" s="22" t="s">
        <v>61</v>
      </c>
      <c r="C64" s="22" t="s">
        <v>62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54</v>
      </c>
      <c r="B65" s="22" t="s">
        <v>61</v>
      </c>
      <c r="C65" s="22" t="s">
        <v>62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55</v>
      </c>
      <c r="B66" s="22" t="s">
        <v>61</v>
      </c>
      <c r="C66" s="22" t="s">
        <v>62</v>
      </c>
      <c r="D66" s="24"/>
      <c r="E66" s="25" t="n">
        <f>1170</f>
        <v>1170.0</v>
      </c>
      <c r="F66" s="23"/>
      <c r="G66" s="25" t="n">
        <f>2055</f>
        <v>2055.0</v>
      </c>
      <c r="H66" s="23"/>
      <c r="I66" s="26" t="n">
        <f>3225</f>
        <v>3225.0</v>
      </c>
      <c r="J66" s="24"/>
      <c r="K66" s="25" t="n">
        <f>81994000</f>
        <v>8.1994E7</v>
      </c>
      <c r="L66" s="23"/>
      <c r="M66" s="25" t="n">
        <f>235552400</f>
        <v>2.355524E8</v>
      </c>
      <c r="N66" s="23"/>
      <c r="O66" s="26" t="n">
        <f>317546400</f>
        <v>3.175464E8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136</f>
        <v>136.0</v>
      </c>
      <c r="U66" s="23"/>
      <c r="V66" s="25" t="n">
        <f>377</f>
        <v>377.0</v>
      </c>
      <c r="W66" s="23"/>
      <c r="X66" s="26" t="n">
        <f>513</f>
        <v>513.0</v>
      </c>
      <c r="Y66" s="24"/>
      <c r="Z66" s="25" t="n">
        <f>3604</f>
        <v>3604.0</v>
      </c>
      <c r="AA66" s="23"/>
      <c r="AB66" s="25" t="n">
        <f>3561</f>
        <v>3561.0</v>
      </c>
      <c r="AC66" s="23"/>
      <c r="AD66" s="26" t="n">
        <f>7165</f>
        <v>7165.0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1296</f>
        <v>1296.0</v>
      </c>
      <c r="F67" s="23"/>
      <c r="G67" s="25" t="n">
        <f>1834</f>
        <v>1834.0</v>
      </c>
      <c r="H67" s="23"/>
      <c r="I67" s="26" t="n">
        <f>3130</f>
        <v>3130.0</v>
      </c>
      <c r="J67" s="24"/>
      <c r="K67" s="25" t="n">
        <f>97766000</f>
        <v>9.7766E7</v>
      </c>
      <c r="L67" s="23"/>
      <c r="M67" s="25" t="n">
        <f>115533500</f>
        <v>1.155335E8</v>
      </c>
      <c r="N67" s="23"/>
      <c r="O67" s="26" t="n">
        <f>213299500</f>
        <v>2.132995E8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147</f>
        <v>147.0</v>
      </c>
      <c r="U67" s="23"/>
      <c r="V67" s="25" t="n">
        <f>590</f>
        <v>590.0</v>
      </c>
      <c r="W67" s="23"/>
      <c r="X67" s="26" t="n">
        <f>737</f>
        <v>737.0</v>
      </c>
      <c r="Y67" s="24"/>
      <c r="Z67" s="25" t="n">
        <f>4281</f>
        <v>4281.0</v>
      </c>
      <c r="AA67" s="23"/>
      <c r="AB67" s="25" t="n">
        <f>4413</f>
        <v>4413.0</v>
      </c>
      <c r="AC67" s="23"/>
      <c r="AD67" s="26" t="n">
        <f>8694</f>
        <v>8694.0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1890</f>
        <v>1890.0</v>
      </c>
      <c r="F68" s="23"/>
      <c r="G68" s="25" t="n">
        <f>871</f>
        <v>871.0</v>
      </c>
      <c r="H68" s="23"/>
      <c r="I68" s="26" t="n">
        <f>2761</f>
        <v>2761.0</v>
      </c>
      <c r="J68" s="24"/>
      <c r="K68" s="25" t="n">
        <f>165742000</f>
        <v>1.65742E8</v>
      </c>
      <c r="L68" s="23"/>
      <c r="M68" s="25" t="n">
        <f>82721000</f>
        <v>8.2721E7</v>
      </c>
      <c r="N68" s="23"/>
      <c r="O68" s="26" t="n">
        <f>248463000</f>
        <v>2.48463E8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359</f>
        <v>359.0</v>
      </c>
      <c r="U68" s="23"/>
      <c r="V68" s="25" t="n">
        <f>139</f>
        <v>139.0</v>
      </c>
      <c r="W68" s="23"/>
      <c r="X68" s="26" t="n">
        <f>498</f>
        <v>498.0</v>
      </c>
      <c r="Y68" s="24"/>
      <c r="Z68" s="25" t="n">
        <f>5068</f>
        <v>5068.0</v>
      </c>
      <c r="AA68" s="23"/>
      <c r="AB68" s="25" t="n">
        <f>4854</f>
        <v>4854.0</v>
      </c>
      <c r="AC68" s="23"/>
      <c r="AD68" s="26" t="n">
        <f>9922</f>
        <v>9922.0</v>
      </c>
    </row>
    <row r="69">
      <c r="A69" s="30" t="s">
        <v>58</v>
      </c>
      <c r="B69" s="22" t="s">
        <v>61</v>
      </c>
      <c r="C69" s="22" t="s">
        <v>62</v>
      </c>
      <c r="D69" s="24"/>
      <c r="E69" s="25" t="n">
        <f>2361</f>
        <v>2361.0</v>
      </c>
      <c r="F69" s="23" t="s">
        <v>30</v>
      </c>
      <c r="G69" s="25" t="n">
        <f>2728</f>
        <v>2728.0</v>
      </c>
      <c r="H69" s="23"/>
      <c r="I69" s="26" t="n">
        <f>5089</f>
        <v>5089.0</v>
      </c>
      <c r="J69" s="24"/>
      <c r="K69" s="25" t="n">
        <f>84916000</f>
        <v>8.4916E7</v>
      </c>
      <c r="L69" s="23"/>
      <c r="M69" s="25" t="n">
        <f>63440000</f>
        <v>6.344E7</v>
      </c>
      <c r="N69" s="23"/>
      <c r="O69" s="26" t="n">
        <f>148356000</f>
        <v>1.48356E8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196</f>
        <v>196.0</v>
      </c>
      <c r="U69" s="23"/>
      <c r="V69" s="25" t="n">
        <f>199</f>
        <v>199.0</v>
      </c>
      <c r="W69" s="23"/>
      <c r="X69" s="26" t="n">
        <f>395</f>
        <v>395.0</v>
      </c>
      <c r="Y69" s="24"/>
      <c r="Z69" s="25" t="n">
        <f>5030</f>
        <v>5030.0</v>
      </c>
      <c r="AA69" s="23" t="s">
        <v>30</v>
      </c>
      <c r="AB69" s="25" t="n">
        <f>5351</f>
        <v>5351.0</v>
      </c>
      <c r="AC69" s="23"/>
      <c r="AD69" s="26" t="n">
        <f>10381</f>
        <v>10381.0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1146</f>
        <v>1146.0</v>
      </c>
      <c r="F70" s="23"/>
      <c r="G70" s="25" t="n">
        <f>1106</f>
        <v>1106.0</v>
      </c>
      <c r="H70" s="23"/>
      <c r="I70" s="26" t="n">
        <f>2252</f>
        <v>2252.0</v>
      </c>
      <c r="J70" s="24"/>
      <c r="K70" s="25" t="n">
        <f>148210000</f>
        <v>1.4821E8</v>
      </c>
      <c r="L70" s="23"/>
      <c r="M70" s="25" t="n">
        <f>140879000</f>
        <v>1.40879E8</v>
      </c>
      <c r="N70" s="23"/>
      <c r="O70" s="26" t="n">
        <f>289089000</f>
        <v>2.89089E8</v>
      </c>
      <c r="P70" s="27" t="n">
        <f>761</f>
        <v>761.0</v>
      </c>
      <c r="Q70" s="28" t="n">
        <f>143</f>
        <v>143.0</v>
      </c>
      <c r="R70" s="29" t="n">
        <f>904</f>
        <v>904.0</v>
      </c>
      <c r="S70" s="24" t="s">
        <v>30</v>
      </c>
      <c r="T70" s="25" t="n">
        <f>582</f>
        <v>582.0</v>
      </c>
      <c r="U70" s="23" t="s">
        <v>30</v>
      </c>
      <c r="V70" s="25" t="n">
        <f>693</f>
        <v>693.0</v>
      </c>
      <c r="W70" s="23" t="s">
        <v>30</v>
      </c>
      <c r="X70" s="26" t="n">
        <f>1275</f>
        <v>1275.0</v>
      </c>
      <c r="Y70" s="24"/>
      <c r="Z70" s="25" t="n">
        <f>2004</f>
        <v>2004.0</v>
      </c>
      <c r="AA70" s="23"/>
      <c r="AB70" s="25" t="n">
        <f>2432</f>
        <v>2432.0</v>
      </c>
      <c r="AC70" s="23"/>
      <c r="AD70" s="26" t="n">
        <f>4436</f>
        <v>4436.0</v>
      </c>
    </row>
    <row r="71">
      <c r="A71" s="30" t="s">
        <v>60</v>
      </c>
      <c r="B71" s="22" t="s">
        <v>61</v>
      </c>
      <c r="C71" s="22" t="s">
        <v>62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26</v>
      </c>
      <c r="B72" s="22" t="s">
        <v>63</v>
      </c>
      <c r="C72" s="22" t="s">
        <v>64</v>
      </c>
      <c r="D72" s="24"/>
      <c r="E72" s="25" t="n">
        <f>150</f>
        <v>150.0</v>
      </c>
      <c r="F72" s="23"/>
      <c r="G72" s="25" t="n">
        <f>150</f>
        <v>150.0</v>
      </c>
      <c r="H72" s="23"/>
      <c r="I72" s="26" t="n">
        <f>300</f>
        <v>300.0</v>
      </c>
      <c r="J72" s="24"/>
      <c r="K72" s="25" t="n">
        <f>60000000</f>
        <v>6.0E7</v>
      </c>
      <c r="L72" s="23"/>
      <c r="M72" s="25" t="n">
        <f>60000000</f>
        <v>6.0E7</v>
      </c>
      <c r="N72" s="23"/>
      <c r="O72" s="26" t="n">
        <f>120000000</f>
        <v>1.2E8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 t="s">
        <v>38</v>
      </c>
      <c r="T72" s="25" t="str">
        <f>"－"</f>
        <v>－</v>
      </c>
      <c r="U72" s="23" t="s">
        <v>38</v>
      </c>
      <c r="V72" s="25" t="str">
        <f>"－"</f>
        <v>－</v>
      </c>
      <c r="W72" s="23" t="s">
        <v>38</v>
      </c>
      <c r="X72" s="26" t="str">
        <f>"－"</f>
        <v>－</v>
      </c>
      <c r="Y72" s="24"/>
      <c r="Z72" s="25" t="n">
        <f>78069</f>
        <v>78069.0</v>
      </c>
      <c r="AA72" s="23"/>
      <c r="AB72" s="25" t="n">
        <f>20187</f>
        <v>20187.0</v>
      </c>
      <c r="AC72" s="23"/>
      <c r="AD72" s="26" t="n">
        <f>98256</f>
        <v>98256.0</v>
      </c>
    </row>
    <row r="73">
      <c r="A73" s="30" t="s">
        <v>29</v>
      </c>
      <c r="B73" s="22" t="s">
        <v>63</v>
      </c>
      <c r="C73" s="22" t="s">
        <v>64</v>
      </c>
      <c r="D73" s="24" t="s">
        <v>38</v>
      </c>
      <c r="E73" s="25" t="str">
        <f>"－"</f>
        <v>－</v>
      </c>
      <c r="F73" s="23" t="s">
        <v>38</v>
      </c>
      <c r="G73" s="25" t="str">
        <f>"－"</f>
        <v>－</v>
      </c>
      <c r="H73" s="23" t="s">
        <v>38</v>
      </c>
      <c r="I73" s="26" t="str">
        <f>"－"</f>
        <v>－</v>
      </c>
      <c r="J73" s="24" t="s">
        <v>38</v>
      </c>
      <c r="K73" s="25" t="str">
        <f>"－"</f>
        <v>－</v>
      </c>
      <c r="L73" s="23" t="s">
        <v>38</v>
      </c>
      <c r="M73" s="25" t="str">
        <f>"－"</f>
        <v>－</v>
      </c>
      <c r="N73" s="23" t="s">
        <v>38</v>
      </c>
      <c r="O73" s="26" t="str">
        <f>"－"</f>
        <v>－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str">
        <f>"－"</f>
        <v>－</v>
      </c>
      <c r="U73" s="23"/>
      <c r="V73" s="25" t="str">
        <f>"－"</f>
        <v>－</v>
      </c>
      <c r="W73" s="23"/>
      <c r="X73" s="26" t="str">
        <f>"－"</f>
        <v>－</v>
      </c>
      <c r="Y73" s="24"/>
      <c r="Z73" s="25" t="n">
        <f>78069</f>
        <v>78069.0</v>
      </c>
      <c r="AA73" s="23"/>
      <c r="AB73" s="25" t="n">
        <f>20187</f>
        <v>20187.0</v>
      </c>
      <c r="AC73" s="23"/>
      <c r="AD73" s="26" t="n">
        <f>98256</f>
        <v>98256.0</v>
      </c>
    </row>
    <row r="74">
      <c r="A74" s="30" t="s">
        <v>31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32</v>
      </c>
      <c r="B75" s="22" t="s">
        <v>63</v>
      </c>
      <c r="C75" s="22" t="s">
        <v>64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33</v>
      </c>
      <c r="B76" s="22" t="s">
        <v>63</v>
      </c>
      <c r="C76" s="22" t="s">
        <v>64</v>
      </c>
      <c r="D76" s="24"/>
      <c r="E76" s="25" t="str">
        <f>"－"</f>
        <v>－</v>
      </c>
      <c r="F76" s="23"/>
      <c r="G76" s="25" t="str">
        <f>"－"</f>
        <v>－</v>
      </c>
      <c r="H76" s="23"/>
      <c r="I76" s="26" t="str">
        <f>"－"</f>
        <v>－</v>
      </c>
      <c r="J76" s="24"/>
      <c r="K76" s="25" t="str">
        <f>"－"</f>
        <v>－</v>
      </c>
      <c r="L76" s="23"/>
      <c r="M76" s="25" t="str">
        <f>"－"</f>
        <v>－</v>
      </c>
      <c r="N76" s="23"/>
      <c r="O76" s="26" t="str">
        <f>"－"</f>
        <v>－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str">
        <f>"－"</f>
        <v>－</v>
      </c>
      <c r="U76" s="23"/>
      <c r="V76" s="25" t="str">
        <f>"－"</f>
        <v>－</v>
      </c>
      <c r="W76" s="23"/>
      <c r="X76" s="26" t="str">
        <f>"－"</f>
        <v>－</v>
      </c>
      <c r="Y76" s="24"/>
      <c r="Z76" s="25" t="n">
        <f>78069</f>
        <v>78069.0</v>
      </c>
      <c r="AA76" s="23"/>
      <c r="AB76" s="25" t="n">
        <f>20187</f>
        <v>20187.0</v>
      </c>
      <c r="AC76" s="23"/>
      <c r="AD76" s="26" t="n">
        <f>98256</f>
        <v>98256.0</v>
      </c>
    </row>
    <row r="77">
      <c r="A77" s="30" t="s">
        <v>34</v>
      </c>
      <c r="B77" s="22" t="s">
        <v>63</v>
      </c>
      <c r="C77" s="22" t="s">
        <v>64</v>
      </c>
      <c r="D77" s="24"/>
      <c r="E77" s="25" t="str">
        <f>"－"</f>
        <v>－</v>
      </c>
      <c r="F77" s="23"/>
      <c r="G77" s="25" t="n">
        <f>379</f>
        <v>379.0</v>
      </c>
      <c r="H77" s="23"/>
      <c r="I77" s="26" t="n">
        <f>379</f>
        <v>379.0</v>
      </c>
      <c r="J77" s="24"/>
      <c r="K77" s="25" t="str">
        <f>"－"</f>
        <v>－</v>
      </c>
      <c r="L77" s="23"/>
      <c r="M77" s="25" t="n">
        <f>111496494</f>
        <v>1.11496494E8</v>
      </c>
      <c r="N77" s="23"/>
      <c r="O77" s="26" t="n">
        <f>111496494</f>
        <v>1.11496494E8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 t="s">
        <v>30</v>
      </c>
      <c r="V77" s="25" t="n">
        <f>379</f>
        <v>379.0</v>
      </c>
      <c r="W77" s="23"/>
      <c r="X77" s="26" t="n">
        <f>379</f>
        <v>379.0</v>
      </c>
      <c r="Y77" s="24"/>
      <c r="Z77" s="25" t="n">
        <f>78069</f>
        <v>78069.0</v>
      </c>
      <c r="AA77" s="23" t="s">
        <v>30</v>
      </c>
      <c r="AB77" s="25" t="n">
        <f>20566</f>
        <v>20566.0</v>
      </c>
      <c r="AC77" s="23"/>
      <c r="AD77" s="26" t="n">
        <f>98635</f>
        <v>98635.0</v>
      </c>
    </row>
    <row r="78">
      <c r="A78" s="30" t="s">
        <v>35</v>
      </c>
      <c r="B78" s="22" t="s">
        <v>63</v>
      </c>
      <c r="C78" s="22" t="s">
        <v>64</v>
      </c>
      <c r="D78" s="24"/>
      <c r="E78" s="25" t="n">
        <f>1611</f>
        <v>1611.0</v>
      </c>
      <c r="F78" s="23"/>
      <c r="G78" s="25" t="str">
        <f>"－"</f>
        <v>－</v>
      </c>
      <c r="H78" s="23"/>
      <c r="I78" s="26" t="n">
        <f>1611</f>
        <v>1611.0</v>
      </c>
      <c r="J78" s="24" t="s">
        <v>30</v>
      </c>
      <c r="K78" s="25" t="n">
        <f>350986724</f>
        <v>3.50986724E8</v>
      </c>
      <c r="L78" s="23"/>
      <c r="M78" s="25" t="str">
        <f>"－"</f>
        <v>－</v>
      </c>
      <c r="N78" s="23"/>
      <c r="O78" s="26" t="n">
        <f>350986724</f>
        <v>3.50986724E8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n">
        <f>43</f>
        <v>43.0</v>
      </c>
      <c r="U78" s="23"/>
      <c r="V78" s="25" t="str">
        <f>"－"</f>
        <v>－</v>
      </c>
      <c r="W78" s="23"/>
      <c r="X78" s="26" t="n">
        <f>43</f>
        <v>43.0</v>
      </c>
      <c r="Y78" s="24" t="s">
        <v>30</v>
      </c>
      <c r="Z78" s="25" t="n">
        <f>79680</f>
        <v>79680.0</v>
      </c>
      <c r="AA78" s="23"/>
      <c r="AB78" s="25" t="n">
        <f>20566</f>
        <v>20566.0</v>
      </c>
      <c r="AC78" s="23" t="s">
        <v>30</v>
      </c>
      <c r="AD78" s="26" t="n">
        <f>100246</f>
        <v>100246.0</v>
      </c>
    </row>
    <row r="79">
      <c r="A79" s="30" t="s">
        <v>36</v>
      </c>
      <c r="B79" s="22" t="s">
        <v>63</v>
      </c>
      <c r="C79" s="22" t="s">
        <v>64</v>
      </c>
      <c r="D79" s="24"/>
      <c r="E79" s="25" t="n">
        <f>643</f>
        <v>643.0</v>
      </c>
      <c r="F79" s="23" t="s">
        <v>30</v>
      </c>
      <c r="G79" s="25" t="n">
        <f>1637</f>
        <v>1637.0</v>
      </c>
      <c r="H79" s="23"/>
      <c r="I79" s="26" t="n">
        <f>2280</f>
        <v>2280.0</v>
      </c>
      <c r="J79" s="24"/>
      <c r="K79" s="25" t="n">
        <f>121527000</f>
        <v>1.21527E8</v>
      </c>
      <c r="L79" s="23" t="s">
        <v>30</v>
      </c>
      <c r="M79" s="25" t="n">
        <f>347027104</f>
        <v>3.47027104E8</v>
      </c>
      <c r="N79" s="23" t="s">
        <v>30</v>
      </c>
      <c r="O79" s="26" t="n">
        <f>468554104</f>
        <v>4.68554104E8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str">
        <f>"－"</f>
        <v>－</v>
      </c>
      <c r="U79" s="23"/>
      <c r="V79" s="25" t="n">
        <f>351</f>
        <v>351.0</v>
      </c>
      <c r="W79" s="23"/>
      <c r="X79" s="26" t="n">
        <f>351</f>
        <v>351.0</v>
      </c>
      <c r="Y79" s="24"/>
      <c r="Z79" s="25" t="n">
        <f>79037</f>
        <v>79037.0</v>
      </c>
      <c r="AA79" s="23"/>
      <c r="AB79" s="25" t="n">
        <f>19631</f>
        <v>19631.0</v>
      </c>
      <c r="AC79" s="23"/>
      <c r="AD79" s="26" t="n">
        <f>98668</f>
        <v>98668.0</v>
      </c>
    </row>
    <row r="80">
      <c r="A80" s="30" t="s">
        <v>37</v>
      </c>
      <c r="B80" s="22" t="s">
        <v>63</v>
      </c>
      <c r="C80" s="22" t="s">
        <v>64</v>
      </c>
      <c r="D80" s="24"/>
      <c r="E80" s="25" t="str">
        <f>"－"</f>
        <v>－</v>
      </c>
      <c r="F80" s="23"/>
      <c r="G80" s="25" t="n">
        <f>180</f>
        <v>180.0</v>
      </c>
      <c r="H80" s="23"/>
      <c r="I80" s="26" t="n">
        <f>180</f>
        <v>180.0</v>
      </c>
      <c r="J80" s="24"/>
      <c r="K80" s="25" t="str">
        <f>"－"</f>
        <v>－</v>
      </c>
      <c r="L80" s="23"/>
      <c r="M80" s="25" t="n">
        <f>35156100</f>
        <v>3.51561E7</v>
      </c>
      <c r="N80" s="23"/>
      <c r="O80" s="26" t="n">
        <f>35156100</f>
        <v>3.51561E7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str">
        <f>"－"</f>
        <v>－</v>
      </c>
      <c r="U80" s="23"/>
      <c r="V80" s="25" t="n">
        <f>180</f>
        <v>180.0</v>
      </c>
      <c r="W80" s="23"/>
      <c r="X80" s="26" t="n">
        <f>180</f>
        <v>180.0</v>
      </c>
      <c r="Y80" s="24" t="s">
        <v>38</v>
      </c>
      <c r="Z80" s="25" t="n">
        <f>76386</f>
        <v>76386.0</v>
      </c>
      <c r="AA80" s="23" t="s">
        <v>38</v>
      </c>
      <c r="AB80" s="25" t="n">
        <f>19547</f>
        <v>19547.0</v>
      </c>
      <c r="AC80" s="23" t="s">
        <v>38</v>
      </c>
      <c r="AD80" s="26" t="n">
        <f>95933</f>
        <v>95933.0</v>
      </c>
    </row>
    <row r="81">
      <c r="A81" s="30" t="s">
        <v>39</v>
      </c>
      <c r="B81" s="22" t="s">
        <v>63</v>
      </c>
      <c r="C81" s="22" t="s">
        <v>64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40</v>
      </c>
      <c r="B82" s="22" t="s">
        <v>63</v>
      </c>
      <c r="C82" s="22" t="s">
        <v>64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41</v>
      </c>
      <c r="B83" s="22" t="s">
        <v>63</v>
      </c>
      <c r="C83" s="22" t="s">
        <v>64</v>
      </c>
      <c r="D83" s="24"/>
      <c r="E83" s="25" t="str">
        <f>"－"</f>
        <v>－</v>
      </c>
      <c r="F83" s="23"/>
      <c r="G83" s="25" t="str">
        <f>"－"</f>
        <v>－</v>
      </c>
      <c r="H83" s="23"/>
      <c r="I83" s="26" t="str">
        <f>"－"</f>
        <v>－</v>
      </c>
      <c r="J83" s="24"/>
      <c r="K83" s="25" t="str">
        <f>"－"</f>
        <v>－</v>
      </c>
      <c r="L83" s="23"/>
      <c r="M83" s="25" t="str">
        <f>"－"</f>
        <v>－</v>
      </c>
      <c r="N83" s="23"/>
      <c r="O83" s="26" t="str">
        <f>"－"</f>
        <v>－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str">
        <f>"－"</f>
        <v>－</v>
      </c>
      <c r="U83" s="23"/>
      <c r="V83" s="25" t="str">
        <f>"－"</f>
        <v>－</v>
      </c>
      <c r="W83" s="23"/>
      <c r="X83" s="26" t="str">
        <f>"－"</f>
        <v>－</v>
      </c>
      <c r="Y83" s="24"/>
      <c r="Z83" s="25" t="n">
        <f>76386</f>
        <v>76386.0</v>
      </c>
      <c r="AA83" s="23"/>
      <c r="AB83" s="25" t="n">
        <f>19547</f>
        <v>19547.0</v>
      </c>
      <c r="AC83" s="23"/>
      <c r="AD83" s="26" t="n">
        <f>95933</f>
        <v>95933.0</v>
      </c>
    </row>
    <row r="84">
      <c r="A84" s="30" t="s">
        <v>42</v>
      </c>
      <c r="B84" s="22" t="s">
        <v>63</v>
      </c>
      <c r="C84" s="22" t="s">
        <v>64</v>
      </c>
      <c r="D84" s="24" t="s">
        <v>30</v>
      </c>
      <c r="E84" s="25" t="n">
        <f>3646</f>
        <v>3646.0</v>
      </c>
      <c r="F84" s="23"/>
      <c r="G84" s="25" t="str">
        <f>"－"</f>
        <v>－</v>
      </c>
      <c r="H84" s="23" t="s">
        <v>30</v>
      </c>
      <c r="I84" s="26" t="n">
        <f>3646</f>
        <v>3646.0</v>
      </c>
      <c r="J84" s="24"/>
      <c r="K84" s="25" t="n">
        <f>246341980</f>
        <v>2.4634198E8</v>
      </c>
      <c r="L84" s="23"/>
      <c r="M84" s="25" t="str">
        <f>"－"</f>
        <v>－</v>
      </c>
      <c r="N84" s="23"/>
      <c r="O84" s="26" t="n">
        <f>246341980</f>
        <v>2.4634198E8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 t="s">
        <v>30</v>
      </c>
      <c r="T84" s="25" t="n">
        <f>3646</f>
        <v>3646.0</v>
      </c>
      <c r="U84" s="23"/>
      <c r="V84" s="25" t="str">
        <f>"－"</f>
        <v>－</v>
      </c>
      <c r="W84" s="23" t="s">
        <v>30</v>
      </c>
      <c r="X84" s="26" t="n">
        <f>3646</f>
        <v>3646.0</v>
      </c>
      <c r="Y84" s="24"/>
      <c r="Z84" s="25" t="n">
        <f>76386</f>
        <v>76386.0</v>
      </c>
      <c r="AA84" s="23"/>
      <c r="AB84" s="25" t="n">
        <f>19547</f>
        <v>19547.0</v>
      </c>
      <c r="AC84" s="23"/>
      <c r="AD84" s="26" t="n">
        <f>95933</f>
        <v>95933.0</v>
      </c>
    </row>
    <row r="85">
      <c r="A85" s="30" t="s">
        <v>43</v>
      </c>
      <c r="B85" s="22" t="s">
        <v>63</v>
      </c>
      <c r="C85" s="22" t="s">
        <v>64</v>
      </c>
      <c r="D85" s="24"/>
      <c r="E85" s="25" t="n">
        <f>1733</f>
        <v>1733.0</v>
      </c>
      <c r="F85" s="23"/>
      <c r="G85" s="25" t="str">
        <f>"－"</f>
        <v>－</v>
      </c>
      <c r="H85" s="23"/>
      <c r="I85" s="26" t="n">
        <f>1733</f>
        <v>1733.0</v>
      </c>
      <c r="J85" s="24"/>
      <c r="K85" s="25" t="n">
        <f>350116000</f>
        <v>3.50116E8</v>
      </c>
      <c r="L85" s="23"/>
      <c r="M85" s="25" t="str">
        <f>"－"</f>
        <v>－</v>
      </c>
      <c r="N85" s="23"/>
      <c r="O85" s="26" t="n">
        <f>350116000</f>
        <v>3.50116E8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/>
      <c r="V85" s="25" t="str">
        <f>"－"</f>
        <v>－</v>
      </c>
      <c r="W85" s="23"/>
      <c r="X85" s="26" t="str">
        <f>"－"</f>
        <v>－</v>
      </c>
      <c r="Y85" s="24"/>
      <c r="Z85" s="25" t="n">
        <f>78119</f>
        <v>78119.0</v>
      </c>
      <c r="AA85" s="23"/>
      <c r="AB85" s="25" t="n">
        <f>19547</f>
        <v>19547.0</v>
      </c>
      <c r="AC85" s="23"/>
      <c r="AD85" s="26" t="n">
        <f>97666</f>
        <v>97666.0</v>
      </c>
    </row>
    <row r="86">
      <c r="A86" s="30" t="s">
        <v>44</v>
      </c>
      <c r="B86" s="22" t="s">
        <v>63</v>
      </c>
      <c r="C86" s="22" t="s">
        <v>64</v>
      </c>
      <c r="D86" s="24"/>
      <c r="E86" s="25" t="n">
        <f>165</f>
        <v>165.0</v>
      </c>
      <c r="F86" s="23"/>
      <c r="G86" s="25" t="str">
        <f>"－"</f>
        <v>－</v>
      </c>
      <c r="H86" s="23"/>
      <c r="I86" s="26" t="n">
        <f>165</f>
        <v>165.0</v>
      </c>
      <c r="J86" s="24"/>
      <c r="K86" s="25" t="n">
        <f>41002500</f>
        <v>4.10025E7</v>
      </c>
      <c r="L86" s="23"/>
      <c r="M86" s="25" t="str">
        <f>"－"</f>
        <v>－</v>
      </c>
      <c r="N86" s="23"/>
      <c r="O86" s="26" t="n">
        <f>41002500</f>
        <v>4.10025E7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78284</f>
        <v>78284.0</v>
      </c>
      <c r="AA86" s="23"/>
      <c r="AB86" s="25" t="n">
        <f>19547</f>
        <v>19547.0</v>
      </c>
      <c r="AC86" s="23"/>
      <c r="AD86" s="26" t="n">
        <f>97831</f>
        <v>97831.0</v>
      </c>
    </row>
    <row r="87">
      <c r="A87" s="30" t="s">
        <v>45</v>
      </c>
      <c r="B87" s="22" t="s">
        <v>63</v>
      </c>
      <c r="C87" s="22" t="s">
        <v>64</v>
      </c>
      <c r="D87" s="24"/>
      <c r="E87" s="25" t="str">
        <f>"－"</f>
        <v>－</v>
      </c>
      <c r="F87" s="23"/>
      <c r="G87" s="25" t="str">
        <f>"－"</f>
        <v>－</v>
      </c>
      <c r="H87" s="23"/>
      <c r="I87" s="26" t="str">
        <f>"－"</f>
        <v>－</v>
      </c>
      <c r="J87" s="24"/>
      <c r="K87" s="25" t="str">
        <f>"－"</f>
        <v>－</v>
      </c>
      <c r="L87" s="23"/>
      <c r="M87" s="25" t="str">
        <f>"－"</f>
        <v>－</v>
      </c>
      <c r="N87" s="23"/>
      <c r="O87" s="26" t="str">
        <f>"－"</f>
        <v>－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78284</f>
        <v>78284.0</v>
      </c>
      <c r="AA87" s="23"/>
      <c r="AB87" s="25" t="n">
        <f>19547</f>
        <v>19547.0</v>
      </c>
      <c r="AC87" s="23"/>
      <c r="AD87" s="26" t="n">
        <f>97831</f>
        <v>97831.0</v>
      </c>
    </row>
    <row r="88">
      <c r="A88" s="30" t="s">
        <v>46</v>
      </c>
      <c r="B88" s="22" t="s">
        <v>63</v>
      </c>
      <c r="C88" s="22" t="s">
        <v>64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47</v>
      </c>
      <c r="B89" s="22" t="s">
        <v>63</v>
      </c>
      <c r="C89" s="22" t="s">
        <v>64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48</v>
      </c>
      <c r="B90" s="22" t="s">
        <v>63</v>
      </c>
      <c r="C90" s="22" t="s">
        <v>64</v>
      </c>
      <c r="D90" s="24"/>
      <c r="E90" s="25" t="n">
        <f>47</f>
        <v>47.0</v>
      </c>
      <c r="F90" s="23"/>
      <c r="G90" s="25" t="str">
        <f>"－"</f>
        <v>－</v>
      </c>
      <c r="H90" s="23"/>
      <c r="I90" s="26" t="n">
        <f>47</f>
        <v>47.0</v>
      </c>
      <c r="J90" s="24"/>
      <c r="K90" s="25" t="n">
        <f>3760000</f>
        <v>3760000.0</v>
      </c>
      <c r="L90" s="23"/>
      <c r="M90" s="25" t="str">
        <f>"－"</f>
        <v>－</v>
      </c>
      <c r="N90" s="23"/>
      <c r="O90" s="26" t="n">
        <f>3760000</f>
        <v>3760000.0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78237</f>
        <v>78237.0</v>
      </c>
      <c r="AA90" s="23"/>
      <c r="AB90" s="25" t="n">
        <f>19547</f>
        <v>19547.0</v>
      </c>
      <c r="AC90" s="23"/>
      <c r="AD90" s="26" t="n">
        <f>97784</f>
        <v>97784.0</v>
      </c>
    </row>
    <row r="91">
      <c r="A91" s="30" t="s">
        <v>49</v>
      </c>
      <c r="B91" s="22" t="s">
        <v>63</v>
      </c>
      <c r="C91" s="22" t="s">
        <v>64</v>
      </c>
      <c r="D91" s="24"/>
      <c r="E91" s="25" t="n">
        <f>300</f>
        <v>300.0</v>
      </c>
      <c r="F91" s="23"/>
      <c r="G91" s="25" t="str">
        <f>"－"</f>
        <v>－</v>
      </c>
      <c r="H91" s="23"/>
      <c r="I91" s="26" t="n">
        <f>300</f>
        <v>300.0</v>
      </c>
      <c r="J91" s="24"/>
      <c r="K91" s="25" t="n">
        <f>42000000</f>
        <v>4.2E7</v>
      </c>
      <c r="L91" s="23"/>
      <c r="M91" s="25" t="str">
        <f>"－"</f>
        <v>－</v>
      </c>
      <c r="N91" s="23"/>
      <c r="O91" s="26" t="n">
        <f>42000000</f>
        <v>4.2E7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78537</f>
        <v>78537.0</v>
      </c>
      <c r="AA91" s="23"/>
      <c r="AB91" s="25" t="n">
        <f>19547</f>
        <v>19547.0</v>
      </c>
      <c r="AC91" s="23"/>
      <c r="AD91" s="26" t="n">
        <f>98084</f>
        <v>98084.0</v>
      </c>
    </row>
    <row r="92">
      <c r="A92" s="30" t="s">
        <v>50</v>
      </c>
      <c r="B92" s="22" t="s">
        <v>63</v>
      </c>
      <c r="C92" s="22" t="s">
        <v>64</v>
      </c>
      <c r="D92" s="24"/>
      <c r="E92" s="25" t="str">
        <f>"－"</f>
        <v>－</v>
      </c>
      <c r="F92" s="23"/>
      <c r="G92" s="25" t="str">
        <f>"－"</f>
        <v>－</v>
      </c>
      <c r="H92" s="23"/>
      <c r="I92" s="26" t="str">
        <f>"－"</f>
        <v>－</v>
      </c>
      <c r="J92" s="24"/>
      <c r="K92" s="25" t="str">
        <f>"－"</f>
        <v>－</v>
      </c>
      <c r="L92" s="23"/>
      <c r="M92" s="25" t="str">
        <f>"－"</f>
        <v>－</v>
      </c>
      <c r="N92" s="23"/>
      <c r="O92" s="26" t="str">
        <f>"－"</f>
        <v>－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78537</f>
        <v>78537.0</v>
      </c>
      <c r="AA92" s="23"/>
      <c r="AB92" s="25" t="n">
        <f>19547</f>
        <v>19547.0</v>
      </c>
      <c r="AC92" s="23"/>
      <c r="AD92" s="26" t="n">
        <f>98084</f>
        <v>98084.0</v>
      </c>
    </row>
    <row r="93">
      <c r="A93" s="30" t="s">
        <v>51</v>
      </c>
      <c r="B93" s="22" t="s">
        <v>63</v>
      </c>
      <c r="C93" s="22" t="s">
        <v>64</v>
      </c>
      <c r="D93" s="24"/>
      <c r="E93" s="25" t="str">
        <f>"－"</f>
        <v>－</v>
      </c>
      <c r="F93" s="23"/>
      <c r="G93" s="25" t="str">
        <f>"－"</f>
        <v>－</v>
      </c>
      <c r="H93" s="23"/>
      <c r="I93" s="26" t="str">
        <f>"－"</f>
        <v>－</v>
      </c>
      <c r="J93" s="24"/>
      <c r="K93" s="25" t="str">
        <f>"－"</f>
        <v>－</v>
      </c>
      <c r="L93" s="23"/>
      <c r="M93" s="25" t="str">
        <f>"－"</f>
        <v>－</v>
      </c>
      <c r="N93" s="23"/>
      <c r="O93" s="26" t="str">
        <f>"－"</f>
        <v>－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78537</f>
        <v>78537.0</v>
      </c>
      <c r="AA93" s="23"/>
      <c r="AB93" s="25" t="n">
        <f>19547</f>
        <v>19547.0</v>
      </c>
      <c r="AC93" s="23"/>
      <c r="AD93" s="26" t="n">
        <f>98084</f>
        <v>98084.0</v>
      </c>
    </row>
    <row r="94">
      <c r="A94" s="30" t="s">
        <v>52</v>
      </c>
      <c r="B94" s="22" t="s">
        <v>63</v>
      </c>
      <c r="C94" s="22" t="s">
        <v>64</v>
      </c>
      <c r="D94" s="24"/>
      <c r="E94" s="25" t="n">
        <f>300</f>
        <v>300.0</v>
      </c>
      <c r="F94" s="23"/>
      <c r="G94" s="25" t="n">
        <f>280</f>
        <v>280.0</v>
      </c>
      <c r="H94" s="23"/>
      <c r="I94" s="26" t="n">
        <f>580</f>
        <v>580.0</v>
      </c>
      <c r="J94" s="24"/>
      <c r="K94" s="25" t="n">
        <f>247050000</f>
        <v>2.4705E8</v>
      </c>
      <c r="L94" s="23"/>
      <c r="M94" s="25" t="n">
        <f>59701200</f>
        <v>5.97012E7</v>
      </c>
      <c r="N94" s="23"/>
      <c r="O94" s="26" t="n">
        <f>306751200</f>
        <v>3.067512E8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n">
        <f>180</f>
        <v>180.0</v>
      </c>
      <c r="W94" s="23"/>
      <c r="X94" s="26" t="n">
        <f>180</f>
        <v>180.0</v>
      </c>
      <c r="Y94" s="24"/>
      <c r="Z94" s="25" t="n">
        <f>78687</f>
        <v>78687.0</v>
      </c>
      <c r="AA94" s="23"/>
      <c r="AB94" s="25" t="n">
        <f>19647</f>
        <v>19647.0</v>
      </c>
      <c r="AC94" s="23"/>
      <c r="AD94" s="26" t="n">
        <f>98334</f>
        <v>98334.0</v>
      </c>
    </row>
    <row r="95">
      <c r="A95" s="30" t="s">
        <v>53</v>
      </c>
      <c r="B95" s="22" t="s">
        <v>63</v>
      </c>
      <c r="C95" s="22" t="s">
        <v>64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54</v>
      </c>
      <c r="B96" s="22" t="s">
        <v>63</v>
      </c>
      <c r="C96" s="22" t="s">
        <v>64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55</v>
      </c>
      <c r="B97" s="22" t="s">
        <v>63</v>
      </c>
      <c r="C97" s="22" t="s">
        <v>64</v>
      </c>
      <c r="D97" s="24"/>
      <c r="E97" s="25" t="str">
        <f>"－"</f>
        <v>－</v>
      </c>
      <c r="F97" s="23"/>
      <c r="G97" s="25" t="str">
        <f>"－"</f>
        <v>－</v>
      </c>
      <c r="H97" s="23"/>
      <c r="I97" s="26" t="str">
        <f>"－"</f>
        <v>－</v>
      </c>
      <c r="J97" s="24"/>
      <c r="K97" s="25" t="str">
        <f>"－"</f>
        <v>－</v>
      </c>
      <c r="L97" s="23"/>
      <c r="M97" s="25" t="str">
        <f>"－"</f>
        <v>－</v>
      </c>
      <c r="N97" s="23"/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n">
        <f>78687</f>
        <v>78687.0</v>
      </c>
      <c r="AA97" s="23"/>
      <c r="AB97" s="25" t="n">
        <f>19647</f>
        <v>19647.0</v>
      </c>
      <c r="AC97" s="23"/>
      <c r="AD97" s="26" t="n">
        <f>98334</f>
        <v>98334.0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260</f>
        <v>260.0</v>
      </c>
      <c r="F98" s="23"/>
      <c r="G98" s="25" t="str">
        <f>"－"</f>
        <v>－</v>
      </c>
      <c r="H98" s="23"/>
      <c r="I98" s="26" t="n">
        <f>260</f>
        <v>260.0</v>
      </c>
      <c r="J98" s="24"/>
      <c r="K98" s="25" t="n">
        <f>18200000</f>
        <v>1.82E7</v>
      </c>
      <c r="L98" s="23"/>
      <c r="M98" s="25" t="str">
        <f>"－"</f>
        <v>－</v>
      </c>
      <c r="N98" s="23"/>
      <c r="O98" s="26" t="n">
        <f>18200000</f>
        <v>1.82E7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78527</f>
        <v>78527.0</v>
      </c>
      <c r="AA98" s="23"/>
      <c r="AB98" s="25" t="n">
        <f>19647</f>
        <v>19647.0</v>
      </c>
      <c r="AC98" s="23"/>
      <c r="AD98" s="26" t="n">
        <f>98174</f>
        <v>98174.0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890</f>
        <v>890.0</v>
      </c>
      <c r="F99" s="23"/>
      <c r="G99" s="25" t="str">
        <f>"－"</f>
        <v>－</v>
      </c>
      <c r="H99" s="23"/>
      <c r="I99" s="26" t="n">
        <f>890</f>
        <v>890.0</v>
      </c>
      <c r="J99" s="24"/>
      <c r="K99" s="25" t="n">
        <f>136555610</f>
        <v>1.3655561E8</v>
      </c>
      <c r="L99" s="23"/>
      <c r="M99" s="25" t="str">
        <f>"－"</f>
        <v>－</v>
      </c>
      <c r="N99" s="23"/>
      <c r="O99" s="26" t="n">
        <f>136555610</f>
        <v>1.3655561E8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n">
        <f>390</f>
        <v>390.0</v>
      </c>
      <c r="U99" s="23"/>
      <c r="V99" s="25" t="str">
        <f>"－"</f>
        <v>－</v>
      </c>
      <c r="W99" s="23"/>
      <c r="X99" s="26" t="n">
        <f>390</f>
        <v>390.0</v>
      </c>
      <c r="Y99" s="24"/>
      <c r="Z99" s="25" t="n">
        <f>79003</f>
        <v>79003.0</v>
      </c>
      <c r="AA99" s="23"/>
      <c r="AB99" s="25" t="n">
        <f>19647</f>
        <v>19647.0</v>
      </c>
      <c r="AC99" s="23"/>
      <c r="AD99" s="26" t="n">
        <f>98650</f>
        <v>98650.0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 t="n">
        <f>700</f>
        <v>700.0</v>
      </c>
      <c r="F100" s="23"/>
      <c r="G100" s="25" t="str">
        <f>"－"</f>
        <v>－</v>
      </c>
      <c r="H100" s="23"/>
      <c r="I100" s="26" t="n">
        <f>700</f>
        <v>700.0</v>
      </c>
      <c r="J100" s="24"/>
      <c r="K100" s="25" t="n">
        <f>210000000</f>
        <v>2.1E8</v>
      </c>
      <c r="L100" s="23"/>
      <c r="M100" s="25" t="str">
        <f>"－"</f>
        <v>－</v>
      </c>
      <c r="N100" s="23"/>
      <c r="O100" s="26" t="n">
        <f>210000000</f>
        <v>2.1E8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n">
        <f>700</f>
        <v>700.0</v>
      </c>
      <c r="U100" s="23"/>
      <c r="V100" s="25" t="str">
        <f>"－"</f>
        <v>－</v>
      </c>
      <c r="W100" s="23"/>
      <c r="X100" s="26" t="n">
        <f>700</f>
        <v>700.0</v>
      </c>
      <c r="Y100" s="24"/>
      <c r="Z100" s="25" t="n">
        <f>78503</f>
        <v>78503.0</v>
      </c>
      <c r="AA100" s="23"/>
      <c r="AB100" s="25" t="n">
        <f>19647</f>
        <v>19647.0</v>
      </c>
      <c r="AC100" s="23"/>
      <c r="AD100" s="26" t="n">
        <f>98150</f>
        <v>98150.0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871</f>
        <v>871.0</v>
      </c>
      <c r="F101" s="23"/>
      <c r="G101" s="25" t="str">
        <f>"－"</f>
        <v>－</v>
      </c>
      <c r="H101" s="23"/>
      <c r="I101" s="26" t="n">
        <f>871</f>
        <v>871.0</v>
      </c>
      <c r="J101" s="24"/>
      <c r="K101" s="25" t="n">
        <f>190729000</f>
        <v>1.90729E8</v>
      </c>
      <c r="L101" s="23"/>
      <c r="M101" s="25" t="str">
        <f>"－"</f>
        <v>－</v>
      </c>
      <c r="N101" s="23"/>
      <c r="O101" s="26" t="n">
        <f>190729000</f>
        <v>1.90729E8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n">
        <f>871</f>
        <v>871.0</v>
      </c>
      <c r="U101" s="23"/>
      <c r="V101" s="25" t="str">
        <f>"－"</f>
        <v>－</v>
      </c>
      <c r="W101" s="23"/>
      <c r="X101" s="26" t="n">
        <f>871</f>
        <v>871.0</v>
      </c>
      <c r="Y101" s="24"/>
      <c r="Z101" s="25" t="n">
        <f>78832</f>
        <v>78832.0</v>
      </c>
      <c r="AA101" s="23"/>
      <c r="AB101" s="25" t="n">
        <f>19647</f>
        <v>19647.0</v>
      </c>
      <c r="AC101" s="23"/>
      <c r="AD101" s="26" t="n">
        <f>98479</f>
        <v>98479.0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/>
      <c r="F102" s="23"/>
      <c r="G102" s="25"/>
      <c r="H102" s="23"/>
      <c r="I102" s="26"/>
      <c r="J102" s="24"/>
      <c r="K102" s="25"/>
      <c r="L102" s="23"/>
      <c r="M102" s="25"/>
      <c r="N102" s="23"/>
      <c r="O102" s="26"/>
      <c r="P102" s="27"/>
      <c r="Q102" s="28"/>
      <c r="R102" s="29"/>
      <c r="S102" s="24"/>
      <c r="T102" s="25"/>
      <c r="U102" s="23"/>
      <c r="V102" s="25"/>
      <c r="W102" s="23"/>
      <c r="X102" s="26"/>
      <c r="Y102" s="24"/>
      <c r="Z102" s="25"/>
      <c r="AA102" s="23"/>
      <c r="AB102" s="25"/>
      <c r="AC102" s="23"/>
      <c r="AD102" s="26"/>
    </row>
    <row r="103">
      <c r="A103" s="30" t="s">
        <v>26</v>
      </c>
      <c r="B103" s="22" t="s">
        <v>65</v>
      </c>
      <c r="C103" s="22" t="s">
        <v>66</v>
      </c>
      <c r="D103" s="24" t="s">
        <v>67</v>
      </c>
      <c r="E103" s="25" t="str">
        <f>"－"</f>
        <v>－</v>
      </c>
      <c r="F103" s="23" t="s">
        <v>67</v>
      </c>
      <c r="G103" s="25" t="str">
        <f>"－"</f>
        <v>－</v>
      </c>
      <c r="H103" s="23" t="s">
        <v>67</v>
      </c>
      <c r="I103" s="26" t="str">
        <f>"－"</f>
        <v>－</v>
      </c>
      <c r="J103" s="24" t="s">
        <v>67</v>
      </c>
      <c r="K103" s="25" t="str">
        <f>"－"</f>
        <v>－</v>
      </c>
      <c r="L103" s="23" t="s">
        <v>67</v>
      </c>
      <c r="M103" s="25" t="str">
        <f>"－"</f>
        <v>－</v>
      </c>
      <c r="N103" s="23" t="s">
        <v>67</v>
      </c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 t="s">
        <v>67</v>
      </c>
      <c r="T103" s="25" t="str">
        <f>"－"</f>
        <v>－</v>
      </c>
      <c r="U103" s="23" t="s">
        <v>67</v>
      </c>
      <c r="V103" s="25" t="str">
        <f>"－"</f>
        <v>－</v>
      </c>
      <c r="W103" s="23" t="s">
        <v>67</v>
      </c>
      <c r="X103" s="26" t="str">
        <f>"－"</f>
        <v>－</v>
      </c>
      <c r="Y103" s="24" t="s">
        <v>67</v>
      </c>
      <c r="Z103" s="25" t="str">
        <f>"－"</f>
        <v>－</v>
      </c>
      <c r="AA103" s="23" t="s">
        <v>67</v>
      </c>
      <c r="AB103" s="25" t="str">
        <f>"－"</f>
        <v>－</v>
      </c>
      <c r="AC103" s="23" t="s">
        <v>67</v>
      </c>
      <c r="AD103" s="26" t="str">
        <f>"－"</f>
        <v>－</v>
      </c>
    </row>
    <row r="104">
      <c r="A104" s="30" t="s">
        <v>29</v>
      </c>
      <c r="B104" s="22" t="s">
        <v>65</v>
      </c>
      <c r="C104" s="22" t="s">
        <v>66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31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32</v>
      </c>
      <c r="B106" s="22" t="s">
        <v>65</v>
      </c>
      <c r="C106" s="22" t="s">
        <v>66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33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37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39</v>
      </c>
      <c r="B112" s="22" t="s">
        <v>65</v>
      </c>
      <c r="C112" s="22" t="s">
        <v>66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40</v>
      </c>
      <c r="B113" s="22" t="s">
        <v>65</v>
      </c>
      <c r="C113" s="22" t="s">
        <v>66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47</v>
      </c>
      <c r="B120" s="22" t="s">
        <v>65</v>
      </c>
      <c r="C120" s="22" t="s">
        <v>66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54</v>
      </c>
      <c r="B127" s="22" t="s">
        <v>65</v>
      </c>
      <c r="C127" s="22" t="s">
        <v>66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/>
      <c r="F133" s="23"/>
      <c r="G133" s="25"/>
      <c r="H133" s="23"/>
      <c r="I133" s="26"/>
      <c r="J133" s="24"/>
      <c r="K133" s="25"/>
      <c r="L133" s="23"/>
      <c r="M133" s="25"/>
      <c r="N133" s="23"/>
      <c r="O133" s="26"/>
      <c r="P133" s="27"/>
      <c r="Q133" s="28"/>
      <c r="R133" s="29"/>
      <c r="S133" s="24"/>
      <c r="T133" s="25"/>
      <c r="U133" s="23"/>
      <c r="V133" s="25"/>
      <c r="W133" s="23"/>
      <c r="X133" s="26"/>
      <c r="Y133" s="24"/>
      <c r="Z133" s="25"/>
      <c r="AA133" s="23"/>
      <c r="AB133" s="25"/>
      <c r="AC133" s="23"/>
      <c r="AD133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