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<sst xmlns="http://schemas.openxmlformats.org/spreadsheetml/2006/main" count="500" uniqueCount="67">
  <si>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</si>
  <si>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</si>
  <si>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</si>
  <si>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</si>
  <si>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</si>
  <si>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</si>
  <si>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</si>
  <si>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</si>
  <si>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</si>
  <si>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</si>
  <si>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</si>
  <si>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</si>
  <si>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</si>
  <si>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</si>
  <si>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</si>
  <si>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</si>
  <si>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</si>
  <si>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</si>
  <si>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</si>
  <si>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</si>
  <si>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</si>
  <si>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</si>
  <si>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</si>
  <si>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</si>
  <si>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</si>
  <si>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</si>
  <si>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11.1</t>
  </si>
  <si>
    <t>日経225オプション</t>
  </si>
  <si>
    <t>Nikkei 225 Options</t>
  </si>
  <si>
    <t>2</t>
  </si>
  <si>
    <t>●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</si>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</sst>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2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 t="n">
        <f>64947</f>
        <v>64947.0</v>
      </c>
      <c r="F11" s="23"/>
      <c r="G11" s="25" t="n">
        <f>36197</f>
        <v>36197.0</v>
      </c>
      <c r="H11" s="23"/>
      <c r="I11" s="26" t="n">
        <f>101144</f>
        <v>101144.0</v>
      </c>
      <c r="J11" s="24"/>
      <c r="K11" s="25" t="n">
        <f>14898115680</f>
        <v>1.489811568E10</v>
      </c>
      <c r="L11" s="23"/>
      <c r="M11" s="25" t="n">
        <f>7085152625</f>
        <v>7.085152625E9</v>
      </c>
      <c r="N11" s="23"/>
      <c r="O11" s="26" t="n">
        <f>21983268305</f>
        <v>2.1983268305E10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10217</f>
        <v>10217.0</v>
      </c>
      <c r="U11" s="23" t="s">
        <v>30</v>
      </c>
      <c r="V11" s="25" t="n">
        <f>4320</f>
        <v>4320.0</v>
      </c>
      <c r="W11" s="23"/>
      <c r="X11" s="26" t="n">
        <f>14537</f>
        <v>14537.0</v>
      </c>
      <c r="Y11" s="24"/>
      <c r="Z11" s="25" t="n">
        <f>1120821</f>
        <v>1120821.0</v>
      </c>
      <c r="AA11" s="23"/>
      <c r="AB11" s="25" t="n">
        <f>604812</f>
        <v>604812.0</v>
      </c>
      <c r="AC11" s="23"/>
      <c r="AD11" s="26" t="n">
        <f>1725633</f>
        <v>1725633.0</v>
      </c>
    </row>
    <row r="12">
      <c r="A12" s="30" t="s">
        <v>31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>
      <c r="A13" s="30" t="s">
        <v>32</v>
      </c>
      <c r="B13" s="22" t="s">
        <v>27</v>
      </c>
      <c r="C13" s="22" t="s">
        <v>28</v>
      </c>
      <c r="D13" s="24"/>
      <c r="E13" s="25" t="n">
        <f>86394</f>
        <v>86394.0</v>
      </c>
      <c r="F13" s="23"/>
      <c r="G13" s="25" t="n">
        <f>48555</f>
        <v>48555.0</v>
      </c>
      <c r="H13" s="23"/>
      <c r="I13" s="26" t="n">
        <f>134949</f>
        <v>134949.0</v>
      </c>
      <c r="J13" s="24"/>
      <c r="K13" s="25" t="n">
        <f>13801621000</f>
        <v>1.3801621E10</v>
      </c>
      <c r="L13" s="23"/>
      <c r="M13" s="25" t="n">
        <f>9049645500</f>
        <v>9.0496455E9</v>
      </c>
      <c r="N13" s="23"/>
      <c r="O13" s="26" t="n">
        <f>22851266500</f>
        <v>2.28512665E10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18187</f>
        <v>18187.0</v>
      </c>
      <c r="U13" s="23"/>
      <c r="V13" s="25" t="n">
        <f>13115</f>
        <v>13115.0</v>
      </c>
      <c r="W13" s="23"/>
      <c r="X13" s="26" t="n">
        <f>31302</f>
        <v>31302.0</v>
      </c>
      <c r="Y13" s="24"/>
      <c r="Z13" s="25" t="n">
        <f>1123339</f>
        <v>1123339.0</v>
      </c>
      <c r="AA13" s="23"/>
      <c r="AB13" s="25" t="n">
        <f>607589</f>
        <v>607589.0</v>
      </c>
      <c r="AC13" s="23"/>
      <c r="AD13" s="26" t="n">
        <f>1730928</f>
        <v>1730928.0</v>
      </c>
    </row>
    <row r="14">
      <c r="A14" s="30" t="s">
        <v>33</v>
      </c>
      <c r="B14" s="22" t="s">
        <v>27</v>
      </c>
      <c r="C14" s="22" t="s">
        <v>28</v>
      </c>
      <c r="D14" s="24"/>
      <c r="E14" s="25" t="n">
        <f>103369</f>
        <v>103369.0</v>
      </c>
      <c r="F14" s="23"/>
      <c r="G14" s="25" t="n">
        <f>60166</f>
        <v>60166.0</v>
      </c>
      <c r="H14" s="23"/>
      <c r="I14" s="26" t="n">
        <f>163535</f>
        <v>163535.0</v>
      </c>
      <c r="J14" s="24"/>
      <c r="K14" s="25" t="n">
        <f>10433808500</f>
        <v>1.04338085E10</v>
      </c>
      <c r="L14" s="23"/>
      <c r="M14" s="25" t="n">
        <f>8970871900</f>
        <v>8.9708719E9</v>
      </c>
      <c r="N14" s="23"/>
      <c r="O14" s="26" t="n">
        <f>19404680400</f>
        <v>1.94046804E10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18094</f>
        <v>18094.0</v>
      </c>
      <c r="U14" s="23"/>
      <c r="V14" s="25" t="n">
        <f>11302</f>
        <v>11302.0</v>
      </c>
      <c r="W14" s="23"/>
      <c r="X14" s="26" t="n">
        <f>29396</f>
        <v>29396.0</v>
      </c>
      <c r="Y14" s="24"/>
      <c r="Z14" s="25" t="n">
        <f>1135700</f>
        <v>1135700.0</v>
      </c>
      <c r="AA14" s="23"/>
      <c r="AB14" s="25" t="n">
        <f>614002</f>
        <v>614002.0</v>
      </c>
      <c r="AC14" s="23"/>
      <c r="AD14" s="26" t="n">
        <f>1749702</f>
        <v>1749702.0</v>
      </c>
    </row>
    <row r="15">
      <c r="A15" s="30" t="s">
        <v>34</v>
      </c>
      <c r="B15" s="22" t="s">
        <v>27</v>
      </c>
      <c r="C15" s="22" t="s">
        <v>28</v>
      </c>
      <c r="D15" s="24" t="s">
        <v>35</v>
      </c>
      <c r="E15" s="25" t="n">
        <f>127221</f>
        <v>127221.0</v>
      </c>
      <c r="F15" s="23"/>
      <c r="G15" s="25" t="n">
        <f>77474</f>
        <v>77474.0</v>
      </c>
      <c r="H15" s="23"/>
      <c r="I15" s="26" t="n">
        <f>204695</f>
        <v>204695.0</v>
      </c>
      <c r="J15" s="24"/>
      <c r="K15" s="25" t="n">
        <f>14764924359</f>
        <v>1.4764924359E10</v>
      </c>
      <c r="L15" s="23"/>
      <c r="M15" s="25" t="n">
        <f>14492577000</f>
        <v>1.4492577E10</v>
      </c>
      <c r="N15" s="23"/>
      <c r="O15" s="26" t="n">
        <f>29257501359</f>
        <v>2.9257501359E10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 t="s">
        <v>35</v>
      </c>
      <c r="T15" s="25" t="n">
        <f>36646</f>
        <v>36646.0</v>
      </c>
      <c r="U15" s="23"/>
      <c r="V15" s="25" t="n">
        <f>15604</f>
        <v>15604.0</v>
      </c>
      <c r="W15" s="23" t="s">
        <v>35</v>
      </c>
      <c r="X15" s="26" t="n">
        <f>52250</f>
        <v>52250.0</v>
      </c>
      <c r="Y15" s="24"/>
      <c r="Z15" s="25" t="n">
        <f>1143356</f>
        <v>1143356.0</v>
      </c>
      <c r="AA15" s="23"/>
      <c r="AB15" s="25" t="n">
        <f>614469</f>
        <v>614469.0</v>
      </c>
      <c r="AC15" s="23"/>
      <c r="AD15" s="26" t="n">
        <f>1757825</f>
        <v>1757825.0</v>
      </c>
    </row>
    <row r="16">
      <c r="A16" s="30" t="s">
        <v>36</v>
      </c>
      <c r="B16" s="22" t="s">
        <v>27</v>
      </c>
      <c r="C16" s="22" t="s">
        <v>28</v>
      </c>
      <c r="D16" s="24"/>
      <c r="E16" s="25"/>
      <c r="F16" s="23"/>
      <c r="G16" s="25"/>
      <c r="H16" s="23"/>
      <c r="I16" s="26"/>
      <c r="J16" s="24"/>
      <c r="K16" s="25"/>
      <c r="L16" s="23"/>
      <c r="M16" s="25"/>
      <c r="N16" s="23"/>
      <c r="O16" s="26"/>
      <c r="P16" s="27"/>
      <c r="Q16" s="28"/>
      <c r="R16" s="29"/>
      <c r="S16" s="24"/>
      <c r="T16" s="25"/>
      <c r="U16" s="23"/>
      <c r="V16" s="25"/>
      <c r="W16" s="23"/>
      <c r="X16" s="26"/>
      <c r="Y16" s="24"/>
      <c r="Z16" s="25"/>
      <c r="AA16" s="23"/>
      <c r="AB16" s="25"/>
      <c r="AC16" s="23"/>
      <c r="AD16" s="26"/>
    </row>
    <row r="17">
      <c r="A17" s="30" t="s">
        <v>37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38</v>
      </c>
      <c r="B18" s="22" t="s">
        <v>27</v>
      </c>
      <c r="C18" s="22" t="s">
        <v>28</v>
      </c>
      <c r="D18" s="24"/>
      <c r="E18" s="25" t="n">
        <f>116347</f>
        <v>116347.0</v>
      </c>
      <c r="F18" s="23"/>
      <c r="G18" s="25" t="n">
        <f>88400</f>
        <v>88400.0</v>
      </c>
      <c r="H18" s="23"/>
      <c r="I18" s="26" t="n">
        <f>204747</f>
        <v>204747.0</v>
      </c>
      <c r="J18" s="24"/>
      <c r="K18" s="25" t="n">
        <f>17403510000</f>
        <v>1.740351E10</v>
      </c>
      <c r="L18" s="23"/>
      <c r="M18" s="25" t="n">
        <f>17925369221</f>
        <v>1.7925369221E10</v>
      </c>
      <c r="N18" s="23"/>
      <c r="O18" s="26" t="n">
        <f>35328879221</f>
        <v>3.5328879221E10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15065</f>
        <v>15065.0</v>
      </c>
      <c r="U18" s="23"/>
      <c r="V18" s="25" t="n">
        <f>22943</f>
        <v>22943.0</v>
      </c>
      <c r="W18" s="23"/>
      <c r="X18" s="26" t="n">
        <f>38008</f>
        <v>38008.0</v>
      </c>
      <c r="Y18" s="24"/>
      <c r="Z18" s="25" t="n">
        <f>1170767</f>
        <v>1170767.0</v>
      </c>
      <c r="AA18" s="23"/>
      <c r="AB18" s="25" t="n">
        <f>624518</f>
        <v>624518.0</v>
      </c>
      <c r="AC18" s="23"/>
      <c r="AD18" s="26" t="n">
        <f>1795285</f>
        <v>1795285.0</v>
      </c>
    </row>
    <row r="19">
      <c r="A19" s="30" t="s">
        <v>39</v>
      </c>
      <c r="B19" s="22" t="s">
        <v>27</v>
      </c>
      <c r="C19" s="22" t="s">
        <v>28</v>
      </c>
      <c r="D19" s="24"/>
      <c r="E19" s="25" t="n">
        <f>108471</f>
        <v>108471.0</v>
      </c>
      <c r="F19" s="23" t="s">
        <v>35</v>
      </c>
      <c r="G19" s="25" t="n">
        <f>114862</f>
        <v>114862.0</v>
      </c>
      <c r="H19" s="23" t="s">
        <v>35</v>
      </c>
      <c r="I19" s="26" t="n">
        <f>223333</f>
        <v>223333.0</v>
      </c>
      <c r="J19" s="24"/>
      <c r="K19" s="25" t="n">
        <f>15398962025</f>
        <v>1.5398962025E10</v>
      </c>
      <c r="L19" s="23"/>
      <c r="M19" s="25" t="n">
        <f>28382183250</f>
        <v>2.838218325E10</v>
      </c>
      <c r="N19" s="23"/>
      <c r="O19" s="26" t="n">
        <f>43781145275</f>
        <v>4.3781145275E10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18215</f>
        <v>18215.0</v>
      </c>
      <c r="U19" s="23" t="s">
        <v>35</v>
      </c>
      <c r="V19" s="25" t="n">
        <f>27162</f>
        <v>27162.0</v>
      </c>
      <c r="W19" s="23"/>
      <c r="X19" s="26" t="n">
        <f>45377</f>
        <v>45377.0</v>
      </c>
      <c r="Y19" s="24"/>
      <c r="Z19" s="25" t="n">
        <f>1176741</f>
        <v>1176741.0</v>
      </c>
      <c r="AA19" s="23"/>
      <c r="AB19" s="25" t="n">
        <f>619826</f>
        <v>619826.0</v>
      </c>
      <c r="AC19" s="23"/>
      <c r="AD19" s="26" t="n">
        <f>1796567</f>
        <v>1796567.0</v>
      </c>
    </row>
    <row r="20">
      <c r="A20" s="30" t="s">
        <v>40</v>
      </c>
      <c r="B20" s="22" t="s">
        <v>27</v>
      </c>
      <c r="C20" s="22" t="s">
        <v>28</v>
      </c>
      <c r="D20" s="24"/>
      <c r="E20" s="25" t="n">
        <f>84944</f>
        <v>84944.0</v>
      </c>
      <c r="F20" s="23"/>
      <c r="G20" s="25" t="n">
        <f>83095</f>
        <v>83095.0</v>
      </c>
      <c r="H20" s="23"/>
      <c r="I20" s="26" t="n">
        <f>168039</f>
        <v>168039.0</v>
      </c>
      <c r="J20" s="24"/>
      <c r="K20" s="25" t="n">
        <f>14805675080</f>
        <v>1.480567508E10</v>
      </c>
      <c r="L20" s="23"/>
      <c r="M20" s="25" t="n">
        <f>23192282870</f>
        <v>2.319228287E10</v>
      </c>
      <c r="N20" s="23"/>
      <c r="O20" s="26" t="n">
        <f>37997957950</f>
        <v>3.799795795E10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10523</f>
        <v>10523.0</v>
      </c>
      <c r="U20" s="23"/>
      <c r="V20" s="25" t="n">
        <f>15139</f>
        <v>15139.0</v>
      </c>
      <c r="W20" s="23"/>
      <c r="X20" s="26" t="n">
        <f>25662</f>
        <v>25662.0</v>
      </c>
      <c r="Y20" s="24"/>
      <c r="Z20" s="25" t="n">
        <f>1187356</f>
        <v>1187356.0</v>
      </c>
      <c r="AA20" s="23"/>
      <c r="AB20" s="25" t="n">
        <f>633795</f>
        <v>633795.0</v>
      </c>
      <c r="AC20" s="23"/>
      <c r="AD20" s="26" t="n">
        <f>1821151</f>
        <v>1821151.0</v>
      </c>
    </row>
    <row r="21">
      <c r="A21" s="30" t="s">
        <v>41</v>
      </c>
      <c r="B21" s="22" t="s">
        <v>27</v>
      </c>
      <c r="C21" s="22" t="s">
        <v>28</v>
      </c>
      <c r="D21" s="24"/>
      <c r="E21" s="25" t="n">
        <f>96813</f>
        <v>96813.0</v>
      </c>
      <c r="F21" s="23"/>
      <c r="G21" s="25" t="n">
        <f>82566</f>
        <v>82566.0</v>
      </c>
      <c r="H21" s="23"/>
      <c r="I21" s="26" t="n">
        <f>179379</f>
        <v>179379.0</v>
      </c>
      <c r="J21" s="24"/>
      <c r="K21" s="25" t="n">
        <f>16804069950</f>
        <v>1.680406995E10</v>
      </c>
      <c r="L21" s="23"/>
      <c r="M21" s="25" t="n">
        <f>19913370250</f>
        <v>1.991337025E10</v>
      </c>
      <c r="N21" s="23"/>
      <c r="O21" s="26" t="n">
        <f>36717440200</f>
        <v>3.67174402E10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10886</f>
        <v>10886.0</v>
      </c>
      <c r="U21" s="23"/>
      <c r="V21" s="25" t="n">
        <f>19399</f>
        <v>19399.0</v>
      </c>
      <c r="W21" s="23"/>
      <c r="X21" s="26" t="n">
        <f>30285</f>
        <v>30285.0</v>
      </c>
      <c r="Y21" s="24" t="s">
        <v>35</v>
      </c>
      <c r="Z21" s="25" t="n">
        <f>1208140</f>
        <v>1208140.0</v>
      </c>
      <c r="AA21" s="23"/>
      <c r="AB21" s="25" t="n">
        <f>650093</f>
        <v>650093.0</v>
      </c>
      <c r="AC21" s="23"/>
      <c r="AD21" s="26" t="n">
        <f>1858233</f>
        <v>1858233.0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61565</f>
        <v>61565.0</v>
      </c>
      <c r="F22" s="23" t="s">
        <v>30</v>
      </c>
      <c r="G22" s="25" t="n">
        <f>25910</f>
        <v>25910.0</v>
      </c>
      <c r="H22" s="23"/>
      <c r="I22" s="26" t="n">
        <f>87475</f>
        <v>87475.0</v>
      </c>
      <c r="J22" s="24"/>
      <c r="K22" s="25" t="n">
        <f>16622041790</f>
        <v>1.662204179E10</v>
      </c>
      <c r="L22" s="23"/>
      <c r="M22" s="25" t="n">
        <f>13338453975</f>
        <v>1.3338453975E10</v>
      </c>
      <c r="N22" s="23"/>
      <c r="O22" s="26" t="n">
        <f>29960495765</f>
        <v>2.9960495765E10</v>
      </c>
      <c r="P22" s="27" t="n">
        <f>3026</f>
        <v>3026.0</v>
      </c>
      <c r="Q22" s="28" t="n">
        <f>42451</f>
        <v>42451.0</v>
      </c>
      <c r="R22" s="29" t="n">
        <f>45477</f>
        <v>45477.0</v>
      </c>
      <c r="S22" s="24"/>
      <c r="T22" s="25" t="n">
        <f>7299</f>
        <v>7299.0</v>
      </c>
      <c r="U22" s="23"/>
      <c r="V22" s="25" t="n">
        <f>4546</f>
        <v>4546.0</v>
      </c>
      <c r="W22" s="23"/>
      <c r="X22" s="26" t="n">
        <f>11845</f>
        <v>11845.0</v>
      </c>
      <c r="Y22" s="24" t="s">
        <v>30</v>
      </c>
      <c r="Z22" s="25" t="n">
        <f>1085495</f>
        <v>1085495.0</v>
      </c>
      <c r="AA22" s="23" t="s">
        <v>30</v>
      </c>
      <c r="AB22" s="25" t="n">
        <f>596322</f>
        <v>596322.0</v>
      </c>
      <c r="AC22" s="23" t="s">
        <v>30</v>
      </c>
      <c r="AD22" s="26" t="n">
        <f>1681817</f>
        <v>1681817.0</v>
      </c>
    </row>
    <row r="23">
      <c r="A23" s="30" t="s">
        <v>43</v>
      </c>
      <c r="B23" s="22" t="s">
        <v>27</v>
      </c>
      <c r="C23" s="22" t="s">
        <v>28</v>
      </c>
      <c r="D23" s="24"/>
      <c r="E23" s="25"/>
      <c r="F23" s="23"/>
      <c r="G23" s="25"/>
      <c r="H23" s="23"/>
      <c r="I23" s="26"/>
      <c r="J23" s="24"/>
      <c r="K23" s="25"/>
      <c r="L23" s="23"/>
      <c r="M23" s="25"/>
      <c r="N23" s="23"/>
      <c r="O23" s="26"/>
      <c r="P23" s="27"/>
      <c r="Q23" s="28"/>
      <c r="R23" s="29"/>
      <c r="S23" s="24"/>
      <c r="T23" s="25"/>
      <c r="U23" s="23"/>
      <c r="V23" s="25"/>
      <c r="W23" s="23"/>
      <c r="X23" s="26"/>
      <c r="Y23" s="24"/>
      <c r="Z23" s="25"/>
      <c r="AA23" s="23"/>
      <c r="AB23" s="25"/>
      <c r="AC23" s="23"/>
      <c r="AD23" s="26"/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 t="n">
        <f>77452</f>
        <v>77452.0</v>
      </c>
      <c r="F25" s="23"/>
      <c r="G25" s="25" t="n">
        <f>65405</f>
        <v>65405.0</v>
      </c>
      <c r="H25" s="23"/>
      <c r="I25" s="26" t="n">
        <f>142857</f>
        <v>142857.0</v>
      </c>
      <c r="J25" s="24"/>
      <c r="K25" s="25" t="n">
        <f>16718153510</f>
        <v>1.671815351E10</v>
      </c>
      <c r="L25" s="23" t="s">
        <v>35</v>
      </c>
      <c r="M25" s="25" t="n">
        <f>31364851230</f>
        <v>3.136485123E10</v>
      </c>
      <c r="N25" s="23"/>
      <c r="O25" s="26" t="n">
        <f>48083004740</f>
        <v>4.808300474E10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14805</f>
        <v>14805.0</v>
      </c>
      <c r="U25" s="23"/>
      <c r="V25" s="25" t="n">
        <f>22075</f>
        <v>22075.0</v>
      </c>
      <c r="W25" s="23"/>
      <c r="X25" s="26" t="n">
        <f>36880</f>
        <v>36880.0</v>
      </c>
      <c r="Y25" s="24"/>
      <c r="Z25" s="25" t="n">
        <f>1096392</f>
        <v>1096392.0</v>
      </c>
      <c r="AA25" s="23"/>
      <c r="AB25" s="25" t="n">
        <f>616795</f>
        <v>616795.0</v>
      </c>
      <c r="AC25" s="23"/>
      <c r="AD25" s="26" t="n">
        <f>1713187</f>
        <v>1713187.0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69480</f>
        <v>69480.0</v>
      </c>
      <c r="F26" s="23"/>
      <c r="G26" s="25" t="n">
        <f>58373</f>
        <v>58373.0</v>
      </c>
      <c r="H26" s="23"/>
      <c r="I26" s="26" t="n">
        <f>127853</f>
        <v>127853.0</v>
      </c>
      <c r="J26" s="24"/>
      <c r="K26" s="25" t="n">
        <f>15628092500</f>
        <v>1.56280925E10</v>
      </c>
      <c r="L26" s="23"/>
      <c r="M26" s="25" t="n">
        <f>20500298690</f>
        <v>2.050029869E10</v>
      </c>
      <c r="N26" s="23"/>
      <c r="O26" s="26" t="n">
        <f>36128391190</f>
        <v>3.612839119E10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9050</f>
        <v>9050.0</v>
      </c>
      <c r="U26" s="23"/>
      <c r="V26" s="25" t="n">
        <f>21393</f>
        <v>21393.0</v>
      </c>
      <c r="W26" s="23"/>
      <c r="X26" s="26" t="n">
        <f>30443</f>
        <v>30443.0</v>
      </c>
      <c r="Y26" s="24"/>
      <c r="Z26" s="25" t="n">
        <f>1111848</f>
        <v>1111848.0</v>
      </c>
      <c r="AA26" s="23"/>
      <c r="AB26" s="25" t="n">
        <f>627135</f>
        <v>627135.0</v>
      </c>
      <c r="AC26" s="23"/>
      <c r="AD26" s="26" t="n">
        <f>1738983</f>
        <v>1738983.0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60193</f>
        <v>60193.0</v>
      </c>
      <c r="F27" s="23"/>
      <c r="G27" s="25" t="n">
        <f>44963</f>
        <v>44963.0</v>
      </c>
      <c r="H27" s="23"/>
      <c r="I27" s="26" t="n">
        <f>105156</f>
        <v>105156.0</v>
      </c>
      <c r="J27" s="24"/>
      <c r="K27" s="25" t="n">
        <f>18441809650</f>
        <v>1.844180965E10</v>
      </c>
      <c r="L27" s="23"/>
      <c r="M27" s="25" t="n">
        <f>17716469000</f>
        <v>1.7716469E10</v>
      </c>
      <c r="N27" s="23"/>
      <c r="O27" s="26" t="n">
        <f>36158278650</f>
        <v>3.615827865E10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10515</f>
        <v>10515.0</v>
      </c>
      <c r="U27" s="23"/>
      <c r="V27" s="25" t="n">
        <f>14706</f>
        <v>14706.0</v>
      </c>
      <c r="W27" s="23"/>
      <c r="X27" s="26" t="n">
        <f>25221</f>
        <v>25221.0</v>
      </c>
      <c r="Y27" s="24"/>
      <c r="Z27" s="25" t="n">
        <f>1129785</f>
        <v>1129785.0</v>
      </c>
      <c r="AA27" s="23"/>
      <c r="AB27" s="25" t="n">
        <f>633257</f>
        <v>633257.0</v>
      </c>
      <c r="AC27" s="23"/>
      <c r="AD27" s="26" t="n">
        <f>1763042</f>
        <v>1763042.0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46735</f>
        <v>46735.0</v>
      </c>
      <c r="F28" s="23"/>
      <c r="G28" s="25" t="n">
        <f>39563</f>
        <v>39563.0</v>
      </c>
      <c r="H28" s="23"/>
      <c r="I28" s="26" t="n">
        <f>86298</f>
        <v>86298.0</v>
      </c>
      <c r="J28" s="24"/>
      <c r="K28" s="25" t="n">
        <f>11203875300</f>
        <v>1.12038753E10</v>
      </c>
      <c r="L28" s="23"/>
      <c r="M28" s="25" t="n">
        <f>7255533000</f>
        <v>7.255533E9</v>
      </c>
      <c r="N28" s="23"/>
      <c r="O28" s="26" t="n">
        <f>18459408300</f>
        <v>1.84594083E10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 t="s">
        <v>30</v>
      </c>
      <c r="T28" s="25" t="n">
        <f>3730</f>
        <v>3730.0</v>
      </c>
      <c r="U28" s="23"/>
      <c r="V28" s="25" t="n">
        <f>7927</f>
        <v>7927.0</v>
      </c>
      <c r="W28" s="23" t="s">
        <v>30</v>
      </c>
      <c r="X28" s="26" t="n">
        <f>11657</f>
        <v>11657.0</v>
      </c>
      <c r="Y28" s="24"/>
      <c r="Z28" s="25" t="n">
        <f>1137162</f>
        <v>1137162.0</v>
      </c>
      <c r="AA28" s="23"/>
      <c r="AB28" s="25" t="n">
        <f>636716</f>
        <v>636716.0</v>
      </c>
      <c r="AC28" s="23"/>
      <c r="AD28" s="26" t="n">
        <f>1773878</f>
        <v>1773878.0</v>
      </c>
    </row>
    <row r="29">
      <c r="A29" s="30" t="s">
        <v>49</v>
      </c>
      <c r="B29" s="22" t="s">
        <v>27</v>
      </c>
      <c r="C29" s="22" t="s">
        <v>28</v>
      </c>
      <c r="D29" s="24" t="s">
        <v>30</v>
      </c>
      <c r="E29" s="25" t="n">
        <f>38330</f>
        <v>38330.0</v>
      </c>
      <c r="F29" s="23"/>
      <c r="G29" s="25" t="n">
        <f>28543</f>
        <v>28543.0</v>
      </c>
      <c r="H29" s="23" t="s">
        <v>30</v>
      </c>
      <c r="I29" s="26" t="n">
        <f>66873</f>
        <v>66873.0</v>
      </c>
      <c r="J29" s="24" t="s">
        <v>30</v>
      </c>
      <c r="K29" s="25" t="n">
        <f>7728061000</f>
        <v>7.728061E9</v>
      </c>
      <c r="L29" s="23" t="s">
        <v>30</v>
      </c>
      <c r="M29" s="25" t="n">
        <f>5421465000</f>
        <v>5.421465E9</v>
      </c>
      <c r="N29" s="23" t="s">
        <v>30</v>
      </c>
      <c r="O29" s="26" t="n">
        <f>13149526000</f>
        <v>1.3149526E10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6684</f>
        <v>6684.0</v>
      </c>
      <c r="U29" s="23"/>
      <c r="V29" s="25" t="n">
        <f>7880</f>
        <v>7880.0</v>
      </c>
      <c r="W29" s="23"/>
      <c r="X29" s="26" t="n">
        <f>14564</f>
        <v>14564.0</v>
      </c>
      <c r="Y29" s="24"/>
      <c r="Z29" s="25" t="n">
        <f>1144182</f>
        <v>1144182.0</v>
      </c>
      <c r="AA29" s="23"/>
      <c r="AB29" s="25" t="n">
        <f>640994</f>
        <v>640994.0</v>
      </c>
      <c r="AC29" s="23"/>
      <c r="AD29" s="26" t="n">
        <f>1785176</f>
        <v>1785176.0</v>
      </c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 t="n">
        <f>64061</f>
        <v>64061.0</v>
      </c>
      <c r="F33" s="23"/>
      <c r="G33" s="25" t="n">
        <f>53644</f>
        <v>53644.0</v>
      </c>
      <c r="H33" s="23"/>
      <c r="I33" s="26" t="n">
        <f>117705</f>
        <v>117705.0</v>
      </c>
      <c r="J33" s="24"/>
      <c r="K33" s="25" t="n">
        <f>9400946000</f>
        <v>9.400946E9</v>
      </c>
      <c r="L33" s="23"/>
      <c r="M33" s="25" t="n">
        <f>10907837500</f>
        <v>1.09078375E10</v>
      </c>
      <c r="N33" s="23"/>
      <c r="O33" s="26" t="n">
        <f>20308783500</f>
        <v>2.03087835E10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12021</f>
        <v>12021.0</v>
      </c>
      <c r="U33" s="23"/>
      <c r="V33" s="25" t="n">
        <f>13101</f>
        <v>13101.0</v>
      </c>
      <c r="W33" s="23"/>
      <c r="X33" s="26" t="n">
        <f>25122</f>
        <v>25122.0</v>
      </c>
      <c r="Y33" s="24"/>
      <c r="Z33" s="25" t="n">
        <f>1149208</f>
        <v>1149208.0</v>
      </c>
      <c r="AA33" s="23"/>
      <c r="AB33" s="25" t="n">
        <f>645955</f>
        <v>645955.0</v>
      </c>
      <c r="AC33" s="23"/>
      <c r="AD33" s="26" t="n">
        <f>1795163</f>
        <v>1795163.0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96216</f>
        <v>96216.0</v>
      </c>
      <c r="F34" s="23"/>
      <c r="G34" s="25" t="n">
        <f>96814</f>
        <v>96814.0</v>
      </c>
      <c r="H34" s="23"/>
      <c r="I34" s="26" t="n">
        <f>193030</f>
        <v>193030.0</v>
      </c>
      <c r="J34" s="24" t="s">
        <v>35</v>
      </c>
      <c r="K34" s="25" t="n">
        <f>24824255418</f>
        <v>2.4824255418E10</v>
      </c>
      <c r="L34" s="23"/>
      <c r="M34" s="25" t="n">
        <f>30978263200</f>
        <v>3.09782632E10</v>
      </c>
      <c r="N34" s="23" t="s">
        <v>35</v>
      </c>
      <c r="O34" s="26" t="n">
        <f>55802518618</f>
        <v>5.5802518618E10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14826</f>
        <v>14826.0</v>
      </c>
      <c r="U34" s="23"/>
      <c r="V34" s="25" t="n">
        <f>25900</f>
        <v>25900.0</v>
      </c>
      <c r="W34" s="23"/>
      <c r="X34" s="26" t="n">
        <f>40726</f>
        <v>40726.0</v>
      </c>
      <c r="Y34" s="24"/>
      <c r="Z34" s="25" t="n">
        <f>1166433</f>
        <v>1166433.0</v>
      </c>
      <c r="AA34" s="23"/>
      <c r="AB34" s="25" t="n">
        <f>660410</f>
        <v>660410.0</v>
      </c>
      <c r="AC34" s="23"/>
      <c r="AD34" s="26" t="n">
        <f>1826843</f>
        <v>1826843.0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66229</f>
        <v>66229.0</v>
      </c>
      <c r="F35" s="23"/>
      <c r="G35" s="25" t="n">
        <f>47322</f>
        <v>47322.0</v>
      </c>
      <c r="H35" s="23"/>
      <c r="I35" s="26" t="n">
        <f>113551</f>
        <v>113551.0</v>
      </c>
      <c r="J35" s="24"/>
      <c r="K35" s="25" t="n">
        <f>15134848200</f>
        <v>1.51348482E10</v>
      </c>
      <c r="L35" s="23"/>
      <c r="M35" s="25" t="n">
        <f>9597665800</f>
        <v>9.5976658E9</v>
      </c>
      <c r="N35" s="23"/>
      <c r="O35" s="26" t="n">
        <f>24732514000</f>
        <v>2.4732514E10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8303</f>
        <v>8303.0</v>
      </c>
      <c r="U35" s="23"/>
      <c r="V35" s="25" t="n">
        <f>5203</f>
        <v>5203.0</v>
      </c>
      <c r="W35" s="23"/>
      <c r="X35" s="26" t="n">
        <f>13506</f>
        <v>13506.0</v>
      </c>
      <c r="Y35" s="24"/>
      <c r="Z35" s="25" t="n">
        <f>1175948</f>
        <v>1175948.0</v>
      </c>
      <c r="AA35" s="23"/>
      <c r="AB35" s="25" t="n">
        <f>663885</f>
        <v>663885.0</v>
      </c>
      <c r="AC35" s="23"/>
      <c r="AD35" s="26" t="n">
        <f>1839833</f>
        <v>1839833.0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53229</f>
        <v>53229.0</v>
      </c>
      <c r="F36" s="23"/>
      <c r="G36" s="25" t="n">
        <f>48879</f>
        <v>48879.0</v>
      </c>
      <c r="H36" s="23"/>
      <c r="I36" s="26" t="n">
        <f>102108</f>
        <v>102108.0</v>
      </c>
      <c r="J36" s="24"/>
      <c r="K36" s="25" t="n">
        <f>12327437400</f>
        <v>1.23274374E10</v>
      </c>
      <c r="L36" s="23"/>
      <c r="M36" s="25" t="n">
        <f>11512955200</f>
        <v>1.15129552E10</v>
      </c>
      <c r="N36" s="23"/>
      <c r="O36" s="26" t="n">
        <f>23840392600</f>
        <v>2.38403926E10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6182</f>
        <v>6182.0</v>
      </c>
      <c r="U36" s="23"/>
      <c r="V36" s="25" t="n">
        <f>7375</f>
        <v>7375.0</v>
      </c>
      <c r="W36" s="23"/>
      <c r="X36" s="26" t="n">
        <f>13557</f>
        <v>13557.0</v>
      </c>
      <c r="Y36" s="24"/>
      <c r="Z36" s="25" t="n">
        <f>1185478</f>
        <v>1185478.0</v>
      </c>
      <c r="AA36" s="23"/>
      <c r="AB36" s="25" t="n">
        <f>671936</f>
        <v>671936.0</v>
      </c>
      <c r="AC36" s="23"/>
      <c r="AD36" s="26" t="n">
        <f>1857414</f>
        <v>1857414.0</v>
      </c>
    </row>
    <row r="37">
      <c r="A37" s="30" t="s">
        <v>57</v>
      </c>
      <c r="B37" s="22" t="s">
        <v>27</v>
      </c>
      <c r="C37" s="22" t="s">
        <v>28</v>
      </c>
      <c r="D37" s="24"/>
      <c r="E37" s="25"/>
      <c r="F37" s="23"/>
      <c r="G37" s="25"/>
      <c r="H37" s="23"/>
      <c r="I37" s="26"/>
      <c r="J37" s="24"/>
      <c r="K37" s="25"/>
      <c r="L37" s="23"/>
      <c r="M37" s="25"/>
      <c r="N37" s="23"/>
      <c r="O37" s="26"/>
      <c r="P37" s="27"/>
      <c r="Q37" s="28"/>
      <c r="R37" s="29"/>
      <c r="S37" s="24"/>
      <c r="T37" s="25"/>
      <c r="U37" s="23"/>
      <c r="V37" s="25"/>
      <c r="W37" s="23"/>
      <c r="X37" s="26"/>
      <c r="Y37" s="24"/>
      <c r="Z37" s="25"/>
      <c r="AA37" s="23"/>
      <c r="AB37" s="25"/>
      <c r="AC37" s="23"/>
      <c r="AD37" s="26"/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/>
      <c r="E39" s="25" t="n">
        <f>68554</f>
        <v>68554.0</v>
      </c>
      <c r="F39" s="23"/>
      <c r="G39" s="25" t="n">
        <f>67042</f>
        <v>67042.0</v>
      </c>
      <c r="H39" s="23"/>
      <c r="I39" s="26" t="n">
        <f>135596</f>
        <v>135596.0</v>
      </c>
      <c r="J39" s="24"/>
      <c r="K39" s="25" t="n">
        <f>12659818200</f>
        <v>1.26598182E10</v>
      </c>
      <c r="L39" s="23"/>
      <c r="M39" s="25" t="n">
        <f>17657930700</f>
        <v>1.76579307E10</v>
      </c>
      <c r="N39" s="23"/>
      <c r="O39" s="26" t="n">
        <f>30317748900</f>
        <v>3.03177489E10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10729</f>
        <v>10729.0</v>
      </c>
      <c r="U39" s="23"/>
      <c r="V39" s="25" t="n">
        <f>8254</f>
        <v>8254.0</v>
      </c>
      <c r="W39" s="23"/>
      <c r="X39" s="26" t="n">
        <f>18983</f>
        <v>18983.0</v>
      </c>
      <c r="Y39" s="24"/>
      <c r="Z39" s="25" t="n">
        <f>1198464</f>
        <v>1198464.0</v>
      </c>
      <c r="AA39" s="23" t="s">
        <v>35</v>
      </c>
      <c r="AB39" s="25" t="n">
        <f>680021</f>
        <v>680021.0</v>
      </c>
      <c r="AC39" s="23" t="s">
        <v>35</v>
      </c>
      <c r="AD39" s="26" t="n">
        <f>1878485</f>
        <v>1878485.0</v>
      </c>
    </row>
    <row r="40">
      <c r="A40" s="30" t="s">
        <v>26</v>
      </c>
      <c r="B40" s="22" t="s">
        <v>60</v>
      </c>
      <c r="C40" s="22" t="s">
        <v>61</v>
      </c>
      <c r="D40" s="24"/>
      <c r="E40" s="25"/>
      <c r="F40" s="23"/>
      <c r="G40" s="25"/>
      <c r="H40" s="23"/>
      <c r="I40" s="26"/>
      <c r="J40" s="24"/>
      <c r="K40" s="25"/>
      <c r="L40" s="23"/>
      <c r="M40" s="25"/>
      <c r="N40" s="23"/>
      <c r="O40" s="26"/>
      <c r="P40" s="27"/>
      <c r="Q40" s="28"/>
      <c r="R40" s="29"/>
      <c r="S40" s="24"/>
      <c r="T40" s="25"/>
      <c r="U40" s="23"/>
      <c r="V40" s="25"/>
      <c r="W40" s="23"/>
      <c r="X40" s="26"/>
      <c r="Y40" s="24"/>
      <c r="Z40" s="25"/>
      <c r="AA40" s="23"/>
      <c r="AB40" s="25"/>
      <c r="AC40" s="23"/>
      <c r="AD40" s="26"/>
    </row>
    <row r="41">
      <c r="A41" s="30" t="s">
        <v>29</v>
      </c>
      <c r="B41" s="22" t="s">
        <v>60</v>
      </c>
      <c r="C41" s="22" t="s">
        <v>61</v>
      </c>
      <c r="D41" s="24"/>
      <c r="E41" s="25" t="n">
        <f>1218</f>
        <v>1218.0</v>
      </c>
      <c r="F41" s="23"/>
      <c r="G41" s="25" t="n">
        <f>933</f>
        <v>933.0</v>
      </c>
      <c r="H41" s="23"/>
      <c r="I41" s="26" t="n">
        <f>2151</f>
        <v>2151.0</v>
      </c>
      <c r="J41" s="24" t="s">
        <v>35</v>
      </c>
      <c r="K41" s="25" t="n">
        <f>207762000</f>
        <v>2.07762E8</v>
      </c>
      <c r="L41" s="23"/>
      <c r="M41" s="25" t="n">
        <f>62223000</f>
        <v>6.2223E7</v>
      </c>
      <c r="N41" s="23"/>
      <c r="O41" s="26" t="n">
        <f>269985000</f>
        <v>2.69985E8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411</f>
        <v>411.0</v>
      </c>
      <c r="U41" s="23"/>
      <c r="V41" s="25" t="n">
        <f>111</f>
        <v>111.0</v>
      </c>
      <c r="W41" s="23"/>
      <c r="X41" s="26" t="n">
        <f>522</f>
        <v>522.0</v>
      </c>
      <c r="Y41" s="24"/>
      <c r="Z41" s="25" t="n">
        <f>2973</f>
        <v>2973.0</v>
      </c>
      <c r="AA41" s="23"/>
      <c r="AB41" s="25" t="n">
        <f>2772</f>
        <v>2772.0</v>
      </c>
      <c r="AC41" s="23"/>
      <c r="AD41" s="26" t="n">
        <f>5745</f>
        <v>5745.0</v>
      </c>
    </row>
    <row r="42">
      <c r="A42" s="30" t="s">
        <v>31</v>
      </c>
      <c r="B42" s="22" t="s">
        <v>60</v>
      </c>
      <c r="C42" s="22" t="s">
        <v>61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32</v>
      </c>
      <c r="B43" s="22" t="s">
        <v>60</v>
      </c>
      <c r="C43" s="22" t="s">
        <v>61</v>
      </c>
      <c r="D43" s="24"/>
      <c r="E43" s="25" t="n">
        <f>2208</f>
        <v>2208.0</v>
      </c>
      <c r="F43" s="23"/>
      <c r="G43" s="25" t="n">
        <f>1133</f>
        <v>1133.0</v>
      </c>
      <c r="H43" s="23"/>
      <c r="I43" s="26" t="n">
        <f>3341</f>
        <v>3341.0</v>
      </c>
      <c r="J43" s="24"/>
      <c r="K43" s="25" t="n">
        <f>109606000</f>
        <v>1.09606E8</v>
      </c>
      <c r="L43" s="23"/>
      <c r="M43" s="25" t="n">
        <f>156518000</f>
        <v>1.56518E8</v>
      </c>
      <c r="N43" s="23"/>
      <c r="O43" s="26" t="n">
        <f>266124000</f>
        <v>2.66124E8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43</f>
        <v>43.0</v>
      </c>
      <c r="U43" s="23"/>
      <c r="V43" s="25" t="n">
        <f>76</f>
        <v>76.0</v>
      </c>
      <c r="W43" s="23"/>
      <c r="X43" s="26" t="n">
        <f>119</f>
        <v>119.0</v>
      </c>
      <c r="Y43" s="24"/>
      <c r="Z43" s="25" t="n">
        <f>3860</f>
        <v>3860.0</v>
      </c>
      <c r="AA43" s="23"/>
      <c r="AB43" s="25" t="n">
        <f>3389</f>
        <v>3389.0</v>
      </c>
      <c r="AC43" s="23"/>
      <c r="AD43" s="26" t="n">
        <f>7249</f>
        <v>7249.0</v>
      </c>
    </row>
    <row r="44">
      <c r="A44" s="30" t="s">
        <v>33</v>
      </c>
      <c r="B44" s="22" t="s">
        <v>60</v>
      </c>
      <c r="C44" s="22" t="s">
        <v>61</v>
      </c>
      <c r="D44" s="24" t="s">
        <v>35</v>
      </c>
      <c r="E44" s="25" t="n">
        <f>4630</f>
        <v>4630.0</v>
      </c>
      <c r="F44" s="23"/>
      <c r="G44" s="25" t="n">
        <f>1712</f>
        <v>1712.0</v>
      </c>
      <c r="H44" s="23" t="s">
        <v>35</v>
      </c>
      <c r="I44" s="26" t="n">
        <f>6342</f>
        <v>6342.0</v>
      </c>
      <c r="J44" s="24"/>
      <c r="K44" s="25" t="n">
        <f>179090000</f>
        <v>1.7909E8</v>
      </c>
      <c r="L44" s="23"/>
      <c r="M44" s="25" t="n">
        <f>104747000</f>
        <v>1.04747E8</v>
      </c>
      <c r="N44" s="23"/>
      <c r="O44" s="26" t="n">
        <f>283837000</f>
        <v>2.83837E8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 t="s">
        <v>35</v>
      </c>
      <c r="T44" s="25" t="n">
        <f>682</f>
        <v>682.0</v>
      </c>
      <c r="U44" s="23"/>
      <c r="V44" s="25" t="n">
        <f>157</f>
        <v>157.0</v>
      </c>
      <c r="W44" s="23"/>
      <c r="X44" s="26" t="n">
        <f>839</f>
        <v>839.0</v>
      </c>
      <c r="Y44" s="24"/>
      <c r="Z44" s="25" t="n">
        <f>6110</f>
        <v>6110.0</v>
      </c>
      <c r="AA44" s="23" t="s">
        <v>35</v>
      </c>
      <c r="AB44" s="25" t="n">
        <f>3673</f>
        <v>3673.0</v>
      </c>
      <c r="AC44" s="23"/>
      <c r="AD44" s="26" t="n">
        <f>9783</f>
        <v>9783.0</v>
      </c>
    </row>
    <row r="45">
      <c r="A45" s="30" t="s">
        <v>34</v>
      </c>
      <c r="B45" s="22" t="s">
        <v>60</v>
      </c>
      <c r="C45" s="22" t="s">
        <v>61</v>
      </c>
      <c r="D45" s="24" t="s">
        <v>30</v>
      </c>
      <c r="E45" s="25" t="n">
        <f>73</f>
        <v>73.0</v>
      </c>
      <c r="F45" s="23"/>
      <c r="G45" s="25" t="n">
        <f>297</f>
        <v>297.0</v>
      </c>
      <c r="H45" s="23"/>
      <c r="I45" s="26" t="n">
        <f>370</f>
        <v>370.0</v>
      </c>
      <c r="J45" s="24"/>
      <c r="K45" s="25" t="n">
        <f>34821000</f>
        <v>3.4821E7</v>
      </c>
      <c r="L45" s="23"/>
      <c r="M45" s="25" t="n">
        <f>124385400</f>
        <v>1.243854E8</v>
      </c>
      <c r="N45" s="23"/>
      <c r="O45" s="26" t="n">
        <f>159206400</f>
        <v>1.592064E8</v>
      </c>
      <c r="P45" s="27" t="n">
        <f>111</f>
        <v>111.0</v>
      </c>
      <c r="Q45" s="28" t="n">
        <f>2167</f>
        <v>2167.0</v>
      </c>
      <c r="R45" s="29" t="n">
        <f>2278</f>
        <v>2278.0</v>
      </c>
      <c r="S45" s="24"/>
      <c r="T45" s="25" t="n">
        <f>60</f>
        <v>60.0</v>
      </c>
      <c r="U45" s="23"/>
      <c r="V45" s="25" t="n">
        <f>290</f>
        <v>290.0</v>
      </c>
      <c r="W45" s="23"/>
      <c r="X45" s="26" t="n">
        <f>350</f>
        <v>350.0</v>
      </c>
      <c r="Y45" s="24" t="s">
        <v>30</v>
      </c>
      <c r="Z45" s="25" t="n">
        <f>137</f>
        <v>137.0</v>
      </c>
      <c r="AA45" s="23" t="s">
        <v>30</v>
      </c>
      <c r="AB45" s="25" t="n">
        <f>868</f>
        <v>868.0</v>
      </c>
      <c r="AC45" s="23" t="s">
        <v>30</v>
      </c>
      <c r="AD45" s="26" t="n">
        <f>1005</f>
        <v>1005.0</v>
      </c>
    </row>
    <row r="46">
      <c r="A46" s="30" t="s">
        <v>36</v>
      </c>
      <c r="B46" s="22" t="s">
        <v>60</v>
      </c>
      <c r="C46" s="22" t="s">
        <v>61</v>
      </c>
      <c r="D46" s="24"/>
      <c r="E46" s="25"/>
      <c r="F46" s="23"/>
      <c r="G46" s="25"/>
      <c r="H46" s="23"/>
      <c r="I46" s="26"/>
      <c r="J46" s="24"/>
      <c r="K46" s="25"/>
      <c r="L46" s="23"/>
      <c r="M46" s="25"/>
      <c r="N46" s="23"/>
      <c r="O46" s="26"/>
      <c r="P46" s="27"/>
      <c r="Q46" s="28"/>
      <c r="R46" s="29"/>
      <c r="S46" s="24"/>
      <c r="T46" s="25"/>
      <c r="U46" s="23"/>
      <c r="V46" s="25"/>
      <c r="W46" s="23"/>
      <c r="X46" s="26"/>
      <c r="Y46" s="24"/>
      <c r="Z46" s="25"/>
      <c r="AA46" s="23"/>
      <c r="AB46" s="25"/>
      <c r="AC46" s="23"/>
      <c r="AD46" s="26"/>
    </row>
    <row r="47">
      <c r="A47" s="30" t="s">
        <v>37</v>
      </c>
      <c r="B47" s="22" t="s">
        <v>60</v>
      </c>
      <c r="C47" s="22" t="s">
        <v>61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>
      <c r="A48" s="30" t="s">
        <v>38</v>
      </c>
      <c r="B48" s="22" t="s">
        <v>60</v>
      </c>
      <c r="C48" s="22" t="s">
        <v>61</v>
      </c>
      <c r="D48" s="24"/>
      <c r="E48" s="25" t="n">
        <f>532</f>
        <v>532.0</v>
      </c>
      <c r="F48" s="23"/>
      <c r="G48" s="25" t="n">
        <f>29</f>
        <v>29.0</v>
      </c>
      <c r="H48" s="23"/>
      <c r="I48" s="26" t="n">
        <f>561</f>
        <v>561.0</v>
      </c>
      <c r="J48" s="24"/>
      <c r="K48" s="25" t="n">
        <f>82650000</f>
        <v>8.265E7</v>
      </c>
      <c r="L48" s="23"/>
      <c r="M48" s="25" t="n">
        <f>5245000</f>
        <v>5245000.0</v>
      </c>
      <c r="N48" s="23"/>
      <c r="O48" s="26" t="n">
        <f>87895000</f>
        <v>8.7895E7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11</f>
        <v>11.0</v>
      </c>
      <c r="U48" s="23"/>
      <c r="V48" s="25" t="n">
        <f>1</f>
        <v>1.0</v>
      </c>
      <c r="W48" s="23"/>
      <c r="X48" s="26" t="n">
        <f>12</f>
        <v>12.0</v>
      </c>
      <c r="Y48" s="24"/>
      <c r="Z48" s="25" t="n">
        <f>653</f>
        <v>653.0</v>
      </c>
      <c r="AA48" s="23"/>
      <c r="AB48" s="25" t="n">
        <f>880</f>
        <v>880.0</v>
      </c>
      <c r="AC48" s="23"/>
      <c r="AD48" s="26" t="n">
        <f>1533</f>
        <v>1533.0</v>
      </c>
    </row>
    <row r="49">
      <c r="A49" s="30" t="s">
        <v>39</v>
      </c>
      <c r="B49" s="22" t="s">
        <v>60</v>
      </c>
      <c r="C49" s="22" t="s">
        <v>61</v>
      </c>
      <c r="D49" s="24"/>
      <c r="E49" s="25" t="n">
        <f>91</f>
        <v>91.0</v>
      </c>
      <c r="F49" s="23" t="s">
        <v>30</v>
      </c>
      <c r="G49" s="25" t="n">
        <f>14</f>
        <v>14.0</v>
      </c>
      <c r="H49" s="23" t="s">
        <v>30</v>
      </c>
      <c r="I49" s="26" t="n">
        <f>105</f>
        <v>105.0</v>
      </c>
      <c r="J49" s="24" t="s">
        <v>30</v>
      </c>
      <c r="K49" s="25" t="n">
        <f>9094000</f>
        <v>9094000.0</v>
      </c>
      <c r="L49" s="23" t="s">
        <v>30</v>
      </c>
      <c r="M49" s="25" t="n">
        <f>3592000</f>
        <v>3592000.0</v>
      </c>
      <c r="N49" s="23" t="s">
        <v>30</v>
      </c>
      <c r="O49" s="26" t="n">
        <f>12686000</f>
        <v>1.2686E7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1</f>
        <v>1.0</v>
      </c>
      <c r="U49" s="23" t="s">
        <v>30</v>
      </c>
      <c r="V49" s="25" t="str">
        <f>"－"</f>
        <v>－</v>
      </c>
      <c r="W49" s="23"/>
      <c r="X49" s="26" t="n">
        <f>1</f>
        <v>1.0</v>
      </c>
      <c r="Y49" s="24"/>
      <c r="Z49" s="25" t="n">
        <f>684</f>
        <v>684.0</v>
      </c>
      <c r="AA49" s="23"/>
      <c r="AB49" s="25" t="n">
        <f>888</f>
        <v>888.0</v>
      </c>
      <c r="AC49" s="23"/>
      <c r="AD49" s="26" t="n">
        <f>1572</f>
        <v>1572.0</v>
      </c>
    </row>
    <row r="50">
      <c r="A50" s="30" t="s">
        <v>40</v>
      </c>
      <c r="B50" s="22" t="s">
        <v>60</v>
      </c>
      <c r="C50" s="22" t="s">
        <v>61</v>
      </c>
      <c r="D50" s="24"/>
      <c r="E50" s="25" t="n">
        <f>98</f>
        <v>98.0</v>
      </c>
      <c r="F50" s="23"/>
      <c r="G50" s="25" t="n">
        <f>26</f>
        <v>26.0</v>
      </c>
      <c r="H50" s="23"/>
      <c r="I50" s="26" t="n">
        <f>124</f>
        <v>124.0</v>
      </c>
      <c r="J50" s="24"/>
      <c r="K50" s="25" t="n">
        <f>11207000</f>
        <v>1.1207E7</v>
      </c>
      <c r="L50" s="23"/>
      <c r="M50" s="25" t="n">
        <f>7165000</f>
        <v>7165000.0</v>
      </c>
      <c r="N50" s="23"/>
      <c r="O50" s="26" t="n">
        <f>18372000</f>
        <v>1.8372E7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 t="s">
        <v>30</v>
      </c>
      <c r="T50" s="25" t="str">
        <f>"－"</f>
        <v>－</v>
      </c>
      <c r="U50" s="23"/>
      <c r="V50" s="25" t="str">
        <f>"－"</f>
        <v>－</v>
      </c>
      <c r="W50" s="23" t="s">
        <v>30</v>
      </c>
      <c r="X50" s="26" t="str">
        <f>"－"</f>
        <v>－</v>
      </c>
      <c r="Y50" s="24"/>
      <c r="Z50" s="25" t="n">
        <f>741</f>
        <v>741.0</v>
      </c>
      <c r="AA50" s="23"/>
      <c r="AB50" s="25" t="n">
        <f>893</f>
        <v>893.0</v>
      </c>
      <c r="AC50" s="23"/>
      <c r="AD50" s="26" t="n">
        <f>1634</f>
        <v>1634.0</v>
      </c>
    </row>
    <row r="51">
      <c r="A51" s="30" t="s">
        <v>41</v>
      </c>
      <c r="B51" s="22" t="s">
        <v>60</v>
      </c>
      <c r="C51" s="22" t="s">
        <v>61</v>
      </c>
      <c r="D51" s="24"/>
      <c r="E51" s="25" t="n">
        <f>812</f>
        <v>812.0</v>
      </c>
      <c r="F51" s="23"/>
      <c r="G51" s="25" t="n">
        <f>221</f>
        <v>221.0</v>
      </c>
      <c r="H51" s="23"/>
      <c r="I51" s="26" t="n">
        <f>1033</f>
        <v>1033.0</v>
      </c>
      <c r="J51" s="24"/>
      <c r="K51" s="25" t="n">
        <f>84353000</f>
        <v>8.4353E7</v>
      </c>
      <c r="L51" s="23"/>
      <c r="M51" s="25" t="n">
        <f>24677000</f>
        <v>2.4677E7</v>
      </c>
      <c r="N51" s="23"/>
      <c r="O51" s="26" t="n">
        <f>109030000</f>
        <v>1.0903E8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330</f>
        <v>330.0</v>
      </c>
      <c r="U51" s="23"/>
      <c r="V51" s="25" t="n">
        <f>72</f>
        <v>72.0</v>
      </c>
      <c r="W51" s="23"/>
      <c r="X51" s="26" t="n">
        <f>402</f>
        <v>402.0</v>
      </c>
      <c r="Y51" s="24"/>
      <c r="Z51" s="25" t="n">
        <f>1427</f>
        <v>1427.0</v>
      </c>
      <c r="AA51" s="23"/>
      <c r="AB51" s="25" t="n">
        <f>1078</f>
        <v>1078.0</v>
      </c>
      <c r="AC51" s="23"/>
      <c r="AD51" s="26" t="n">
        <f>2505</f>
        <v>2505.0</v>
      </c>
    </row>
    <row r="52">
      <c r="A52" s="30" t="s">
        <v>42</v>
      </c>
      <c r="B52" s="22" t="s">
        <v>60</v>
      </c>
      <c r="C52" s="22" t="s">
        <v>61</v>
      </c>
      <c r="D52" s="24"/>
      <c r="E52" s="25" t="n">
        <f>930</f>
        <v>930.0</v>
      </c>
      <c r="F52" s="23"/>
      <c r="G52" s="25" t="n">
        <f>423</f>
        <v>423.0</v>
      </c>
      <c r="H52" s="23"/>
      <c r="I52" s="26" t="n">
        <f>1353</f>
        <v>1353.0</v>
      </c>
      <c r="J52" s="24"/>
      <c r="K52" s="25" t="n">
        <f>53277000</f>
        <v>5.3277E7</v>
      </c>
      <c r="L52" s="23"/>
      <c r="M52" s="25" t="n">
        <f>36453000</f>
        <v>3.6453E7</v>
      </c>
      <c r="N52" s="23"/>
      <c r="O52" s="26" t="n">
        <f>89730000</f>
        <v>8.973E7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84</f>
        <v>84.0</v>
      </c>
      <c r="U52" s="23"/>
      <c r="V52" s="25" t="n">
        <f>37</f>
        <v>37.0</v>
      </c>
      <c r="W52" s="23"/>
      <c r="X52" s="26" t="n">
        <f>121</f>
        <v>121.0</v>
      </c>
      <c r="Y52" s="24"/>
      <c r="Z52" s="25" t="n">
        <f>2064</f>
        <v>2064.0</v>
      </c>
      <c r="AA52" s="23"/>
      <c r="AB52" s="25" t="n">
        <f>1362</f>
        <v>1362.0</v>
      </c>
      <c r="AC52" s="23"/>
      <c r="AD52" s="26" t="n">
        <f>3426</f>
        <v>3426.0</v>
      </c>
    </row>
    <row r="53">
      <c r="A53" s="30" t="s">
        <v>43</v>
      </c>
      <c r="B53" s="22" t="s">
        <v>60</v>
      </c>
      <c r="C53" s="22" t="s">
        <v>61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>
      <c r="A54" s="30" t="s">
        <v>44</v>
      </c>
      <c r="B54" s="22" t="s">
        <v>60</v>
      </c>
      <c r="C54" s="22" t="s">
        <v>61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>
      <c r="A55" s="30" t="s">
        <v>45</v>
      </c>
      <c r="B55" s="22" t="s">
        <v>60</v>
      </c>
      <c r="C55" s="22" t="s">
        <v>61</v>
      </c>
      <c r="D55" s="24"/>
      <c r="E55" s="25" t="n">
        <f>3279</f>
        <v>3279.0</v>
      </c>
      <c r="F55" s="23"/>
      <c r="G55" s="25" t="n">
        <f>1316</f>
        <v>1316.0</v>
      </c>
      <c r="H55" s="23"/>
      <c r="I55" s="26" t="n">
        <f>4595</f>
        <v>4595.0</v>
      </c>
      <c r="J55" s="24"/>
      <c r="K55" s="25" t="n">
        <f>89968000</f>
        <v>8.9968E7</v>
      </c>
      <c r="L55" s="23"/>
      <c r="M55" s="25" t="n">
        <f>112251000</f>
        <v>1.12251E8</v>
      </c>
      <c r="N55" s="23"/>
      <c r="O55" s="26" t="n">
        <f>202219000</f>
        <v>2.02219E8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145</f>
        <v>145.0</v>
      </c>
      <c r="U55" s="23"/>
      <c r="V55" s="25" t="n">
        <f>211</f>
        <v>211.0</v>
      </c>
      <c r="W55" s="23"/>
      <c r="X55" s="26" t="n">
        <f>356</f>
        <v>356.0</v>
      </c>
      <c r="Y55" s="24"/>
      <c r="Z55" s="25" t="n">
        <f>4288</f>
        <v>4288.0</v>
      </c>
      <c r="AA55" s="23"/>
      <c r="AB55" s="25" t="n">
        <f>1782</f>
        <v>1782.0</v>
      </c>
      <c r="AC55" s="23"/>
      <c r="AD55" s="26" t="n">
        <f>6070</f>
        <v>6070.0</v>
      </c>
    </row>
    <row r="56">
      <c r="A56" s="30" t="s">
        <v>46</v>
      </c>
      <c r="B56" s="22" t="s">
        <v>60</v>
      </c>
      <c r="C56" s="22" t="s">
        <v>61</v>
      </c>
      <c r="D56" s="24"/>
      <c r="E56" s="25" t="n">
        <f>2149</f>
        <v>2149.0</v>
      </c>
      <c r="F56" s="23"/>
      <c r="G56" s="25" t="n">
        <f>1007</f>
        <v>1007.0</v>
      </c>
      <c r="H56" s="23"/>
      <c r="I56" s="26" t="n">
        <f>3156</f>
        <v>3156.0</v>
      </c>
      <c r="J56" s="24"/>
      <c r="K56" s="25" t="n">
        <f>86047000</f>
        <v>8.6047E7</v>
      </c>
      <c r="L56" s="23"/>
      <c r="M56" s="25" t="n">
        <f>98043000</f>
        <v>9.8043E7</v>
      </c>
      <c r="N56" s="23"/>
      <c r="O56" s="26" t="n">
        <f>184090000</f>
        <v>1.8409E8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566</f>
        <v>566.0</v>
      </c>
      <c r="U56" s="23"/>
      <c r="V56" s="25" t="n">
        <f>122</f>
        <v>122.0</v>
      </c>
      <c r="W56" s="23"/>
      <c r="X56" s="26" t="n">
        <f>688</f>
        <v>688.0</v>
      </c>
      <c r="Y56" s="24"/>
      <c r="Z56" s="25" t="n">
        <f>5034</f>
        <v>5034.0</v>
      </c>
      <c r="AA56" s="23"/>
      <c r="AB56" s="25" t="n">
        <f>2097</f>
        <v>2097.0</v>
      </c>
      <c r="AC56" s="23"/>
      <c r="AD56" s="26" t="n">
        <f>7131</f>
        <v>7131.0</v>
      </c>
    </row>
    <row r="57">
      <c r="A57" s="30" t="s">
        <v>47</v>
      </c>
      <c r="B57" s="22" t="s">
        <v>60</v>
      </c>
      <c r="C57" s="22" t="s">
        <v>61</v>
      </c>
      <c r="D57" s="24"/>
      <c r="E57" s="25" t="n">
        <f>1582</f>
        <v>1582.0</v>
      </c>
      <c r="F57" s="23"/>
      <c r="G57" s="25" t="n">
        <f>1196</f>
        <v>1196.0</v>
      </c>
      <c r="H57" s="23"/>
      <c r="I57" s="26" t="n">
        <f>2778</f>
        <v>2778.0</v>
      </c>
      <c r="J57" s="24"/>
      <c r="K57" s="25" t="n">
        <f>49893000</f>
        <v>4.9893E7</v>
      </c>
      <c r="L57" s="23"/>
      <c r="M57" s="25" t="n">
        <f>40461000</f>
        <v>4.0461E7</v>
      </c>
      <c r="N57" s="23"/>
      <c r="O57" s="26" t="n">
        <f>90354000</f>
        <v>9.0354E7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124</f>
        <v>124.0</v>
      </c>
      <c r="U57" s="23"/>
      <c r="V57" s="25" t="n">
        <f>97</f>
        <v>97.0</v>
      </c>
      <c r="W57" s="23"/>
      <c r="X57" s="26" t="n">
        <f>221</f>
        <v>221.0</v>
      </c>
      <c r="Y57" s="24"/>
      <c r="Z57" s="25" t="n">
        <f>5588</f>
        <v>5588.0</v>
      </c>
      <c r="AA57" s="23"/>
      <c r="AB57" s="25" t="n">
        <f>2525</f>
        <v>2525.0</v>
      </c>
      <c r="AC57" s="23"/>
      <c r="AD57" s="26" t="n">
        <f>8113</f>
        <v>8113.0</v>
      </c>
    </row>
    <row r="58">
      <c r="A58" s="30" t="s">
        <v>48</v>
      </c>
      <c r="B58" s="22" t="s">
        <v>60</v>
      </c>
      <c r="C58" s="22" t="s">
        <v>61</v>
      </c>
      <c r="D58" s="24"/>
      <c r="E58" s="25" t="n">
        <f>3287</f>
        <v>3287.0</v>
      </c>
      <c r="F58" s="23" t="s">
        <v>35</v>
      </c>
      <c r="G58" s="25" t="n">
        <f>2680</f>
        <v>2680.0</v>
      </c>
      <c r="H58" s="23"/>
      <c r="I58" s="26" t="n">
        <f>5967</f>
        <v>5967.0</v>
      </c>
      <c r="J58" s="24"/>
      <c r="K58" s="25" t="n">
        <f>136073000</f>
        <v>1.36073E8</v>
      </c>
      <c r="L58" s="23" t="s">
        <v>35</v>
      </c>
      <c r="M58" s="25" t="n">
        <f>503692129</f>
        <v>5.03692129E8</v>
      </c>
      <c r="N58" s="23" t="s">
        <v>35</v>
      </c>
      <c r="O58" s="26" t="n">
        <f>639765129</f>
        <v>6.39765129E8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501</f>
        <v>501.0</v>
      </c>
      <c r="U58" s="23" t="s">
        <v>35</v>
      </c>
      <c r="V58" s="25" t="n">
        <f>590</f>
        <v>590.0</v>
      </c>
      <c r="W58" s="23" t="s">
        <v>35</v>
      </c>
      <c r="X58" s="26" t="n">
        <f>1091</f>
        <v>1091.0</v>
      </c>
      <c r="Y58" s="24" t="s">
        <v>35</v>
      </c>
      <c r="Z58" s="25" t="n">
        <f>6519</f>
        <v>6519.0</v>
      </c>
      <c r="AA58" s="23"/>
      <c r="AB58" s="25" t="n">
        <f>3367</f>
        <v>3367.0</v>
      </c>
      <c r="AC58" s="23" t="s">
        <v>35</v>
      </c>
      <c r="AD58" s="26" t="n">
        <f>9886</f>
        <v>9886.0</v>
      </c>
    </row>
    <row r="59">
      <c r="A59" s="30" t="s">
        <v>49</v>
      </c>
      <c r="B59" s="22" t="s">
        <v>60</v>
      </c>
      <c r="C59" s="22" t="s">
        <v>61</v>
      </c>
      <c r="D59" s="24"/>
      <c r="E59" s="25" t="n">
        <f>531</f>
        <v>531.0</v>
      </c>
      <c r="F59" s="23"/>
      <c r="G59" s="25" t="n">
        <f>780</f>
        <v>780.0</v>
      </c>
      <c r="H59" s="23"/>
      <c r="I59" s="26" t="n">
        <f>1311</f>
        <v>1311.0</v>
      </c>
      <c r="J59" s="24"/>
      <c r="K59" s="25" t="n">
        <f>23856000</f>
        <v>2.3856E7</v>
      </c>
      <c r="L59" s="23"/>
      <c r="M59" s="25" t="n">
        <f>32243000</f>
        <v>3.2243E7</v>
      </c>
      <c r="N59" s="23"/>
      <c r="O59" s="26" t="n">
        <f>56099000</f>
        <v>5.6099E7</v>
      </c>
      <c r="P59" s="27" t="n">
        <f>397</f>
        <v>397.0</v>
      </c>
      <c r="Q59" s="28" t="n">
        <f>151</f>
        <v>151.0</v>
      </c>
      <c r="R59" s="29" t="n">
        <f>548</f>
        <v>548.0</v>
      </c>
      <c r="S59" s="24"/>
      <c r="T59" s="25" t="n">
        <f>23</f>
        <v>23.0</v>
      </c>
      <c r="U59" s="23"/>
      <c r="V59" s="25" t="n">
        <f>34</f>
        <v>34.0</v>
      </c>
      <c r="W59" s="23"/>
      <c r="X59" s="26" t="n">
        <f>57</f>
        <v>57.0</v>
      </c>
      <c r="Y59" s="24"/>
      <c r="Z59" s="25" t="n">
        <f>2330</f>
        <v>2330.0</v>
      </c>
      <c r="AA59" s="23"/>
      <c r="AB59" s="25" t="n">
        <f>1806</f>
        <v>1806.0</v>
      </c>
      <c r="AC59" s="23"/>
      <c r="AD59" s="26" t="n">
        <f>4136</f>
        <v>4136.0</v>
      </c>
    </row>
    <row r="60">
      <c r="A60" s="30" t="s">
        <v>50</v>
      </c>
      <c r="B60" s="22" t="s">
        <v>60</v>
      </c>
      <c r="C60" s="22" t="s">
        <v>61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51</v>
      </c>
      <c r="B61" s="22" t="s">
        <v>60</v>
      </c>
      <c r="C61" s="22" t="s">
        <v>61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52</v>
      </c>
      <c r="B62" s="22" t="s">
        <v>60</v>
      </c>
      <c r="C62" s="22" t="s">
        <v>61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53</v>
      </c>
      <c r="B63" s="22" t="s">
        <v>60</v>
      </c>
      <c r="C63" s="22" t="s">
        <v>61</v>
      </c>
      <c r="D63" s="24"/>
      <c r="E63" s="25" t="n">
        <f>2796</f>
        <v>2796.0</v>
      </c>
      <c r="F63" s="23"/>
      <c r="G63" s="25" t="n">
        <f>1346</f>
        <v>1346.0</v>
      </c>
      <c r="H63" s="23"/>
      <c r="I63" s="26" t="n">
        <f>4142</f>
        <v>4142.0</v>
      </c>
      <c r="J63" s="24"/>
      <c r="K63" s="25" t="n">
        <f>72816000</f>
        <v>7.2816E7</v>
      </c>
      <c r="L63" s="23"/>
      <c r="M63" s="25" t="n">
        <f>101135000</f>
        <v>1.01135E8</v>
      </c>
      <c r="N63" s="23"/>
      <c r="O63" s="26" t="n">
        <f>173951000</f>
        <v>1.73951E8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136</f>
        <v>136.0</v>
      </c>
      <c r="U63" s="23"/>
      <c r="V63" s="25" t="n">
        <f>69</f>
        <v>69.0</v>
      </c>
      <c r="W63" s="23"/>
      <c r="X63" s="26" t="n">
        <f>205</f>
        <v>205.0</v>
      </c>
      <c r="Y63" s="24"/>
      <c r="Z63" s="25" t="n">
        <f>3479</f>
        <v>3479.0</v>
      </c>
      <c r="AA63" s="23"/>
      <c r="AB63" s="25" t="n">
        <f>2309</f>
        <v>2309.0</v>
      </c>
      <c r="AC63" s="23"/>
      <c r="AD63" s="26" t="n">
        <f>5788</f>
        <v>5788.0</v>
      </c>
    </row>
    <row r="64">
      <c r="A64" s="30" t="s">
        <v>54</v>
      </c>
      <c r="B64" s="22" t="s">
        <v>60</v>
      </c>
      <c r="C64" s="22" t="s">
        <v>61</v>
      </c>
      <c r="D64" s="24"/>
      <c r="E64" s="25" t="n">
        <f>2517</f>
        <v>2517.0</v>
      </c>
      <c r="F64" s="23"/>
      <c r="G64" s="25" t="n">
        <f>1457</f>
        <v>1457.0</v>
      </c>
      <c r="H64" s="23"/>
      <c r="I64" s="26" t="n">
        <f>3974</f>
        <v>3974.0</v>
      </c>
      <c r="J64" s="24"/>
      <c r="K64" s="25" t="n">
        <f>112967000</f>
        <v>1.12967E8</v>
      </c>
      <c r="L64" s="23"/>
      <c r="M64" s="25" t="n">
        <f>151018000</f>
        <v>1.51018E8</v>
      </c>
      <c r="N64" s="23"/>
      <c r="O64" s="26" t="n">
        <f>263985000</f>
        <v>2.63985E8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216</f>
        <v>216.0</v>
      </c>
      <c r="U64" s="23"/>
      <c r="V64" s="25" t="n">
        <f>120</f>
        <v>120.0</v>
      </c>
      <c r="W64" s="23"/>
      <c r="X64" s="26" t="n">
        <f>336</f>
        <v>336.0</v>
      </c>
      <c r="Y64" s="24"/>
      <c r="Z64" s="25" t="n">
        <f>4090</f>
        <v>4090.0</v>
      </c>
      <c r="AA64" s="23"/>
      <c r="AB64" s="25" t="n">
        <f>2699</f>
        <v>2699.0</v>
      </c>
      <c r="AC64" s="23"/>
      <c r="AD64" s="26" t="n">
        <f>6789</f>
        <v>6789.0</v>
      </c>
    </row>
    <row r="65">
      <c r="A65" s="30" t="s">
        <v>55</v>
      </c>
      <c r="B65" s="22" t="s">
        <v>60</v>
      </c>
      <c r="C65" s="22" t="s">
        <v>61</v>
      </c>
      <c r="D65" s="24"/>
      <c r="E65" s="25" t="n">
        <f>1781</f>
        <v>1781.0</v>
      </c>
      <c r="F65" s="23"/>
      <c r="G65" s="25" t="n">
        <f>1686</f>
        <v>1686.0</v>
      </c>
      <c r="H65" s="23"/>
      <c r="I65" s="26" t="n">
        <f>3467</f>
        <v>3467.0</v>
      </c>
      <c r="J65" s="24"/>
      <c r="K65" s="25" t="n">
        <f>46039000</f>
        <v>4.6039E7</v>
      </c>
      <c r="L65" s="23"/>
      <c r="M65" s="25" t="n">
        <f>60450000</f>
        <v>6.045E7</v>
      </c>
      <c r="N65" s="23"/>
      <c r="O65" s="26" t="n">
        <f>106489000</f>
        <v>1.06489E8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132</f>
        <v>132.0</v>
      </c>
      <c r="U65" s="23"/>
      <c r="V65" s="25" t="n">
        <f>102</f>
        <v>102.0</v>
      </c>
      <c r="W65" s="23"/>
      <c r="X65" s="26" t="n">
        <f>234</f>
        <v>234.0</v>
      </c>
      <c r="Y65" s="24"/>
      <c r="Z65" s="25" t="n">
        <f>4423</f>
        <v>4423.0</v>
      </c>
      <c r="AA65" s="23"/>
      <c r="AB65" s="25" t="n">
        <f>2953</f>
        <v>2953.0</v>
      </c>
      <c r="AC65" s="23"/>
      <c r="AD65" s="26" t="n">
        <f>7376</f>
        <v>7376.0</v>
      </c>
    </row>
    <row r="66">
      <c r="A66" s="30" t="s">
        <v>56</v>
      </c>
      <c r="B66" s="22" t="s">
        <v>60</v>
      </c>
      <c r="C66" s="22" t="s">
        <v>61</v>
      </c>
      <c r="D66" s="24"/>
      <c r="E66" s="25" t="n">
        <f>972</f>
        <v>972.0</v>
      </c>
      <c r="F66" s="23"/>
      <c r="G66" s="25" t="n">
        <f>475</f>
        <v>475.0</v>
      </c>
      <c r="H66" s="23"/>
      <c r="I66" s="26" t="n">
        <f>1447</f>
        <v>1447.0</v>
      </c>
      <c r="J66" s="24"/>
      <c r="K66" s="25" t="n">
        <f>63032000</f>
        <v>6.3032E7</v>
      </c>
      <c r="L66" s="23"/>
      <c r="M66" s="25" t="n">
        <f>128437100</f>
        <v>1.284371E8</v>
      </c>
      <c r="N66" s="23"/>
      <c r="O66" s="26" t="n">
        <f>191469100</f>
        <v>1.914691E8</v>
      </c>
      <c r="P66" s="27" t="n">
        <f>129</f>
        <v>129.0</v>
      </c>
      <c r="Q66" s="28" t="n">
        <f>1044</f>
        <v>1044.0</v>
      </c>
      <c r="R66" s="29" t="n">
        <f>1173</f>
        <v>1173.0</v>
      </c>
      <c r="S66" s="24"/>
      <c r="T66" s="25" t="n">
        <f>47</f>
        <v>47.0</v>
      </c>
      <c r="U66" s="23"/>
      <c r="V66" s="25" t="n">
        <f>245</f>
        <v>245.0</v>
      </c>
      <c r="W66" s="23"/>
      <c r="X66" s="26" t="n">
        <f>292</f>
        <v>292.0</v>
      </c>
      <c r="Y66" s="24"/>
      <c r="Z66" s="25" t="n">
        <f>1072</f>
        <v>1072.0</v>
      </c>
      <c r="AA66" s="23"/>
      <c r="AB66" s="25" t="n">
        <f>993</f>
        <v>993.0</v>
      </c>
      <c r="AC66" s="23"/>
      <c r="AD66" s="26" t="n">
        <f>2065</f>
        <v>2065.0</v>
      </c>
    </row>
    <row r="67">
      <c r="A67" s="30" t="s">
        <v>57</v>
      </c>
      <c r="B67" s="22" t="s">
        <v>60</v>
      </c>
      <c r="C67" s="22" t="s">
        <v>61</v>
      </c>
      <c r="D67" s="24"/>
      <c r="E67" s="25"/>
      <c r="F67" s="23"/>
      <c r="G67" s="25"/>
      <c r="H67" s="23"/>
      <c r="I67" s="26"/>
      <c r="J67" s="24"/>
      <c r="K67" s="25"/>
      <c r="L67" s="23"/>
      <c r="M67" s="25"/>
      <c r="N67" s="23"/>
      <c r="O67" s="26"/>
      <c r="P67" s="27"/>
      <c r="Q67" s="28"/>
      <c r="R67" s="29"/>
      <c r="S67" s="24"/>
      <c r="T67" s="25"/>
      <c r="U67" s="23"/>
      <c r="V67" s="25"/>
      <c r="W67" s="23"/>
      <c r="X67" s="26"/>
      <c r="Y67" s="24"/>
      <c r="Z67" s="25"/>
      <c r="AA67" s="23"/>
      <c r="AB67" s="25"/>
      <c r="AC67" s="23"/>
      <c r="AD67" s="26"/>
    </row>
    <row r="68">
      <c r="A68" s="30" t="s">
        <v>58</v>
      </c>
      <c r="B68" s="22" t="s">
        <v>60</v>
      </c>
      <c r="C68" s="22" t="s">
        <v>61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59</v>
      </c>
      <c r="B69" s="22" t="s">
        <v>60</v>
      </c>
      <c r="C69" s="22" t="s">
        <v>61</v>
      </c>
      <c r="D69" s="24"/>
      <c r="E69" s="25" t="n">
        <f>1422</f>
        <v>1422.0</v>
      </c>
      <c r="F69" s="23"/>
      <c r="G69" s="25" t="n">
        <f>716</f>
        <v>716.0</v>
      </c>
      <c r="H69" s="23"/>
      <c r="I69" s="26" t="n">
        <f>2138</f>
        <v>2138.0</v>
      </c>
      <c r="J69" s="24"/>
      <c r="K69" s="25" t="n">
        <f>57335000</f>
        <v>5.7335E7</v>
      </c>
      <c r="L69" s="23"/>
      <c r="M69" s="25" t="n">
        <f>33358000</f>
        <v>3.3358E7</v>
      </c>
      <c r="N69" s="23"/>
      <c r="O69" s="26" t="n">
        <f>90693000</f>
        <v>9.0693E7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140</f>
        <v>140.0</v>
      </c>
      <c r="U69" s="23"/>
      <c r="V69" s="25" t="n">
        <f>91</f>
        <v>91.0</v>
      </c>
      <c r="W69" s="23"/>
      <c r="X69" s="26" t="n">
        <f>231</f>
        <v>231.0</v>
      </c>
      <c r="Y69" s="24"/>
      <c r="Z69" s="25" t="n">
        <f>1998</f>
        <v>1998.0</v>
      </c>
      <c r="AA69" s="23"/>
      <c r="AB69" s="25" t="n">
        <f>1359</f>
        <v>1359.0</v>
      </c>
      <c r="AC69" s="23"/>
      <c r="AD69" s="26" t="n">
        <f>3357</f>
        <v>3357.0</v>
      </c>
    </row>
    <row r="70">
      <c r="A70" s="30" t="s">
        <v>26</v>
      </c>
      <c r="B70" s="22" t="s">
        <v>62</v>
      </c>
      <c r="C70" s="22" t="s">
        <v>63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>
      <c r="A71" s="30" t="s">
        <v>29</v>
      </c>
      <c r="B71" s="22" t="s">
        <v>62</v>
      </c>
      <c r="C71" s="22" t="s">
        <v>63</v>
      </c>
      <c r="D71" s="24" t="s">
        <v>30</v>
      </c>
      <c r="E71" s="25" t="str">
        <f>"－"</f>
        <v>－</v>
      </c>
      <c r="F71" s="23"/>
      <c r="G71" s="25" t="n">
        <f>1012</f>
        <v>1012.0</v>
      </c>
      <c r="H71" s="23"/>
      <c r="I71" s="26" t="n">
        <f>1012</f>
        <v>1012.0</v>
      </c>
      <c r="J71" s="24" t="s">
        <v>30</v>
      </c>
      <c r="K71" s="25" t="str">
        <f>"－"</f>
        <v>－</v>
      </c>
      <c r="L71" s="23" t="s">
        <v>35</v>
      </c>
      <c r="M71" s="25" t="n">
        <f>718100020</f>
        <v>7.1810002E8</v>
      </c>
      <c r="N71" s="23"/>
      <c r="O71" s="26" t="n">
        <f>718100020</f>
        <v>7.1810002E8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 t="s">
        <v>30</v>
      </c>
      <c r="T71" s="25" t="str">
        <f>"－"</f>
        <v>－</v>
      </c>
      <c r="U71" s="23" t="s">
        <v>35</v>
      </c>
      <c r="V71" s="25" t="n">
        <f>1012</f>
        <v>1012.0</v>
      </c>
      <c r="W71" s="23"/>
      <c r="X71" s="26" t="n">
        <f>1012</f>
        <v>1012.0</v>
      </c>
      <c r="Y71" s="24" t="s">
        <v>35</v>
      </c>
      <c r="Z71" s="25" t="n">
        <f>78832</f>
        <v>78832.0</v>
      </c>
      <c r="AA71" s="23"/>
      <c r="AB71" s="25" t="n">
        <f>18635</f>
        <v>18635.0</v>
      </c>
      <c r="AC71" s="23"/>
      <c r="AD71" s="26" t="n">
        <f>97467</f>
        <v>97467.0</v>
      </c>
    </row>
    <row r="72">
      <c r="A72" s="30" t="s">
        <v>31</v>
      </c>
      <c r="B72" s="22" t="s">
        <v>62</v>
      </c>
      <c r="C72" s="22" t="s">
        <v>63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32</v>
      </c>
      <c r="B73" s="22" t="s">
        <v>62</v>
      </c>
      <c r="C73" s="22" t="s">
        <v>63</v>
      </c>
      <c r="D73" s="24"/>
      <c r="E73" s="25" t="n">
        <f>1006</f>
        <v>1006.0</v>
      </c>
      <c r="F73" s="23"/>
      <c r="G73" s="25" t="n">
        <f>304</f>
        <v>304.0</v>
      </c>
      <c r="H73" s="23"/>
      <c r="I73" s="26" t="n">
        <f>1310</f>
        <v>1310.0</v>
      </c>
      <c r="J73" s="24"/>
      <c r="K73" s="25" t="n">
        <f>224950500</f>
        <v>2.249505E8</v>
      </c>
      <c r="L73" s="23"/>
      <c r="M73" s="25" t="n">
        <f>140174400</f>
        <v>1.401744E8</v>
      </c>
      <c r="N73" s="23"/>
      <c r="O73" s="26" t="n">
        <f>365124900</f>
        <v>3.651249E8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/>
      <c r="V73" s="25" t="n">
        <f>304</f>
        <v>304.0</v>
      </c>
      <c r="W73" s="23"/>
      <c r="X73" s="26" t="n">
        <f>304</f>
        <v>304.0</v>
      </c>
      <c r="Y73" s="24"/>
      <c r="Z73" s="25" t="n">
        <f>77826</f>
        <v>77826.0</v>
      </c>
      <c r="AA73" s="23"/>
      <c r="AB73" s="25" t="n">
        <f>18939</f>
        <v>18939.0</v>
      </c>
      <c r="AC73" s="23"/>
      <c r="AD73" s="26" t="n">
        <f>96765</f>
        <v>96765.0</v>
      </c>
    </row>
    <row r="74">
      <c r="A74" s="30" t="s">
        <v>33</v>
      </c>
      <c r="B74" s="22" t="s">
        <v>62</v>
      </c>
      <c r="C74" s="22" t="s">
        <v>63</v>
      </c>
      <c r="D74" s="24"/>
      <c r="E74" s="25" t="n">
        <f>47</f>
        <v>47.0</v>
      </c>
      <c r="F74" s="23"/>
      <c r="G74" s="25" t="n">
        <f>437</f>
        <v>437.0</v>
      </c>
      <c r="H74" s="23"/>
      <c r="I74" s="26" t="n">
        <f>484</f>
        <v>484.0</v>
      </c>
      <c r="J74" s="24"/>
      <c r="K74" s="25" t="n">
        <f>4700000</f>
        <v>4700000.0</v>
      </c>
      <c r="L74" s="23"/>
      <c r="M74" s="25" t="n">
        <f>51345000</f>
        <v>5.1345E7</v>
      </c>
      <c r="N74" s="23"/>
      <c r="O74" s="26" t="n">
        <f>56045000</f>
        <v>5.6045E7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n">
        <f>390</f>
        <v>390.0</v>
      </c>
      <c r="W74" s="23"/>
      <c r="X74" s="26" t="n">
        <f>390</f>
        <v>390.0</v>
      </c>
      <c r="Y74" s="24"/>
      <c r="Z74" s="25" t="n">
        <f>77779</f>
        <v>77779.0</v>
      </c>
      <c r="AA74" s="23"/>
      <c r="AB74" s="25" t="n">
        <f>18892</f>
        <v>18892.0</v>
      </c>
      <c r="AC74" s="23"/>
      <c r="AD74" s="26" t="n">
        <f>96671</f>
        <v>96671.0</v>
      </c>
    </row>
    <row r="75">
      <c r="A75" s="30" t="s">
        <v>34</v>
      </c>
      <c r="B75" s="22" t="s">
        <v>62</v>
      </c>
      <c r="C75" s="22" t="s">
        <v>63</v>
      </c>
      <c r="D75" s="24"/>
      <c r="E75" s="25" t="n">
        <f>1165</f>
        <v>1165.0</v>
      </c>
      <c r="F75" s="23"/>
      <c r="G75" s="25" t="n">
        <f>482</f>
        <v>482.0</v>
      </c>
      <c r="H75" s="23"/>
      <c r="I75" s="26" t="n">
        <f>1647</f>
        <v>1647.0</v>
      </c>
      <c r="J75" s="24"/>
      <c r="K75" s="25" t="n">
        <f>55640500</f>
        <v>5.56405E7</v>
      </c>
      <c r="L75" s="23"/>
      <c r="M75" s="25" t="n">
        <f>47710200</f>
        <v>4.77102E7</v>
      </c>
      <c r="N75" s="23"/>
      <c r="O75" s="26" t="n">
        <f>103350700</f>
        <v>1.033507E8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n">
        <f>865</f>
        <v>865.0</v>
      </c>
      <c r="U75" s="23"/>
      <c r="V75" s="25" t="n">
        <f>182</f>
        <v>182.0</v>
      </c>
      <c r="W75" s="23"/>
      <c r="X75" s="26" t="n">
        <f>1047</f>
        <v>1047.0</v>
      </c>
      <c r="Y75" s="24"/>
      <c r="Z75" s="25" t="n">
        <f>78079</f>
        <v>78079.0</v>
      </c>
      <c r="AA75" s="23"/>
      <c r="AB75" s="25" t="n">
        <f>19114</f>
        <v>19114.0</v>
      </c>
      <c r="AC75" s="23"/>
      <c r="AD75" s="26" t="n">
        <f>97193</f>
        <v>97193.0</v>
      </c>
    </row>
    <row r="76">
      <c r="A76" s="30" t="s">
        <v>36</v>
      </c>
      <c r="B76" s="22" t="s">
        <v>62</v>
      </c>
      <c r="C76" s="22" t="s">
        <v>63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37</v>
      </c>
      <c r="B77" s="22" t="s">
        <v>62</v>
      </c>
      <c r="C77" s="22" t="s">
        <v>63</v>
      </c>
      <c r="D77" s="24"/>
      <c r="E77" s="25"/>
      <c r="F77" s="23"/>
      <c r="G77" s="25"/>
      <c r="H77" s="23"/>
      <c r="I77" s="26"/>
      <c r="J77" s="24"/>
      <c r="K77" s="25"/>
      <c r="L77" s="23"/>
      <c r="M77" s="25"/>
      <c r="N77" s="23"/>
      <c r="O77" s="26"/>
      <c r="P77" s="27"/>
      <c r="Q77" s="28"/>
      <c r="R77" s="29"/>
      <c r="S77" s="24"/>
      <c r="T77" s="25"/>
      <c r="U77" s="23"/>
      <c r="V77" s="25"/>
      <c r="W77" s="23"/>
      <c r="X77" s="26"/>
      <c r="Y77" s="24"/>
      <c r="Z77" s="25"/>
      <c r="AA77" s="23"/>
      <c r="AB77" s="25"/>
      <c r="AC77" s="23"/>
      <c r="AD77" s="26"/>
    </row>
    <row r="78">
      <c r="A78" s="30" t="s">
        <v>38</v>
      </c>
      <c r="B78" s="22" t="s">
        <v>62</v>
      </c>
      <c r="C78" s="22" t="s">
        <v>63</v>
      </c>
      <c r="D78" s="24"/>
      <c r="E78" s="25" t="str">
        <f>"－"</f>
        <v>－</v>
      </c>
      <c r="F78" s="23"/>
      <c r="G78" s="25" t="n">
        <f>360</f>
        <v>360.0</v>
      </c>
      <c r="H78" s="23"/>
      <c r="I78" s="26" t="n">
        <f>360</f>
        <v>360.0</v>
      </c>
      <c r="J78" s="24"/>
      <c r="K78" s="25" t="str">
        <f>"－"</f>
        <v>－</v>
      </c>
      <c r="L78" s="23"/>
      <c r="M78" s="25" t="n">
        <f>102960000</f>
        <v>1.0296E8</v>
      </c>
      <c r="N78" s="23"/>
      <c r="O78" s="26" t="n">
        <f>102960000</f>
        <v>1.0296E8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n">
        <f>360</f>
        <v>360.0</v>
      </c>
      <c r="W78" s="23"/>
      <c r="X78" s="26" t="n">
        <f>360</f>
        <v>360.0</v>
      </c>
      <c r="Y78" s="24"/>
      <c r="Z78" s="25" t="n">
        <f>78079</f>
        <v>78079.0</v>
      </c>
      <c r="AA78" s="23"/>
      <c r="AB78" s="25" t="n">
        <f>19474</f>
        <v>19474.0</v>
      </c>
      <c r="AC78" s="23" t="s">
        <v>35</v>
      </c>
      <c r="AD78" s="26" t="n">
        <f>97553</f>
        <v>97553.0</v>
      </c>
    </row>
    <row r="79">
      <c r="A79" s="30" t="s">
        <v>39</v>
      </c>
      <c r="B79" s="22" t="s">
        <v>62</v>
      </c>
      <c r="C79" s="22" t="s">
        <v>63</v>
      </c>
      <c r="D79" s="24"/>
      <c r="E79" s="25" t="n">
        <f>1598</f>
        <v>1598.0</v>
      </c>
      <c r="F79" s="23"/>
      <c r="G79" s="25" t="n">
        <f>500</f>
        <v>500.0</v>
      </c>
      <c r="H79" s="23"/>
      <c r="I79" s="26" t="n">
        <f>2098</f>
        <v>2098.0</v>
      </c>
      <c r="J79" s="24"/>
      <c r="K79" s="25" t="n">
        <f>66640000</f>
        <v>6.664E7</v>
      </c>
      <c r="L79" s="23"/>
      <c r="M79" s="25" t="n">
        <f>208750000</f>
        <v>2.0875E8</v>
      </c>
      <c r="N79" s="23"/>
      <c r="O79" s="26" t="n">
        <f>275390000</f>
        <v>2.7539E8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n">
        <f>542</f>
        <v>542.0</v>
      </c>
      <c r="U79" s="23" t="s">
        <v>30</v>
      </c>
      <c r="V79" s="25" t="str">
        <f>"－"</f>
        <v>－</v>
      </c>
      <c r="W79" s="23"/>
      <c r="X79" s="26" t="n">
        <f>542</f>
        <v>542.0</v>
      </c>
      <c r="Y79" s="24"/>
      <c r="Z79" s="25" t="n">
        <f>77023</f>
        <v>77023.0</v>
      </c>
      <c r="AA79" s="23"/>
      <c r="AB79" s="25" t="n">
        <f>18984</f>
        <v>18984.0</v>
      </c>
      <c r="AC79" s="23"/>
      <c r="AD79" s="26" t="n">
        <f>96007</f>
        <v>96007.0</v>
      </c>
    </row>
    <row r="80">
      <c r="A80" s="30" t="s">
        <v>40</v>
      </c>
      <c r="B80" s="22" t="s">
        <v>62</v>
      </c>
      <c r="C80" s="22" t="s">
        <v>63</v>
      </c>
      <c r="D80" s="24"/>
      <c r="E80" s="25" t="str">
        <f>"－"</f>
        <v>－</v>
      </c>
      <c r="F80" s="23" t="s">
        <v>30</v>
      </c>
      <c r="G80" s="25" t="str">
        <f>"－"</f>
        <v>－</v>
      </c>
      <c r="H80" s="23" t="s">
        <v>30</v>
      </c>
      <c r="I80" s="26" t="str">
        <f>"－"</f>
        <v>－</v>
      </c>
      <c r="J80" s="24"/>
      <c r="K80" s="25" t="str">
        <f>"－"</f>
        <v>－</v>
      </c>
      <c r="L80" s="23" t="s">
        <v>30</v>
      </c>
      <c r="M80" s="25" t="str">
        <f>"－"</f>
        <v>－</v>
      </c>
      <c r="N80" s="23" t="s">
        <v>30</v>
      </c>
      <c r="O80" s="26" t="str">
        <f>"－"</f>
        <v>－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str">
        <f>"－"</f>
        <v>－</v>
      </c>
      <c r="W80" s="23" t="s">
        <v>30</v>
      </c>
      <c r="X80" s="26" t="str">
        <f>"－"</f>
        <v>－</v>
      </c>
      <c r="Y80" s="24"/>
      <c r="Z80" s="25" t="n">
        <f>77023</f>
        <v>77023.0</v>
      </c>
      <c r="AA80" s="23"/>
      <c r="AB80" s="25" t="n">
        <f>18984</f>
        <v>18984.0</v>
      </c>
      <c r="AC80" s="23"/>
      <c r="AD80" s="26" t="n">
        <f>96007</f>
        <v>96007.0</v>
      </c>
    </row>
    <row r="81">
      <c r="A81" s="30" t="s">
        <v>41</v>
      </c>
      <c r="B81" s="22" t="s">
        <v>62</v>
      </c>
      <c r="C81" s="22" t="s">
        <v>63</v>
      </c>
      <c r="D81" s="24"/>
      <c r="E81" s="25" t="n">
        <f>748</f>
        <v>748.0</v>
      </c>
      <c r="F81" s="23" t="s">
        <v>35</v>
      </c>
      <c r="G81" s="25" t="n">
        <f>1280</f>
        <v>1280.0</v>
      </c>
      <c r="H81" s="23"/>
      <c r="I81" s="26" t="n">
        <f>2028</f>
        <v>2028.0</v>
      </c>
      <c r="J81" s="24"/>
      <c r="K81" s="25" t="n">
        <f>22257982</f>
        <v>2.2257982E7</v>
      </c>
      <c r="L81" s="23"/>
      <c r="M81" s="25" t="n">
        <f>290241710</f>
        <v>2.9024171E8</v>
      </c>
      <c r="N81" s="23"/>
      <c r="O81" s="26" t="n">
        <f>312499692</f>
        <v>3.12499692E8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/>
      <c r="V81" s="25" t="n">
        <f>379</f>
        <v>379.0</v>
      </c>
      <c r="W81" s="23"/>
      <c r="X81" s="26" t="n">
        <f>379</f>
        <v>379.0</v>
      </c>
      <c r="Y81" s="24"/>
      <c r="Z81" s="25" t="n">
        <f>77573</f>
        <v>77573.0</v>
      </c>
      <c r="AA81" s="23"/>
      <c r="AB81" s="25" t="n">
        <f>19155</f>
        <v>19155.0</v>
      </c>
      <c r="AC81" s="23"/>
      <c r="AD81" s="26" t="n">
        <f>96728</f>
        <v>96728.0</v>
      </c>
    </row>
    <row r="82">
      <c r="A82" s="30" t="s">
        <v>42</v>
      </c>
      <c r="B82" s="22" t="s">
        <v>62</v>
      </c>
      <c r="C82" s="22" t="s">
        <v>63</v>
      </c>
      <c r="D82" s="24" t="s">
        <v>35</v>
      </c>
      <c r="E82" s="25" t="n">
        <f>5082</f>
        <v>5082.0</v>
      </c>
      <c r="F82" s="23"/>
      <c r="G82" s="25" t="n">
        <f>300</f>
        <v>300.0</v>
      </c>
      <c r="H82" s="23" t="s">
        <v>35</v>
      </c>
      <c r="I82" s="26" t="n">
        <f>5382</f>
        <v>5382.0</v>
      </c>
      <c r="J82" s="24" t="s">
        <v>35</v>
      </c>
      <c r="K82" s="25" t="n">
        <f>1762175106</f>
        <v>1.762175106E9</v>
      </c>
      <c r="L82" s="23"/>
      <c r="M82" s="25" t="n">
        <f>107170000</f>
        <v>1.0717E8</v>
      </c>
      <c r="N82" s="23" t="s">
        <v>35</v>
      </c>
      <c r="O82" s="26" t="n">
        <f>1869345106</f>
        <v>1.869345106E9</v>
      </c>
      <c r="P82" s="27" t="n">
        <f>550</f>
        <v>550.0</v>
      </c>
      <c r="Q82" s="28" t="n">
        <f>550</f>
        <v>550.0</v>
      </c>
      <c r="R82" s="29" t="n">
        <f>1100</f>
        <v>1100.0</v>
      </c>
      <c r="S82" s="24" t="s">
        <v>35</v>
      </c>
      <c r="T82" s="25" t="n">
        <f>4782</f>
        <v>4782.0</v>
      </c>
      <c r="U82" s="23"/>
      <c r="V82" s="25" t="str">
        <f>"－"</f>
        <v>－</v>
      </c>
      <c r="W82" s="23" t="s">
        <v>35</v>
      </c>
      <c r="X82" s="26" t="n">
        <f>4782</f>
        <v>4782.0</v>
      </c>
      <c r="Y82" s="24" t="s">
        <v>30</v>
      </c>
      <c r="Z82" s="25" t="n">
        <f>71765</f>
        <v>71765.0</v>
      </c>
      <c r="AA82" s="23" t="s">
        <v>30</v>
      </c>
      <c r="AB82" s="25" t="n">
        <f>18055</f>
        <v>18055.0</v>
      </c>
      <c r="AC82" s="23" t="s">
        <v>30</v>
      </c>
      <c r="AD82" s="26" t="n">
        <f>89820</f>
        <v>89820.0</v>
      </c>
    </row>
    <row r="83">
      <c r="A83" s="30" t="s">
        <v>43</v>
      </c>
      <c r="B83" s="22" t="s">
        <v>62</v>
      </c>
      <c r="C83" s="22" t="s">
        <v>63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44</v>
      </c>
      <c r="B84" s="22" t="s">
        <v>62</v>
      </c>
      <c r="C84" s="22" t="s">
        <v>63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>
      <c r="A85" s="30" t="s">
        <v>45</v>
      </c>
      <c r="B85" s="22" t="s">
        <v>62</v>
      </c>
      <c r="C85" s="22" t="s">
        <v>63</v>
      </c>
      <c r="D85" s="24"/>
      <c r="E85" s="25" t="n">
        <f>650</f>
        <v>650.0</v>
      </c>
      <c r="F85" s="23"/>
      <c r="G85" s="25" t="n">
        <f>456</f>
        <v>456.0</v>
      </c>
      <c r="H85" s="23"/>
      <c r="I85" s="26" t="n">
        <f>1106</f>
        <v>1106.0</v>
      </c>
      <c r="J85" s="24"/>
      <c r="K85" s="25" t="n">
        <f>143000000</f>
        <v>1.43E8</v>
      </c>
      <c r="L85" s="23"/>
      <c r="M85" s="25" t="n">
        <f>29854320</f>
        <v>2.985432E7</v>
      </c>
      <c r="N85" s="23"/>
      <c r="O85" s="26" t="n">
        <f>172854320</f>
        <v>1.7285432E8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n">
        <f>456</f>
        <v>456.0</v>
      </c>
      <c r="W85" s="23"/>
      <c r="X85" s="26" t="n">
        <f>456</f>
        <v>456.0</v>
      </c>
      <c r="Y85" s="24"/>
      <c r="Z85" s="25" t="n">
        <f>72415</f>
        <v>72415.0</v>
      </c>
      <c r="AA85" s="23"/>
      <c r="AB85" s="25" t="n">
        <f>18511</f>
        <v>18511.0</v>
      </c>
      <c r="AC85" s="23"/>
      <c r="AD85" s="26" t="n">
        <f>90926</f>
        <v>90926.0</v>
      </c>
    </row>
    <row r="86">
      <c r="A86" s="30" t="s">
        <v>46</v>
      </c>
      <c r="B86" s="22" t="s">
        <v>62</v>
      </c>
      <c r="C86" s="22" t="s">
        <v>63</v>
      </c>
      <c r="D86" s="24"/>
      <c r="E86" s="25" t="n">
        <f>70</f>
        <v>70.0</v>
      </c>
      <c r="F86" s="23"/>
      <c r="G86" s="25" t="n">
        <f>70</f>
        <v>70.0</v>
      </c>
      <c r="H86" s="23"/>
      <c r="I86" s="26" t="n">
        <f>140</f>
        <v>140.0</v>
      </c>
      <c r="J86" s="24"/>
      <c r="K86" s="25" t="n">
        <f>140140000</f>
        <v>1.4014E8</v>
      </c>
      <c r="L86" s="23"/>
      <c r="M86" s="25" t="n">
        <f>100100000</f>
        <v>1.001E8</v>
      </c>
      <c r="N86" s="23"/>
      <c r="O86" s="26" t="n">
        <f>240240000</f>
        <v>2.4024E8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72485</f>
        <v>72485.0</v>
      </c>
      <c r="AA86" s="23"/>
      <c r="AB86" s="25" t="n">
        <f>18581</f>
        <v>18581.0</v>
      </c>
      <c r="AC86" s="23"/>
      <c r="AD86" s="26" t="n">
        <f>91066</f>
        <v>91066.0</v>
      </c>
    </row>
    <row r="87">
      <c r="A87" s="30" t="s">
        <v>47</v>
      </c>
      <c r="B87" s="22" t="s">
        <v>62</v>
      </c>
      <c r="C87" s="22" t="s">
        <v>63</v>
      </c>
      <c r="D87" s="24"/>
      <c r="E87" s="25" t="str">
        <f>"－"</f>
        <v>－</v>
      </c>
      <c r="F87" s="23"/>
      <c r="G87" s="25" t="str">
        <f>"－"</f>
        <v>－</v>
      </c>
      <c r="H87" s="23"/>
      <c r="I87" s="26" t="str">
        <f>"－"</f>
        <v>－</v>
      </c>
      <c r="J87" s="24"/>
      <c r="K87" s="25" t="str">
        <f>"－"</f>
        <v>－</v>
      </c>
      <c r="L87" s="23"/>
      <c r="M87" s="25" t="str">
        <f>"－"</f>
        <v>－</v>
      </c>
      <c r="N87" s="23"/>
      <c r="O87" s="26" t="str">
        <f>"－"</f>
        <v>－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72485</f>
        <v>72485.0</v>
      </c>
      <c r="AA87" s="23"/>
      <c r="AB87" s="25" t="n">
        <f>18581</f>
        <v>18581.0</v>
      </c>
      <c r="AC87" s="23"/>
      <c r="AD87" s="26" t="n">
        <f>91066</f>
        <v>91066.0</v>
      </c>
    </row>
    <row r="88">
      <c r="A88" s="30" t="s">
        <v>48</v>
      </c>
      <c r="B88" s="22" t="s">
        <v>62</v>
      </c>
      <c r="C88" s="22" t="s">
        <v>63</v>
      </c>
      <c r="D88" s="24"/>
      <c r="E88" s="25" t="str">
        <f>"－"</f>
        <v>－</v>
      </c>
      <c r="F88" s="23"/>
      <c r="G88" s="25" t="str">
        <f>"－"</f>
        <v>－</v>
      </c>
      <c r="H88" s="23"/>
      <c r="I88" s="26" t="str">
        <f>"－"</f>
        <v>－</v>
      </c>
      <c r="J88" s="24"/>
      <c r="K88" s="25" t="str">
        <f>"－"</f>
        <v>－</v>
      </c>
      <c r="L88" s="23"/>
      <c r="M88" s="25" t="str">
        <f>"－"</f>
        <v>－</v>
      </c>
      <c r="N88" s="23"/>
      <c r="O88" s="26" t="str">
        <f>"－"</f>
        <v>－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72485</f>
        <v>72485.0</v>
      </c>
      <c r="AA88" s="23"/>
      <c r="AB88" s="25" t="n">
        <f>18581</f>
        <v>18581.0</v>
      </c>
      <c r="AC88" s="23"/>
      <c r="AD88" s="26" t="n">
        <f>91066</f>
        <v>91066.0</v>
      </c>
    </row>
    <row r="89">
      <c r="A89" s="30" t="s">
        <v>49</v>
      </c>
      <c r="B89" s="22" t="s">
        <v>62</v>
      </c>
      <c r="C89" s="22" t="s">
        <v>63</v>
      </c>
      <c r="D89" s="24"/>
      <c r="E89" s="25" t="n">
        <f>44</f>
        <v>44.0</v>
      </c>
      <c r="F89" s="23"/>
      <c r="G89" s="25" t="n">
        <f>580</f>
        <v>580.0</v>
      </c>
      <c r="H89" s="23"/>
      <c r="I89" s="26" t="n">
        <f>624</f>
        <v>624.0</v>
      </c>
      <c r="J89" s="24"/>
      <c r="K89" s="25" t="n">
        <f>23790800</f>
        <v>2.37908E7</v>
      </c>
      <c r="L89" s="23"/>
      <c r="M89" s="25" t="n">
        <f>330542000</f>
        <v>3.30542E8</v>
      </c>
      <c r="N89" s="23"/>
      <c r="O89" s="26" t="n">
        <f>354332800</f>
        <v>3.543328E8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44</f>
        <v>44.0</v>
      </c>
      <c r="U89" s="23"/>
      <c r="V89" s="25" t="n">
        <f>580</f>
        <v>580.0</v>
      </c>
      <c r="W89" s="23"/>
      <c r="X89" s="26" t="n">
        <f>624</f>
        <v>624.0</v>
      </c>
      <c r="Y89" s="24"/>
      <c r="Z89" s="25" t="n">
        <f>72529</f>
        <v>72529.0</v>
      </c>
      <c r="AA89" s="23"/>
      <c r="AB89" s="25" t="n">
        <f>19161</f>
        <v>19161.0</v>
      </c>
      <c r="AC89" s="23"/>
      <c r="AD89" s="26" t="n">
        <f>91690</f>
        <v>91690.0</v>
      </c>
    </row>
    <row r="90">
      <c r="A90" s="30" t="s">
        <v>50</v>
      </c>
      <c r="B90" s="22" t="s">
        <v>62</v>
      </c>
      <c r="C90" s="22" t="s">
        <v>63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51</v>
      </c>
      <c r="B91" s="22" t="s">
        <v>62</v>
      </c>
      <c r="C91" s="22" t="s">
        <v>63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52</v>
      </c>
      <c r="B92" s="22" t="s">
        <v>62</v>
      </c>
      <c r="C92" s="22" t="s">
        <v>63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53</v>
      </c>
      <c r="B93" s="22" t="s">
        <v>62</v>
      </c>
      <c r="C93" s="22" t="s">
        <v>63</v>
      </c>
      <c r="D93" s="24"/>
      <c r="E93" s="25" t="n">
        <f>400</f>
        <v>400.0</v>
      </c>
      <c r="F93" s="23"/>
      <c r="G93" s="25" t="n">
        <f>400</f>
        <v>400.0</v>
      </c>
      <c r="H93" s="23"/>
      <c r="I93" s="26" t="n">
        <f>800</f>
        <v>800.0</v>
      </c>
      <c r="J93" s="24"/>
      <c r="K93" s="25" t="n">
        <f>21000000</f>
        <v>2.1E7</v>
      </c>
      <c r="L93" s="23"/>
      <c r="M93" s="25" t="n">
        <f>26400000</f>
        <v>2.64E7</v>
      </c>
      <c r="N93" s="23"/>
      <c r="O93" s="26" t="n">
        <f>47400000</f>
        <v>4.74E7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72929</f>
        <v>72929.0</v>
      </c>
      <c r="AA93" s="23"/>
      <c r="AB93" s="25" t="n">
        <f>19561</f>
        <v>19561.0</v>
      </c>
      <c r="AC93" s="23"/>
      <c r="AD93" s="26" t="n">
        <f>92490</f>
        <v>92490.0</v>
      </c>
    </row>
    <row r="94">
      <c r="A94" s="30" t="s">
        <v>54</v>
      </c>
      <c r="B94" s="22" t="s">
        <v>62</v>
      </c>
      <c r="C94" s="22" t="s">
        <v>63</v>
      </c>
      <c r="D94" s="24"/>
      <c r="E94" s="25" t="str">
        <f>"－"</f>
        <v>－</v>
      </c>
      <c r="F94" s="23"/>
      <c r="G94" s="25" t="str">
        <f>"－"</f>
        <v>－</v>
      </c>
      <c r="H94" s="23"/>
      <c r="I94" s="26" t="str">
        <f>"－"</f>
        <v>－</v>
      </c>
      <c r="J94" s="24"/>
      <c r="K94" s="25" t="str">
        <f>"－"</f>
        <v>－</v>
      </c>
      <c r="L94" s="23"/>
      <c r="M94" s="25" t="str">
        <f>"－"</f>
        <v>－</v>
      </c>
      <c r="N94" s="23"/>
      <c r="O94" s="26" t="str">
        <f>"－"</f>
        <v>－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str">
        <f>"－"</f>
        <v>－</v>
      </c>
      <c r="W94" s="23"/>
      <c r="X94" s="26" t="str">
        <f>"－"</f>
        <v>－</v>
      </c>
      <c r="Y94" s="24"/>
      <c r="Z94" s="25" t="n">
        <f>72929</f>
        <v>72929.0</v>
      </c>
      <c r="AA94" s="23"/>
      <c r="AB94" s="25" t="n">
        <f>19561</f>
        <v>19561.0</v>
      </c>
      <c r="AC94" s="23"/>
      <c r="AD94" s="26" t="n">
        <f>92490</f>
        <v>92490.0</v>
      </c>
    </row>
    <row r="95">
      <c r="A95" s="30" t="s">
        <v>55</v>
      </c>
      <c r="B95" s="22" t="s">
        <v>62</v>
      </c>
      <c r="C95" s="22" t="s">
        <v>63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72929</f>
        <v>72929.0</v>
      </c>
      <c r="AA95" s="23"/>
      <c r="AB95" s="25" t="n">
        <f>19561</f>
        <v>19561.0</v>
      </c>
      <c r="AC95" s="23"/>
      <c r="AD95" s="26" t="n">
        <f>92490</f>
        <v>92490.0</v>
      </c>
    </row>
    <row r="96">
      <c r="A96" s="30" t="s">
        <v>56</v>
      </c>
      <c r="B96" s="22" t="s">
        <v>62</v>
      </c>
      <c r="C96" s="22" t="s">
        <v>63</v>
      </c>
      <c r="D96" s="24"/>
      <c r="E96" s="25" t="str">
        <f>"－"</f>
        <v>－</v>
      </c>
      <c r="F96" s="23"/>
      <c r="G96" s="25" t="str">
        <f>"－"</f>
        <v>－</v>
      </c>
      <c r="H96" s="23"/>
      <c r="I96" s="26" t="str">
        <f>"－"</f>
        <v>－</v>
      </c>
      <c r="J96" s="24"/>
      <c r="K96" s="25" t="str">
        <f>"－"</f>
        <v>－</v>
      </c>
      <c r="L96" s="23"/>
      <c r="M96" s="25" t="str">
        <f>"－"</f>
        <v>－</v>
      </c>
      <c r="N96" s="23"/>
      <c r="O96" s="26" t="str">
        <f>"－"</f>
        <v>－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72929</f>
        <v>72929.0</v>
      </c>
      <c r="AA96" s="23"/>
      <c r="AB96" s="25" t="n">
        <f>19561</f>
        <v>19561.0</v>
      </c>
      <c r="AC96" s="23"/>
      <c r="AD96" s="26" t="n">
        <f>92490</f>
        <v>92490.0</v>
      </c>
    </row>
    <row r="97">
      <c r="A97" s="30" t="s">
        <v>57</v>
      </c>
      <c r="B97" s="22" t="s">
        <v>62</v>
      </c>
      <c r="C97" s="22" t="s">
        <v>63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58</v>
      </c>
      <c r="B98" s="22" t="s">
        <v>62</v>
      </c>
      <c r="C98" s="22" t="s">
        <v>63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59</v>
      </c>
      <c r="B99" s="22" t="s">
        <v>62</v>
      </c>
      <c r="C99" s="22" t="s">
        <v>63</v>
      </c>
      <c r="D99" s="24"/>
      <c r="E99" s="25" t="str">
        <f>"－"</f>
        <v>－</v>
      </c>
      <c r="F99" s="23"/>
      <c r="G99" s="25" t="n">
        <f>456</f>
        <v>456.0</v>
      </c>
      <c r="H99" s="23"/>
      <c r="I99" s="26" t="n">
        <f>456</f>
        <v>456.0</v>
      </c>
      <c r="J99" s="24"/>
      <c r="K99" s="25" t="str">
        <f>"－"</f>
        <v>－</v>
      </c>
      <c r="L99" s="23"/>
      <c r="M99" s="25" t="n">
        <f>30248300</f>
        <v>3.02483E7</v>
      </c>
      <c r="N99" s="23"/>
      <c r="O99" s="26" t="n">
        <f>30248300</f>
        <v>3.02483E7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72929</f>
        <v>72929.0</v>
      </c>
      <c r="AA99" s="23" t="s">
        <v>35</v>
      </c>
      <c r="AB99" s="25" t="n">
        <f>20017</f>
        <v>20017.0</v>
      </c>
      <c r="AC99" s="23"/>
      <c r="AD99" s="26" t="n">
        <f>92946</f>
        <v>92946.0</v>
      </c>
    </row>
    <row r="100">
      <c r="A100" s="30" t="s">
        <v>26</v>
      </c>
      <c r="B100" s="22" t="s">
        <v>64</v>
      </c>
      <c r="C100" s="22" t="s">
        <v>65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29</v>
      </c>
      <c r="B101" s="22" t="s">
        <v>64</v>
      </c>
      <c r="C101" s="22" t="s">
        <v>65</v>
      </c>
      <c r="D101" s="24" t="s">
        <v>66</v>
      </c>
      <c r="E101" s="25" t="str">
        <f>"－"</f>
        <v>－</v>
      </c>
      <c r="F101" s="23" t="s">
        <v>66</v>
      </c>
      <c r="G101" s="25" t="str">
        <f>"－"</f>
        <v>－</v>
      </c>
      <c r="H101" s="23" t="s">
        <v>66</v>
      </c>
      <c r="I101" s="26" t="str">
        <f>"－"</f>
        <v>－</v>
      </c>
      <c r="J101" s="24" t="s">
        <v>66</v>
      </c>
      <c r="K101" s="25" t="str">
        <f>"－"</f>
        <v>－</v>
      </c>
      <c r="L101" s="23" t="s">
        <v>66</v>
      </c>
      <c r="M101" s="25" t="str">
        <f>"－"</f>
        <v>－</v>
      </c>
      <c r="N101" s="23" t="s">
        <v>66</v>
      </c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 t="s">
        <v>66</v>
      </c>
      <c r="T101" s="25" t="str">
        <f>"－"</f>
        <v>－</v>
      </c>
      <c r="U101" s="23" t="s">
        <v>66</v>
      </c>
      <c r="V101" s="25" t="str">
        <f>"－"</f>
        <v>－</v>
      </c>
      <c r="W101" s="23" t="s">
        <v>66</v>
      </c>
      <c r="X101" s="26" t="str">
        <f>"－"</f>
        <v>－</v>
      </c>
      <c r="Y101" s="24" t="s">
        <v>66</v>
      </c>
      <c r="Z101" s="25" t="str">
        <f>"－"</f>
        <v>－</v>
      </c>
      <c r="AA101" s="23" t="s">
        <v>66</v>
      </c>
      <c r="AB101" s="25" t="str">
        <f>"－"</f>
        <v>－</v>
      </c>
      <c r="AC101" s="23" t="s">
        <v>66</v>
      </c>
      <c r="AD101" s="26" t="str">
        <f>"－"</f>
        <v>－</v>
      </c>
    </row>
    <row r="102">
      <c r="A102" s="30" t="s">
        <v>31</v>
      </c>
      <c r="B102" s="22" t="s">
        <v>64</v>
      </c>
      <c r="C102" s="22" t="s">
        <v>65</v>
      </c>
      <c r="D102" s="24"/>
      <c r="E102" s="25"/>
      <c r="F102" s="23"/>
      <c r="G102" s="25"/>
      <c r="H102" s="23"/>
      <c r="I102" s="26"/>
      <c r="J102" s="24"/>
      <c r="K102" s="25"/>
      <c r="L102" s="23"/>
      <c r="M102" s="25"/>
      <c r="N102" s="23"/>
      <c r="O102" s="26"/>
      <c r="P102" s="27"/>
      <c r="Q102" s="28"/>
      <c r="R102" s="29"/>
      <c r="S102" s="24"/>
      <c r="T102" s="25"/>
      <c r="U102" s="23"/>
      <c r="V102" s="25"/>
      <c r="W102" s="23"/>
      <c r="X102" s="26"/>
      <c r="Y102" s="24"/>
      <c r="Z102" s="25"/>
      <c r="AA102" s="23"/>
      <c r="AB102" s="25"/>
      <c r="AC102" s="23"/>
      <c r="AD102" s="26"/>
    </row>
    <row r="103">
      <c r="A103" s="30" t="s">
        <v>32</v>
      </c>
      <c r="B103" s="22" t="s">
        <v>64</v>
      </c>
      <c r="C103" s="22" t="s">
        <v>65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33</v>
      </c>
      <c r="B104" s="22" t="s">
        <v>64</v>
      </c>
      <c r="C104" s="22" t="s">
        <v>65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34</v>
      </c>
      <c r="B105" s="22" t="s">
        <v>64</v>
      </c>
      <c r="C105" s="22" t="s">
        <v>65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36</v>
      </c>
      <c r="B106" s="22" t="s">
        <v>64</v>
      </c>
      <c r="C106" s="22" t="s">
        <v>65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37</v>
      </c>
      <c r="B107" s="22" t="s">
        <v>64</v>
      </c>
      <c r="C107" s="22" t="s">
        <v>65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38</v>
      </c>
      <c r="B108" s="22" t="s">
        <v>64</v>
      </c>
      <c r="C108" s="22" t="s">
        <v>65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39</v>
      </c>
      <c r="B109" s="22" t="s">
        <v>64</v>
      </c>
      <c r="C109" s="22" t="s">
        <v>65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40</v>
      </c>
      <c r="B110" s="22" t="s">
        <v>64</v>
      </c>
      <c r="C110" s="22" t="s">
        <v>65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41</v>
      </c>
      <c r="B111" s="22" t="s">
        <v>64</v>
      </c>
      <c r="C111" s="22" t="s">
        <v>65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42</v>
      </c>
      <c r="B112" s="22" t="s">
        <v>64</v>
      </c>
      <c r="C112" s="22" t="s">
        <v>65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43</v>
      </c>
      <c r="B113" s="22" t="s">
        <v>64</v>
      </c>
      <c r="C113" s="22" t="s">
        <v>65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44</v>
      </c>
      <c r="B114" s="22" t="s">
        <v>64</v>
      </c>
      <c r="C114" s="22" t="s">
        <v>65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45</v>
      </c>
      <c r="B115" s="22" t="s">
        <v>64</v>
      </c>
      <c r="C115" s="22" t="s">
        <v>65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46</v>
      </c>
      <c r="B116" s="22" t="s">
        <v>64</v>
      </c>
      <c r="C116" s="22" t="s">
        <v>65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47</v>
      </c>
      <c r="B117" s="22" t="s">
        <v>64</v>
      </c>
      <c r="C117" s="22" t="s">
        <v>65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48</v>
      </c>
      <c r="B118" s="22" t="s">
        <v>64</v>
      </c>
      <c r="C118" s="22" t="s">
        <v>65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49</v>
      </c>
      <c r="B119" s="22" t="s">
        <v>64</v>
      </c>
      <c r="C119" s="22" t="s">
        <v>65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50</v>
      </c>
      <c r="B120" s="22" t="s">
        <v>64</v>
      </c>
      <c r="C120" s="22" t="s">
        <v>65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51</v>
      </c>
      <c r="B121" s="22" t="s">
        <v>64</v>
      </c>
      <c r="C121" s="22" t="s">
        <v>65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52</v>
      </c>
      <c r="B122" s="22" t="s">
        <v>64</v>
      </c>
      <c r="C122" s="22" t="s">
        <v>65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53</v>
      </c>
      <c r="B123" s="22" t="s">
        <v>64</v>
      </c>
      <c r="C123" s="22" t="s">
        <v>65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54</v>
      </c>
      <c r="B124" s="22" t="s">
        <v>64</v>
      </c>
      <c r="C124" s="22" t="s">
        <v>65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55</v>
      </c>
      <c r="B125" s="22" t="s">
        <v>64</v>
      </c>
      <c r="C125" s="22" t="s">
        <v>65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56</v>
      </c>
      <c r="B126" s="22" t="s">
        <v>64</v>
      </c>
      <c r="C126" s="22" t="s">
        <v>65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57</v>
      </c>
      <c r="B127" s="22" t="s">
        <v>64</v>
      </c>
      <c r="C127" s="22" t="s">
        <v>65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58</v>
      </c>
      <c r="B128" s="22" t="s">
        <v>64</v>
      </c>
      <c r="C128" s="22" t="s">
        <v>65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59</v>
      </c>
      <c r="B129" s="22" t="s">
        <v>64</v>
      </c>
      <c r="C129" s="22" t="s">
        <v>65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