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<sst xmlns="http://schemas.openxmlformats.org/spreadsheetml/2006/main" count="1714" uniqueCount="84">
  <si>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</si>
  <si>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</si>
  <si>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</si>
  <si>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</si>
  <si>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</si>
  <si>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</si>
  <si>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</si>
  <si>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</si>
  <si>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</si>
  <si>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</si>
  <si>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</si>
  <si>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</si>
  <si>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</si>
  <si>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</si>
  <si>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</si>
  <si>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</si>
  <si>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12.1</t>
  </si>
  <si>
    <t>日経225先物</t>
  </si>
  <si>
    <t>Nikkei 225 Futures</t>
  </si>
  <si>
    <t>2</t>
  </si>
  <si>
    <t>3</t>
  </si>
  <si>
    <t>4</t>
  </si>
  <si>
    <t>5</t>
  </si>
  <si>
    <t>6</t>
  </si>
  <si>
    <t>7</t>
  </si>
  <si>
    <t>8</t>
  </si>
  <si>
    <t>◎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</si>
  <si>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</si>
  <si>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</si>
  <si>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</si>
  <si>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</si>
  <si>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</si>
  <si>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</si>
  <si>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</si>
  <si>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</si>
  <si>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</si>
  <si>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</si>
  <si>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</si>
  <si>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</si>
  <si>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</si>
  <si>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</si>
  <si>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</si>
  <si>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</si>
  <si>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</si>
  <si>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●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</si>
  <si>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</si>
  <si>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</si>
  <si>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</si>
  <si>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</si>
  <si>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</si>
  <si>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</si>
  <si>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</si>
  <si>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</si>
  <si>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</si>
  <si>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</si>
  <si>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</si>
  <si>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</si>
  <si>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</si>
  <si>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</si>
  <si>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</si>
  <si>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</si>
  <si>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</si>
  <si>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</si>
  <si>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</si>
  <si>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</si>
  <si>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</si>
  <si>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</si>
  <si>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◎●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</si>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</sst>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32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90231</f>
        <v>90231.0</v>
      </c>
      <c r="F6" s="10"/>
      <c r="G6" s="2" t="n">
        <f>2407716933640</f>
        <v>2.40771693364E12</v>
      </c>
      <c r="H6" s="10"/>
      <c r="I6" s="2" t="n">
        <f>8053</f>
        <v>8053.0</v>
      </c>
      <c r="J6" s="10"/>
      <c r="K6" s="2" t="n">
        <f>429153</f>
        <v>429153.0</v>
      </c>
    </row>
    <row r="7">
      <c r="A7" s="8" t="s">
        <v>19</v>
      </c>
      <c r="B7" s="9" t="s">
        <v>17</v>
      </c>
      <c r="C7" s="9" t="s">
        <v>18</v>
      </c>
      <c r="D7" s="10"/>
      <c r="E7" s="2" t="n">
        <f>79851</f>
        <v>79851.0</v>
      </c>
      <c r="F7" s="10"/>
      <c r="G7" s="2" t="n">
        <f>2139558544310</f>
        <v>2.13955854431E12</v>
      </c>
      <c r="H7" s="10"/>
      <c r="I7" s="2" t="n">
        <f>5732</f>
        <v>5732.0</v>
      </c>
      <c r="J7" s="10"/>
      <c r="K7" s="2" t="n">
        <f>427303</f>
        <v>427303.0</v>
      </c>
    </row>
    <row r="8">
      <c r="A8" s="8" t="s">
        <v>20</v>
      </c>
      <c r="B8" s="9" t="s">
        <v>17</v>
      </c>
      <c r="C8" s="9" t="s">
        <v>18</v>
      </c>
      <c r="D8" s="10"/>
      <c r="E8" s="2" t="n">
        <f>85688</f>
        <v>85688.0</v>
      </c>
      <c r="F8" s="10"/>
      <c r="G8" s="2" t="n">
        <f>2295623395659</f>
        <v>2.295623395659E12</v>
      </c>
      <c r="H8" s="10"/>
      <c r="I8" s="2" t="n">
        <f>8836</f>
        <v>8836.0</v>
      </c>
      <c r="J8" s="10"/>
      <c r="K8" s="2" t="n">
        <f>428680</f>
        <v>428680.0</v>
      </c>
    </row>
    <row r="9">
      <c r="A9" s="8" t="s">
        <v>21</v>
      </c>
      <c r="B9" s="9" t="s">
        <v>17</v>
      </c>
      <c r="C9" s="9" t="s">
        <v>18</v>
      </c>
      <c r="D9" s="10"/>
      <c r="E9" s="2" t="n">
        <f>90806</f>
        <v>90806.0</v>
      </c>
      <c r="F9" s="10"/>
      <c r="G9" s="2" t="n">
        <f>2427193562185</f>
        <v>2.427193562185E12</v>
      </c>
      <c r="H9" s="10"/>
      <c r="I9" s="2" t="n">
        <f>14476</f>
        <v>14476.0</v>
      </c>
      <c r="J9" s="10"/>
      <c r="K9" s="2" t="n">
        <f>425894</f>
        <v>425894.0</v>
      </c>
    </row>
    <row r="10">
      <c r="A10" s="8" t="s">
        <v>22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23</v>
      </c>
      <c r="B11" s="9" t="s">
        <v>17</v>
      </c>
      <c r="C11" s="9" t="s">
        <v>18</v>
      </c>
      <c r="D11" s="10"/>
      <c r="E11" s="2"/>
      <c r="F11" s="10"/>
      <c r="G11" s="2"/>
      <c r="H11" s="10"/>
      <c r="I11" s="2"/>
      <c r="J11" s="10"/>
      <c r="K11" s="2"/>
    </row>
    <row r="12">
      <c r="A12" s="8" t="s">
        <v>24</v>
      </c>
      <c r="B12" s="9" t="s">
        <v>17</v>
      </c>
      <c r="C12" s="9" t="s">
        <v>18</v>
      </c>
      <c r="D12" s="10"/>
      <c r="E12" s="2" t="n">
        <f>214983</f>
        <v>214983.0</v>
      </c>
      <c r="F12" s="10"/>
      <c r="G12" s="2" t="n">
        <f>5728020438248</f>
        <v>5.728020438248E12</v>
      </c>
      <c r="H12" s="10"/>
      <c r="I12" s="2" t="n">
        <f>30350</f>
        <v>30350.0</v>
      </c>
      <c r="J12" s="10"/>
      <c r="K12" s="2" t="n">
        <f>430834</f>
        <v>430834.0</v>
      </c>
    </row>
    <row r="13">
      <c r="A13" s="8" t="s">
        <v>25</v>
      </c>
      <c r="B13" s="9" t="s">
        <v>17</v>
      </c>
      <c r="C13" s="9" t="s">
        <v>18</v>
      </c>
      <c r="D13" s="10" t="s">
        <v>26</v>
      </c>
      <c r="E13" s="2" t="n">
        <f>341543</f>
        <v>341543.0</v>
      </c>
      <c r="F13" s="10" t="s">
        <v>26</v>
      </c>
      <c r="G13" s="2" t="n">
        <f>9030366926362</f>
        <v>9.030366926362E12</v>
      </c>
      <c r="H13" s="10" t="s">
        <v>26</v>
      </c>
      <c r="I13" s="2" t="n">
        <f>56358</f>
        <v>56358.0</v>
      </c>
      <c r="J13" s="10"/>
      <c r="K13" s="2" t="n">
        <f>431497</f>
        <v>431497.0</v>
      </c>
    </row>
    <row r="14">
      <c r="A14" s="8" t="s">
        <v>27</v>
      </c>
      <c r="B14" s="9" t="s">
        <v>17</v>
      </c>
      <c r="C14" s="9" t="s">
        <v>18</v>
      </c>
      <c r="D14" s="10"/>
      <c r="E14" s="2" t="n">
        <f>304552</f>
        <v>304552.0</v>
      </c>
      <c r="F14" s="10"/>
      <c r="G14" s="2" t="n">
        <f>8111552438393</f>
        <v>8.111552438393E12</v>
      </c>
      <c r="H14" s="10"/>
      <c r="I14" s="2" t="n">
        <f>36659</f>
        <v>36659.0</v>
      </c>
      <c r="J14" s="10" t="s">
        <v>26</v>
      </c>
      <c r="K14" s="2" t="n">
        <f>440390</f>
        <v>440390.0</v>
      </c>
    </row>
    <row r="15">
      <c r="A15" s="8" t="s">
        <v>28</v>
      </c>
      <c r="B15" s="9" t="s">
        <v>17</v>
      </c>
      <c r="C15" s="9" t="s">
        <v>18</v>
      </c>
      <c r="D15" s="10"/>
      <c r="E15" s="2" t="n">
        <f>136078</f>
        <v>136078.0</v>
      </c>
      <c r="F15" s="10"/>
      <c r="G15" s="2" t="n">
        <f>3634278483170</f>
        <v>3.63427848317E12</v>
      </c>
      <c r="H15" s="10"/>
      <c r="I15" s="2" t="n">
        <f>16503</f>
        <v>16503.0</v>
      </c>
      <c r="J15" s="10"/>
      <c r="K15" s="2" t="n">
        <f>435360</f>
        <v>435360.0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54396</f>
        <v>54396.0</v>
      </c>
      <c r="F16" s="10"/>
      <c r="G16" s="2" t="n">
        <f>1447400762810</f>
        <v>1.44740076281E12</v>
      </c>
      <c r="H16" s="10"/>
      <c r="I16" s="2" t="n">
        <f>6062</f>
        <v>6062.0</v>
      </c>
      <c r="J16" s="10"/>
      <c r="K16" s="2" t="n">
        <f>435532</f>
        <v>435532.0</v>
      </c>
    </row>
    <row r="17">
      <c r="A17" s="8" t="s">
        <v>30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31</v>
      </c>
      <c r="B18" s="9" t="s">
        <v>17</v>
      </c>
      <c r="C18" s="9" t="s">
        <v>18</v>
      </c>
      <c r="D18" s="10"/>
      <c r="E18" s="2"/>
      <c r="F18" s="10"/>
      <c r="G18" s="2"/>
      <c r="H18" s="10"/>
      <c r="I18" s="2"/>
      <c r="J18" s="10"/>
      <c r="K18" s="2"/>
    </row>
    <row r="19">
      <c r="A19" s="8" t="s">
        <v>32</v>
      </c>
      <c r="B19" s="9" t="s">
        <v>17</v>
      </c>
      <c r="C19" s="9" t="s">
        <v>18</v>
      </c>
      <c r="D19" s="10"/>
      <c r="E19" s="2" t="n">
        <f>49877</f>
        <v>49877.0</v>
      </c>
      <c r="F19" s="10"/>
      <c r="G19" s="2" t="n">
        <f>1328083217670</f>
        <v>1.32808321767E12</v>
      </c>
      <c r="H19" s="10"/>
      <c r="I19" s="2" t="n">
        <f>6030</f>
        <v>6030.0</v>
      </c>
      <c r="J19" s="10"/>
      <c r="K19" s="2" t="n">
        <f>305396</f>
        <v>305396.0</v>
      </c>
    </row>
    <row r="20">
      <c r="A20" s="8" t="s">
        <v>33</v>
      </c>
      <c r="B20" s="9" t="s">
        <v>17</v>
      </c>
      <c r="C20" s="9" t="s">
        <v>18</v>
      </c>
      <c r="D20" s="10"/>
      <c r="E20" s="2" t="n">
        <f>41476</f>
        <v>41476.0</v>
      </c>
      <c r="F20" s="10"/>
      <c r="G20" s="2" t="n">
        <f>1104707188000</f>
        <v>1.104707188E12</v>
      </c>
      <c r="H20" s="10"/>
      <c r="I20" s="2" t="n">
        <f>5114</f>
        <v>5114.0</v>
      </c>
      <c r="J20" s="10"/>
      <c r="K20" s="2" t="n">
        <f>305484</f>
        <v>305484.0</v>
      </c>
    </row>
    <row r="21">
      <c r="A21" s="8" t="s">
        <v>34</v>
      </c>
      <c r="B21" s="9" t="s">
        <v>17</v>
      </c>
      <c r="C21" s="9" t="s">
        <v>18</v>
      </c>
      <c r="D21" s="10"/>
      <c r="E21" s="2" t="n">
        <f>34336</f>
        <v>34336.0</v>
      </c>
      <c r="F21" s="10"/>
      <c r="G21" s="2" t="n">
        <f>917090528694</f>
        <v>9.17090528694E11</v>
      </c>
      <c r="H21" s="10"/>
      <c r="I21" s="2" t="n">
        <f>2606</f>
        <v>2606.0</v>
      </c>
      <c r="J21" s="10"/>
      <c r="K21" s="2" t="n">
        <f>304989</f>
        <v>304989.0</v>
      </c>
    </row>
    <row r="22">
      <c r="A22" s="8" t="s">
        <v>35</v>
      </c>
      <c r="B22" s="9" t="s">
        <v>17</v>
      </c>
      <c r="C22" s="9" t="s">
        <v>18</v>
      </c>
      <c r="D22" s="10"/>
      <c r="E22" s="2" t="n">
        <f>36594</f>
        <v>36594.0</v>
      </c>
      <c r="F22" s="10"/>
      <c r="G22" s="2" t="n">
        <f>977614790610</f>
        <v>9.7761479061E11</v>
      </c>
      <c r="H22" s="10"/>
      <c r="I22" s="2" t="n">
        <f>2937</f>
        <v>2937.0</v>
      </c>
      <c r="J22" s="10"/>
      <c r="K22" s="2" t="n">
        <f>306407</f>
        <v>306407.0</v>
      </c>
    </row>
    <row r="23">
      <c r="A23" s="8" t="s">
        <v>36</v>
      </c>
      <c r="B23" s="9" t="s">
        <v>17</v>
      </c>
      <c r="C23" s="9" t="s">
        <v>18</v>
      </c>
      <c r="D23" s="10"/>
      <c r="E23" s="2" t="n">
        <f>31594</f>
        <v>31594.0</v>
      </c>
      <c r="F23" s="10"/>
      <c r="G23" s="2" t="n">
        <f>843914771280</f>
        <v>8.4391477128E11</v>
      </c>
      <c r="H23" s="10"/>
      <c r="I23" s="2" t="n">
        <f>2012</f>
        <v>2012.0</v>
      </c>
      <c r="J23" s="10"/>
      <c r="K23" s="2" t="n">
        <f>306584</f>
        <v>306584.0</v>
      </c>
    </row>
    <row r="24">
      <c r="A24" s="8" t="s">
        <v>37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38</v>
      </c>
      <c r="B25" s="9" t="s">
        <v>17</v>
      </c>
      <c r="C25" s="9" t="s">
        <v>18</v>
      </c>
      <c r="D25" s="10"/>
      <c r="E25" s="2"/>
      <c r="F25" s="10"/>
      <c r="G25" s="2"/>
      <c r="H25" s="10"/>
      <c r="I25" s="2"/>
      <c r="J25" s="10"/>
      <c r="K25" s="2"/>
    </row>
    <row r="26">
      <c r="A26" s="8" t="s">
        <v>39</v>
      </c>
      <c r="B26" s="9" t="s">
        <v>17</v>
      </c>
      <c r="C26" s="9" t="s">
        <v>18</v>
      </c>
      <c r="D26" s="10"/>
      <c r="E26" s="2" t="n">
        <f>54961</f>
        <v>54961.0</v>
      </c>
      <c r="F26" s="10"/>
      <c r="G26" s="2" t="n">
        <f>1463391245410</f>
        <v>1.46339124541E12</v>
      </c>
      <c r="H26" s="10"/>
      <c r="I26" s="2" t="n">
        <f>6190</f>
        <v>6190.0</v>
      </c>
      <c r="J26" s="10"/>
      <c r="K26" s="2" t="n">
        <f>307662</f>
        <v>307662.0</v>
      </c>
    </row>
    <row r="27">
      <c r="A27" s="8" t="s">
        <v>40</v>
      </c>
      <c r="B27" s="9" t="s">
        <v>17</v>
      </c>
      <c r="C27" s="9" t="s">
        <v>18</v>
      </c>
      <c r="D27" s="10"/>
      <c r="E27" s="2" t="n">
        <f>77272</f>
        <v>77272.0</v>
      </c>
      <c r="F27" s="10"/>
      <c r="G27" s="2" t="n">
        <f>2040448796500</f>
        <v>2.0404487965E12</v>
      </c>
      <c r="H27" s="10"/>
      <c r="I27" s="2" t="n">
        <f>9579</f>
        <v>9579.0</v>
      </c>
      <c r="J27" s="10"/>
      <c r="K27" s="2" t="n">
        <f>310802</f>
        <v>310802.0</v>
      </c>
    </row>
    <row r="28">
      <c r="A28" s="8" t="s">
        <v>41</v>
      </c>
      <c r="B28" s="9" t="s">
        <v>17</v>
      </c>
      <c r="C28" s="9" t="s">
        <v>18</v>
      </c>
      <c r="D28" s="10"/>
      <c r="E28" s="2" t="n">
        <f>48868</f>
        <v>48868.0</v>
      </c>
      <c r="F28" s="10"/>
      <c r="G28" s="2" t="n">
        <f>1292094127440</f>
        <v>1.29209412744E12</v>
      </c>
      <c r="H28" s="10"/>
      <c r="I28" s="2" t="n">
        <f>5176</f>
        <v>5176.0</v>
      </c>
      <c r="J28" s="10"/>
      <c r="K28" s="2" t="n">
        <f>310617</f>
        <v>310617.0</v>
      </c>
    </row>
    <row r="29">
      <c r="A29" s="8" t="s">
        <v>42</v>
      </c>
      <c r="B29" s="9" t="s">
        <v>17</v>
      </c>
      <c r="C29" s="9" t="s">
        <v>18</v>
      </c>
      <c r="D29" s="10"/>
      <c r="E29" s="2" t="n">
        <f>41181</f>
        <v>41181.0</v>
      </c>
      <c r="F29" s="10"/>
      <c r="G29" s="2" t="n">
        <f>1095438817681</f>
        <v>1.095438817681E12</v>
      </c>
      <c r="H29" s="10"/>
      <c r="I29" s="2" t="n">
        <f>4225</f>
        <v>4225.0</v>
      </c>
      <c r="J29" s="10"/>
      <c r="K29" s="2" t="n">
        <f>309645</f>
        <v>309645.0</v>
      </c>
    </row>
    <row r="30">
      <c r="A30" s="8" t="s">
        <v>43</v>
      </c>
      <c r="B30" s="9" t="s">
        <v>17</v>
      </c>
      <c r="C30" s="9" t="s">
        <v>18</v>
      </c>
      <c r="D30" s="10" t="s">
        <v>44</v>
      </c>
      <c r="E30" s="2" t="n">
        <f>13578</f>
        <v>13578.0</v>
      </c>
      <c r="F30" s="10" t="s">
        <v>44</v>
      </c>
      <c r="G30" s="2" t="n">
        <f>361421139100</f>
        <v>3.614211391E11</v>
      </c>
      <c r="H30" s="10" t="s">
        <v>44</v>
      </c>
      <c r="I30" s="2" t="n">
        <f>827</f>
        <v>827.0</v>
      </c>
      <c r="J30" s="10"/>
      <c r="K30" s="2" t="n">
        <f>308367</f>
        <v>308367.0</v>
      </c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/>
      <c r="F32" s="10"/>
      <c r="G32" s="2"/>
      <c r="H32" s="10"/>
      <c r="I32" s="2"/>
      <c r="J32" s="10"/>
      <c r="K32" s="2"/>
    </row>
    <row r="33">
      <c r="A33" s="8" t="s">
        <v>47</v>
      </c>
      <c r="B33" s="9" t="s">
        <v>17</v>
      </c>
      <c r="C33" s="9" t="s">
        <v>18</v>
      </c>
      <c r="D33" s="10"/>
      <c r="E33" s="2" t="n">
        <f>30308</f>
        <v>30308.0</v>
      </c>
      <c r="F33" s="10"/>
      <c r="G33" s="2" t="n">
        <f>808523746390</f>
        <v>8.0852374639E11</v>
      </c>
      <c r="H33" s="10"/>
      <c r="I33" s="2" t="n">
        <f>3198</f>
        <v>3198.0</v>
      </c>
      <c r="J33" s="10"/>
      <c r="K33" s="2" t="n">
        <f>307117</f>
        <v>307117.0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73415</f>
        <v>73415.0</v>
      </c>
      <c r="F34" s="10"/>
      <c r="G34" s="2" t="n">
        <f>2002988723270</f>
        <v>2.00298872327E12</v>
      </c>
      <c r="H34" s="10"/>
      <c r="I34" s="2" t="n">
        <f>6989</f>
        <v>6989.0</v>
      </c>
      <c r="J34" s="10"/>
      <c r="K34" s="2" t="n">
        <f>310801</f>
        <v>310801.0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86965</f>
        <v>86965.0</v>
      </c>
      <c r="F35" s="10"/>
      <c r="G35" s="2" t="n">
        <f>2387612608090</f>
        <v>2.38761260809E12</v>
      </c>
      <c r="H35" s="10"/>
      <c r="I35" s="2" t="n">
        <f>8426</f>
        <v>8426.0</v>
      </c>
      <c r="J35" s="10" t="s">
        <v>44</v>
      </c>
      <c r="K35" s="2" t="n">
        <f>304922</f>
        <v>304922.0</v>
      </c>
    </row>
    <row r="36">
      <c r="A36" s="8" t="s">
        <v>50</v>
      </c>
      <c r="B36" s="9" t="s">
        <v>17</v>
      </c>
      <c r="C36" s="9" t="s">
        <v>18</v>
      </c>
      <c r="D36" s="10"/>
      <c r="E36" s="2"/>
      <c r="F36" s="10"/>
      <c r="G36" s="2"/>
      <c r="H36" s="10"/>
      <c r="I36" s="2"/>
      <c r="J36" s="10"/>
      <c r="K36" s="2"/>
    </row>
    <row r="37">
      <c r="A37" s="8" t="s">
        <v>16</v>
      </c>
      <c r="B37" s="9" t="s">
        <v>51</v>
      </c>
      <c r="C37" s="9" t="s">
        <v>52</v>
      </c>
      <c r="D37" s="10"/>
      <c r="E37" s="2" t="n">
        <f>999958</f>
        <v>999958.0</v>
      </c>
      <c r="F37" s="10"/>
      <c r="G37" s="2" t="n">
        <f>2664780427370</f>
        <v>2.66478042737E12</v>
      </c>
      <c r="H37" s="10"/>
      <c r="I37" s="2" t="n">
        <f>106127</f>
        <v>106127.0</v>
      </c>
      <c r="J37" s="10"/>
      <c r="K37" s="2" t="n">
        <f>505181</f>
        <v>505181.0</v>
      </c>
    </row>
    <row r="38">
      <c r="A38" s="8" t="s">
        <v>19</v>
      </c>
      <c r="B38" s="9" t="s">
        <v>51</v>
      </c>
      <c r="C38" s="9" t="s">
        <v>52</v>
      </c>
      <c r="D38" s="10"/>
      <c r="E38" s="2" t="n">
        <f>886539</f>
        <v>886539.0</v>
      </c>
      <c r="F38" s="10"/>
      <c r="G38" s="2" t="n">
        <f>2377791988486</f>
        <v>2.377791988486E12</v>
      </c>
      <c r="H38" s="10"/>
      <c r="I38" s="2" t="n">
        <f>97626</f>
        <v>97626.0</v>
      </c>
      <c r="J38" s="10"/>
      <c r="K38" s="2" t="n">
        <f>507936</f>
        <v>507936.0</v>
      </c>
    </row>
    <row r="39">
      <c r="A39" s="8" t="s">
        <v>20</v>
      </c>
      <c r="B39" s="9" t="s">
        <v>51</v>
      </c>
      <c r="C39" s="9" t="s">
        <v>52</v>
      </c>
      <c r="D39" s="10"/>
      <c r="E39" s="2" t="n">
        <f>858701</f>
        <v>858701.0</v>
      </c>
      <c r="F39" s="10"/>
      <c r="G39" s="2" t="n">
        <f>2301212264203</f>
        <v>2.301212264203E12</v>
      </c>
      <c r="H39" s="10"/>
      <c r="I39" s="2" t="n">
        <f>95854</f>
        <v>95854.0</v>
      </c>
      <c r="J39" s="10"/>
      <c r="K39" s="2" t="n">
        <f>511419</f>
        <v>511419.0</v>
      </c>
    </row>
    <row r="40">
      <c r="A40" s="8" t="s">
        <v>21</v>
      </c>
      <c r="B40" s="9" t="s">
        <v>51</v>
      </c>
      <c r="C40" s="9" t="s">
        <v>52</v>
      </c>
      <c r="D40" s="10"/>
      <c r="E40" s="2" t="n">
        <f>629887</f>
        <v>629887.0</v>
      </c>
      <c r="F40" s="10"/>
      <c r="G40" s="2" t="n">
        <f>1684806857672</f>
        <v>1.684806857672E12</v>
      </c>
      <c r="H40" s="10"/>
      <c r="I40" s="2" t="n">
        <f>63676</f>
        <v>63676.0</v>
      </c>
      <c r="J40" s="10"/>
      <c r="K40" s="2" t="n">
        <f>508610</f>
        <v>508610.0</v>
      </c>
    </row>
    <row r="41">
      <c r="A41" s="8" t="s">
        <v>22</v>
      </c>
      <c r="B41" s="9" t="s">
        <v>51</v>
      </c>
      <c r="C41" s="9" t="s">
        <v>52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23</v>
      </c>
      <c r="B42" s="9" t="s">
        <v>51</v>
      </c>
      <c r="C42" s="9" t="s">
        <v>52</v>
      </c>
      <c r="D42" s="10"/>
      <c r="E42" s="2"/>
      <c r="F42" s="10"/>
      <c r="G42" s="2"/>
      <c r="H42" s="10"/>
      <c r="I42" s="2"/>
      <c r="J42" s="10"/>
      <c r="K42" s="2"/>
    </row>
    <row r="43">
      <c r="A43" s="8" t="s">
        <v>24</v>
      </c>
      <c r="B43" s="9" t="s">
        <v>51</v>
      </c>
      <c r="C43" s="9" t="s">
        <v>52</v>
      </c>
      <c r="D43" s="10"/>
      <c r="E43" s="2" t="n">
        <f>964161</f>
        <v>964161.0</v>
      </c>
      <c r="F43" s="10"/>
      <c r="G43" s="2" t="n">
        <f>2571334190597</f>
        <v>2.571334190597E12</v>
      </c>
      <c r="H43" s="10" t="s">
        <v>26</v>
      </c>
      <c r="I43" s="2" t="n">
        <f>223927</f>
        <v>223927.0</v>
      </c>
      <c r="J43" s="10" t="s">
        <v>26</v>
      </c>
      <c r="K43" s="2" t="n">
        <f>562478</f>
        <v>562478.0</v>
      </c>
    </row>
    <row r="44">
      <c r="A44" s="8" t="s">
        <v>25</v>
      </c>
      <c r="B44" s="9" t="s">
        <v>51</v>
      </c>
      <c r="C44" s="9" t="s">
        <v>52</v>
      </c>
      <c r="D44" s="10"/>
      <c r="E44" s="2" t="n">
        <f>962502</f>
        <v>962502.0</v>
      </c>
      <c r="F44" s="10"/>
      <c r="G44" s="2" t="n">
        <f>2544531222213</f>
        <v>2.544531222213E12</v>
      </c>
      <c r="H44" s="10"/>
      <c r="I44" s="2" t="n">
        <f>200749</f>
        <v>200749.0</v>
      </c>
      <c r="J44" s="10"/>
      <c r="K44" s="2" t="n">
        <f>508086</f>
        <v>508086.0</v>
      </c>
    </row>
    <row r="45">
      <c r="A45" s="8" t="s">
        <v>27</v>
      </c>
      <c r="B45" s="9" t="s">
        <v>51</v>
      </c>
      <c r="C45" s="9" t="s">
        <v>52</v>
      </c>
      <c r="D45" s="10"/>
      <c r="E45" s="2" t="n">
        <f>873054</f>
        <v>873054.0</v>
      </c>
      <c r="F45" s="10"/>
      <c r="G45" s="2" t="n">
        <f>2324956053504</f>
        <v>2.324956053504E12</v>
      </c>
      <c r="H45" s="10"/>
      <c r="I45" s="2" t="n">
        <f>144768</f>
        <v>144768.0</v>
      </c>
      <c r="J45" s="10"/>
      <c r="K45" s="2" t="n">
        <f>520625</f>
        <v>520625.0</v>
      </c>
    </row>
    <row r="46">
      <c r="A46" s="8" t="s">
        <v>28</v>
      </c>
      <c r="B46" s="9" t="s">
        <v>51</v>
      </c>
      <c r="C46" s="9" t="s">
        <v>52</v>
      </c>
      <c r="D46" s="10"/>
      <c r="E46" s="2" t="n">
        <f>847248</f>
        <v>847248.0</v>
      </c>
      <c r="F46" s="10"/>
      <c r="G46" s="2" t="n">
        <f>2263167065786</f>
        <v>2.263167065786E12</v>
      </c>
      <c r="H46" s="10"/>
      <c r="I46" s="2" t="n">
        <f>134679</f>
        <v>134679.0</v>
      </c>
      <c r="J46" s="10"/>
      <c r="K46" s="2" t="n">
        <f>526997</f>
        <v>526997.0</v>
      </c>
    </row>
    <row r="47">
      <c r="A47" s="8" t="s">
        <v>29</v>
      </c>
      <c r="B47" s="9" t="s">
        <v>51</v>
      </c>
      <c r="C47" s="9" t="s">
        <v>52</v>
      </c>
      <c r="D47" s="10"/>
      <c r="E47" s="2" t="n">
        <f>738090</f>
        <v>738090.0</v>
      </c>
      <c r="F47" s="10"/>
      <c r="G47" s="2" t="n">
        <f>1964215275436</f>
        <v>1.964215275436E12</v>
      </c>
      <c r="H47" s="10"/>
      <c r="I47" s="2" t="n">
        <f>97435</f>
        <v>97435.0</v>
      </c>
      <c r="J47" s="10"/>
      <c r="K47" s="2" t="n">
        <f>549626</f>
        <v>549626.0</v>
      </c>
    </row>
    <row r="48">
      <c r="A48" s="8" t="s">
        <v>30</v>
      </c>
      <c r="B48" s="9" t="s">
        <v>51</v>
      </c>
      <c r="C48" s="9" t="s">
        <v>52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31</v>
      </c>
      <c r="B49" s="9" t="s">
        <v>51</v>
      </c>
      <c r="C49" s="9" t="s">
        <v>52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32</v>
      </c>
      <c r="B50" s="9" t="s">
        <v>51</v>
      </c>
      <c r="C50" s="9" t="s">
        <v>52</v>
      </c>
      <c r="D50" s="10"/>
      <c r="E50" s="2" t="n">
        <f>732972</f>
        <v>732972.0</v>
      </c>
      <c r="F50" s="10"/>
      <c r="G50" s="2" t="n">
        <f>1949796961250</f>
        <v>1.94979696125E12</v>
      </c>
      <c r="H50" s="10"/>
      <c r="I50" s="2" t="n">
        <f>92330</f>
        <v>92330.0</v>
      </c>
      <c r="J50" s="10" t="s">
        <v>44</v>
      </c>
      <c r="K50" s="2" t="n">
        <f>279316</f>
        <v>279316.0</v>
      </c>
    </row>
    <row r="51">
      <c r="A51" s="8" t="s">
        <v>33</v>
      </c>
      <c r="B51" s="9" t="s">
        <v>51</v>
      </c>
      <c r="C51" s="9" t="s">
        <v>52</v>
      </c>
      <c r="D51" s="10"/>
      <c r="E51" s="2" t="n">
        <f>573782</f>
        <v>573782.0</v>
      </c>
      <c r="F51" s="10"/>
      <c r="G51" s="2" t="n">
        <f>1528803452370</f>
        <v>1.52880345237E12</v>
      </c>
      <c r="H51" s="10"/>
      <c r="I51" s="2" t="n">
        <f>77573</f>
        <v>77573.0</v>
      </c>
      <c r="J51" s="10"/>
      <c r="K51" s="2" t="n">
        <f>281996</f>
        <v>281996.0</v>
      </c>
    </row>
    <row r="52">
      <c r="A52" s="8" t="s">
        <v>34</v>
      </c>
      <c r="B52" s="9" t="s">
        <v>51</v>
      </c>
      <c r="C52" s="9" t="s">
        <v>52</v>
      </c>
      <c r="D52" s="10"/>
      <c r="E52" s="2" t="n">
        <f>471270</f>
        <v>471270.0</v>
      </c>
      <c r="F52" s="10"/>
      <c r="G52" s="2" t="n">
        <f>1259009769694</f>
        <v>1.259009769694E12</v>
      </c>
      <c r="H52" s="10"/>
      <c r="I52" s="2" t="n">
        <f>61559</f>
        <v>61559.0</v>
      </c>
      <c r="J52" s="10"/>
      <c r="K52" s="2" t="n">
        <f>287913</f>
        <v>287913.0</v>
      </c>
    </row>
    <row r="53">
      <c r="A53" s="8" t="s">
        <v>35</v>
      </c>
      <c r="B53" s="9" t="s">
        <v>51</v>
      </c>
      <c r="C53" s="9" t="s">
        <v>52</v>
      </c>
      <c r="D53" s="10"/>
      <c r="E53" s="2" t="n">
        <f>516404</f>
        <v>516404.0</v>
      </c>
      <c r="F53" s="10"/>
      <c r="G53" s="2" t="n">
        <f>1379728698758</f>
        <v>1.379728698758E12</v>
      </c>
      <c r="H53" s="10"/>
      <c r="I53" s="2" t="n">
        <f>71077</f>
        <v>71077.0</v>
      </c>
      <c r="J53" s="10"/>
      <c r="K53" s="2" t="n">
        <f>295663</f>
        <v>295663.0</v>
      </c>
    </row>
    <row r="54">
      <c r="A54" s="8" t="s">
        <v>36</v>
      </c>
      <c r="B54" s="9" t="s">
        <v>51</v>
      </c>
      <c r="C54" s="9" t="s">
        <v>52</v>
      </c>
      <c r="D54" s="10"/>
      <c r="E54" s="2" t="n">
        <f>395905</f>
        <v>395905.0</v>
      </c>
      <c r="F54" s="10"/>
      <c r="G54" s="2" t="n">
        <f>1057992017206</f>
        <v>1.057992017206E12</v>
      </c>
      <c r="H54" s="10"/>
      <c r="I54" s="2" t="n">
        <f>56397</f>
        <v>56397.0</v>
      </c>
      <c r="J54" s="10"/>
      <c r="K54" s="2" t="n">
        <f>301209</f>
        <v>301209.0</v>
      </c>
    </row>
    <row r="55">
      <c r="A55" s="8" t="s">
        <v>37</v>
      </c>
      <c r="B55" s="9" t="s">
        <v>51</v>
      </c>
      <c r="C55" s="9" t="s">
        <v>52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38</v>
      </c>
      <c r="B56" s="9" t="s">
        <v>51</v>
      </c>
      <c r="C56" s="9" t="s">
        <v>52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39</v>
      </c>
      <c r="B57" s="9" t="s">
        <v>51</v>
      </c>
      <c r="C57" s="9" t="s">
        <v>52</v>
      </c>
      <c r="D57" s="10"/>
      <c r="E57" s="2" t="n">
        <f>751952</f>
        <v>751952.0</v>
      </c>
      <c r="F57" s="10"/>
      <c r="G57" s="2" t="n">
        <f>2003631498850</f>
        <v>2.00363149885E12</v>
      </c>
      <c r="H57" s="10"/>
      <c r="I57" s="2" t="n">
        <f>102714</f>
        <v>102714.0</v>
      </c>
      <c r="J57" s="10"/>
      <c r="K57" s="2" t="n">
        <f>319135</f>
        <v>319135.0</v>
      </c>
    </row>
    <row r="58">
      <c r="A58" s="8" t="s">
        <v>40</v>
      </c>
      <c r="B58" s="9" t="s">
        <v>51</v>
      </c>
      <c r="C58" s="9" t="s">
        <v>52</v>
      </c>
      <c r="D58" s="10" t="s">
        <v>26</v>
      </c>
      <c r="E58" s="2" t="n">
        <f>1118226</f>
        <v>1118226.0</v>
      </c>
      <c r="F58" s="10" t="s">
        <v>26</v>
      </c>
      <c r="G58" s="2" t="n">
        <f>2952270213282</f>
        <v>2.952270213282E12</v>
      </c>
      <c r="H58" s="10"/>
      <c r="I58" s="2" t="n">
        <f>164198</f>
        <v>164198.0</v>
      </c>
      <c r="J58" s="10"/>
      <c r="K58" s="2" t="n">
        <f>330637</f>
        <v>330637.0</v>
      </c>
    </row>
    <row r="59">
      <c r="A59" s="8" t="s">
        <v>41</v>
      </c>
      <c r="B59" s="9" t="s">
        <v>51</v>
      </c>
      <c r="C59" s="9" t="s">
        <v>52</v>
      </c>
      <c r="D59" s="10"/>
      <c r="E59" s="2" t="n">
        <f>663090</f>
        <v>663090.0</v>
      </c>
      <c r="F59" s="10"/>
      <c r="G59" s="2" t="n">
        <f>1754212377334</f>
        <v>1.754212377334E12</v>
      </c>
      <c r="H59" s="10"/>
      <c r="I59" s="2" t="n">
        <f>89763</f>
        <v>89763.0</v>
      </c>
      <c r="J59" s="10"/>
      <c r="K59" s="2" t="n">
        <f>330430</f>
        <v>330430.0</v>
      </c>
    </row>
    <row r="60">
      <c r="A60" s="8" t="s">
        <v>42</v>
      </c>
      <c r="B60" s="9" t="s">
        <v>51</v>
      </c>
      <c r="C60" s="9" t="s">
        <v>52</v>
      </c>
      <c r="D60" s="10"/>
      <c r="E60" s="2" t="n">
        <f>540823</f>
        <v>540823.0</v>
      </c>
      <c r="F60" s="10"/>
      <c r="G60" s="2" t="n">
        <f>1438750776358</f>
        <v>1.438750776358E12</v>
      </c>
      <c r="H60" s="10"/>
      <c r="I60" s="2" t="n">
        <f>77361</f>
        <v>77361.0</v>
      </c>
      <c r="J60" s="10"/>
      <c r="K60" s="2" t="n">
        <f>334543</f>
        <v>334543.0</v>
      </c>
    </row>
    <row r="61">
      <c r="A61" s="8" t="s">
        <v>43</v>
      </c>
      <c r="B61" s="9" t="s">
        <v>51</v>
      </c>
      <c r="C61" s="9" t="s">
        <v>52</v>
      </c>
      <c r="D61" s="10" t="s">
        <v>44</v>
      </c>
      <c r="E61" s="2" t="n">
        <f>180145</f>
        <v>180145.0</v>
      </c>
      <c r="F61" s="10" t="s">
        <v>44</v>
      </c>
      <c r="G61" s="2" t="n">
        <f>479515208266</f>
        <v>4.79515208266E11</v>
      </c>
      <c r="H61" s="10" t="s">
        <v>44</v>
      </c>
      <c r="I61" s="2" t="n">
        <f>27189</f>
        <v>27189.0</v>
      </c>
      <c r="J61" s="10"/>
      <c r="K61" s="2" t="n">
        <f>337422</f>
        <v>337422.0</v>
      </c>
    </row>
    <row r="62">
      <c r="A62" s="8" t="s">
        <v>45</v>
      </c>
      <c r="B62" s="9" t="s">
        <v>51</v>
      </c>
      <c r="C62" s="9" t="s">
        <v>52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46</v>
      </c>
      <c r="B63" s="9" t="s">
        <v>51</v>
      </c>
      <c r="C63" s="9" t="s">
        <v>52</v>
      </c>
      <c r="D63" s="10"/>
      <c r="E63" s="2"/>
      <c r="F63" s="10"/>
      <c r="G63" s="2"/>
      <c r="H63" s="10"/>
      <c r="I63" s="2"/>
      <c r="J63" s="10"/>
      <c r="K63" s="2"/>
    </row>
    <row r="64">
      <c r="A64" s="8" t="s">
        <v>47</v>
      </c>
      <c r="B64" s="9" t="s">
        <v>51</v>
      </c>
      <c r="C64" s="9" t="s">
        <v>52</v>
      </c>
      <c r="D64" s="10"/>
      <c r="E64" s="2" t="n">
        <f>336826</f>
        <v>336826.0</v>
      </c>
      <c r="F64" s="10"/>
      <c r="G64" s="2" t="n">
        <f>899449986450</f>
        <v>8.9944998645E11</v>
      </c>
      <c r="H64" s="10"/>
      <c r="I64" s="2" t="n">
        <f>47585</f>
        <v>47585.0</v>
      </c>
      <c r="J64" s="10"/>
      <c r="K64" s="2" t="n">
        <f>351733</f>
        <v>351733.0</v>
      </c>
    </row>
    <row r="65">
      <c r="A65" s="8" t="s">
        <v>48</v>
      </c>
      <c r="B65" s="9" t="s">
        <v>51</v>
      </c>
      <c r="C65" s="9" t="s">
        <v>52</v>
      </c>
      <c r="D65" s="10"/>
      <c r="E65" s="2" t="n">
        <f>877831</f>
        <v>877831.0</v>
      </c>
      <c r="F65" s="10"/>
      <c r="G65" s="2" t="n">
        <f>2389728935985</f>
        <v>2.389728935985E12</v>
      </c>
      <c r="H65" s="10"/>
      <c r="I65" s="2" t="n">
        <f>128146</f>
        <v>128146.0</v>
      </c>
      <c r="J65" s="10"/>
      <c r="K65" s="2" t="n">
        <f>377861</f>
        <v>377861.0</v>
      </c>
    </row>
    <row r="66">
      <c r="A66" s="8" t="s">
        <v>49</v>
      </c>
      <c r="B66" s="9" t="s">
        <v>51</v>
      </c>
      <c r="C66" s="9" t="s">
        <v>52</v>
      </c>
      <c r="D66" s="10"/>
      <c r="E66" s="2" t="n">
        <f>844368</f>
        <v>844368.0</v>
      </c>
      <c r="F66" s="10"/>
      <c r="G66" s="2" t="n">
        <f>2321608628950</f>
        <v>2.32160862895E12</v>
      </c>
      <c r="H66" s="10"/>
      <c r="I66" s="2" t="n">
        <f>133345</f>
        <v>133345.0</v>
      </c>
      <c r="J66" s="10"/>
      <c r="K66" s="2" t="n">
        <f>365751</f>
        <v>365751.0</v>
      </c>
    </row>
    <row r="67">
      <c r="A67" s="8" t="s">
        <v>50</v>
      </c>
      <c r="B67" s="9" t="s">
        <v>51</v>
      </c>
      <c r="C67" s="9" t="s">
        <v>52</v>
      </c>
      <c r="D67" s="10"/>
      <c r="E67" s="2"/>
      <c r="F67" s="10"/>
      <c r="G67" s="2"/>
      <c r="H67" s="10"/>
      <c r="I67" s="2"/>
      <c r="J67" s="10"/>
      <c r="K67" s="2"/>
    </row>
    <row r="68">
      <c r="A68" s="8" t="s">
        <v>16</v>
      </c>
      <c r="B68" s="9" t="s">
        <v>53</v>
      </c>
      <c r="C68" s="9" t="s">
        <v>54</v>
      </c>
      <c r="D68" s="10"/>
      <c r="E68" s="2" t="n">
        <f>81486</f>
        <v>81486.0</v>
      </c>
      <c r="F68" s="10"/>
      <c r="G68" s="2" t="n">
        <f>1437955766720</f>
        <v>1.43795576672E12</v>
      </c>
      <c r="H68" s="10"/>
      <c r="I68" s="2" t="n">
        <f>15969</f>
        <v>15969.0</v>
      </c>
      <c r="J68" s="10"/>
      <c r="K68" s="2" t="n">
        <f>566062</f>
        <v>566062.0</v>
      </c>
    </row>
    <row r="69">
      <c r="A69" s="8" t="s">
        <v>19</v>
      </c>
      <c r="B69" s="9" t="s">
        <v>53</v>
      </c>
      <c r="C69" s="9" t="s">
        <v>54</v>
      </c>
      <c r="D69" s="10"/>
      <c r="E69" s="2" t="n">
        <f>124477</f>
        <v>124477.0</v>
      </c>
      <c r="F69" s="10"/>
      <c r="G69" s="2" t="n">
        <f>2209101739908</f>
        <v>2.209101739908E12</v>
      </c>
      <c r="H69" s="10"/>
      <c r="I69" s="2" t="n">
        <f>18857</f>
        <v>18857.0</v>
      </c>
      <c r="J69" s="10"/>
      <c r="K69" s="2" t="n">
        <f>566194</f>
        <v>566194.0</v>
      </c>
    </row>
    <row r="70">
      <c r="A70" s="8" t="s">
        <v>20</v>
      </c>
      <c r="B70" s="9" t="s">
        <v>53</v>
      </c>
      <c r="C70" s="9" t="s">
        <v>54</v>
      </c>
      <c r="D70" s="10"/>
      <c r="E70" s="2" t="n">
        <f>88656</f>
        <v>88656.0</v>
      </c>
      <c r="F70" s="10"/>
      <c r="G70" s="2" t="n">
        <f>1574408192601</f>
        <v>1.574408192601E12</v>
      </c>
      <c r="H70" s="10"/>
      <c r="I70" s="2" t="n">
        <f>18977</f>
        <v>18977.0</v>
      </c>
      <c r="J70" s="10"/>
      <c r="K70" s="2" t="n">
        <f>568847</f>
        <v>568847.0</v>
      </c>
    </row>
    <row r="71">
      <c r="A71" s="8" t="s">
        <v>21</v>
      </c>
      <c r="B71" s="9" t="s">
        <v>53</v>
      </c>
      <c r="C71" s="9" t="s">
        <v>54</v>
      </c>
      <c r="D71" s="10"/>
      <c r="E71" s="2" t="n">
        <f>99445</f>
        <v>99445.0</v>
      </c>
      <c r="F71" s="10"/>
      <c r="G71" s="2" t="n">
        <f>1763041235200</f>
        <v>1.7630412352E12</v>
      </c>
      <c r="H71" s="10"/>
      <c r="I71" s="2" t="n">
        <f>20669</f>
        <v>20669.0</v>
      </c>
      <c r="J71" s="10"/>
      <c r="K71" s="2" t="n">
        <f>580318</f>
        <v>580318.0</v>
      </c>
    </row>
    <row r="72">
      <c r="A72" s="8" t="s">
        <v>22</v>
      </c>
      <c r="B72" s="9" t="s">
        <v>53</v>
      </c>
      <c r="C72" s="9" t="s">
        <v>54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23</v>
      </c>
      <c r="B73" s="9" t="s">
        <v>53</v>
      </c>
      <c r="C73" s="9" t="s">
        <v>54</v>
      </c>
      <c r="D73" s="10"/>
      <c r="E73" s="2"/>
      <c r="F73" s="10"/>
      <c r="G73" s="2"/>
      <c r="H73" s="10"/>
      <c r="I73" s="2"/>
      <c r="J73" s="10"/>
      <c r="K73" s="2"/>
    </row>
    <row r="74">
      <c r="A74" s="8" t="s">
        <v>24</v>
      </c>
      <c r="B74" s="9" t="s">
        <v>53</v>
      </c>
      <c r="C74" s="9" t="s">
        <v>54</v>
      </c>
      <c r="D74" s="10"/>
      <c r="E74" s="2" t="n">
        <f>617372</f>
        <v>617372.0</v>
      </c>
      <c r="F74" s="10"/>
      <c r="G74" s="2" t="n">
        <f>10914979116539</f>
        <v>1.0914979116539E13</v>
      </c>
      <c r="H74" s="10"/>
      <c r="I74" s="2" t="n">
        <f>138418</f>
        <v>138418.0</v>
      </c>
      <c r="J74" s="10"/>
      <c r="K74" s="2" t="n">
        <f>611925</f>
        <v>611925.0</v>
      </c>
    </row>
    <row r="75">
      <c r="A75" s="8" t="s">
        <v>25</v>
      </c>
      <c r="B75" s="9" t="s">
        <v>53</v>
      </c>
      <c r="C75" s="9" t="s">
        <v>54</v>
      </c>
      <c r="D75" s="10" t="s">
        <v>26</v>
      </c>
      <c r="E75" s="2" t="n">
        <f>944386</f>
        <v>944386.0</v>
      </c>
      <c r="F75" s="10" t="s">
        <v>26</v>
      </c>
      <c r="G75" s="2" t="n">
        <f>16597742200008</f>
        <v>1.6597742200008E13</v>
      </c>
      <c r="H75" s="10" t="s">
        <v>26</v>
      </c>
      <c r="I75" s="2" t="n">
        <f>236355</f>
        <v>236355.0</v>
      </c>
      <c r="J75" s="10" t="s">
        <v>26</v>
      </c>
      <c r="K75" s="2" t="n">
        <f>627178</f>
        <v>627178.0</v>
      </c>
    </row>
    <row r="76">
      <c r="A76" s="8" t="s">
        <v>27</v>
      </c>
      <c r="B76" s="9" t="s">
        <v>53</v>
      </c>
      <c r="C76" s="9" t="s">
        <v>54</v>
      </c>
      <c r="D76" s="10"/>
      <c r="E76" s="2" t="n">
        <f>417162</f>
        <v>417162.0</v>
      </c>
      <c r="F76" s="10"/>
      <c r="G76" s="2" t="n">
        <f>7380498655453</f>
        <v>7.380498655453E12</v>
      </c>
      <c r="H76" s="10"/>
      <c r="I76" s="2" t="n">
        <f>81280</f>
        <v>81280.0</v>
      </c>
      <c r="J76" s="10"/>
      <c r="K76" s="2" t="n">
        <f>615478</f>
        <v>615478.0</v>
      </c>
    </row>
    <row r="77">
      <c r="A77" s="8" t="s">
        <v>28</v>
      </c>
      <c r="B77" s="9" t="s">
        <v>53</v>
      </c>
      <c r="C77" s="9" t="s">
        <v>54</v>
      </c>
      <c r="D77" s="10"/>
      <c r="E77" s="2" t="n">
        <f>162195</f>
        <v>162195.0</v>
      </c>
      <c r="F77" s="10"/>
      <c r="G77" s="2" t="n">
        <f>2877791340040</f>
        <v>2.87779134004E12</v>
      </c>
      <c r="H77" s="10"/>
      <c r="I77" s="2" t="n">
        <f>19412</f>
        <v>19412.0</v>
      </c>
      <c r="J77" s="10"/>
      <c r="K77" s="2" t="n">
        <f>573662</f>
        <v>573662.0</v>
      </c>
    </row>
    <row r="78">
      <c r="A78" s="8" t="s">
        <v>29</v>
      </c>
      <c r="B78" s="9" t="s">
        <v>53</v>
      </c>
      <c r="C78" s="9" t="s">
        <v>54</v>
      </c>
      <c r="D78" s="10"/>
      <c r="E78" s="2" t="n">
        <f>54118</f>
        <v>54118.0</v>
      </c>
      <c r="F78" s="10"/>
      <c r="G78" s="2" t="n">
        <f>960169992250</f>
        <v>9.6016999225E11</v>
      </c>
      <c r="H78" s="10"/>
      <c r="I78" s="2" t="n">
        <f>12365</f>
        <v>12365.0</v>
      </c>
      <c r="J78" s="10"/>
      <c r="K78" s="2" t="n">
        <f>574877</f>
        <v>574877.0</v>
      </c>
    </row>
    <row r="79">
      <c r="A79" s="8" t="s">
        <v>30</v>
      </c>
      <c r="B79" s="9" t="s">
        <v>53</v>
      </c>
      <c r="C79" s="9" t="s">
        <v>54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31</v>
      </c>
      <c r="B80" s="9" t="s">
        <v>53</v>
      </c>
      <c r="C80" s="9" t="s">
        <v>54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32</v>
      </c>
      <c r="B81" s="9" t="s">
        <v>53</v>
      </c>
      <c r="C81" s="9" t="s">
        <v>54</v>
      </c>
      <c r="D81" s="10"/>
      <c r="E81" s="2" t="n">
        <f>71523</f>
        <v>71523.0</v>
      </c>
      <c r="F81" s="10"/>
      <c r="G81" s="2" t="n">
        <f>1278319570800</f>
        <v>1.2783195708E12</v>
      </c>
      <c r="H81" s="10"/>
      <c r="I81" s="2" t="n">
        <f>15922</f>
        <v>15922.0</v>
      </c>
      <c r="J81" s="10" t="s">
        <v>44</v>
      </c>
      <c r="K81" s="2" t="n">
        <f>505555</f>
        <v>505555.0</v>
      </c>
    </row>
    <row r="82">
      <c r="A82" s="8" t="s">
        <v>33</v>
      </c>
      <c r="B82" s="9" t="s">
        <v>53</v>
      </c>
      <c r="C82" s="9" t="s">
        <v>54</v>
      </c>
      <c r="D82" s="10"/>
      <c r="E82" s="2" t="n">
        <f>47552</f>
        <v>47552.0</v>
      </c>
      <c r="F82" s="10"/>
      <c r="G82" s="2" t="n">
        <f>847258971514</f>
        <v>8.47258971514E11</v>
      </c>
      <c r="H82" s="10"/>
      <c r="I82" s="2" t="n">
        <f>11207</f>
        <v>11207.0</v>
      </c>
      <c r="J82" s="10"/>
      <c r="K82" s="2" t="n">
        <f>506830</f>
        <v>506830.0</v>
      </c>
    </row>
    <row r="83">
      <c r="A83" s="8" t="s">
        <v>34</v>
      </c>
      <c r="B83" s="9" t="s">
        <v>53</v>
      </c>
      <c r="C83" s="9" t="s">
        <v>54</v>
      </c>
      <c r="D83" s="10"/>
      <c r="E83" s="2" t="n">
        <f>40533</f>
        <v>40533.0</v>
      </c>
      <c r="F83" s="10"/>
      <c r="G83" s="2" t="n">
        <f>723550624450</f>
        <v>7.2355062445E11</v>
      </c>
      <c r="H83" s="10"/>
      <c r="I83" s="2" t="n">
        <f>9619</f>
        <v>9619.0</v>
      </c>
      <c r="J83" s="10"/>
      <c r="K83" s="2" t="n">
        <f>508115</f>
        <v>508115.0</v>
      </c>
    </row>
    <row r="84">
      <c r="A84" s="8" t="s">
        <v>35</v>
      </c>
      <c r="B84" s="9" t="s">
        <v>53</v>
      </c>
      <c r="C84" s="9" t="s">
        <v>54</v>
      </c>
      <c r="D84" s="10"/>
      <c r="E84" s="2" t="n">
        <f>39482</f>
        <v>39482.0</v>
      </c>
      <c r="F84" s="10"/>
      <c r="G84" s="2" t="n">
        <f>705458094550</f>
        <v>7.0545809455E11</v>
      </c>
      <c r="H84" s="10"/>
      <c r="I84" s="2" t="n">
        <f>9316</f>
        <v>9316.0</v>
      </c>
      <c r="J84" s="10"/>
      <c r="K84" s="2" t="n">
        <f>510279</f>
        <v>510279.0</v>
      </c>
    </row>
    <row r="85">
      <c r="A85" s="8" t="s">
        <v>36</v>
      </c>
      <c r="B85" s="9" t="s">
        <v>53</v>
      </c>
      <c r="C85" s="9" t="s">
        <v>54</v>
      </c>
      <c r="D85" s="10"/>
      <c r="E85" s="2" t="n">
        <f>49958</f>
        <v>49958.0</v>
      </c>
      <c r="F85" s="10"/>
      <c r="G85" s="2" t="n">
        <f>894269413890</f>
        <v>8.9426941389E11</v>
      </c>
      <c r="H85" s="10"/>
      <c r="I85" s="2" t="n">
        <f>10623</f>
        <v>10623.0</v>
      </c>
      <c r="J85" s="10"/>
      <c r="K85" s="2" t="n">
        <f>514611</f>
        <v>514611.0</v>
      </c>
    </row>
    <row r="86">
      <c r="A86" s="8" t="s">
        <v>37</v>
      </c>
      <c r="B86" s="9" t="s">
        <v>53</v>
      </c>
      <c r="C86" s="9" t="s">
        <v>54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38</v>
      </c>
      <c r="B87" s="9" t="s">
        <v>53</v>
      </c>
      <c r="C87" s="9" t="s">
        <v>54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39</v>
      </c>
      <c r="B88" s="9" t="s">
        <v>53</v>
      </c>
      <c r="C88" s="9" t="s">
        <v>54</v>
      </c>
      <c r="D88" s="10"/>
      <c r="E88" s="2" t="n">
        <f>59105</f>
        <v>59105.0</v>
      </c>
      <c r="F88" s="10"/>
      <c r="G88" s="2" t="n">
        <f>1055160742300</f>
        <v>1.0551607423E12</v>
      </c>
      <c r="H88" s="10"/>
      <c r="I88" s="2" t="n">
        <f>11321</f>
        <v>11321.0</v>
      </c>
      <c r="J88" s="10"/>
      <c r="K88" s="2" t="n">
        <f>511015</f>
        <v>511015.0</v>
      </c>
    </row>
    <row r="89">
      <c r="A89" s="8" t="s">
        <v>40</v>
      </c>
      <c r="B89" s="9" t="s">
        <v>53</v>
      </c>
      <c r="C89" s="9" t="s">
        <v>54</v>
      </c>
      <c r="D89" s="10"/>
      <c r="E89" s="2" t="n">
        <f>76069</f>
        <v>76069.0</v>
      </c>
      <c r="F89" s="10"/>
      <c r="G89" s="2" t="n">
        <f>1340464559253</f>
        <v>1.340464559253E12</v>
      </c>
      <c r="H89" s="10"/>
      <c r="I89" s="2" t="n">
        <f>14843</f>
        <v>14843.0</v>
      </c>
      <c r="J89" s="10"/>
      <c r="K89" s="2" t="n">
        <f>508011</f>
        <v>508011.0</v>
      </c>
    </row>
    <row r="90">
      <c r="A90" s="8" t="s">
        <v>41</v>
      </c>
      <c r="B90" s="9" t="s">
        <v>53</v>
      </c>
      <c r="C90" s="9" t="s">
        <v>54</v>
      </c>
      <c r="D90" s="10"/>
      <c r="E90" s="2" t="n">
        <f>41251</f>
        <v>41251.0</v>
      </c>
      <c r="F90" s="10"/>
      <c r="G90" s="2" t="n">
        <f>726708339100</f>
        <v>7.267083391E11</v>
      </c>
      <c r="H90" s="10"/>
      <c r="I90" s="2" t="n">
        <f>7003</f>
        <v>7003.0</v>
      </c>
      <c r="J90" s="10"/>
      <c r="K90" s="2" t="n">
        <f>508652</f>
        <v>508652.0</v>
      </c>
    </row>
    <row r="91">
      <c r="A91" s="8" t="s">
        <v>42</v>
      </c>
      <c r="B91" s="9" t="s">
        <v>53</v>
      </c>
      <c r="C91" s="9" t="s">
        <v>54</v>
      </c>
      <c r="D91" s="10"/>
      <c r="E91" s="2" t="n">
        <f>37428</f>
        <v>37428.0</v>
      </c>
      <c r="F91" s="10"/>
      <c r="G91" s="2" t="n">
        <f>662706178230</f>
        <v>6.6270617823E11</v>
      </c>
      <c r="H91" s="10"/>
      <c r="I91" s="2" t="n">
        <f>5159</f>
        <v>5159.0</v>
      </c>
      <c r="J91" s="10"/>
      <c r="K91" s="2" t="n">
        <f>510256</f>
        <v>510256.0</v>
      </c>
    </row>
    <row r="92">
      <c r="A92" s="8" t="s">
        <v>43</v>
      </c>
      <c r="B92" s="9" t="s">
        <v>53</v>
      </c>
      <c r="C92" s="9" t="s">
        <v>54</v>
      </c>
      <c r="D92" s="10" t="s">
        <v>44</v>
      </c>
      <c r="E92" s="2" t="n">
        <f>16321</f>
        <v>16321.0</v>
      </c>
      <c r="F92" s="10" t="s">
        <v>44</v>
      </c>
      <c r="G92" s="2" t="n">
        <f>289622828692</f>
        <v>2.89622828692E11</v>
      </c>
      <c r="H92" s="10" t="s">
        <v>44</v>
      </c>
      <c r="I92" s="2" t="n">
        <f>2017</f>
        <v>2017.0</v>
      </c>
      <c r="J92" s="10"/>
      <c r="K92" s="2" t="n">
        <f>511047</f>
        <v>511047.0</v>
      </c>
    </row>
    <row r="93">
      <c r="A93" s="8" t="s">
        <v>45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46</v>
      </c>
      <c r="B94" s="9" t="s">
        <v>53</v>
      </c>
      <c r="C94" s="9" t="s">
        <v>54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47</v>
      </c>
      <c r="B95" s="9" t="s">
        <v>53</v>
      </c>
      <c r="C95" s="9" t="s">
        <v>54</v>
      </c>
      <c r="D95" s="10"/>
      <c r="E95" s="2" t="n">
        <f>36722</f>
        <v>36722.0</v>
      </c>
      <c r="F95" s="10"/>
      <c r="G95" s="2" t="n">
        <f>654345600600</f>
        <v>6.543456006E11</v>
      </c>
      <c r="H95" s="10"/>
      <c r="I95" s="2" t="n">
        <f>5667</f>
        <v>5667.0</v>
      </c>
      <c r="J95" s="10"/>
      <c r="K95" s="2" t="n">
        <f>515478</f>
        <v>515478.0</v>
      </c>
    </row>
    <row r="96">
      <c r="A96" s="8" t="s">
        <v>48</v>
      </c>
      <c r="B96" s="9" t="s">
        <v>53</v>
      </c>
      <c r="C96" s="9" t="s">
        <v>54</v>
      </c>
      <c r="D96" s="10"/>
      <c r="E96" s="2" t="n">
        <f>56966</f>
        <v>56966.0</v>
      </c>
      <c r="F96" s="10"/>
      <c r="G96" s="2" t="n">
        <f>1029120554400</f>
        <v>1.0291205544E12</v>
      </c>
      <c r="H96" s="10"/>
      <c r="I96" s="2" t="n">
        <f>7197</f>
        <v>7197.0</v>
      </c>
      <c r="J96" s="10"/>
      <c r="K96" s="2" t="n">
        <f>517398</f>
        <v>517398.0</v>
      </c>
    </row>
    <row r="97">
      <c r="A97" s="8" t="s">
        <v>49</v>
      </c>
      <c r="B97" s="9" t="s">
        <v>53</v>
      </c>
      <c r="C97" s="9" t="s">
        <v>54</v>
      </c>
      <c r="D97" s="10"/>
      <c r="E97" s="2" t="n">
        <f>70966</f>
        <v>70966.0</v>
      </c>
      <c r="F97" s="10"/>
      <c r="G97" s="2" t="n">
        <f>1282699913500</f>
        <v>1.2826999135E12</v>
      </c>
      <c r="H97" s="10"/>
      <c r="I97" s="2" t="n">
        <f>14031</f>
        <v>14031.0</v>
      </c>
      <c r="J97" s="10"/>
      <c r="K97" s="2" t="n">
        <f>514650</f>
        <v>514650.0</v>
      </c>
    </row>
    <row r="98">
      <c r="A98" s="8" t="s">
        <v>50</v>
      </c>
      <c r="B98" s="9" t="s">
        <v>53</v>
      </c>
      <c r="C98" s="9" t="s">
        <v>54</v>
      </c>
      <c r="D98" s="10"/>
      <c r="E98" s="2"/>
      <c r="F98" s="10"/>
      <c r="G98" s="2"/>
      <c r="H98" s="10"/>
      <c r="I98" s="2"/>
      <c r="J98" s="10"/>
      <c r="K98" s="2"/>
    </row>
    <row r="99">
      <c r="A99" s="8" t="s">
        <v>16</v>
      </c>
      <c r="B99" s="9" t="s">
        <v>55</v>
      </c>
      <c r="C99" s="9" t="s">
        <v>56</v>
      </c>
      <c r="D99" s="10"/>
      <c r="E99" s="2" t="n">
        <f>30195</f>
        <v>30195.0</v>
      </c>
      <c r="F99" s="10"/>
      <c r="G99" s="2" t="n">
        <f>53282262350</f>
        <v>5.328226235E10</v>
      </c>
      <c r="H99" s="10"/>
      <c r="I99" s="2" t="n">
        <f>1310</f>
        <v>1310.0</v>
      </c>
      <c r="J99" s="10"/>
      <c r="K99" s="2" t="n">
        <f>109351</f>
        <v>109351.0</v>
      </c>
    </row>
    <row r="100">
      <c r="A100" s="8" t="s">
        <v>19</v>
      </c>
      <c r="B100" s="9" t="s">
        <v>55</v>
      </c>
      <c r="C100" s="9" t="s">
        <v>56</v>
      </c>
      <c r="D100" s="10"/>
      <c r="E100" s="2" t="n">
        <f>29175</f>
        <v>29175.0</v>
      </c>
      <c r="F100" s="10"/>
      <c r="G100" s="2" t="n">
        <f>51773526180</f>
        <v>5.177352618E10</v>
      </c>
      <c r="H100" s="10"/>
      <c r="I100" s="2" t="n">
        <f>709</f>
        <v>709.0</v>
      </c>
      <c r="J100" s="10"/>
      <c r="K100" s="2" t="n">
        <f>107942</f>
        <v>107942.0</v>
      </c>
    </row>
    <row r="101">
      <c r="A101" s="8" t="s">
        <v>20</v>
      </c>
      <c r="B101" s="9" t="s">
        <v>55</v>
      </c>
      <c r="C101" s="9" t="s">
        <v>56</v>
      </c>
      <c r="D101" s="10"/>
      <c r="E101" s="2" t="n">
        <f>25333</f>
        <v>25333.0</v>
      </c>
      <c r="F101" s="10"/>
      <c r="G101" s="2" t="n">
        <f>45007318325</f>
        <v>4.5007318325E10</v>
      </c>
      <c r="H101" s="10"/>
      <c r="I101" s="2" t="n">
        <f>931</f>
        <v>931.0</v>
      </c>
      <c r="J101" s="10"/>
      <c r="K101" s="2" t="n">
        <f>110435</f>
        <v>110435.0</v>
      </c>
    </row>
    <row r="102">
      <c r="A102" s="8" t="s">
        <v>21</v>
      </c>
      <c r="B102" s="9" t="s">
        <v>55</v>
      </c>
      <c r="C102" s="9" t="s">
        <v>56</v>
      </c>
      <c r="D102" s="10"/>
      <c r="E102" s="2" t="n">
        <f>21991</f>
        <v>21991.0</v>
      </c>
      <c r="F102" s="10"/>
      <c r="G102" s="2" t="n">
        <f>39009067625</f>
        <v>3.9009067625E10</v>
      </c>
      <c r="H102" s="10" t="s">
        <v>44</v>
      </c>
      <c r="I102" s="2" t="n">
        <f>460</f>
        <v>460.0</v>
      </c>
      <c r="J102" s="10"/>
      <c r="K102" s="2" t="n">
        <f>110235</f>
        <v>110235.0</v>
      </c>
    </row>
    <row r="103">
      <c r="A103" s="8" t="s">
        <v>22</v>
      </c>
      <c r="B103" s="9" t="s">
        <v>55</v>
      </c>
      <c r="C103" s="9" t="s">
        <v>56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23</v>
      </c>
      <c r="B104" s="9" t="s">
        <v>55</v>
      </c>
      <c r="C104" s="9" t="s">
        <v>56</v>
      </c>
      <c r="D104" s="10"/>
      <c r="E104" s="2"/>
      <c r="F104" s="10"/>
      <c r="G104" s="2"/>
      <c r="H104" s="10"/>
      <c r="I104" s="2"/>
      <c r="J104" s="10"/>
      <c r="K104" s="2"/>
    </row>
    <row r="105">
      <c r="A105" s="8" t="s">
        <v>24</v>
      </c>
      <c r="B105" s="9" t="s">
        <v>55</v>
      </c>
      <c r="C105" s="9" t="s">
        <v>56</v>
      </c>
      <c r="D105" s="10"/>
      <c r="E105" s="2" t="n">
        <f>37653</f>
        <v>37653.0</v>
      </c>
      <c r="F105" s="10"/>
      <c r="G105" s="2" t="n">
        <f>66610999570</f>
        <v>6.661099957E10</v>
      </c>
      <c r="H105" s="10"/>
      <c r="I105" s="2" t="n">
        <f>2935</f>
        <v>2935.0</v>
      </c>
      <c r="J105" s="10"/>
      <c r="K105" s="2" t="n">
        <f>110277</f>
        <v>110277.0</v>
      </c>
    </row>
    <row r="106">
      <c r="A106" s="8" t="s">
        <v>25</v>
      </c>
      <c r="B106" s="9" t="s">
        <v>55</v>
      </c>
      <c r="C106" s="9" t="s">
        <v>56</v>
      </c>
      <c r="D106" s="10" t="s">
        <v>26</v>
      </c>
      <c r="E106" s="2" t="n">
        <f>49269</f>
        <v>49269.0</v>
      </c>
      <c r="F106" s="10" t="s">
        <v>26</v>
      </c>
      <c r="G106" s="2" t="n">
        <f>86555278363</f>
        <v>8.6555278363E10</v>
      </c>
      <c r="H106" s="10"/>
      <c r="I106" s="2" t="n">
        <f>7346</f>
        <v>7346.0</v>
      </c>
      <c r="J106" s="10"/>
      <c r="K106" s="2" t="n">
        <f>118571</f>
        <v>118571.0</v>
      </c>
    </row>
    <row r="107">
      <c r="A107" s="8" t="s">
        <v>27</v>
      </c>
      <c r="B107" s="9" t="s">
        <v>55</v>
      </c>
      <c r="C107" s="9" t="s">
        <v>56</v>
      </c>
      <c r="D107" s="10"/>
      <c r="E107" s="2" t="n">
        <f>43823</f>
        <v>43823.0</v>
      </c>
      <c r="F107" s="10"/>
      <c r="G107" s="2" t="n">
        <f>77551749284</f>
        <v>7.7551749284E10</v>
      </c>
      <c r="H107" s="10"/>
      <c r="I107" s="2" t="n">
        <f>7740</f>
        <v>7740.0</v>
      </c>
      <c r="J107" s="10" t="s">
        <v>26</v>
      </c>
      <c r="K107" s="2" t="n">
        <f>123276</f>
        <v>123276.0</v>
      </c>
    </row>
    <row r="108">
      <c r="A108" s="8" t="s">
        <v>28</v>
      </c>
      <c r="B108" s="9" t="s">
        <v>55</v>
      </c>
      <c r="C108" s="9" t="s">
        <v>56</v>
      </c>
      <c r="D108" s="10"/>
      <c r="E108" s="2" t="n">
        <f>26946</f>
        <v>26946.0</v>
      </c>
      <c r="F108" s="10"/>
      <c r="G108" s="2" t="n">
        <f>47836367540</f>
        <v>4.783636754E10</v>
      </c>
      <c r="H108" s="10"/>
      <c r="I108" s="2" t="n">
        <f>2919</f>
        <v>2919.0</v>
      </c>
      <c r="J108" s="10"/>
      <c r="K108" s="2" t="n">
        <f>121197</f>
        <v>121197.0</v>
      </c>
    </row>
    <row r="109">
      <c r="A109" s="8" t="s">
        <v>29</v>
      </c>
      <c r="B109" s="9" t="s">
        <v>55</v>
      </c>
      <c r="C109" s="9" t="s">
        <v>56</v>
      </c>
      <c r="D109" s="10"/>
      <c r="E109" s="2" t="n">
        <f>24506</f>
        <v>24506.0</v>
      </c>
      <c r="F109" s="10"/>
      <c r="G109" s="2" t="n">
        <f>43474214900</f>
        <v>4.34742149E10</v>
      </c>
      <c r="H109" s="10"/>
      <c r="I109" s="2" t="n">
        <f>2762</f>
        <v>2762.0</v>
      </c>
      <c r="J109" s="10"/>
      <c r="K109" s="2" t="n">
        <f>122234</f>
        <v>122234.0</v>
      </c>
    </row>
    <row r="110">
      <c r="A110" s="8" t="s">
        <v>30</v>
      </c>
      <c r="B110" s="9" t="s">
        <v>55</v>
      </c>
      <c r="C110" s="9" t="s">
        <v>56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31</v>
      </c>
      <c r="B111" s="9" t="s">
        <v>55</v>
      </c>
      <c r="C111" s="9" t="s">
        <v>56</v>
      </c>
      <c r="D111" s="10"/>
      <c r="E111" s="2"/>
      <c r="F111" s="10"/>
      <c r="G111" s="2"/>
      <c r="H111" s="10"/>
      <c r="I111" s="2"/>
      <c r="J111" s="10"/>
      <c r="K111" s="2"/>
    </row>
    <row r="112">
      <c r="A112" s="8" t="s">
        <v>32</v>
      </c>
      <c r="B112" s="9" t="s">
        <v>55</v>
      </c>
      <c r="C112" s="9" t="s">
        <v>56</v>
      </c>
      <c r="D112" s="10"/>
      <c r="E112" s="2" t="n">
        <f>34832</f>
        <v>34832.0</v>
      </c>
      <c r="F112" s="10"/>
      <c r="G112" s="2" t="n">
        <f>62317922850</f>
        <v>6.231792285E10</v>
      </c>
      <c r="H112" s="10" t="s">
        <v>26</v>
      </c>
      <c r="I112" s="2" t="n">
        <f>8479</f>
        <v>8479.0</v>
      </c>
      <c r="J112" s="10" t="s">
        <v>44</v>
      </c>
      <c r="K112" s="2" t="n">
        <f>27477</f>
        <v>27477.0</v>
      </c>
    </row>
    <row r="113">
      <c r="A113" s="8" t="s">
        <v>33</v>
      </c>
      <c r="B113" s="9" t="s">
        <v>55</v>
      </c>
      <c r="C113" s="9" t="s">
        <v>56</v>
      </c>
      <c r="D113" s="10"/>
      <c r="E113" s="2" t="n">
        <f>20956</f>
        <v>20956.0</v>
      </c>
      <c r="F113" s="10"/>
      <c r="G113" s="2" t="n">
        <f>37347162125</f>
        <v>3.7347162125E10</v>
      </c>
      <c r="H113" s="10"/>
      <c r="I113" s="2" t="n">
        <f>1924</f>
        <v>1924.0</v>
      </c>
      <c r="J113" s="10"/>
      <c r="K113" s="2" t="n">
        <f>27488</f>
        <v>27488.0</v>
      </c>
    </row>
    <row r="114">
      <c r="A114" s="8" t="s">
        <v>34</v>
      </c>
      <c r="B114" s="9" t="s">
        <v>55</v>
      </c>
      <c r="C114" s="9" t="s">
        <v>56</v>
      </c>
      <c r="D114" s="10"/>
      <c r="E114" s="2" t="n">
        <f>18669</f>
        <v>18669.0</v>
      </c>
      <c r="F114" s="10"/>
      <c r="G114" s="2" t="n">
        <f>33338384880</f>
        <v>3.333838488E10</v>
      </c>
      <c r="H114" s="10"/>
      <c r="I114" s="2" t="n">
        <f>1958</f>
        <v>1958.0</v>
      </c>
      <c r="J114" s="10"/>
      <c r="K114" s="2" t="n">
        <f>28276</f>
        <v>28276.0</v>
      </c>
    </row>
    <row r="115">
      <c r="A115" s="8" t="s">
        <v>35</v>
      </c>
      <c r="B115" s="9" t="s">
        <v>55</v>
      </c>
      <c r="C115" s="9" t="s">
        <v>56</v>
      </c>
      <c r="D115" s="10"/>
      <c r="E115" s="2" t="n">
        <f>20822</f>
        <v>20822.0</v>
      </c>
      <c r="F115" s="10"/>
      <c r="G115" s="2" t="n">
        <f>37190323300</f>
        <v>3.71903233E10</v>
      </c>
      <c r="H115" s="10"/>
      <c r="I115" s="2" t="n">
        <f>1577</f>
        <v>1577.0</v>
      </c>
      <c r="J115" s="10"/>
      <c r="K115" s="2" t="n">
        <f>30052</f>
        <v>30052.0</v>
      </c>
    </row>
    <row r="116">
      <c r="A116" s="8" t="s">
        <v>36</v>
      </c>
      <c r="B116" s="9" t="s">
        <v>55</v>
      </c>
      <c r="C116" s="9" t="s">
        <v>56</v>
      </c>
      <c r="D116" s="10"/>
      <c r="E116" s="2" t="n">
        <f>19799</f>
        <v>19799.0</v>
      </c>
      <c r="F116" s="10"/>
      <c r="G116" s="2" t="n">
        <f>35433077670</f>
        <v>3.543307767E10</v>
      </c>
      <c r="H116" s="10"/>
      <c r="I116" s="2" t="n">
        <f>2124</f>
        <v>2124.0</v>
      </c>
      <c r="J116" s="10"/>
      <c r="K116" s="2" t="n">
        <f>32671</f>
        <v>32671.0</v>
      </c>
    </row>
    <row r="117">
      <c r="A117" s="8" t="s">
        <v>37</v>
      </c>
      <c r="B117" s="9" t="s">
        <v>55</v>
      </c>
      <c r="C117" s="9" t="s">
        <v>56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38</v>
      </c>
      <c r="B118" s="9" t="s">
        <v>55</v>
      </c>
      <c r="C118" s="9" t="s">
        <v>56</v>
      </c>
      <c r="D118" s="10"/>
      <c r="E118" s="2"/>
      <c r="F118" s="10"/>
      <c r="G118" s="2"/>
      <c r="H118" s="10"/>
      <c r="I118" s="2"/>
      <c r="J118" s="10"/>
      <c r="K118" s="2"/>
    </row>
    <row r="119">
      <c r="A119" s="8" t="s">
        <v>39</v>
      </c>
      <c r="B119" s="9" t="s">
        <v>55</v>
      </c>
      <c r="C119" s="9" t="s">
        <v>56</v>
      </c>
      <c r="D119" s="10"/>
      <c r="E119" s="2" t="n">
        <f>29829</f>
        <v>29829.0</v>
      </c>
      <c r="F119" s="10"/>
      <c r="G119" s="2" t="n">
        <f>53265189135</f>
        <v>5.3265189135E10</v>
      </c>
      <c r="H119" s="10"/>
      <c r="I119" s="2" t="n">
        <f>3380</f>
        <v>3380.0</v>
      </c>
      <c r="J119" s="10"/>
      <c r="K119" s="2" t="n">
        <f>33025</f>
        <v>33025.0</v>
      </c>
    </row>
    <row r="120">
      <c r="A120" s="8" t="s">
        <v>40</v>
      </c>
      <c r="B120" s="9" t="s">
        <v>55</v>
      </c>
      <c r="C120" s="9" t="s">
        <v>56</v>
      </c>
      <c r="D120" s="10"/>
      <c r="E120" s="2" t="n">
        <f>37673</f>
        <v>37673.0</v>
      </c>
      <c r="F120" s="10"/>
      <c r="G120" s="2" t="n">
        <f>66421189775</f>
        <v>6.6421189775E10</v>
      </c>
      <c r="H120" s="10"/>
      <c r="I120" s="2" t="n">
        <f>4733</f>
        <v>4733.0</v>
      </c>
      <c r="J120" s="10"/>
      <c r="K120" s="2" t="n">
        <f>32301</f>
        <v>32301.0</v>
      </c>
    </row>
    <row r="121">
      <c r="A121" s="8" t="s">
        <v>41</v>
      </c>
      <c r="B121" s="9" t="s">
        <v>55</v>
      </c>
      <c r="C121" s="9" t="s">
        <v>56</v>
      </c>
      <c r="D121" s="10"/>
      <c r="E121" s="2" t="n">
        <f>23806</f>
        <v>23806.0</v>
      </c>
      <c r="F121" s="10"/>
      <c r="G121" s="2" t="n">
        <f>41937351875</f>
        <v>4.1937351875E10</v>
      </c>
      <c r="H121" s="10"/>
      <c r="I121" s="2" t="n">
        <f>3248</f>
        <v>3248.0</v>
      </c>
      <c r="J121" s="10"/>
      <c r="K121" s="2" t="n">
        <f>34205</f>
        <v>34205.0</v>
      </c>
    </row>
    <row r="122">
      <c r="A122" s="8" t="s">
        <v>42</v>
      </c>
      <c r="B122" s="9" t="s">
        <v>55</v>
      </c>
      <c r="C122" s="9" t="s">
        <v>56</v>
      </c>
      <c r="D122" s="10"/>
      <c r="E122" s="2" t="n">
        <f>18054</f>
        <v>18054.0</v>
      </c>
      <c r="F122" s="10"/>
      <c r="G122" s="2" t="n">
        <f>31996361100</f>
        <v>3.19963611E10</v>
      </c>
      <c r="H122" s="10"/>
      <c r="I122" s="2" t="n">
        <f>2102</f>
        <v>2102.0</v>
      </c>
      <c r="J122" s="10"/>
      <c r="K122" s="2" t="n">
        <f>35066</f>
        <v>35066.0</v>
      </c>
    </row>
    <row r="123">
      <c r="A123" s="8" t="s">
        <v>43</v>
      </c>
      <c r="B123" s="9" t="s">
        <v>55</v>
      </c>
      <c r="C123" s="9" t="s">
        <v>56</v>
      </c>
      <c r="D123" s="10" t="s">
        <v>44</v>
      </c>
      <c r="E123" s="2" t="n">
        <f>8209</f>
        <v>8209.0</v>
      </c>
      <c r="F123" s="10" t="s">
        <v>44</v>
      </c>
      <c r="G123" s="2" t="n">
        <f>14568036500</f>
        <v>1.45680365E10</v>
      </c>
      <c r="H123" s="10"/>
      <c r="I123" s="2" t="n">
        <f>918</f>
        <v>918.0</v>
      </c>
      <c r="J123" s="10"/>
      <c r="K123" s="2" t="n">
        <f>36062</f>
        <v>36062.0</v>
      </c>
    </row>
    <row r="124">
      <c r="A124" s="8" t="s">
        <v>45</v>
      </c>
      <c r="B124" s="9" t="s">
        <v>55</v>
      </c>
      <c r="C124" s="9" t="s">
        <v>56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46</v>
      </c>
      <c r="B125" s="9" t="s">
        <v>55</v>
      </c>
      <c r="C125" s="9" t="s">
        <v>56</v>
      </c>
      <c r="D125" s="10"/>
      <c r="E125" s="2"/>
      <c r="F125" s="10"/>
      <c r="G125" s="2"/>
      <c r="H125" s="10"/>
      <c r="I125" s="2"/>
      <c r="J125" s="10"/>
      <c r="K125" s="2"/>
    </row>
    <row r="126">
      <c r="A126" s="8" t="s">
        <v>47</v>
      </c>
      <c r="B126" s="9" t="s">
        <v>55</v>
      </c>
      <c r="C126" s="9" t="s">
        <v>56</v>
      </c>
      <c r="D126" s="10"/>
      <c r="E126" s="2" t="n">
        <f>14593</f>
        <v>14593.0</v>
      </c>
      <c r="F126" s="10"/>
      <c r="G126" s="2" t="n">
        <f>25987444570</f>
        <v>2.598744457E10</v>
      </c>
      <c r="H126" s="10"/>
      <c r="I126" s="2" t="n">
        <f>805</f>
        <v>805.0</v>
      </c>
      <c r="J126" s="10"/>
      <c r="K126" s="2" t="n">
        <f>37782</f>
        <v>37782.0</v>
      </c>
    </row>
    <row r="127">
      <c r="A127" s="8" t="s">
        <v>48</v>
      </c>
      <c r="B127" s="9" t="s">
        <v>55</v>
      </c>
      <c r="C127" s="9" t="s">
        <v>56</v>
      </c>
      <c r="D127" s="10"/>
      <c r="E127" s="2" t="n">
        <f>26361</f>
        <v>26361.0</v>
      </c>
      <c r="F127" s="10"/>
      <c r="G127" s="2" t="n">
        <f>47571585580</f>
        <v>4.757158558E10</v>
      </c>
      <c r="H127" s="10"/>
      <c r="I127" s="2" t="n">
        <f>2476</f>
        <v>2476.0</v>
      </c>
      <c r="J127" s="10"/>
      <c r="K127" s="2" t="n">
        <f>41530</f>
        <v>41530.0</v>
      </c>
    </row>
    <row r="128">
      <c r="A128" s="8" t="s">
        <v>49</v>
      </c>
      <c r="B128" s="9" t="s">
        <v>55</v>
      </c>
      <c r="C128" s="9" t="s">
        <v>56</v>
      </c>
      <c r="D128" s="10"/>
      <c r="E128" s="2" t="n">
        <f>32039</f>
        <v>32039.0</v>
      </c>
      <c r="F128" s="10"/>
      <c r="G128" s="2" t="n">
        <f>57950636582</f>
        <v>5.7950636582E10</v>
      </c>
      <c r="H128" s="10"/>
      <c r="I128" s="2" t="n">
        <f>2522</f>
        <v>2522.0</v>
      </c>
      <c r="J128" s="10"/>
      <c r="K128" s="2" t="n">
        <f>41338</f>
        <v>41338.0</v>
      </c>
    </row>
    <row r="129">
      <c r="A129" s="8" t="s">
        <v>50</v>
      </c>
      <c r="B129" s="9" t="s">
        <v>55</v>
      </c>
      <c r="C129" s="9" t="s">
        <v>56</v>
      </c>
      <c r="D129" s="10"/>
      <c r="E129" s="2"/>
      <c r="F129" s="10"/>
      <c r="G129" s="2"/>
      <c r="H129" s="10"/>
      <c r="I129" s="2"/>
      <c r="J129" s="10"/>
      <c r="K129" s="2"/>
    </row>
    <row r="130">
      <c r="A130" s="8" t="s">
        <v>16</v>
      </c>
      <c r="B130" s="9" t="s">
        <v>57</v>
      </c>
      <c r="C130" s="9" t="s">
        <v>58</v>
      </c>
      <c r="D130" s="10"/>
      <c r="E130" s="2" t="n">
        <f>18998</f>
        <v>18998.0</v>
      </c>
      <c r="F130" s="10"/>
      <c r="G130" s="2" t="n">
        <f>30496969319</f>
        <v>3.0496969319E10</v>
      </c>
      <c r="H130" s="10"/>
      <c r="I130" s="2" t="n">
        <f>1871</f>
        <v>1871.0</v>
      </c>
      <c r="J130" s="10"/>
      <c r="K130" s="2" t="n">
        <f>112430</f>
        <v>112430.0</v>
      </c>
    </row>
    <row r="131">
      <c r="A131" s="8" t="s">
        <v>19</v>
      </c>
      <c r="B131" s="9" t="s">
        <v>57</v>
      </c>
      <c r="C131" s="9" t="s">
        <v>58</v>
      </c>
      <c r="D131" s="10"/>
      <c r="E131" s="2" t="n">
        <f>20617</f>
        <v>20617.0</v>
      </c>
      <c r="F131" s="10"/>
      <c r="G131" s="2" t="n">
        <f>33271345024</f>
        <v>3.3271345024E10</v>
      </c>
      <c r="H131" s="10"/>
      <c r="I131" s="2" t="n">
        <f>3899</f>
        <v>3899.0</v>
      </c>
      <c r="J131" s="10"/>
      <c r="K131" s="2" t="n">
        <f>110789</f>
        <v>110789.0</v>
      </c>
    </row>
    <row r="132">
      <c r="A132" s="8" t="s">
        <v>20</v>
      </c>
      <c r="B132" s="9" t="s">
        <v>57</v>
      </c>
      <c r="C132" s="9" t="s">
        <v>58</v>
      </c>
      <c r="D132" s="10"/>
      <c r="E132" s="2" t="n">
        <f>16188</f>
        <v>16188.0</v>
      </c>
      <c r="F132" s="10"/>
      <c r="G132" s="2" t="n">
        <f>26128706436</f>
        <v>2.6128706436E10</v>
      </c>
      <c r="H132" s="10"/>
      <c r="I132" s="2" t="n">
        <f>1256</f>
        <v>1256.0</v>
      </c>
      <c r="J132" s="10"/>
      <c r="K132" s="2" t="n">
        <f>109894</f>
        <v>109894.0</v>
      </c>
    </row>
    <row r="133">
      <c r="A133" s="8" t="s">
        <v>21</v>
      </c>
      <c r="B133" s="9" t="s">
        <v>57</v>
      </c>
      <c r="C133" s="9" t="s">
        <v>58</v>
      </c>
      <c r="D133" s="10"/>
      <c r="E133" s="2" t="n">
        <f>11967</f>
        <v>11967.0</v>
      </c>
      <c r="F133" s="10"/>
      <c r="G133" s="2" t="n">
        <f>19289616116</f>
        <v>1.9289616116E10</v>
      </c>
      <c r="H133" s="10"/>
      <c r="I133" s="2" t="n">
        <f>1199</f>
        <v>1199.0</v>
      </c>
      <c r="J133" s="10"/>
      <c r="K133" s="2" t="n">
        <f>108745</f>
        <v>108745.0</v>
      </c>
    </row>
    <row r="134">
      <c r="A134" s="8" t="s">
        <v>22</v>
      </c>
      <c r="B134" s="9" t="s">
        <v>57</v>
      </c>
      <c r="C134" s="9" t="s">
        <v>58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23</v>
      </c>
      <c r="B135" s="9" t="s">
        <v>57</v>
      </c>
      <c r="C135" s="9" t="s">
        <v>58</v>
      </c>
      <c r="D135" s="10"/>
      <c r="E135" s="2"/>
      <c r="F135" s="10"/>
      <c r="G135" s="2"/>
      <c r="H135" s="10"/>
      <c r="I135" s="2"/>
      <c r="J135" s="10"/>
      <c r="K135" s="2"/>
    </row>
    <row r="136">
      <c r="A136" s="8" t="s">
        <v>24</v>
      </c>
      <c r="B136" s="9" t="s">
        <v>57</v>
      </c>
      <c r="C136" s="9" t="s">
        <v>58</v>
      </c>
      <c r="D136" s="10"/>
      <c r="E136" s="2" t="n">
        <f>24599</f>
        <v>24599.0</v>
      </c>
      <c r="F136" s="10"/>
      <c r="G136" s="2" t="n">
        <f>39499215465</f>
        <v>3.9499215465E10</v>
      </c>
      <c r="H136" s="10"/>
      <c r="I136" s="2" t="n">
        <f>850</f>
        <v>850.0</v>
      </c>
      <c r="J136" s="10"/>
      <c r="K136" s="2" t="n">
        <f>105404</f>
        <v>105404.0</v>
      </c>
    </row>
    <row r="137">
      <c r="A137" s="8" t="s">
        <v>25</v>
      </c>
      <c r="B137" s="9" t="s">
        <v>57</v>
      </c>
      <c r="C137" s="9" t="s">
        <v>58</v>
      </c>
      <c r="D137" s="10" t="s">
        <v>26</v>
      </c>
      <c r="E137" s="2" t="n">
        <f>104080</f>
        <v>104080.0</v>
      </c>
      <c r="F137" s="10" t="s">
        <v>26</v>
      </c>
      <c r="G137" s="2" t="n">
        <f>166147292200</f>
        <v>1.661472922E11</v>
      </c>
      <c r="H137" s="10"/>
      <c r="I137" s="2" t="n">
        <f>5236</f>
        <v>5236.0</v>
      </c>
      <c r="J137" s="10"/>
      <c r="K137" s="2" t="n">
        <f>108352</f>
        <v>108352.0</v>
      </c>
    </row>
    <row r="138">
      <c r="A138" s="8" t="s">
        <v>27</v>
      </c>
      <c r="B138" s="9" t="s">
        <v>57</v>
      </c>
      <c r="C138" s="9" t="s">
        <v>58</v>
      </c>
      <c r="D138" s="10"/>
      <c r="E138" s="2" t="n">
        <f>87185</f>
        <v>87185.0</v>
      </c>
      <c r="F138" s="10"/>
      <c r="G138" s="2" t="n">
        <f>139965100385</f>
        <v>1.39965100385E11</v>
      </c>
      <c r="H138" s="10" t="s">
        <v>26</v>
      </c>
      <c r="I138" s="2" t="n">
        <f>7844</f>
        <v>7844.0</v>
      </c>
      <c r="J138" s="10" t="s">
        <v>26</v>
      </c>
      <c r="K138" s="2" t="n">
        <f>119179</f>
        <v>119179.0</v>
      </c>
    </row>
    <row r="139">
      <c r="A139" s="8" t="s">
        <v>28</v>
      </c>
      <c r="B139" s="9" t="s">
        <v>57</v>
      </c>
      <c r="C139" s="9" t="s">
        <v>58</v>
      </c>
      <c r="D139" s="10"/>
      <c r="E139" s="2" t="n">
        <f>40268</f>
        <v>40268.0</v>
      </c>
      <c r="F139" s="10"/>
      <c r="G139" s="2" t="n">
        <f>64817350550</f>
        <v>6.481735055E10</v>
      </c>
      <c r="H139" s="10"/>
      <c r="I139" s="2" t="n">
        <f>4910</f>
        <v>4910.0</v>
      </c>
      <c r="J139" s="10"/>
      <c r="K139" s="2" t="n">
        <f>116456</f>
        <v>116456.0</v>
      </c>
    </row>
    <row r="140">
      <c r="A140" s="8" t="s">
        <v>29</v>
      </c>
      <c r="B140" s="9" t="s">
        <v>57</v>
      </c>
      <c r="C140" s="9" t="s">
        <v>58</v>
      </c>
      <c r="D140" s="10"/>
      <c r="E140" s="2" t="n">
        <f>11012</f>
        <v>11012.0</v>
      </c>
      <c r="F140" s="10"/>
      <c r="G140" s="2" t="n">
        <f>17686143000</f>
        <v>1.7686143E10</v>
      </c>
      <c r="H140" s="10"/>
      <c r="I140" s="2" t="n">
        <f>646</f>
        <v>646.0</v>
      </c>
      <c r="J140" s="10"/>
      <c r="K140" s="2" t="n">
        <f>114165</f>
        <v>114165.0</v>
      </c>
    </row>
    <row r="141">
      <c r="A141" s="8" t="s">
        <v>30</v>
      </c>
      <c r="B141" s="9" t="s">
        <v>57</v>
      </c>
      <c r="C141" s="9" t="s">
        <v>58</v>
      </c>
      <c r="D141" s="10"/>
      <c r="E141" s="2"/>
      <c r="F141" s="10"/>
      <c r="G141" s="2"/>
      <c r="H141" s="10"/>
      <c r="I141" s="2"/>
      <c r="J141" s="10"/>
      <c r="K141" s="2"/>
    </row>
    <row r="142">
      <c r="A142" s="8" t="s">
        <v>31</v>
      </c>
      <c r="B142" s="9" t="s">
        <v>57</v>
      </c>
      <c r="C142" s="9" t="s">
        <v>58</v>
      </c>
      <c r="D142" s="10"/>
      <c r="E142" s="2"/>
      <c r="F142" s="10"/>
      <c r="G142" s="2"/>
      <c r="H142" s="10"/>
      <c r="I142" s="2"/>
      <c r="J142" s="10"/>
      <c r="K142" s="2"/>
    </row>
    <row r="143">
      <c r="A143" s="8" t="s">
        <v>32</v>
      </c>
      <c r="B143" s="9" t="s">
        <v>57</v>
      </c>
      <c r="C143" s="9" t="s">
        <v>58</v>
      </c>
      <c r="D143" s="10"/>
      <c r="E143" s="2" t="n">
        <f>15502</f>
        <v>15502.0</v>
      </c>
      <c r="F143" s="10"/>
      <c r="G143" s="2" t="n">
        <f>25046635980</f>
        <v>2.504663598E10</v>
      </c>
      <c r="H143" s="10"/>
      <c r="I143" s="2" t="n">
        <f>1181</f>
        <v>1181.0</v>
      </c>
      <c r="J143" s="10" t="s">
        <v>44</v>
      </c>
      <c r="K143" s="2" t="n">
        <f>67039</f>
        <v>67039.0</v>
      </c>
    </row>
    <row r="144">
      <c r="A144" s="8" t="s">
        <v>33</v>
      </c>
      <c r="B144" s="9" t="s">
        <v>57</v>
      </c>
      <c r="C144" s="9" t="s">
        <v>58</v>
      </c>
      <c r="D144" s="10"/>
      <c r="E144" s="2" t="n">
        <f>10203</f>
        <v>10203.0</v>
      </c>
      <c r="F144" s="10"/>
      <c r="G144" s="2" t="n">
        <f>16439020000</f>
        <v>1.643902E10</v>
      </c>
      <c r="H144" s="10"/>
      <c r="I144" s="2" t="n">
        <f>588</f>
        <v>588.0</v>
      </c>
      <c r="J144" s="10"/>
      <c r="K144" s="2" t="n">
        <f>68341</f>
        <v>68341.0</v>
      </c>
    </row>
    <row r="145">
      <c r="A145" s="8" t="s">
        <v>34</v>
      </c>
      <c r="B145" s="9" t="s">
        <v>57</v>
      </c>
      <c r="C145" s="9" t="s">
        <v>58</v>
      </c>
      <c r="D145" s="10"/>
      <c r="E145" s="2" t="n">
        <f>10039</f>
        <v>10039.0</v>
      </c>
      <c r="F145" s="10"/>
      <c r="G145" s="2" t="n">
        <f>16197223000</f>
        <v>1.6197223E10</v>
      </c>
      <c r="H145" s="10"/>
      <c r="I145" s="2" t="n">
        <f>421</f>
        <v>421.0</v>
      </c>
      <c r="J145" s="10"/>
      <c r="K145" s="2" t="n">
        <f>69418</f>
        <v>69418.0</v>
      </c>
    </row>
    <row r="146">
      <c r="A146" s="8" t="s">
        <v>35</v>
      </c>
      <c r="B146" s="9" t="s">
        <v>57</v>
      </c>
      <c r="C146" s="9" t="s">
        <v>58</v>
      </c>
      <c r="D146" s="10"/>
      <c r="E146" s="2" t="n">
        <f>8376</f>
        <v>8376.0</v>
      </c>
      <c r="F146" s="10"/>
      <c r="G146" s="2" t="n">
        <f>13522286589</f>
        <v>1.3522286589E10</v>
      </c>
      <c r="H146" s="10"/>
      <c r="I146" s="2" t="n">
        <f>371</f>
        <v>371.0</v>
      </c>
      <c r="J146" s="10"/>
      <c r="K146" s="2" t="n">
        <f>69138</f>
        <v>69138.0</v>
      </c>
    </row>
    <row r="147">
      <c r="A147" s="8" t="s">
        <v>36</v>
      </c>
      <c r="B147" s="9" t="s">
        <v>57</v>
      </c>
      <c r="C147" s="9" t="s">
        <v>58</v>
      </c>
      <c r="D147" s="10"/>
      <c r="E147" s="2" t="n">
        <f>10662</f>
        <v>10662.0</v>
      </c>
      <c r="F147" s="10"/>
      <c r="G147" s="2" t="n">
        <f>17228126500</f>
        <v>1.72281265E10</v>
      </c>
      <c r="H147" s="10"/>
      <c r="I147" s="2" t="n">
        <f>229</f>
        <v>229.0</v>
      </c>
      <c r="J147" s="10"/>
      <c r="K147" s="2" t="n">
        <f>70039</f>
        <v>70039.0</v>
      </c>
    </row>
    <row r="148">
      <c r="A148" s="8" t="s">
        <v>37</v>
      </c>
      <c r="B148" s="9" t="s">
        <v>57</v>
      </c>
      <c r="C148" s="9" t="s">
        <v>58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38</v>
      </c>
      <c r="B149" s="9" t="s">
        <v>57</v>
      </c>
      <c r="C149" s="9" t="s">
        <v>58</v>
      </c>
      <c r="D149" s="10"/>
      <c r="E149" s="2"/>
      <c r="F149" s="10"/>
      <c r="G149" s="2"/>
      <c r="H149" s="10"/>
      <c r="I149" s="2"/>
      <c r="J149" s="10"/>
      <c r="K149" s="2"/>
    </row>
    <row r="150">
      <c r="A150" s="8" t="s">
        <v>39</v>
      </c>
      <c r="B150" s="9" t="s">
        <v>57</v>
      </c>
      <c r="C150" s="9" t="s">
        <v>58</v>
      </c>
      <c r="D150" s="10"/>
      <c r="E150" s="2" t="n">
        <f>12607</f>
        <v>12607.0</v>
      </c>
      <c r="F150" s="10"/>
      <c r="G150" s="2" t="n">
        <f>20322034118</f>
        <v>2.0322034118E10</v>
      </c>
      <c r="H150" s="10"/>
      <c r="I150" s="2" t="n">
        <f>992</f>
        <v>992.0</v>
      </c>
      <c r="J150" s="10"/>
      <c r="K150" s="2" t="n">
        <f>70778</f>
        <v>70778.0</v>
      </c>
    </row>
    <row r="151">
      <c r="A151" s="8" t="s">
        <v>40</v>
      </c>
      <c r="B151" s="9" t="s">
        <v>57</v>
      </c>
      <c r="C151" s="9" t="s">
        <v>58</v>
      </c>
      <c r="D151" s="10"/>
      <c r="E151" s="2" t="n">
        <f>19853</f>
        <v>19853.0</v>
      </c>
      <c r="F151" s="10"/>
      <c r="G151" s="2" t="n">
        <f>31590591902</f>
        <v>3.1590591902E10</v>
      </c>
      <c r="H151" s="10"/>
      <c r="I151" s="2" t="n">
        <f>1478</f>
        <v>1478.0</v>
      </c>
      <c r="J151" s="10"/>
      <c r="K151" s="2" t="n">
        <f>71608</f>
        <v>71608.0</v>
      </c>
    </row>
    <row r="152">
      <c r="A152" s="8" t="s">
        <v>41</v>
      </c>
      <c r="B152" s="9" t="s">
        <v>57</v>
      </c>
      <c r="C152" s="9" t="s">
        <v>58</v>
      </c>
      <c r="D152" s="10"/>
      <c r="E152" s="2" t="n">
        <f>13103</f>
        <v>13103.0</v>
      </c>
      <c r="F152" s="10"/>
      <c r="G152" s="2" t="n">
        <f>20868646389</f>
        <v>2.0868646389E10</v>
      </c>
      <c r="H152" s="10"/>
      <c r="I152" s="2" t="n">
        <f>812</f>
        <v>812.0</v>
      </c>
      <c r="J152" s="10"/>
      <c r="K152" s="2" t="n">
        <f>71240</f>
        <v>71240.0</v>
      </c>
    </row>
    <row r="153">
      <c r="A153" s="8" t="s">
        <v>42</v>
      </c>
      <c r="B153" s="9" t="s">
        <v>57</v>
      </c>
      <c r="C153" s="9" t="s">
        <v>58</v>
      </c>
      <c r="D153" s="10"/>
      <c r="E153" s="2" t="n">
        <f>9581</f>
        <v>9581.0</v>
      </c>
      <c r="F153" s="10"/>
      <c r="G153" s="2" t="n">
        <f>15357496000</f>
        <v>1.5357496E10</v>
      </c>
      <c r="H153" s="10"/>
      <c r="I153" s="2" t="n">
        <f>1551</f>
        <v>1551.0</v>
      </c>
      <c r="J153" s="10"/>
      <c r="K153" s="2" t="n">
        <f>71057</f>
        <v>71057.0</v>
      </c>
    </row>
    <row r="154">
      <c r="A154" s="8" t="s">
        <v>43</v>
      </c>
      <c r="B154" s="9" t="s">
        <v>57</v>
      </c>
      <c r="C154" s="9" t="s">
        <v>58</v>
      </c>
      <c r="D154" s="10" t="s">
        <v>44</v>
      </c>
      <c r="E154" s="2" t="n">
        <f>4657</f>
        <v>4657.0</v>
      </c>
      <c r="F154" s="10" t="s">
        <v>44</v>
      </c>
      <c r="G154" s="2" t="n">
        <f>7475115000</f>
        <v>7.475115E9</v>
      </c>
      <c r="H154" s="10"/>
      <c r="I154" s="2" t="n">
        <f>91</f>
        <v>91.0</v>
      </c>
      <c r="J154" s="10"/>
      <c r="K154" s="2" t="n">
        <f>71471</f>
        <v>71471.0</v>
      </c>
    </row>
    <row r="155">
      <c r="A155" s="8" t="s">
        <v>45</v>
      </c>
      <c r="B155" s="9" t="s">
        <v>57</v>
      </c>
      <c r="C155" s="9" t="s">
        <v>58</v>
      </c>
      <c r="D155" s="10"/>
      <c r="E155" s="2"/>
      <c r="F155" s="10"/>
      <c r="G155" s="2"/>
      <c r="H155" s="10"/>
      <c r="I155" s="2"/>
      <c r="J155" s="10"/>
      <c r="K155" s="2"/>
    </row>
    <row r="156">
      <c r="A156" s="8" t="s">
        <v>46</v>
      </c>
      <c r="B156" s="9" t="s">
        <v>57</v>
      </c>
      <c r="C156" s="9" t="s">
        <v>58</v>
      </c>
      <c r="D156" s="10"/>
      <c r="E156" s="2"/>
      <c r="F156" s="10"/>
      <c r="G156" s="2"/>
      <c r="H156" s="10"/>
      <c r="I156" s="2"/>
      <c r="J156" s="10"/>
      <c r="K156" s="2"/>
    </row>
    <row r="157">
      <c r="A157" s="8" t="s">
        <v>47</v>
      </c>
      <c r="B157" s="9" t="s">
        <v>57</v>
      </c>
      <c r="C157" s="9" t="s">
        <v>58</v>
      </c>
      <c r="D157" s="10"/>
      <c r="E157" s="2" t="n">
        <f>9597</f>
        <v>9597.0</v>
      </c>
      <c r="F157" s="10"/>
      <c r="G157" s="2" t="n">
        <f>15476262269</f>
        <v>1.5476262269E10</v>
      </c>
      <c r="H157" s="10" t="s">
        <v>44</v>
      </c>
      <c r="I157" s="2" t="n">
        <f>64</f>
        <v>64.0</v>
      </c>
      <c r="J157" s="10"/>
      <c r="K157" s="2" t="n">
        <f>71814</f>
        <v>71814.0</v>
      </c>
    </row>
    <row r="158">
      <c r="A158" s="8" t="s">
        <v>48</v>
      </c>
      <c r="B158" s="9" t="s">
        <v>57</v>
      </c>
      <c r="C158" s="9" t="s">
        <v>58</v>
      </c>
      <c r="D158" s="10"/>
      <c r="E158" s="2" t="n">
        <f>14591</f>
        <v>14591.0</v>
      </c>
      <c r="F158" s="10"/>
      <c r="G158" s="2" t="n">
        <f>23860809889</f>
        <v>2.3860809889E10</v>
      </c>
      <c r="H158" s="10"/>
      <c r="I158" s="2" t="n">
        <f>926</f>
        <v>926.0</v>
      </c>
      <c r="J158" s="10"/>
      <c r="K158" s="2" t="n">
        <f>72762</f>
        <v>72762.0</v>
      </c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14531</f>
        <v>14531.0</v>
      </c>
      <c r="F159" s="10"/>
      <c r="G159" s="2" t="n">
        <f>23806181850</f>
        <v>2.380618185E10</v>
      </c>
      <c r="H159" s="10"/>
      <c r="I159" s="2" t="n">
        <f>605</f>
        <v>605.0</v>
      </c>
      <c r="J159" s="10"/>
      <c r="K159" s="2" t="n">
        <f>73006</f>
        <v>73006.0</v>
      </c>
    </row>
    <row r="160">
      <c r="A160" s="8" t="s">
        <v>50</v>
      </c>
      <c r="B160" s="9" t="s">
        <v>57</v>
      </c>
      <c r="C160" s="9" t="s">
        <v>58</v>
      </c>
      <c r="D160" s="10"/>
      <c r="E160" s="2"/>
      <c r="F160" s="10"/>
      <c r="G160" s="2"/>
      <c r="H160" s="10"/>
      <c r="I160" s="2"/>
      <c r="J160" s="10"/>
      <c r="K160" s="2"/>
    </row>
    <row r="161">
      <c r="A161" s="8" t="s">
        <v>16</v>
      </c>
      <c r="B161" s="9" t="s">
        <v>59</v>
      </c>
      <c r="C161" s="9" t="s">
        <v>60</v>
      </c>
      <c r="D161" s="10"/>
      <c r="E161" s="2" t="n">
        <f>4</f>
        <v>4.0</v>
      </c>
      <c r="F161" s="10"/>
      <c r="G161" s="2" t="n">
        <f>3152000</f>
        <v>3152000.0</v>
      </c>
      <c r="H161" s="10" t="s">
        <v>44</v>
      </c>
      <c r="I161" s="2" t="str">
        <f>"－"</f>
        <v>－</v>
      </c>
      <c r="J161" s="10"/>
      <c r="K161" s="2" t="n">
        <f>71</f>
        <v>71.0</v>
      </c>
    </row>
    <row r="162">
      <c r="A162" s="8" t="s">
        <v>19</v>
      </c>
      <c r="B162" s="9" t="s">
        <v>59</v>
      </c>
      <c r="C162" s="9" t="s">
        <v>60</v>
      </c>
      <c r="D162" s="10"/>
      <c r="E162" s="2" t="n">
        <f>3</f>
        <v>3.0</v>
      </c>
      <c r="F162" s="10"/>
      <c r="G162" s="2" t="n">
        <f>2450500</f>
        <v>2450500.0</v>
      </c>
      <c r="H162" s="10"/>
      <c r="I162" s="2" t="str">
        <f>"－"</f>
        <v>－</v>
      </c>
      <c r="J162" s="10"/>
      <c r="K162" s="2" t="n">
        <f>71</f>
        <v>71.0</v>
      </c>
    </row>
    <row r="163">
      <c r="A163" s="8" t="s">
        <v>20</v>
      </c>
      <c r="B163" s="9" t="s">
        <v>59</v>
      </c>
      <c r="C163" s="9" t="s">
        <v>60</v>
      </c>
      <c r="D163" s="10" t="s">
        <v>44</v>
      </c>
      <c r="E163" s="2" t="str">
        <f>"－"</f>
        <v>－</v>
      </c>
      <c r="F163" s="10" t="s">
        <v>44</v>
      </c>
      <c r="G163" s="2" t="str">
        <f>"－"</f>
        <v>－</v>
      </c>
      <c r="H163" s="10"/>
      <c r="I163" s="2" t="str">
        <f>"－"</f>
        <v>－</v>
      </c>
      <c r="J163" s="10"/>
      <c r="K163" s="2" t="n">
        <f>71</f>
        <v>71.0</v>
      </c>
    </row>
    <row r="164">
      <c r="A164" s="8" t="s">
        <v>21</v>
      </c>
      <c r="B164" s="9" t="s">
        <v>59</v>
      </c>
      <c r="C164" s="9" t="s">
        <v>60</v>
      </c>
      <c r="D164" s="10"/>
      <c r="E164" s="2" t="str">
        <f>"－"</f>
        <v>－</v>
      </c>
      <c r="F164" s="10"/>
      <c r="G164" s="2" t="str">
        <f>"－"</f>
        <v>－</v>
      </c>
      <c r="H164" s="10"/>
      <c r="I164" s="2" t="str">
        <f>"－"</f>
        <v>－</v>
      </c>
      <c r="J164" s="10"/>
      <c r="K164" s="2" t="n">
        <f>71</f>
        <v>71.0</v>
      </c>
    </row>
    <row r="165">
      <c r="A165" s="8" t="s">
        <v>22</v>
      </c>
      <c r="B165" s="9" t="s">
        <v>59</v>
      </c>
      <c r="C165" s="9" t="s">
        <v>60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23</v>
      </c>
      <c r="B166" s="9" t="s">
        <v>59</v>
      </c>
      <c r="C166" s="9" t="s">
        <v>60</v>
      </c>
      <c r="D166" s="10"/>
      <c r="E166" s="2"/>
      <c r="F166" s="10"/>
      <c r="G166" s="2"/>
      <c r="H166" s="10"/>
      <c r="I166" s="2"/>
      <c r="J166" s="10"/>
      <c r="K166" s="2"/>
    </row>
    <row r="167">
      <c r="A167" s="8" t="s">
        <v>24</v>
      </c>
      <c r="B167" s="9" t="s">
        <v>59</v>
      </c>
      <c r="C167" s="9" t="s">
        <v>60</v>
      </c>
      <c r="D167" s="10"/>
      <c r="E167" s="2" t="n">
        <f>1</f>
        <v>1.0</v>
      </c>
      <c r="F167" s="10"/>
      <c r="G167" s="2" t="n">
        <f>809500</f>
        <v>809500.0</v>
      </c>
      <c r="H167" s="10"/>
      <c r="I167" s="2" t="str">
        <f>"－"</f>
        <v>－</v>
      </c>
      <c r="J167" s="10"/>
      <c r="K167" s="2" t="n">
        <f>71</f>
        <v>71.0</v>
      </c>
    </row>
    <row r="168">
      <c r="A168" s="8" t="s">
        <v>25</v>
      </c>
      <c r="B168" s="9" t="s">
        <v>59</v>
      </c>
      <c r="C168" s="9" t="s">
        <v>60</v>
      </c>
      <c r="D168" s="10" t="s">
        <v>26</v>
      </c>
      <c r="E168" s="2" t="n">
        <f>123</f>
        <v>123.0</v>
      </c>
      <c r="F168" s="10" t="s">
        <v>26</v>
      </c>
      <c r="G168" s="2" t="n">
        <f>99438600</f>
        <v>9.94386E7</v>
      </c>
      <c r="H168" s="10" t="s">
        <v>26</v>
      </c>
      <c r="I168" s="2" t="n">
        <f>1</f>
        <v>1.0</v>
      </c>
      <c r="J168" s="10" t="s">
        <v>26</v>
      </c>
      <c r="K168" s="2" t="n">
        <f>72</f>
        <v>72.0</v>
      </c>
    </row>
    <row r="169">
      <c r="A169" s="8" t="s">
        <v>27</v>
      </c>
      <c r="B169" s="9" t="s">
        <v>59</v>
      </c>
      <c r="C169" s="9" t="s">
        <v>60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72</f>
        <v>72.0</v>
      </c>
    </row>
    <row r="170">
      <c r="A170" s="8" t="s">
        <v>28</v>
      </c>
      <c r="B170" s="9" t="s">
        <v>59</v>
      </c>
      <c r="C170" s="9" t="s">
        <v>60</v>
      </c>
      <c r="D170" s="10"/>
      <c r="E170" s="2" t="str">
        <f>"－"</f>
        <v>－</v>
      </c>
      <c r="F170" s="10"/>
      <c r="G170" s="2" t="str">
        <f>"－"</f>
        <v>－</v>
      </c>
      <c r="H170" s="10"/>
      <c r="I170" s="2" t="str">
        <f>"－"</f>
        <v>－</v>
      </c>
      <c r="J170" s="10"/>
      <c r="K170" s="2" t="n">
        <f>72</f>
        <v>72.0</v>
      </c>
    </row>
    <row r="171">
      <c r="A171" s="8" t="s">
        <v>29</v>
      </c>
      <c r="B171" s="9" t="s">
        <v>59</v>
      </c>
      <c r="C171" s="9" t="s">
        <v>60</v>
      </c>
      <c r="D171" s="10"/>
      <c r="E171" s="2" t="str">
        <f>"－"</f>
        <v>－</v>
      </c>
      <c r="F171" s="10"/>
      <c r="G171" s="2" t="str">
        <f>"－"</f>
        <v>－</v>
      </c>
      <c r="H171" s="10"/>
      <c r="I171" s="2" t="str">
        <f>"－"</f>
        <v>－</v>
      </c>
      <c r="J171" s="10"/>
      <c r="K171" s="2" t="n">
        <f>72</f>
        <v>72.0</v>
      </c>
    </row>
    <row r="172">
      <c r="A172" s="8" t="s">
        <v>30</v>
      </c>
      <c r="B172" s="9" t="s">
        <v>59</v>
      </c>
      <c r="C172" s="9" t="s">
        <v>60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31</v>
      </c>
      <c r="B173" s="9" t="s">
        <v>59</v>
      </c>
      <c r="C173" s="9" t="s">
        <v>60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32</v>
      </c>
      <c r="B174" s="9" t="s">
        <v>59</v>
      </c>
      <c r="C174" s="9" t="s">
        <v>60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 t="s">
        <v>44</v>
      </c>
      <c r="K174" s="2" t="n">
        <f>61</f>
        <v>61.0</v>
      </c>
    </row>
    <row r="175">
      <c r="A175" s="8" t="s">
        <v>33</v>
      </c>
      <c r="B175" s="9" t="s">
        <v>59</v>
      </c>
      <c r="C175" s="9" t="s">
        <v>60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61</f>
        <v>61.0</v>
      </c>
    </row>
    <row r="176">
      <c r="A176" s="8" t="s">
        <v>34</v>
      </c>
      <c r="B176" s="9" t="s">
        <v>59</v>
      </c>
      <c r="C176" s="9" t="s">
        <v>60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61</f>
        <v>61.0</v>
      </c>
    </row>
    <row r="177">
      <c r="A177" s="8" t="s">
        <v>35</v>
      </c>
      <c r="B177" s="9" t="s">
        <v>59</v>
      </c>
      <c r="C177" s="9" t="s">
        <v>60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61</f>
        <v>61.0</v>
      </c>
    </row>
    <row r="178">
      <c r="A178" s="8" t="s">
        <v>36</v>
      </c>
      <c r="B178" s="9" t="s">
        <v>59</v>
      </c>
      <c r="C178" s="9" t="s">
        <v>60</v>
      </c>
      <c r="D178" s="10"/>
      <c r="E178" s="2" t="str">
        <f>"－"</f>
        <v>－</v>
      </c>
      <c r="F178" s="10"/>
      <c r="G178" s="2" t="str">
        <f>"－"</f>
        <v>－</v>
      </c>
      <c r="H178" s="10"/>
      <c r="I178" s="2" t="str">
        <f>"－"</f>
        <v>－</v>
      </c>
      <c r="J178" s="10"/>
      <c r="K178" s="2" t="n">
        <f>61</f>
        <v>61.0</v>
      </c>
    </row>
    <row r="179">
      <c r="A179" s="8" t="s">
        <v>37</v>
      </c>
      <c r="B179" s="9" t="s">
        <v>59</v>
      </c>
      <c r="C179" s="9" t="s">
        <v>60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38</v>
      </c>
      <c r="B180" s="9" t="s">
        <v>59</v>
      </c>
      <c r="C180" s="9" t="s">
        <v>60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39</v>
      </c>
      <c r="B181" s="9" t="s">
        <v>59</v>
      </c>
      <c r="C181" s="9" t="s">
        <v>60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61</f>
        <v>61.0</v>
      </c>
    </row>
    <row r="182">
      <c r="A182" s="8" t="s">
        <v>40</v>
      </c>
      <c r="B182" s="9" t="s">
        <v>59</v>
      </c>
      <c r="C182" s="9" t="s">
        <v>60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61</f>
        <v>61.0</v>
      </c>
    </row>
    <row r="183">
      <c r="A183" s="8" t="s">
        <v>41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61</f>
        <v>61.0</v>
      </c>
    </row>
    <row r="184">
      <c r="A184" s="8" t="s">
        <v>42</v>
      </c>
      <c r="B184" s="9" t="s">
        <v>59</v>
      </c>
      <c r="C184" s="9" t="s">
        <v>60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61</f>
        <v>61.0</v>
      </c>
    </row>
    <row r="185">
      <c r="A185" s="8" t="s">
        <v>43</v>
      </c>
      <c r="B185" s="9" t="s">
        <v>59</v>
      </c>
      <c r="C185" s="9" t="s">
        <v>60</v>
      </c>
      <c r="D185" s="10"/>
      <c r="E185" s="2" t="str">
        <f>"－"</f>
        <v>－</v>
      </c>
      <c r="F185" s="10"/>
      <c r="G185" s="2" t="str">
        <f>"－"</f>
        <v>－</v>
      </c>
      <c r="H185" s="10"/>
      <c r="I185" s="2" t="str">
        <f>"－"</f>
        <v>－</v>
      </c>
      <c r="J185" s="10"/>
      <c r="K185" s="2" t="n">
        <f>61</f>
        <v>61.0</v>
      </c>
    </row>
    <row r="186">
      <c r="A186" s="8" t="s">
        <v>45</v>
      </c>
      <c r="B186" s="9" t="s">
        <v>59</v>
      </c>
      <c r="C186" s="9" t="s">
        <v>60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46</v>
      </c>
      <c r="B187" s="9" t="s">
        <v>59</v>
      </c>
      <c r="C187" s="9" t="s">
        <v>60</v>
      </c>
      <c r="D187" s="10"/>
      <c r="E187" s="2"/>
      <c r="F187" s="10"/>
      <c r="G187" s="2"/>
      <c r="H187" s="10"/>
      <c r="I187" s="2"/>
      <c r="J187" s="10"/>
      <c r="K187" s="2"/>
    </row>
    <row r="188">
      <c r="A188" s="8" t="s">
        <v>47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61</f>
        <v>61.0</v>
      </c>
    </row>
    <row r="189">
      <c r="A189" s="8" t="s">
        <v>48</v>
      </c>
      <c r="B189" s="9" t="s">
        <v>59</v>
      </c>
      <c r="C189" s="9" t="s">
        <v>60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61</f>
        <v>61.0</v>
      </c>
    </row>
    <row r="190">
      <c r="A190" s="8" t="s">
        <v>49</v>
      </c>
      <c r="B190" s="9" t="s">
        <v>59</v>
      </c>
      <c r="C190" s="9" t="s">
        <v>60</v>
      </c>
      <c r="D190" s="10"/>
      <c r="E190" s="2" t="str">
        <f>"－"</f>
        <v>－</v>
      </c>
      <c r="F190" s="10"/>
      <c r="G190" s="2" t="str">
        <f>"－"</f>
        <v>－</v>
      </c>
      <c r="H190" s="10"/>
      <c r="I190" s="2" t="str">
        <f>"－"</f>
        <v>－</v>
      </c>
      <c r="J190" s="10"/>
      <c r="K190" s="2" t="n">
        <f>61</f>
        <v>61.0</v>
      </c>
    </row>
    <row r="191">
      <c r="A191" s="8" t="s">
        <v>50</v>
      </c>
      <c r="B191" s="9" t="s">
        <v>59</v>
      </c>
      <c r="C191" s="9" t="s">
        <v>60</v>
      </c>
      <c r="D191" s="10"/>
      <c r="E191" s="2"/>
      <c r="F191" s="10"/>
      <c r="G191" s="2"/>
      <c r="H191" s="10"/>
      <c r="I191" s="2"/>
      <c r="J191" s="10"/>
      <c r="K191" s="2"/>
    </row>
    <row r="192">
      <c r="A192" s="8" t="s">
        <v>16</v>
      </c>
      <c r="B192" s="9" t="s">
        <v>61</v>
      </c>
      <c r="C192" s="9" t="s">
        <v>62</v>
      </c>
      <c r="D192" s="10" t="s">
        <v>44</v>
      </c>
      <c r="E192" s="2" t="str">
        <f>"－"</f>
        <v>－</v>
      </c>
      <c r="F192" s="10" t="s">
        <v>44</v>
      </c>
      <c r="G192" s="2" t="str">
        <f>"－"</f>
        <v>－</v>
      </c>
      <c r="H192" s="10" t="s">
        <v>44</v>
      </c>
      <c r="I192" s="2" t="str">
        <f>"－"</f>
        <v>－</v>
      </c>
      <c r="J192" s="10"/>
      <c r="K192" s="2" t="n">
        <f>41448</f>
        <v>41448.0</v>
      </c>
    </row>
    <row r="193">
      <c r="A193" s="8" t="s">
        <v>19</v>
      </c>
      <c r="B193" s="9" t="s">
        <v>61</v>
      </c>
      <c r="C193" s="9" t="s">
        <v>62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41448</f>
        <v>41448.0</v>
      </c>
    </row>
    <row r="194">
      <c r="A194" s="8" t="s">
        <v>20</v>
      </c>
      <c r="B194" s="9" t="s">
        <v>61</v>
      </c>
      <c r="C194" s="9" t="s">
        <v>62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 t="n">
        <f>41448</f>
        <v>41448.0</v>
      </c>
    </row>
    <row r="195">
      <c r="A195" s="8" t="s">
        <v>21</v>
      </c>
      <c r="B195" s="9" t="s">
        <v>61</v>
      </c>
      <c r="C195" s="9" t="s">
        <v>62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 t="n">
        <f>41448</f>
        <v>41448.0</v>
      </c>
    </row>
    <row r="196">
      <c r="A196" s="8" t="s">
        <v>22</v>
      </c>
      <c r="B196" s="9" t="s">
        <v>61</v>
      </c>
      <c r="C196" s="9" t="s">
        <v>62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23</v>
      </c>
      <c r="B197" s="9" t="s">
        <v>61</v>
      </c>
      <c r="C197" s="9" t="s">
        <v>62</v>
      </c>
      <c r="D197" s="10"/>
      <c r="E197" s="2"/>
      <c r="F197" s="10"/>
      <c r="G197" s="2"/>
      <c r="H197" s="10"/>
      <c r="I197" s="2"/>
      <c r="J197" s="10"/>
      <c r="K197" s="2"/>
    </row>
    <row r="198">
      <c r="A198" s="8" t="s">
        <v>24</v>
      </c>
      <c r="B198" s="9" t="s">
        <v>61</v>
      </c>
      <c r="C198" s="9" t="s">
        <v>62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41448</f>
        <v>41448.0</v>
      </c>
    </row>
    <row r="199">
      <c r="A199" s="8" t="s">
        <v>25</v>
      </c>
      <c r="B199" s="9" t="s">
        <v>61</v>
      </c>
      <c r="C199" s="9" t="s">
        <v>62</v>
      </c>
      <c r="D199" s="10"/>
      <c r="E199" s="2" t="n">
        <f>20000</f>
        <v>20000.0</v>
      </c>
      <c r="F199" s="10"/>
      <c r="G199" s="2" t="n">
        <f>23990000000</f>
        <v>2.399E10</v>
      </c>
      <c r="H199" s="10"/>
      <c r="I199" s="2" t="str">
        <f>"－"</f>
        <v>－</v>
      </c>
      <c r="J199" s="10"/>
      <c r="K199" s="2" t="n">
        <f>41448</f>
        <v>41448.0</v>
      </c>
    </row>
    <row r="200">
      <c r="A200" s="8" t="s">
        <v>27</v>
      </c>
      <c r="B200" s="9" t="s">
        <v>61</v>
      </c>
      <c r="C200" s="9" t="s">
        <v>62</v>
      </c>
      <c r="D200" s="10" t="s">
        <v>26</v>
      </c>
      <c r="E200" s="2" t="n">
        <f>58588</f>
        <v>58588.0</v>
      </c>
      <c r="F200" s="10" t="s">
        <v>26</v>
      </c>
      <c r="G200" s="2" t="n">
        <f>69693967100</f>
        <v>6.96939671E10</v>
      </c>
      <c r="H200" s="10"/>
      <c r="I200" s="2" t="n">
        <f>1300</f>
        <v>1300.0</v>
      </c>
      <c r="J200" s="10" t="s">
        <v>26</v>
      </c>
      <c r="K200" s="2" t="n">
        <f>42246</f>
        <v>42246.0</v>
      </c>
    </row>
    <row r="201">
      <c r="A201" s="8" t="s">
        <v>28</v>
      </c>
      <c r="B201" s="9" t="s">
        <v>61</v>
      </c>
      <c r="C201" s="9" t="s">
        <v>62</v>
      </c>
      <c r="D201" s="10"/>
      <c r="E201" s="2" t="n">
        <f>1365</f>
        <v>1365.0</v>
      </c>
      <c r="F201" s="10"/>
      <c r="G201" s="2" t="n">
        <f>1623615630</f>
        <v>1.62361563E9</v>
      </c>
      <c r="H201" s="10" t="s">
        <v>26</v>
      </c>
      <c r="I201" s="2" t="n">
        <f>1365</f>
        <v>1365.0</v>
      </c>
      <c r="J201" s="10"/>
      <c r="K201" s="2" t="n">
        <f>40881</f>
        <v>40881.0</v>
      </c>
    </row>
    <row r="202">
      <c r="A202" s="8" t="s">
        <v>29</v>
      </c>
      <c r="B202" s="9" t="s">
        <v>61</v>
      </c>
      <c r="C202" s="9" t="s">
        <v>62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40881</f>
        <v>40881.0</v>
      </c>
    </row>
    <row r="203">
      <c r="A203" s="8" t="s">
        <v>30</v>
      </c>
      <c r="B203" s="9" t="s">
        <v>61</v>
      </c>
      <c r="C203" s="9" t="s">
        <v>62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31</v>
      </c>
      <c r="B204" s="9" t="s">
        <v>61</v>
      </c>
      <c r="C204" s="9" t="s">
        <v>62</v>
      </c>
      <c r="D204" s="10"/>
      <c r="E204" s="2"/>
      <c r="F204" s="10"/>
      <c r="G204" s="2"/>
      <c r="H204" s="10"/>
      <c r="I204" s="2"/>
      <c r="J204" s="10"/>
      <c r="K204" s="2"/>
    </row>
    <row r="205">
      <c r="A205" s="8" t="s">
        <v>32</v>
      </c>
      <c r="B205" s="9" t="s">
        <v>61</v>
      </c>
      <c r="C205" s="9" t="s">
        <v>62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 t="s">
        <v>44</v>
      </c>
      <c r="K205" s="2" t="n">
        <f>38118</f>
        <v>38118.0</v>
      </c>
    </row>
    <row r="206">
      <c r="A206" s="8" t="s">
        <v>33</v>
      </c>
      <c r="B206" s="9" t="s">
        <v>61</v>
      </c>
      <c r="C206" s="9" t="s">
        <v>62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38118</f>
        <v>38118.0</v>
      </c>
    </row>
    <row r="207">
      <c r="A207" s="8" t="s">
        <v>34</v>
      </c>
      <c r="B207" s="9" t="s">
        <v>61</v>
      </c>
      <c r="C207" s="9" t="s">
        <v>62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38118</f>
        <v>38118.0</v>
      </c>
    </row>
    <row r="208">
      <c r="A208" s="8" t="s">
        <v>35</v>
      </c>
      <c r="B208" s="9" t="s">
        <v>61</v>
      </c>
      <c r="C208" s="9" t="s">
        <v>62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38118</f>
        <v>38118.0</v>
      </c>
    </row>
    <row r="209">
      <c r="A209" s="8" t="s">
        <v>36</v>
      </c>
      <c r="B209" s="9" t="s">
        <v>61</v>
      </c>
      <c r="C209" s="9" t="s">
        <v>62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38118</f>
        <v>38118.0</v>
      </c>
    </row>
    <row r="210">
      <c r="A210" s="8" t="s">
        <v>37</v>
      </c>
      <c r="B210" s="9" t="s">
        <v>61</v>
      </c>
      <c r="C210" s="9" t="s">
        <v>62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38</v>
      </c>
      <c r="B211" s="9" t="s">
        <v>61</v>
      </c>
      <c r="C211" s="9" t="s">
        <v>62</v>
      </c>
      <c r="D211" s="10"/>
      <c r="E211" s="2"/>
      <c r="F211" s="10"/>
      <c r="G211" s="2"/>
      <c r="H211" s="10"/>
      <c r="I211" s="2"/>
      <c r="J211" s="10"/>
      <c r="K211" s="2"/>
    </row>
    <row r="212">
      <c r="A212" s="8" t="s">
        <v>39</v>
      </c>
      <c r="B212" s="9" t="s">
        <v>61</v>
      </c>
      <c r="C212" s="9" t="s">
        <v>62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38118</f>
        <v>38118.0</v>
      </c>
    </row>
    <row r="213">
      <c r="A213" s="8" t="s">
        <v>40</v>
      </c>
      <c r="B213" s="9" t="s">
        <v>61</v>
      </c>
      <c r="C213" s="9" t="s">
        <v>62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38118</f>
        <v>38118.0</v>
      </c>
    </row>
    <row r="214">
      <c r="A214" s="8" t="s">
        <v>41</v>
      </c>
      <c r="B214" s="9" t="s">
        <v>61</v>
      </c>
      <c r="C214" s="9" t="s">
        <v>62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38118</f>
        <v>38118.0</v>
      </c>
    </row>
    <row r="215">
      <c r="A215" s="8" t="s">
        <v>42</v>
      </c>
      <c r="B215" s="9" t="s">
        <v>61</v>
      </c>
      <c r="C215" s="9" t="s">
        <v>62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38118</f>
        <v>38118.0</v>
      </c>
    </row>
    <row r="216">
      <c r="A216" s="8" t="s">
        <v>43</v>
      </c>
      <c r="B216" s="9" t="s">
        <v>61</v>
      </c>
      <c r="C216" s="9" t="s">
        <v>62</v>
      </c>
      <c r="D216" s="10"/>
      <c r="E216" s="2" t="str">
        <f>"－"</f>
        <v>－</v>
      </c>
      <c r="F216" s="10"/>
      <c r="G216" s="2" t="str">
        <f>"－"</f>
        <v>－</v>
      </c>
      <c r="H216" s="10"/>
      <c r="I216" s="2" t="str">
        <f>"－"</f>
        <v>－</v>
      </c>
      <c r="J216" s="10"/>
      <c r="K216" s="2" t="n">
        <f>38118</f>
        <v>38118.0</v>
      </c>
    </row>
    <row r="217">
      <c r="A217" s="8" t="s">
        <v>45</v>
      </c>
      <c r="B217" s="9" t="s">
        <v>61</v>
      </c>
      <c r="C217" s="9" t="s">
        <v>62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46</v>
      </c>
      <c r="B218" s="9" t="s">
        <v>61</v>
      </c>
      <c r="C218" s="9" t="s">
        <v>62</v>
      </c>
      <c r="D218" s="10"/>
      <c r="E218" s="2"/>
      <c r="F218" s="10"/>
      <c r="G218" s="2"/>
      <c r="H218" s="10"/>
      <c r="I218" s="2"/>
      <c r="J218" s="10"/>
      <c r="K218" s="2"/>
    </row>
    <row r="219">
      <c r="A219" s="8" t="s">
        <v>47</v>
      </c>
      <c r="B219" s="9" t="s">
        <v>61</v>
      </c>
      <c r="C219" s="9" t="s">
        <v>62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38118</f>
        <v>38118.0</v>
      </c>
    </row>
    <row r="220">
      <c r="A220" s="8" t="s">
        <v>48</v>
      </c>
      <c r="B220" s="9" t="s">
        <v>61</v>
      </c>
      <c r="C220" s="9" t="s">
        <v>62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38118</f>
        <v>38118.0</v>
      </c>
    </row>
    <row r="221">
      <c r="A221" s="8" t="s">
        <v>49</v>
      </c>
      <c r="B221" s="9" t="s">
        <v>61</v>
      </c>
      <c r="C221" s="9" t="s">
        <v>62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38118</f>
        <v>38118.0</v>
      </c>
    </row>
    <row r="222">
      <c r="A222" s="8" t="s">
        <v>50</v>
      </c>
      <c r="B222" s="9" t="s">
        <v>61</v>
      </c>
      <c r="C222" s="9" t="s">
        <v>62</v>
      </c>
      <c r="D222" s="10"/>
      <c r="E222" s="2"/>
      <c r="F222" s="10"/>
      <c r="G222" s="2"/>
      <c r="H222" s="10"/>
      <c r="I222" s="2"/>
      <c r="J222" s="10"/>
      <c r="K222" s="2"/>
    </row>
    <row r="223">
      <c r="A223" s="8" t="s">
        <v>16</v>
      </c>
      <c r="B223" s="9" t="s">
        <v>63</v>
      </c>
      <c r="C223" s="9" t="s">
        <v>64</v>
      </c>
      <c r="D223" s="10"/>
      <c r="E223" s="2" t="n">
        <f>831</f>
        <v>831.0</v>
      </c>
      <c r="F223" s="10"/>
      <c r="G223" s="2" t="n">
        <f>1410447380</f>
        <v>1.41044738E9</v>
      </c>
      <c r="H223" s="10"/>
      <c r="I223" s="2" t="n">
        <f>95</f>
        <v>95.0</v>
      </c>
      <c r="J223" s="10"/>
      <c r="K223" s="2" t="n">
        <f>59427</f>
        <v>59427.0</v>
      </c>
    </row>
    <row r="224">
      <c r="A224" s="8" t="s">
        <v>19</v>
      </c>
      <c r="B224" s="9" t="s">
        <v>63</v>
      </c>
      <c r="C224" s="9" t="s">
        <v>64</v>
      </c>
      <c r="D224" s="10"/>
      <c r="E224" s="2" t="n">
        <f>679</f>
        <v>679.0</v>
      </c>
      <c r="F224" s="10"/>
      <c r="G224" s="2" t="n">
        <f>1150472550</f>
        <v>1.15047255E9</v>
      </c>
      <c r="H224" s="10"/>
      <c r="I224" s="2" t="n">
        <f>313</f>
        <v>313.0</v>
      </c>
      <c r="J224" s="10"/>
      <c r="K224" s="2" t="n">
        <f>59307</f>
        <v>59307.0</v>
      </c>
    </row>
    <row r="225">
      <c r="A225" s="8" t="s">
        <v>20</v>
      </c>
      <c r="B225" s="9" t="s">
        <v>63</v>
      </c>
      <c r="C225" s="9" t="s">
        <v>64</v>
      </c>
      <c r="D225" s="10"/>
      <c r="E225" s="2" t="n">
        <f>5292</f>
        <v>5292.0</v>
      </c>
      <c r="F225" s="10"/>
      <c r="G225" s="2" t="n">
        <f>8860559000</f>
        <v>8.860559E9</v>
      </c>
      <c r="H225" s="10"/>
      <c r="I225" s="2" t="n">
        <f>23</f>
        <v>23.0</v>
      </c>
      <c r="J225" s="10" t="s">
        <v>44</v>
      </c>
      <c r="K225" s="2" t="n">
        <f>58971</f>
        <v>58971.0</v>
      </c>
    </row>
    <row r="226">
      <c r="A226" s="8" t="s">
        <v>21</v>
      </c>
      <c r="B226" s="9" t="s">
        <v>63</v>
      </c>
      <c r="C226" s="9" t="s">
        <v>64</v>
      </c>
      <c r="D226" s="10"/>
      <c r="E226" s="2" t="n">
        <f>6373</f>
        <v>6373.0</v>
      </c>
      <c r="F226" s="10"/>
      <c r="G226" s="2" t="n">
        <f>10767137540</f>
        <v>1.076713754E10</v>
      </c>
      <c r="H226" s="10"/>
      <c r="I226" s="2" t="n">
        <f>76</f>
        <v>76.0</v>
      </c>
      <c r="J226" s="10"/>
      <c r="K226" s="2" t="n">
        <f>59007</f>
        <v>59007.0</v>
      </c>
    </row>
    <row r="227">
      <c r="A227" s="8" t="s">
        <v>22</v>
      </c>
      <c r="B227" s="9" t="s">
        <v>63</v>
      </c>
      <c r="C227" s="9" t="s">
        <v>64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23</v>
      </c>
      <c r="B228" s="9" t="s">
        <v>63</v>
      </c>
      <c r="C228" s="9" t="s">
        <v>64</v>
      </c>
      <c r="D228" s="10"/>
      <c r="E228" s="2"/>
      <c r="F228" s="10"/>
      <c r="G228" s="2"/>
      <c r="H228" s="10"/>
      <c r="I228" s="2"/>
      <c r="J228" s="10"/>
      <c r="K228" s="2"/>
    </row>
    <row r="229">
      <c r="A229" s="8" t="s">
        <v>24</v>
      </c>
      <c r="B229" s="9" t="s">
        <v>63</v>
      </c>
      <c r="C229" s="9" t="s">
        <v>64</v>
      </c>
      <c r="D229" s="10"/>
      <c r="E229" s="2" t="n">
        <f>43552</f>
        <v>43552.0</v>
      </c>
      <c r="F229" s="10"/>
      <c r="G229" s="2" t="n">
        <f>73177564260</f>
        <v>7.317756426E10</v>
      </c>
      <c r="H229" s="10"/>
      <c r="I229" s="2" t="n">
        <f>294</f>
        <v>294.0</v>
      </c>
      <c r="J229" s="10"/>
      <c r="K229" s="2" t="n">
        <f>68740</f>
        <v>68740.0</v>
      </c>
    </row>
    <row r="230">
      <c r="A230" s="8" t="s">
        <v>25</v>
      </c>
      <c r="B230" s="9" t="s">
        <v>63</v>
      </c>
      <c r="C230" s="9" t="s">
        <v>64</v>
      </c>
      <c r="D230" s="10" t="s">
        <v>26</v>
      </c>
      <c r="E230" s="2" t="n">
        <f>81784</f>
        <v>81784.0</v>
      </c>
      <c r="F230" s="10" t="s">
        <v>26</v>
      </c>
      <c r="G230" s="2" t="n">
        <f>137580586480</f>
        <v>1.3758058648E11</v>
      </c>
      <c r="H230" s="10"/>
      <c r="I230" s="2" t="n">
        <f>125</f>
        <v>125.0</v>
      </c>
      <c r="J230" s="10"/>
      <c r="K230" s="2" t="n">
        <f>83521</f>
        <v>83521.0</v>
      </c>
    </row>
    <row r="231">
      <c r="A231" s="8" t="s">
        <v>27</v>
      </c>
      <c r="B231" s="9" t="s">
        <v>63</v>
      </c>
      <c r="C231" s="9" t="s">
        <v>64</v>
      </c>
      <c r="D231" s="10"/>
      <c r="E231" s="2" t="n">
        <f>13220</f>
        <v>13220.0</v>
      </c>
      <c r="F231" s="10"/>
      <c r="G231" s="2" t="n">
        <f>22304686480</f>
        <v>2.230468648E10</v>
      </c>
      <c r="H231" s="10"/>
      <c r="I231" s="2" t="n">
        <f>201</f>
        <v>201.0</v>
      </c>
      <c r="J231" s="10"/>
      <c r="K231" s="2" t="n">
        <f>85638</f>
        <v>85638.0</v>
      </c>
    </row>
    <row r="232">
      <c r="A232" s="8" t="s">
        <v>28</v>
      </c>
      <c r="B232" s="9" t="s">
        <v>63</v>
      </c>
      <c r="C232" s="9" t="s">
        <v>64</v>
      </c>
      <c r="D232" s="10"/>
      <c r="E232" s="2" t="n">
        <f>1889</f>
        <v>1889.0</v>
      </c>
      <c r="F232" s="10"/>
      <c r="G232" s="2" t="n">
        <f>3172499900</f>
        <v>3.1724999E9</v>
      </c>
      <c r="H232" s="10" t="s">
        <v>26</v>
      </c>
      <c r="I232" s="2" t="n">
        <f>897</f>
        <v>897.0</v>
      </c>
      <c r="J232" s="10"/>
      <c r="K232" s="2" t="n">
        <f>85227</f>
        <v>85227.0</v>
      </c>
    </row>
    <row r="233">
      <c r="A233" s="8" t="s">
        <v>29</v>
      </c>
      <c r="B233" s="9" t="s">
        <v>63</v>
      </c>
      <c r="C233" s="9" t="s">
        <v>64</v>
      </c>
      <c r="D233" s="10"/>
      <c r="E233" s="2" t="n">
        <f>2595</f>
        <v>2595.0</v>
      </c>
      <c r="F233" s="10"/>
      <c r="G233" s="2" t="n">
        <f>4349220430</f>
        <v>4.34922043E9</v>
      </c>
      <c r="H233" s="10"/>
      <c r="I233" s="2" t="n">
        <f>195</f>
        <v>195.0</v>
      </c>
      <c r="J233" s="10" t="s">
        <v>26</v>
      </c>
      <c r="K233" s="2" t="n">
        <f>86588</f>
        <v>86588.0</v>
      </c>
    </row>
    <row r="234">
      <c r="A234" s="8" t="s">
        <v>30</v>
      </c>
      <c r="B234" s="9" t="s">
        <v>63</v>
      </c>
      <c r="C234" s="9" t="s">
        <v>64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31</v>
      </c>
      <c r="B235" s="9" t="s">
        <v>63</v>
      </c>
      <c r="C235" s="9" t="s">
        <v>64</v>
      </c>
      <c r="D235" s="10"/>
      <c r="E235" s="2"/>
      <c r="F235" s="10"/>
      <c r="G235" s="2"/>
      <c r="H235" s="10"/>
      <c r="I235" s="2"/>
      <c r="J235" s="10"/>
      <c r="K235" s="2"/>
    </row>
    <row r="236">
      <c r="A236" s="8" t="s">
        <v>32</v>
      </c>
      <c r="B236" s="9" t="s">
        <v>63</v>
      </c>
      <c r="C236" s="9" t="s">
        <v>64</v>
      </c>
      <c r="D236" s="10"/>
      <c r="E236" s="2" t="n">
        <f>909</f>
        <v>909.0</v>
      </c>
      <c r="F236" s="10"/>
      <c r="G236" s="2" t="n">
        <f>1538138330</f>
        <v>1.53813833E9</v>
      </c>
      <c r="H236" s="10"/>
      <c r="I236" s="2" t="n">
        <f>10</f>
        <v>10.0</v>
      </c>
      <c r="J236" s="10"/>
      <c r="K236" s="2" t="n">
        <f>63215</f>
        <v>63215.0</v>
      </c>
    </row>
    <row r="237">
      <c r="A237" s="8" t="s">
        <v>33</v>
      </c>
      <c r="B237" s="9" t="s">
        <v>63</v>
      </c>
      <c r="C237" s="9" t="s">
        <v>64</v>
      </c>
      <c r="D237" s="10"/>
      <c r="E237" s="2" t="n">
        <f>1732</f>
        <v>1732.0</v>
      </c>
      <c r="F237" s="10"/>
      <c r="G237" s="2" t="n">
        <f>2925482060</f>
        <v>2.92548206E9</v>
      </c>
      <c r="H237" s="10"/>
      <c r="I237" s="2" t="n">
        <f>89</f>
        <v>89.0</v>
      </c>
      <c r="J237" s="10"/>
      <c r="K237" s="2" t="n">
        <f>62033</f>
        <v>62033.0</v>
      </c>
    </row>
    <row r="238">
      <c r="A238" s="8" t="s">
        <v>34</v>
      </c>
      <c r="B238" s="9" t="s">
        <v>63</v>
      </c>
      <c r="C238" s="9" t="s">
        <v>64</v>
      </c>
      <c r="D238" s="10"/>
      <c r="E238" s="2" t="n">
        <f>450</f>
        <v>450.0</v>
      </c>
      <c r="F238" s="10"/>
      <c r="G238" s="2" t="n">
        <f>765887210</f>
        <v>7.6588721E8</v>
      </c>
      <c r="H238" s="10"/>
      <c r="I238" s="2" t="n">
        <f>65</f>
        <v>65.0</v>
      </c>
      <c r="J238" s="10"/>
      <c r="K238" s="2" t="n">
        <f>61765</f>
        <v>61765.0</v>
      </c>
    </row>
    <row r="239">
      <c r="A239" s="8" t="s">
        <v>35</v>
      </c>
      <c r="B239" s="9" t="s">
        <v>63</v>
      </c>
      <c r="C239" s="9" t="s">
        <v>64</v>
      </c>
      <c r="D239" s="10"/>
      <c r="E239" s="2" t="n">
        <f>611</f>
        <v>611.0</v>
      </c>
      <c r="F239" s="10"/>
      <c r="G239" s="2" t="n">
        <f>1043366890</f>
        <v>1.04336689E9</v>
      </c>
      <c r="H239" s="10"/>
      <c r="I239" s="2" t="n">
        <f>61</f>
        <v>61.0</v>
      </c>
      <c r="J239" s="10"/>
      <c r="K239" s="2" t="n">
        <f>62156</f>
        <v>62156.0</v>
      </c>
    </row>
    <row r="240">
      <c r="A240" s="8" t="s">
        <v>36</v>
      </c>
      <c r="B240" s="9" t="s">
        <v>63</v>
      </c>
      <c r="C240" s="9" t="s">
        <v>64</v>
      </c>
      <c r="D240" s="10"/>
      <c r="E240" s="2" t="n">
        <f>1207</f>
        <v>1207.0</v>
      </c>
      <c r="F240" s="10"/>
      <c r="G240" s="2" t="n">
        <f>2048706380</f>
        <v>2.04870638E9</v>
      </c>
      <c r="H240" s="10"/>
      <c r="I240" s="2" t="n">
        <f>342</f>
        <v>342.0</v>
      </c>
      <c r="J240" s="10"/>
      <c r="K240" s="2" t="n">
        <f>62141</f>
        <v>62141.0</v>
      </c>
    </row>
    <row r="241">
      <c r="A241" s="8" t="s">
        <v>37</v>
      </c>
      <c r="B241" s="9" t="s">
        <v>63</v>
      </c>
      <c r="C241" s="9" t="s">
        <v>64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38</v>
      </c>
      <c r="B242" s="9" t="s">
        <v>63</v>
      </c>
      <c r="C242" s="9" t="s">
        <v>64</v>
      </c>
      <c r="D242" s="10"/>
      <c r="E242" s="2"/>
      <c r="F242" s="10"/>
      <c r="G242" s="2"/>
      <c r="H242" s="10"/>
      <c r="I242" s="2"/>
      <c r="J242" s="10"/>
      <c r="K242" s="2"/>
    </row>
    <row r="243">
      <c r="A243" s="8" t="s">
        <v>39</v>
      </c>
      <c r="B243" s="9" t="s">
        <v>63</v>
      </c>
      <c r="C243" s="9" t="s">
        <v>64</v>
      </c>
      <c r="D243" s="10" t="s">
        <v>44</v>
      </c>
      <c r="E243" s="2" t="n">
        <f>69</f>
        <v>69.0</v>
      </c>
      <c r="F243" s="10" t="s">
        <v>44</v>
      </c>
      <c r="G243" s="2" t="n">
        <f>116447000</f>
        <v>1.16447E8</v>
      </c>
      <c r="H243" s="10"/>
      <c r="I243" s="2" t="n">
        <f>11</f>
        <v>11.0</v>
      </c>
      <c r="J243" s="10"/>
      <c r="K243" s="2" t="n">
        <f>62114</f>
        <v>62114.0</v>
      </c>
    </row>
    <row r="244">
      <c r="A244" s="8" t="s">
        <v>40</v>
      </c>
      <c r="B244" s="9" t="s">
        <v>63</v>
      </c>
      <c r="C244" s="9" t="s">
        <v>64</v>
      </c>
      <c r="D244" s="10"/>
      <c r="E244" s="2" t="n">
        <f>155</f>
        <v>155.0</v>
      </c>
      <c r="F244" s="10"/>
      <c r="G244" s="2" t="n">
        <f>261514000</f>
        <v>2.61514E8</v>
      </c>
      <c r="H244" s="10" t="s">
        <v>44</v>
      </c>
      <c r="I244" s="2" t="n">
        <f>5</f>
        <v>5.0</v>
      </c>
      <c r="J244" s="10"/>
      <c r="K244" s="2" t="n">
        <f>62095</f>
        <v>62095.0</v>
      </c>
    </row>
    <row r="245">
      <c r="A245" s="8" t="s">
        <v>41</v>
      </c>
      <c r="B245" s="9" t="s">
        <v>63</v>
      </c>
      <c r="C245" s="9" t="s">
        <v>64</v>
      </c>
      <c r="D245" s="10"/>
      <c r="E245" s="2" t="n">
        <f>330</f>
        <v>330.0</v>
      </c>
      <c r="F245" s="10"/>
      <c r="G245" s="2" t="n">
        <f>559186160</f>
        <v>5.5918616E8</v>
      </c>
      <c r="H245" s="10"/>
      <c r="I245" s="2" t="n">
        <f>25</f>
        <v>25.0</v>
      </c>
      <c r="J245" s="10"/>
      <c r="K245" s="2" t="n">
        <f>61994</f>
        <v>61994.0</v>
      </c>
    </row>
    <row r="246">
      <c r="A246" s="8" t="s">
        <v>42</v>
      </c>
      <c r="B246" s="9" t="s">
        <v>63</v>
      </c>
      <c r="C246" s="9" t="s">
        <v>64</v>
      </c>
      <c r="D246" s="10"/>
      <c r="E246" s="2" t="n">
        <f>184</f>
        <v>184.0</v>
      </c>
      <c r="F246" s="10"/>
      <c r="G246" s="2" t="n">
        <f>313832250</f>
        <v>3.1383225E8</v>
      </c>
      <c r="H246" s="10"/>
      <c r="I246" s="2" t="n">
        <f>14</f>
        <v>14.0</v>
      </c>
      <c r="J246" s="10"/>
      <c r="K246" s="2" t="n">
        <f>62042</f>
        <v>62042.0</v>
      </c>
    </row>
    <row r="247">
      <c r="A247" s="8" t="s">
        <v>43</v>
      </c>
      <c r="B247" s="9" t="s">
        <v>63</v>
      </c>
      <c r="C247" s="9" t="s">
        <v>64</v>
      </c>
      <c r="D247" s="10"/>
      <c r="E247" s="2" t="n">
        <f>509</f>
        <v>509.0</v>
      </c>
      <c r="F247" s="10"/>
      <c r="G247" s="2" t="n">
        <f>873950500</f>
        <v>8.739505E8</v>
      </c>
      <c r="H247" s="10"/>
      <c r="I247" s="2" t="n">
        <f>15</f>
        <v>15.0</v>
      </c>
      <c r="J247" s="10"/>
      <c r="K247" s="2" t="n">
        <f>62198</f>
        <v>62198.0</v>
      </c>
    </row>
    <row r="248">
      <c r="A248" s="8" t="s">
        <v>45</v>
      </c>
      <c r="B248" s="9" t="s">
        <v>63</v>
      </c>
      <c r="C248" s="9" t="s">
        <v>64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46</v>
      </c>
      <c r="B249" s="9" t="s">
        <v>63</v>
      </c>
      <c r="C249" s="9" t="s">
        <v>64</v>
      </c>
      <c r="D249" s="10"/>
      <c r="E249" s="2"/>
      <c r="F249" s="10"/>
      <c r="G249" s="2"/>
      <c r="H249" s="10"/>
      <c r="I249" s="2"/>
      <c r="J249" s="10"/>
      <c r="K249" s="2"/>
    </row>
    <row r="250">
      <c r="A250" s="8" t="s">
        <v>47</v>
      </c>
      <c r="B250" s="9" t="s">
        <v>63</v>
      </c>
      <c r="C250" s="9" t="s">
        <v>64</v>
      </c>
      <c r="D250" s="10"/>
      <c r="E250" s="2" t="n">
        <f>884</f>
        <v>884.0</v>
      </c>
      <c r="F250" s="10"/>
      <c r="G250" s="2" t="n">
        <f>1521975920</f>
        <v>1.52197592E9</v>
      </c>
      <c r="H250" s="10"/>
      <c r="I250" s="2" t="n">
        <f>10</f>
        <v>10.0</v>
      </c>
      <c r="J250" s="10"/>
      <c r="K250" s="2" t="n">
        <f>62348</f>
        <v>62348.0</v>
      </c>
    </row>
    <row r="251">
      <c r="A251" s="8" t="s">
        <v>48</v>
      </c>
      <c r="B251" s="9" t="s">
        <v>63</v>
      </c>
      <c r="C251" s="9" t="s">
        <v>64</v>
      </c>
      <c r="D251" s="10"/>
      <c r="E251" s="2" t="n">
        <f>995</f>
        <v>995.0</v>
      </c>
      <c r="F251" s="10"/>
      <c r="G251" s="2" t="n">
        <f>1740607820</f>
        <v>1.74060782E9</v>
      </c>
      <c r="H251" s="10"/>
      <c r="I251" s="2" t="n">
        <f>29</f>
        <v>29.0</v>
      </c>
      <c r="J251" s="10"/>
      <c r="K251" s="2" t="n">
        <f>62954</f>
        <v>62954.0</v>
      </c>
    </row>
    <row r="252">
      <c r="A252" s="8" t="s">
        <v>49</v>
      </c>
      <c r="B252" s="9" t="s">
        <v>63</v>
      </c>
      <c r="C252" s="9" t="s">
        <v>64</v>
      </c>
      <c r="D252" s="10"/>
      <c r="E252" s="2" t="n">
        <f>321</f>
        <v>321.0</v>
      </c>
      <c r="F252" s="10"/>
      <c r="G252" s="2" t="n">
        <f>564700020</f>
        <v>5.6470002E8</v>
      </c>
      <c r="H252" s="10"/>
      <c r="I252" s="2" t="n">
        <f>13</f>
        <v>13.0</v>
      </c>
      <c r="J252" s="10"/>
      <c r="K252" s="2" t="n">
        <f>62997</f>
        <v>62997.0</v>
      </c>
    </row>
    <row r="253">
      <c r="A253" s="8" t="s">
        <v>50</v>
      </c>
      <c r="B253" s="9" t="s">
        <v>63</v>
      </c>
      <c r="C253" s="9" t="s">
        <v>64</v>
      </c>
      <c r="D253" s="10"/>
      <c r="E253" s="2"/>
      <c r="F253" s="10"/>
      <c r="G253" s="2"/>
      <c r="H253" s="10"/>
      <c r="I253" s="2"/>
      <c r="J253" s="10"/>
      <c r="K253" s="2"/>
    </row>
    <row r="254">
      <c r="A254" s="8" t="s">
        <v>16</v>
      </c>
      <c r="B254" s="9" t="s">
        <v>65</v>
      </c>
      <c r="C254" s="9" t="s">
        <v>66</v>
      </c>
      <c r="D254" s="10" t="s">
        <v>67</v>
      </c>
      <c r="E254" s="2" t="str">
        <f>"－"</f>
        <v>－</v>
      </c>
      <c r="F254" s="10" t="s">
        <v>67</v>
      </c>
      <c r="G254" s="2" t="str">
        <f>"－"</f>
        <v>－</v>
      </c>
      <c r="H254" s="10" t="s">
        <v>67</v>
      </c>
      <c r="I254" s="2" t="str">
        <f>"－"</f>
        <v>－</v>
      </c>
      <c r="J254" s="10" t="s">
        <v>67</v>
      </c>
      <c r="K254" s="2" t="str">
        <f>"－"</f>
        <v>－</v>
      </c>
    </row>
    <row r="255">
      <c r="A255" s="8" t="s">
        <v>19</v>
      </c>
      <c r="B255" s="9" t="s">
        <v>65</v>
      </c>
      <c r="C255" s="9" t="s">
        <v>66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20</v>
      </c>
      <c r="B256" s="9" t="s">
        <v>65</v>
      </c>
      <c r="C256" s="9" t="s">
        <v>66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21</v>
      </c>
      <c r="B257" s="9" t="s">
        <v>65</v>
      </c>
      <c r="C257" s="9" t="s">
        <v>66</v>
      </c>
      <c r="D257" s="10"/>
      <c r="E257" s="2" t="str">
        <f>"－"</f>
        <v>－</v>
      </c>
      <c r="F257" s="10"/>
      <c r="G257" s="2" t="str">
        <f>"－"</f>
        <v>－</v>
      </c>
      <c r="H257" s="10"/>
      <c r="I257" s="2" t="str">
        <f>"－"</f>
        <v>－</v>
      </c>
      <c r="J257" s="10"/>
      <c r="K257" s="2" t="str">
        <f>"－"</f>
        <v>－</v>
      </c>
    </row>
    <row r="258">
      <c r="A258" s="8" t="s">
        <v>22</v>
      </c>
      <c r="B258" s="9" t="s">
        <v>65</v>
      </c>
      <c r="C258" s="9" t="s">
        <v>66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23</v>
      </c>
      <c r="B259" s="9" t="s">
        <v>65</v>
      </c>
      <c r="C259" s="9" t="s">
        <v>66</v>
      </c>
      <c r="D259" s="10"/>
      <c r="E259" s="2"/>
      <c r="F259" s="10"/>
      <c r="G259" s="2"/>
      <c r="H259" s="10"/>
      <c r="I259" s="2"/>
      <c r="J259" s="10"/>
      <c r="K259" s="2"/>
    </row>
    <row r="260">
      <c r="A260" s="8" t="s">
        <v>24</v>
      </c>
      <c r="B260" s="9" t="s">
        <v>65</v>
      </c>
      <c r="C260" s="9" t="s">
        <v>66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25</v>
      </c>
      <c r="B261" s="9" t="s">
        <v>65</v>
      </c>
      <c r="C261" s="9" t="s">
        <v>66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27</v>
      </c>
      <c r="B262" s="9" t="s">
        <v>65</v>
      </c>
      <c r="C262" s="9" t="s">
        <v>66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28</v>
      </c>
      <c r="B263" s="9" t="s">
        <v>65</v>
      </c>
      <c r="C263" s="9" t="s">
        <v>66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29</v>
      </c>
      <c r="B264" s="9" t="s">
        <v>65</v>
      </c>
      <c r="C264" s="9" t="s">
        <v>66</v>
      </c>
      <c r="D264" s="10"/>
      <c r="E264" s="2" t="str">
        <f>"－"</f>
        <v>－</v>
      </c>
      <c r="F264" s="10"/>
      <c r="G264" s="2" t="str">
        <f>"－"</f>
        <v>－</v>
      </c>
      <c r="H264" s="10"/>
      <c r="I264" s="2" t="str">
        <f>"－"</f>
        <v>－</v>
      </c>
      <c r="J264" s="10"/>
      <c r="K264" s="2" t="str">
        <f>"－"</f>
        <v>－</v>
      </c>
    </row>
    <row r="265">
      <c r="A265" s="8" t="s">
        <v>30</v>
      </c>
      <c r="B265" s="9" t="s">
        <v>65</v>
      </c>
      <c r="C265" s="9" t="s">
        <v>66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31</v>
      </c>
      <c r="B266" s="9" t="s">
        <v>65</v>
      </c>
      <c r="C266" s="9" t="s">
        <v>66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32</v>
      </c>
      <c r="B267" s="9" t="s">
        <v>65</v>
      </c>
      <c r="C267" s="9" t="s">
        <v>66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33</v>
      </c>
      <c r="B268" s="9" t="s">
        <v>65</v>
      </c>
      <c r="C268" s="9" t="s">
        <v>66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34</v>
      </c>
      <c r="B269" s="9" t="s">
        <v>65</v>
      </c>
      <c r="C269" s="9" t="s">
        <v>66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35</v>
      </c>
      <c r="B270" s="9" t="s">
        <v>65</v>
      </c>
      <c r="C270" s="9" t="s">
        <v>66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36</v>
      </c>
      <c r="B271" s="9" t="s">
        <v>65</v>
      </c>
      <c r="C271" s="9" t="s">
        <v>66</v>
      </c>
      <c r="D271" s="10"/>
      <c r="E271" s="2" t="str">
        <f>"－"</f>
        <v>－</v>
      </c>
      <c r="F271" s="10"/>
      <c r="G271" s="2" t="str">
        <f>"－"</f>
        <v>－</v>
      </c>
      <c r="H271" s="10"/>
      <c r="I271" s="2" t="str">
        <f>"－"</f>
        <v>－</v>
      </c>
      <c r="J271" s="10"/>
      <c r="K271" s="2" t="str">
        <f>"－"</f>
        <v>－</v>
      </c>
    </row>
    <row r="272">
      <c r="A272" s="8" t="s">
        <v>37</v>
      </c>
      <c r="B272" s="9" t="s">
        <v>65</v>
      </c>
      <c r="C272" s="9" t="s">
        <v>66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38</v>
      </c>
      <c r="B273" s="9" t="s">
        <v>65</v>
      </c>
      <c r="C273" s="9" t="s">
        <v>66</v>
      </c>
      <c r="D273" s="10"/>
      <c r="E273" s="2"/>
      <c r="F273" s="10"/>
      <c r="G273" s="2"/>
      <c r="H273" s="10"/>
      <c r="I273" s="2"/>
      <c r="J273" s="10"/>
      <c r="K273" s="2"/>
    </row>
    <row r="274">
      <c r="A274" s="8" t="s">
        <v>39</v>
      </c>
      <c r="B274" s="9" t="s">
        <v>65</v>
      </c>
      <c r="C274" s="9" t="s">
        <v>66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40</v>
      </c>
      <c r="B275" s="9" t="s">
        <v>65</v>
      </c>
      <c r="C275" s="9" t="s">
        <v>66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41</v>
      </c>
      <c r="B276" s="9" t="s">
        <v>65</v>
      </c>
      <c r="C276" s="9" t="s">
        <v>66</v>
      </c>
      <c r="D276" s="10"/>
      <c r="E276" s="2" t="str">
        <f>"－"</f>
        <v>－</v>
      </c>
      <c r="F276" s="10"/>
      <c r="G276" s="2" t="str">
        <f>"－"</f>
        <v>－</v>
      </c>
      <c r="H276" s="10"/>
      <c r="I276" s="2" t="str">
        <f>"－"</f>
        <v>－</v>
      </c>
      <c r="J276" s="10"/>
      <c r="K276" s="2" t="str">
        <f>"－"</f>
        <v>－</v>
      </c>
    </row>
    <row r="277">
      <c r="A277" s="8" t="s">
        <v>42</v>
      </c>
      <c r="B277" s="9" t="s">
        <v>65</v>
      </c>
      <c r="C277" s="9" t="s">
        <v>66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43</v>
      </c>
      <c r="B278" s="9" t="s">
        <v>65</v>
      </c>
      <c r="C278" s="9" t="s">
        <v>66</v>
      </c>
      <c r="D278" s="10"/>
      <c r="E278" s="2" t="str">
        <f>"－"</f>
        <v>－</v>
      </c>
      <c r="F278" s="10"/>
      <c r="G278" s="2" t="str">
        <f>"－"</f>
        <v>－</v>
      </c>
      <c r="H278" s="10"/>
      <c r="I278" s="2" t="str">
        <f>"－"</f>
        <v>－</v>
      </c>
      <c r="J278" s="10"/>
      <c r="K278" s="2" t="str">
        <f>"－"</f>
        <v>－</v>
      </c>
    </row>
    <row r="279">
      <c r="A279" s="8" t="s">
        <v>45</v>
      </c>
      <c r="B279" s="9" t="s">
        <v>65</v>
      </c>
      <c r="C279" s="9" t="s">
        <v>66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46</v>
      </c>
      <c r="B280" s="9" t="s">
        <v>65</v>
      </c>
      <c r="C280" s="9" t="s">
        <v>66</v>
      </c>
      <c r="D280" s="10"/>
      <c r="E280" s="2"/>
      <c r="F280" s="10"/>
      <c r="G280" s="2"/>
      <c r="H280" s="10"/>
      <c r="I280" s="2"/>
      <c r="J280" s="10"/>
      <c r="K280" s="2"/>
    </row>
    <row r="281">
      <c r="A281" s="8" t="s">
        <v>47</v>
      </c>
      <c r="B281" s="9" t="s">
        <v>65</v>
      </c>
      <c r="C281" s="9" t="s">
        <v>66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48</v>
      </c>
      <c r="B282" s="9" t="s">
        <v>65</v>
      </c>
      <c r="C282" s="9" t="s">
        <v>66</v>
      </c>
      <c r="D282" s="10"/>
      <c r="E282" s="2" t="str">
        <f>"－"</f>
        <v>－</v>
      </c>
      <c r="F282" s="10"/>
      <c r="G282" s="2" t="str">
        <f>"－"</f>
        <v>－</v>
      </c>
      <c r="H282" s="10"/>
      <c r="I282" s="2" t="str">
        <f>"－"</f>
        <v>－</v>
      </c>
      <c r="J282" s="10"/>
      <c r="K282" s="2" t="str">
        <f>"－"</f>
        <v>－</v>
      </c>
    </row>
    <row r="283">
      <c r="A283" s="8" t="s">
        <v>49</v>
      </c>
      <c r="B283" s="9" t="s">
        <v>65</v>
      </c>
      <c r="C283" s="9" t="s">
        <v>66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65</v>
      </c>
      <c r="C284" s="9" t="s">
        <v>66</v>
      </c>
      <c r="D284" s="10"/>
      <c r="E284" s="2"/>
      <c r="F284" s="10"/>
      <c r="G284" s="2"/>
      <c r="H284" s="10"/>
      <c r="I284" s="2"/>
      <c r="J284" s="10"/>
      <c r="K284" s="2"/>
    </row>
    <row r="285">
      <c r="A285" s="8" t="s">
        <v>16</v>
      </c>
      <c r="B285" s="9" t="s">
        <v>68</v>
      </c>
      <c r="C285" s="9" t="s">
        <v>69</v>
      </c>
      <c r="D285" s="10"/>
      <c r="E285" s="2" t="n">
        <f>8069</f>
        <v>8069.0</v>
      </c>
      <c r="F285" s="10"/>
      <c r="G285" s="2" t="n">
        <f>10167445120</f>
        <v>1.016744512E10</v>
      </c>
      <c r="H285" s="10"/>
      <c r="I285" s="2" t="n">
        <f>258</f>
        <v>258.0</v>
      </c>
      <c r="J285" s="10"/>
      <c r="K285" s="2" t="n">
        <f>24370</f>
        <v>24370.0</v>
      </c>
    </row>
    <row r="286">
      <c r="A286" s="8" t="s">
        <v>19</v>
      </c>
      <c r="B286" s="9" t="s">
        <v>68</v>
      </c>
      <c r="C286" s="9" t="s">
        <v>69</v>
      </c>
      <c r="D286" s="10"/>
      <c r="E286" s="2" t="n">
        <f>9750</f>
        <v>9750.0</v>
      </c>
      <c r="F286" s="10"/>
      <c r="G286" s="2" t="n">
        <f>12380704700</f>
        <v>1.23807047E10</v>
      </c>
      <c r="H286" s="10"/>
      <c r="I286" s="2" t="n">
        <f>533</f>
        <v>533.0</v>
      </c>
      <c r="J286" s="10"/>
      <c r="K286" s="2" t="n">
        <f>24455</f>
        <v>24455.0</v>
      </c>
    </row>
    <row r="287">
      <c r="A287" s="8" t="s">
        <v>20</v>
      </c>
      <c r="B287" s="9" t="s">
        <v>68</v>
      </c>
      <c r="C287" s="9" t="s">
        <v>69</v>
      </c>
      <c r="D287" s="10"/>
      <c r="E287" s="2" t="n">
        <f>9045</f>
        <v>9045.0</v>
      </c>
      <c r="F287" s="10"/>
      <c r="G287" s="2" t="n">
        <f>11256789400</f>
        <v>1.12567894E10</v>
      </c>
      <c r="H287" s="10"/>
      <c r="I287" s="2" t="n">
        <f>299</f>
        <v>299.0</v>
      </c>
      <c r="J287" s="10"/>
      <c r="K287" s="2" t="n">
        <f>24652</f>
        <v>24652.0</v>
      </c>
    </row>
    <row r="288">
      <c r="A288" s="8" t="s">
        <v>21</v>
      </c>
      <c r="B288" s="9" t="s">
        <v>68</v>
      </c>
      <c r="C288" s="9" t="s">
        <v>69</v>
      </c>
      <c r="D288" s="10"/>
      <c r="E288" s="2" t="n">
        <f>6981</f>
        <v>6981.0</v>
      </c>
      <c r="F288" s="10"/>
      <c r="G288" s="2" t="n">
        <f>8479847300</f>
        <v>8.4798473E9</v>
      </c>
      <c r="H288" s="10"/>
      <c r="I288" s="2" t="n">
        <f>355</f>
        <v>355.0</v>
      </c>
      <c r="J288" s="10"/>
      <c r="K288" s="2" t="n">
        <f>24631</f>
        <v>24631.0</v>
      </c>
    </row>
    <row r="289">
      <c r="A289" s="8" t="s">
        <v>22</v>
      </c>
      <c r="B289" s="9" t="s">
        <v>68</v>
      </c>
      <c r="C289" s="9" t="s">
        <v>69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23</v>
      </c>
      <c r="B290" s="9" t="s">
        <v>68</v>
      </c>
      <c r="C290" s="9" t="s">
        <v>69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24</v>
      </c>
      <c r="B291" s="9" t="s">
        <v>68</v>
      </c>
      <c r="C291" s="9" t="s">
        <v>69</v>
      </c>
      <c r="D291" s="10"/>
      <c r="E291" s="2" t="n">
        <f>20959</f>
        <v>20959.0</v>
      </c>
      <c r="F291" s="10"/>
      <c r="G291" s="2" t="n">
        <f>24592057160</f>
        <v>2.459205716E10</v>
      </c>
      <c r="H291" s="10"/>
      <c r="I291" s="2" t="n">
        <f>459</f>
        <v>459.0</v>
      </c>
      <c r="J291" s="10"/>
      <c r="K291" s="2" t="n">
        <f>31352</f>
        <v>31352.0</v>
      </c>
    </row>
    <row r="292">
      <c r="A292" s="8" t="s">
        <v>25</v>
      </c>
      <c r="B292" s="9" t="s">
        <v>68</v>
      </c>
      <c r="C292" s="9" t="s">
        <v>69</v>
      </c>
      <c r="D292" s="10"/>
      <c r="E292" s="2" t="n">
        <f>23157</f>
        <v>23157.0</v>
      </c>
      <c r="F292" s="10"/>
      <c r="G292" s="2" t="n">
        <f>26861926300</f>
        <v>2.68619263E10</v>
      </c>
      <c r="H292" s="10" t="s">
        <v>26</v>
      </c>
      <c r="I292" s="2" t="n">
        <f>3739</f>
        <v>3739.0</v>
      </c>
      <c r="J292" s="10" t="s">
        <v>26</v>
      </c>
      <c r="K292" s="2" t="n">
        <f>37194</f>
        <v>37194.0</v>
      </c>
    </row>
    <row r="293">
      <c r="A293" s="8" t="s">
        <v>27</v>
      </c>
      <c r="B293" s="9" t="s">
        <v>68</v>
      </c>
      <c r="C293" s="9" t="s">
        <v>69</v>
      </c>
      <c r="D293" s="10" t="s">
        <v>26</v>
      </c>
      <c r="E293" s="2" t="n">
        <f>27272</f>
        <v>27272.0</v>
      </c>
      <c r="F293" s="10" t="s">
        <v>26</v>
      </c>
      <c r="G293" s="2" t="n">
        <f>31682341840</f>
        <v>3.168234184E10</v>
      </c>
      <c r="H293" s="10"/>
      <c r="I293" s="2" t="n">
        <f>2178</f>
        <v>2178.0</v>
      </c>
      <c r="J293" s="10"/>
      <c r="K293" s="2" t="n">
        <f>30787</f>
        <v>30787.0</v>
      </c>
    </row>
    <row r="294">
      <c r="A294" s="8" t="s">
        <v>28</v>
      </c>
      <c r="B294" s="9" t="s">
        <v>68</v>
      </c>
      <c r="C294" s="9" t="s">
        <v>69</v>
      </c>
      <c r="D294" s="10"/>
      <c r="E294" s="2" t="n">
        <f>11185</f>
        <v>11185.0</v>
      </c>
      <c r="F294" s="10"/>
      <c r="G294" s="2" t="n">
        <f>12774100380</f>
        <v>1.277410038E10</v>
      </c>
      <c r="H294" s="10" t="s">
        <v>44</v>
      </c>
      <c r="I294" s="2" t="n">
        <f>228</f>
        <v>228.0</v>
      </c>
      <c r="J294" s="10"/>
      <c r="K294" s="2" t="n">
        <f>30554</f>
        <v>30554.0</v>
      </c>
    </row>
    <row r="295">
      <c r="A295" s="8" t="s">
        <v>29</v>
      </c>
      <c r="B295" s="9" t="s">
        <v>68</v>
      </c>
      <c r="C295" s="9" t="s">
        <v>69</v>
      </c>
      <c r="D295" s="10"/>
      <c r="E295" s="2" t="n">
        <f>6518</f>
        <v>6518.0</v>
      </c>
      <c r="F295" s="10"/>
      <c r="G295" s="2" t="n">
        <f>7540727100</f>
        <v>7.5407271E9</v>
      </c>
      <c r="H295" s="10"/>
      <c r="I295" s="2" t="n">
        <f>601</f>
        <v>601.0</v>
      </c>
      <c r="J295" s="10"/>
      <c r="K295" s="2" t="n">
        <f>31920</f>
        <v>31920.0</v>
      </c>
    </row>
    <row r="296">
      <c r="A296" s="8" t="s">
        <v>30</v>
      </c>
      <c r="B296" s="9" t="s">
        <v>68</v>
      </c>
      <c r="C296" s="9" t="s">
        <v>69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31</v>
      </c>
      <c r="B297" s="9" t="s">
        <v>68</v>
      </c>
      <c r="C297" s="9" t="s">
        <v>69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32</v>
      </c>
      <c r="B298" s="9" t="s">
        <v>68</v>
      </c>
      <c r="C298" s="9" t="s">
        <v>69</v>
      </c>
      <c r="D298" s="10"/>
      <c r="E298" s="2" t="n">
        <f>4358</f>
        <v>4358.0</v>
      </c>
      <c r="F298" s="10"/>
      <c r="G298" s="2" t="n">
        <f>5100249300</f>
        <v>5.1002493E9</v>
      </c>
      <c r="H298" s="10"/>
      <c r="I298" s="2" t="n">
        <f>288</f>
        <v>288.0</v>
      </c>
      <c r="J298" s="10"/>
      <c r="K298" s="2" t="n">
        <f>19793</f>
        <v>19793.0</v>
      </c>
    </row>
    <row r="299">
      <c r="A299" s="8" t="s">
        <v>33</v>
      </c>
      <c r="B299" s="9" t="s">
        <v>68</v>
      </c>
      <c r="C299" s="9" t="s">
        <v>69</v>
      </c>
      <c r="D299" s="10"/>
      <c r="E299" s="2" t="n">
        <f>4707</f>
        <v>4707.0</v>
      </c>
      <c r="F299" s="10"/>
      <c r="G299" s="2" t="n">
        <f>5469506200</f>
        <v>5.4695062E9</v>
      </c>
      <c r="H299" s="10"/>
      <c r="I299" s="2" t="n">
        <f>334</f>
        <v>334.0</v>
      </c>
      <c r="J299" s="10"/>
      <c r="K299" s="2" t="n">
        <f>19723</f>
        <v>19723.0</v>
      </c>
    </row>
    <row r="300">
      <c r="A300" s="8" t="s">
        <v>34</v>
      </c>
      <c r="B300" s="9" t="s">
        <v>68</v>
      </c>
      <c r="C300" s="9" t="s">
        <v>69</v>
      </c>
      <c r="D300" s="10"/>
      <c r="E300" s="2" t="n">
        <f>4348</f>
        <v>4348.0</v>
      </c>
      <c r="F300" s="10"/>
      <c r="G300" s="2" t="n">
        <f>4968320650</f>
        <v>4.96832065E9</v>
      </c>
      <c r="H300" s="10"/>
      <c r="I300" s="2" t="n">
        <f>354</f>
        <v>354.0</v>
      </c>
      <c r="J300" s="10"/>
      <c r="K300" s="2" t="n">
        <f>19670</f>
        <v>19670.0</v>
      </c>
    </row>
    <row r="301">
      <c r="A301" s="8" t="s">
        <v>35</v>
      </c>
      <c r="B301" s="9" t="s">
        <v>68</v>
      </c>
      <c r="C301" s="9" t="s">
        <v>69</v>
      </c>
      <c r="D301" s="10"/>
      <c r="E301" s="2" t="n">
        <f>3878</f>
        <v>3878.0</v>
      </c>
      <c r="F301" s="10"/>
      <c r="G301" s="2" t="n">
        <f>4453802420</f>
        <v>4.45380242E9</v>
      </c>
      <c r="H301" s="10"/>
      <c r="I301" s="2" t="n">
        <f>345</f>
        <v>345.0</v>
      </c>
      <c r="J301" s="10"/>
      <c r="K301" s="2" t="n">
        <f>19652</f>
        <v>19652.0</v>
      </c>
    </row>
    <row r="302">
      <c r="A302" s="8" t="s">
        <v>36</v>
      </c>
      <c r="B302" s="9" t="s">
        <v>68</v>
      </c>
      <c r="C302" s="9" t="s">
        <v>69</v>
      </c>
      <c r="D302" s="10"/>
      <c r="E302" s="2" t="n">
        <f>3970</f>
        <v>3970.0</v>
      </c>
      <c r="F302" s="10"/>
      <c r="G302" s="2" t="n">
        <f>4632703940</f>
        <v>4.63270394E9</v>
      </c>
      <c r="H302" s="10"/>
      <c r="I302" s="2" t="n">
        <f>412</f>
        <v>412.0</v>
      </c>
      <c r="J302" s="10"/>
      <c r="K302" s="2" t="n">
        <f>19611</f>
        <v>19611.0</v>
      </c>
    </row>
    <row r="303">
      <c r="A303" s="8" t="s">
        <v>37</v>
      </c>
      <c r="B303" s="9" t="s">
        <v>68</v>
      </c>
      <c r="C303" s="9" t="s">
        <v>69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38</v>
      </c>
      <c r="B304" s="9" t="s">
        <v>68</v>
      </c>
      <c r="C304" s="9" t="s">
        <v>69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39</v>
      </c>
      <c r="B305" s="9" t="s">
        <v>68</v>
      </c>
      <c r="C305" s="9" t="s">
        <v>69</v>
      </c>
      <c r="D305" s="10"/>
      <c r="E305" s="2" t="n">
        <f>4347</f>
        <v>4347.0</v>
      </c>
      <c r="F305" s="10"/>
      <c r="G305" s="2" t="n">
        <f>5066872260</f>
        <v>5.06687226E9</v>
      </c>
      <c r="H305" s="10"/>
      <c r="I305" s="2" t="n">
        <f>374</f>
        <v>374.0</v>
      </c>
      <c r="J305" s="10" t="s">
        <v>44</v>
      </c>
      <c r="K305" s="2" t="n">
        <f>19340</f>
        <v>19340.0</v>
      </c>
    </row>
    <row r="306">
      <c r="A306" s="8" t="s">
        <v>40</v>
      </c>
      <c r="B306" s="9" t="s">
        <v>68</v>
      </c>
      <c r="C306" s="9" t="s">
        <v>69</v>
      </c>
      <c r="D306" s="10"/>
      <c r="E306" s="2" t="n">
        <f>7661</f>
        <v>7661.0</v>
      </c>
      <c r="F306" s="10"/>
      <c r="G306" s="2" t="n">
        <f>8639712640</f>
        <v>8.63971264E9</v>
      </c>
      <c r="H306" s="10"/>
      <c r="I306" s="2" t="n">
        <f>818</f>
        <v>818.0</v>
      </c>
      <c r="J306" s="10"/>
      <c r="K306" s="2" t="n">
        <f>20288</f>
        <v>20288.0</v>
      </c>
    </row>
    <row r="307">
      <c r="A307" s="8" t="s">
        <v>41</v>
      </c>
      <c r="B307" s="9" t="s">
        <v>68</v>
      </c>
      <c r="C307" s="9" t="s">
        <v>69</v>
      </c>
      <c r="D307" s="10"/>
      <c r="E307" s="2" t="n">
        <f>5724</f>
        <v>5724.0</v>
      </c>
      <c r="F307" s="10"/>
      <c r="G307" s="2" t="n">
        <f>6396392780</f>
        <v>6.39639278E9</v>
      </c>
      <c r="H307" s="10"/>
      <c r="I307" s="2" t="n">
        <f>432</f>
        <v>432.0</v>
      </c>
      <c r="J307" s="10"/>
      <c r="K307" s="2" t="n">
        <f>20926</f>
        <v>20926.0</v>
      </c>
    </row>
    <row r="308">
      <c r="A308" s="8" t="s">
        <v>42</v>
      </c>
      <c r="B308" s="9" t="s">
        <v>68</v>
      </c>
      <c r="C308" s="9" t="s">
        <v>69</v>
      </c>
      <c r="D308" s="10"/>
      <c r="E308" s="2" t="n">
        <f>4700</f>
        <v>4700.0</v>
      </c>
      <c r="F308" s="10"/>
      <c r="G308" s="2" t="n">
        <f>5347766250</f>
        <v>5.34776625E9</v>
      </c>
      <c r="H308" s="10"/>
      <c r="I308" s="2" t="n">
        <f>593</f>
        <v>593.0</v>
      </c>
      <c r="J308" s="10"/>
      <c r="K308" s="2" t="n">
        <f>21219</f>
        <v>21219.0</v>
      </c>
    </row>
    <row r="309">
      <c r="A309" s="8" t="s">
        <v>43</v>
      </c>
      <c r="B309" s="9" t="s">
        <v>68</v>
      </c>
      <c r="C309" s="9" t="s">
        <v>69</v>
      </c>
      <c r="D309" s="10" t="s">
        <v>44</v>
      </c>
      <c r="E309" s="2" t="n">
        <f>3137</f>
        <v>3137.0</v>
      </c>
      <c r="F309" s="10" t="s">
        <v>44</v>
      </c>
      <c r="G309" s="2" t="n">
        <f>3614748100</f>
        <v>3.6147481E9</v>
      </c>
      <c r="H309" s="10"/>
      <c r="I309" s="2" t="n">
        <f>276</f>
        <v>276.0</v>
      </c>
      <c r="J309" s="10"/>
      <c r="K309" s="2" t="n">
        <f>21376</f>
        <v>21376.0</v>
      </c>
    </row>
    <row r="310">
      <c r="A310" s="8" t="s">
        <v>45</v>
      </c>
      <c r="B310" s="9" t="s">
        <v>68</v>
      </c>
      <c r="C310" s="9" t="s">
        <v>69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46</v>
      </c>
      <c r="B311" s="9" t="s">
        <v>68</v>
      </c>
      <c r="C311" s="9" t="s">
        <v>69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47</v>
      </c>
      <c r="B312" s="9" t="s">
        <v>68</v>
      </c>
      <c r="C312" s="9" t="s">
        <v>69</v>
      </c>
      <c r="D312" s="10"/>
      <c r="E312" s="2" t="n">
        <f>3417</f>
        <v>3417.0</v>
      </c>
      <c r="F312" s="10"/>
      <c r="G312" s="2" t="n">
        <f>3950959380</f>
        <v>3.95095938E9</v>
      </c>
      <c r="H312" s="10"/>
      <c r="I312" s="2" t="n">
        <f>247</f>
        <v>247.0</v>
      </c>
      <c r="J312" s="10"/>
      <c r="K312" s="2" t="n">
        <f>20983</f>
        <v>20983.0</v>
      </c>
    </row>
    <row r="313">
      <c r="A313" s="8" t="s">
        <v>48</v>
      </c>
      <c r="B313" s="9" t="s">
        <v>68</v>
      </c>
      <c r="C313" s="9" t="s">
        <v>69</v>
      </c>
      <c r="D313" s="10"/>
      <c r="E313" s="2" t="n">
        <f>4239</f>
        <v>4239.0</v>
      </c>
      <c r="F313" s="10"/>
      <c r="G313" s="2" t="n">
        <f>4984127460</f>
        <v>4.98412746E9</v>
      </c>
      <c r="H313" s="10"/>
      <c r="I313" s="2" t="n">
        <f>808</f>
        <v>808.0</v>
      </c>
      <c r="J313" s="10"/>
      <c r="K313" s="2" t="n">
        <f>19942</f>
        <v>19942.0</v>
      </c>
    </row>
    <row r="314">
      <c r="A314" s="8" t="s">
        <v>49</v>
      </c>
      <c r="B314" s="9" t="s">
        <v>68</v>
      </c>
      <c r="C314" s="9" t="s">
        <v>69</v>
      </c>
      <c r="D314" s="10"/>
      <c r="E314" s="2" t="n">
        <f>4757</f>
        <v>4757.0</v>
      </c>
      <c r="F314" s="10"/>
      <c r="G314" s="2" t="n">
        <f>5616328200</f>
        <v>5.6163282E9</v>
      </c>
      <c r="H314" s="10"/>
      <c r="I314" s="2" t="n">
        <f>485</f>
        <v>485.0</v>
      </c>
      <c r="J314" s="10"/>
      <c r="K314" s="2" t="n">
        <f>19730</f>
        <v>19730.0</v>
      </c>
    </row>
    <row r="315">
      <c r="A315" s="8" t="s">
        <v>50</v>
      </c>
      <c r="B315" s="9" t="s">
        <v>68</v>
      </c>
      <c r="C315" s="9" t="s">
        <v>69</v>
      </c>
      <c r="D315" s="10"/>
      <c r="E315" s="2"/>
      <c r="F315" s="10"/>
      <c r="G315" s="2"/>
      <c r="H315" s="10"/>
      <c r="I315" s="2"/>
      <c r="J315" s="10"/>
      <c r="K315" s="2"/>
    </row>
    <row r="316">
      <c r="A316" s="8" t="s">
        <v>16</v>
      </c>
      <c r="B316" s="9" t="s">
        <v>70</v>
      </c>
      <c r="C316" s="9" t="s">
        <v>71</v>
      </c>
      <c r="D316" s="10"/>
      <c r="E316" s="2" t="n">
        <f>636</f>
        <v>636.0</v>
      </c>
      <c r="F316" s="10"/>
      <c r="G316" s="2" t="n">
        <f>1888716000</f>
        <v>1.888716E9</v>
      </c>
      <c r="H316" s="10"/>
      <c r="I316" s="2" t="n">
        <f>97</f>
        <v>97.0</v>
      </c>
      <c r="J316" s="10"/>
      <c r="K316" s="2" t="n">
        <f>924</f>
        <v>924.0</v>
      </c>
    </row>
    <row r="317">
      <c r="A317" s="8" t="s">
        <v>19</v>
      </c>
      <c r="B317" s="9" t="s">
        <v>70</v>
      </c>
      <c r="C317" s="9" t="s">
        <v>71</v>
      </c>
      <c r="D317" s="10"/>
      <c r="E317" s="2" t="n">
        <f>966</f>
        <v>966.0</v>
      </c>
      <c r="F317" s="10"/>
      <c r="G317" s="2" t="n">
        <f>2881039300</f>
        <v>2.8810393E9</v>
      </c>
      <c r="H317" s="10"/>
      <c r="I317" s="2" t="n">
        <f>145</f>
        <v>145.0</v>
      </c>
      <c r="J317" s="10"/>
      <c r="K317" s="2" t="n">
        <f>915</f>
        <v>915.0</v>
      </c>
    </row>
    <row r="318">
      <c r="A318" s="8" t="s">
        <v>20</v>
      </c>
      <c r="B318" s="9" t="s">
        <v>70</v>
      </c>
      <c r="C318" s="9" t="s">
        <v>71</v>
      </c>
      <c r="D318" s="10"/>
      <c r="E318" s="2" t="n">
        <f>1453</f>
        <v>1453.0</v>
      </c>
      <c r="F318" s="10"/>
      <c r="G318" s="2" t="n">
        <f>4313452100</f>
        <v>4.3134521E9</v>
      </c>
      <c r="H318" s="10"/>
      <c r="I318" s="2" t="n">
        <f>153</f>
        <v>153.0</v>
      </c>
      <c r="J318" s="10"/>
      <c r="K318" s="2" t="n">
        <f>823</f>
        <v>823.0</v>
      </c>
    </row>
    <row r="319">
      <c r="A319" s="8" t="s">
        <v>21</v>
      </c>
      <c r="B319" s="9" t="s">
        <v>70</v>
      </c>
      <c r="C319" s="9" t="s">
        <v>71</v>
      </c>
      <c r="D319" s="10"/>
      <c r="E319" s="2" t="n">
        <f>692</f>
        <v>692.0</v>
      </c>
      <c r="F319" s="10"/>
      <c r="G319" s="2" t="n">
        <f>2073518400</f>
        <v>2.0735184E9</v>
      </c>
      <c r="H319" s="10" t="s">
        <v>44</v>
      </c>
      <c r="I319" s="2" t="n">
        <f>51</f>
        <v>51.0</v>
      </c>
      <c r="J319" s="10"/>
      <c r="K319" s="2" t="n">
        <f>851</f>
        <v>851.0</v>
      </c>
    </row>
    <row r="320">
      <c r="A320" s="8" t="s">
        <v>22</v>
      </c>
      <c r="B320" s="9" t="s">
        <v>70</v>
      </c>
      <c r="C320" s="9" t="s">
        <v>71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23</v>
      </c>
      <c r="B321" s="9" t="s">
        <v>70</v>
      </c>
      <c r="C321" s="9" t="s">
        <v>71</v>
      </c>
      <c r="D321" s="10"/>
      <c r="E321" s="2"/>
      <c r="F321" s="10"/>
      <c r="G321" s="2"/>
      <c r="H321" s="10"/>
      <c r="I321" s="2"/>
      <c r="J321" s="10"/>
      <c r="K321" s="2"/>
    </row>
    <row r="322">
      <c r="A322" s="8" t="s">
        <v>24</v>
      </c>
      <c r="B322" s="9" t="s">
        <v>70</v>
      </c>
      <c r="C322" s="9" t="s">
        <v>71</v>
      </c>
      <c r="D322" s="10"/>
      <c r="E322" s="2" t="n">
        <f>1003</f>
        <v>1003.0</v>
      </c>
      <c r="F322" s="10"/>
      <c r="G322" s="2" t="n">
        <f>3020131000</f>
        <v>3.020131E9</v>
      </c>
      <c r="H322" s="10"/>
      <c r="I322" s="2" t="n">
        <f>131</f>
        <v>131.0</v>
      </c>
      <c r="J322" s="10"/>
      <c r="K322" s="2" t="n">
        <f>993</f>
        <v>993.0</v>
      </c>
    </row>
    <row r="323">
      <c r="A323" s="8" t="s">
        <v>25</v>
      </c>
      <c r="B323" s="9" t="s">
        <v>70</v>
      </c>
      <c r="C323" s="9" t="s">
        <v>71</v>
      </c>
      <c r="D323" s="10"/>
      <c r="E323" s="2" t="n">
        <f>1350</f>
        <v>1350.0</v>
      </c>
      <c r="F323" s="10"/>
      <c r="G323" s="2" t="n">
        <f>4055741400</f>
        <v>4.0557414E9</v>
      </c>
      <c r="H323" s="10"/>
      <c r="I323" s="2" t="n">
        <f>496</f>
        <v>496.0</v>
      </c>
      <c r="J323" s="10"/>
      <c r="K323" s="2" t="n">
        <f>1076</f>
        <v>1076.0</v>
      </c>
    </row>
    <row r="324">
      <c r="A324" s="8" t="s">
        <v>27</v>
      </c>
      <c r="B324" s="9" t="s">
        <v>70</v>
      </c>
      <c r="C324" s="9" t="s">
        <v>71</v>
      </c>
      <c r="D324" s="10"/>
      <c r="E324" s="2" t="n">
        <f>1825</f>
        <v>1825.0</v>
      </c>
      <c r="F324" s="10"/>
      <c r="G324" s="2" t="n">
        <f>5487774800</f>
        <v>5.4877748E9</v>
      </c>
      <c r="H324" s="10"/>
      <c r="I324" s="2" t="n">
        <f>651</f>
        <v>651.0</v>
      </c>
      <c r="J324" s="10"/>
      <c r="K324" s="2" t="n">
        <f>1165</f>
        <v>1165.0</v>
      </c>
    </row>
    <row r="325">
      <c r="A325" s="8" t="s">
        <v>28</v>
      </c>
      <c r="B325" s="9" t="s">
        <v>70</v>
      </c>
      <c r="C325" s="9" t="s">
        <v>71</v>
      </c>
      <c r="D325" s="10"/>
      <c r="E325" s="2" t="n">
        <f>436</f>
        <v>436.0</v>
      </c>
      <c r="F325" s="10"/>
      <c r="G325" s="2" t="n">
        <f>1313542800</f>
        <v>1.3135428E9</v>
      </c>
      <c r="H325" s="10"/>
      <c r="I325" s="2" t="n">
        <f>235</f>
        <v>235.0</v>
      </c>
      <c r="J325" s="10"/>
      <c r="K325" s="2" t="n">
        <f>1226</f>
        <v>1226.0</v>
      </c>
    </row>
    <row r="326">
      <c r="A326" s="8" t="s">
        <v>29</v>
      </c>
      <c r="B326" s="9" t="s">
        <v>70</v>
      </c>
      <c r="C326" s="9" t="s">
        <v>71</v>
      </c>
      <c r="D326" s="10"/>
      <c r="E326" s="2" t="n">
        <f>1385</f>
        <v>1385.0</v>
      </c>
      <c r="F326" s="10"/>
      <c r="G326" s="2" t="n">
        <f>4155448800</f>
        <v>4.1554488E9</v>
      </c>
      <c r="H326" s="10"/>
      <c r="I326" s="2" t="n">
        <f>696</f>
        <v>696.0</v>
      </c>
      <c r="J326" s="10"/>
      <c r="K326" s="2" t="n">
        <f>1295</f>
        <v>1295.0</v>
      </c>
    </row>
    <row r="327">
      <c r="A327" s="8" t="s">
        <v>30</v>
      </c>
      <c r="B327" s="9" t="s">
        <v>70</v>
      </c>
      <c r="C327" s="9" t="s">
        <v>71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31</v>
      </c>
      <c r="B328" s="9" t="s">
        <v>70</v>
      </c>
      <c r="C328" s="9" t="s">
        <v>71</v>
      </c>
      <c r="D328" s="10"/>
      <c r="E328" s="2"/>
      <c r="F328" s="10"/>
      <c r="G328" s="2"/>
      <c r="H328" s="10"/>
      <c r="I328" s="2"/>
      <c r="J328" s="10"/>
      <c r="K328" s="2"/>
    </row>
    <row r="329">
      <c r="A329" s="8" t="s">
        <v>32</v>
      </c>
      <c r="B329" s="9" t="s">
        <v>70</v>
      </c>
      <c r="C329" s="9" t="s">
        <v>71</v>
      </c>
      <c r="D329" s="10" t="s">
        <v>26</v>
      </c>
      <c r="E329" s="2" t="n">
        <f>2777</f>
        <v>2777.0</v>
      </c>
      <c r="F329" s="10" t="s">
        <v>26</v>
      </c>
      <c r="G329" s="2" t="n">
        <f>8304259500</f>
        <v>8.3042595E9</v>
      </c>
      <c r="H329" s="10" t="s">
        <v>26</v>
      </c>
      <c r="I329" s="2" t="n">
        <f>1486</f>
        <v>1486.0</v>
      </c>
      <c r="J329" s="10"/>
      <c r="K329" s="2" t="n">
        <f>1258</f>
        <v>1258.0</v>
      </c>
    </row>
    <row r="330">
      <c r="A330" s="8" t="s">
        <v>33</v>
      </c>
      <c r="B330" s="9" t="s">
        <v>70</v>
      </c>
      <c r="C330" s="9" t="s">
        <v>71</v>
      </c>
      <c r="D330" s="10"/>
      <c r="E330" s="2" t="n">
        <f>899</f>
        <v>899.0</v>
      </c>
      <c r="F330" s="10"/>
      <c r="G330" s="2" t="n">
        <f>2700110200</f>
        <v>2.7001102E9</v>
      </c>
      <c r="H330" s="10"/>
      <c r="I330" s="2" t="n">
        <f>420</f>
        <v>420.0</v>
      </c>
      <c r="J330" s="10"/>
      <c r="K330" s="2" t="n">
        <f>1201</f>
        <v>1201.0</v>
      </c>
    </row>
    <row r="331">
      <c r="A331" s="8" t="s">
        <v>34</v>
      </c>
      <c r="B331" s="9" t="s">
        <v>70</v>
      </c>
      <c r="C331" s="9" t="s">
        <v>71</v>
      </c>
      <c r="D331" s="10"/>
      <c r="E331" s="2" t="n">
        <f>1832</f>
        <v>1832.0</v>
      </c>
      <c r="F331" s="10"/>
      <c r="G331" s="2" t="n">
        <f>5500309800</f>
        <v>5.5003098E9</v>
      </c>
      <c r="H331" s="10"/>
      <c r="I331" s="2" t="n">
        <f>598</f>
        <v>598.0</v>
      </c>
      <c r="J331" s="10"/>
      <c r="K331" s="2" t="n">
        <f>1260</f>
        <v>1260.0</v>
      </c>
    </row>
    <row r="332">
      <c r="A332" s="8" t="s">
        <v>35</v>
      </c>
      <c r="B332" s="9" t="s">
        <v>70</v>
      </c>
      <c r="C332" s="9" t="s">
        <v>71</v>
      </c>
      <c r="D332" s="10"/>
      <c r="E332" s="2" t="n">
        <f>1120</f>
        <v>1120.0</v>
      </c>
      <c r="F332" s="10"/>
      <c r="G332" s="2" t="n">
        <f>3377815400</f>
        <v>3.3778154E9</v>
      </c>
      <c r="H332" s="10"/>
      <c r="I332" s="2" t="n">
        <f>362</f>
        <v>362.0</v>
      </c>
      <c r="J332" s="10"/>
      <c r="K332" s="2" t="n">
        <f>1401</f>
        <v>1401.0</v>
      </c>
    </row>
    <row r="333">
      <c r="A333" s="8" t="s">
        <v>36</v>
      </c>
      <c r="B333" s="9" t="s">
        <v>70</v>
      </c>
      <c r="C333" s="9" t="s">
        <v>71</v>
      </c>
      <c r="D333" s="10"/>
      <c r="E333" s="2" t="n">
        <f>1120</f>
        <v>1120.0</v>
      </c>
      <c r="F333" s="10"/>
      <c r="G333" s="2" t="n">
        <f>3382172500</f>
        <v>3.3821725E9</v>
      </c>
      <c r="H333" s="10"/>
      <c r="I333" s="2" t="n">
        <f>634</f>
        <v>634.0</v>
      </c>
      <c r="J333" s="10"/>
      <c r="K333" s="2" t="n">
        <f>1284</f>
        <v>1284.0</v>
      </c>
    </row>
    <row r="334">
      <c r="A334" s="8" t="s">
        <v>37</v>
      </c>
      <c r="B334" s="9" t="s">
        <v>70</v>
      </c>
      <c r="C334" s="9" t="s">
        <v>71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38</v>
      </c>
      <c r="B335" s="9" t="s">
        <v>70</v>
      </c>
      <c r="C335" s="9" t="s">
        <v>71</v>
      </c>
      <c r="D335" s="10"/>
      <c r="E335" s="2"/>
      <c r="F335" s="10"/>
      <c r="G335" s="2"/>
      <c r="H335" s="10"/>
      <c r="I335" s="2"/>
      <c r="J335" s="10"/>
      <c r="K335" s="2"/>
    </row>
    <row r="336">
      <c r="A336" s="8" t="s">
        <v>39</v>
      </c>
      <c r="B336" s="9" t="s">
        <v>70</v>
      </c>
      <c r="C336" s="9" t="s">
        <v>71</v>
      </c>
      <c r="D336" s="10"/>
      <c r="E336" s="2" t="n">
        <f>555</f>
        <v>555.0</v>
      </c>
      <c r="F336" s="10"/>
      <c r="G336" s="2" t="n">
        <f>1669768200</f>
        <v>1.6697682E9</v>
      </c>
      <c r="H336" s="10"/>
      <c r="I336" s="2" t="n">
        <f>382</f>
        <v>382.0</v>
      </c>
      <c r="J336" s="10"/>
      <c r="K336" s="2" t="n">
        <f>1400</f>
        <v>1400.0</v>
      </c>
    </row>
    <row r="337">
      <c r="A337" s="8" t="s">
        <v>40</v>
      </c>
      <c r="B337" s="9" t="s">
        <v>70</v>
      </c>
      <c r="C337" s="9" t="s">
        <v>71</v>
      </c>
      <c r="D337" s="10"/>
      <c r="E337" s="2" t="n">
        <f>1498</f>
        <v>1498.0</v>
      </c>
      <c r="F337" s="10"/>
      <c r="G337" s="2" t="n">
        <f>4462950500</f>
        <v>4.4629505E9</v>
      </c>
      <c r="H337" s="10"/>
      <c r="I337" s="2" t="n">
        <f>1162</f>
        <v>1162.0</v>
      </c>
      <c r="J337" s="10"/>
      <c r="K337" s="2" t="n">
        <f>829</f>
        <v>829.0</v>
      </c>
    </row>
    <row r="338">
      <c r="A338" s="8" t="s">
        <v>41</v>
      </c>
      <c r="B338" s="9" t="s">
        <v>70</v>
      </c>
      <c r="C338" s="9" t="s">
        <v>71</v>
      </c>
      <c r="D338" s="10"/>
      <c r="E338" s="2" t="n">
        <f>558</f>
        <v>558.0</v>
      </c>
      <c r="F338" s="10"/>
      <c r="G338" s="2" t="n">
        <f>1672271400</f>
        <v>1.6722714E9</v>
      </c>
      <c r="H338" s="10"/>
      <c r="I338" s="2" t="n">
        <f>432</f>
        <v>432.0</v>
      </c>
      <c r="J338" s="10" t="s">
        <v>44</v>
      </c>
      <c r="K338" s="2" t="n">
        <f>779</f>
        <v>779.0</v>
      </c>
    </row>
    <row r="339">
      <c r="A339" s="8" t="s">
        <v>42</v>
      </c>
      <c r="B339" s="9" t="s">
        <v>70</v>
      </c>
      <c r="C339" s="9" t="s">
        <v>71</v>
      </c>
      <c r="D339" s="10"/>
      <c r="E339" s="2" t="n">
        <f>401</f>
        <v>401.0</v>
      </c>
      <c r="F339" s="10"/>
      <c r="G339" s="2" t="n">
        <f>1204955300</f>
        <v>1.2049553E9</v>
      </c>
      <c r="H339" s="10"/>
      <c r="I339" s="2" t="n">
        <f>295</f>
        <v>295.0</v>
      </c>
      <c r="J339" s="10"/>
      <c r="K339" s="2" t="n">
        <f>869</f>
        <v>869.0</v>
      </c>
    </row>
    <row r="340">
      <c r="A340" s="8" t="s">
        <v>43</v>
      </c>
      <c r="B340" s="9" t="s">
        <v>70</v>
      </c>
      <c r="C340" s="9" t="s">
        <v>71</v>
      </c>
      <c r="D340" s="10" t="s">
        <v>44</v>
      </c>
      <c r="E340" s="2" t="n">
        <f>133</f>
        <v>133.0</v>
      </c>
      <c r="F340" s="10" t="s">
        <v>44</v>
      </c>
      <c r="G340" s="2" t="n">
        <f>399739700</f>
        <v>3.997397E8</v>
      </c>
      <c r="H340" s="10"/>
      <c r="I340" s="2" t="n">
        <f>113</f>
        <v>113.0</v>
      </c>
      <c r="J340" s="10"/>
      <c r="K340" s="2" t="n">
        <f>866</f>
        <v>866.0</v>
      </c>
    </row>
    <row r="341">
      <c r="A341" s="8" t="s">
        <v>45</v>
      </c>
      <c r="B341" s="9" t="s">
        <v>70</v>
      </c>
      <c r="C341" s="9" t="s">
        <v>71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46</v>
      </c>
      <c r="B342" s="9" t="s">
        <v>70</v>
      </c>
      <c r="C342" s="9" t="s">
        <v>71</v>
      </c>
      <c r="D342" s="10"/>
      <c r="E342" s="2"/>
      <c r="F342" s="10"/>
      <c r="G342" s="2"/>
      <c r="H342" s="10"/>
      <c r="I342" s="2"/>
      <c r="J342" s="10"/>
      <c r="K342" s="2"/>
    </row>
    <row r="343">
      <c r="A343" s="8" t="s">
        <v>47</v>
      </c>
      <c r="B343" s="9" t="s">
        <v>70</v>
      </c>
      <c r="C343" s="9" t="s">
        <v>71</v>
      </c>
      <c r="D343" s="10"/>
      <c r="E343" s="2" t="n">
        <f>2195</f>
        <v>2195.0</v>
      </c>
      <c r="F343" s="10"/>
      <c r="G343" s="2" t="n">
        <f>6631188200</f>
        <v>6.6311882E9</v>
      </c>
      <c r="H343" s="10"/>
      <c r="I343" s="2" t="n">
        <f>71</f>
        <v>71.0</v>
      </c>
      <c r="J343" s="10" t="s">
        <v>26</v>
      </c>
      <c r="K343" s="2" t="n">
        <f>2870</f>
        <v>2870.0</v>
      </c>
    </row>
    <row r="344">
      <c r="A344" s="8" t="s">
        <v>48</v>
      </c>
      <c r="B344" s="9" t="s">
        <v>70</v>
      </c>
      <c r="C344" s="9" t="s">
        <v>71</v>
      </c>
      <c r="D344" s="10"/>
      <c r="E344" s="2" t="n">
        <f>1263</f>
        <v>1263.0</v>
      </c>
      <c r="F344" s="10"/>
      <c r="G344" s="2" t="n">
        <f>3840297700</f>
        <v>3.8402977E9</v>
      </c>
      <c r="H344" s="10"/>
      <c r="I344" s="2" t="n">
        <f>213</f>
        <v>213.0</v>
      </c>
      <c r="J344" s="10"/>
      <c r="K344" s="2" t="n">
        <f>2081</f>
        <v>2081.0</v>
      </c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1841</f>
        <v>1841.0</v>
      </c>
      <c r="F345" s="10"/>
      <c r="G345" s="2" t="n">
        <f>5578379900</f>
        <v>5.5783799E9</v>
      </c>
      <c r="H345" s="10"/>
      <c r="I345" s="2" t="n">
        <f>330</f>
        <v>330.0</v>
      </c>
      <c r="J345" s="10"/>
      <c r="K345" s="2" t="n">
        <f>925</f>
        <v>925.0</v>
      </c>
    </row>
    <row r="346">
      <c r="A346" s="8" t="s">
        <v>50</v>
      </c>
      <c r="B346" s="9" t="s">
        <v>70</v>
      </c>
      <c r="C346" s="9" t="s">
        <v>71</v>
      </c>
      <c r="D346" s="10"/>
      <c r="E346" s="2"/>
      <c r="F346" s="10"/>
      <c r="G346" s="2"/>
      <c r="H346" s="10"/>
      <c r="I346" s="2"/>
      <c r="J346" s="10"/>
      <c r="K346" s="2"/>
    </row>
    <row r="347">
      <c r="A347" s="8" t="s">
        <v>16</v>
      </c>
      <c r="B347" s="9" t="s">
        <v>72</v>
      </c>
      <c r="C347" s="9" t="s">
        <v>73</v>
      </c>
      <c r="D347" s="10" t="s">
        <v>44</v>
      </c>
      <c r="E347" s="2" t="str">
        <f>"－"</f>
        <v>－</v>
      </c>
      <c r="F347" s="10" t="s">
        <v>44</v>
      </c>
      <c r="G347" s="2" t="str">
        <f>"－"</f>
        <v>－</v>
      </c>
      <c r="H347" s="10" t="s">
        <v>44</v>
      </c>
      <c r="I347" s="2" t="str">
        <f>"－"</f>
        <v>－</v>
      </c>
      <c r="J347" s="10" t="s">
        <v>67</v>
      </c>
      <c r="K347" s="2" t="str">
        <f>"－"</f>
        <v>－</v>
      </c>
    </row>
    <row r="348">
      <c r="A348" s="8" t="s">
        <v>19</v>
      </c>
      <c r="B348" s="9" t="s">
        <v>72</v>
      </c>
      <c r="C348" s="9" t="s">
        <v>73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20</v>
      </c>
      <c r="B349" s="9" t="s">
        <v>72</v>
      </c>
      <c r="C349" s="9" t="s">
        <v>73</v>
      </c>
      <c r="D349" s="10"/>
      <c r="E349" s="2" t="n">
        <f>10</f>
        <v>10.0</v>
      </c>
      <c r="F349" s="10"/>
      <c r="G349" s="2" t="n">
        <f>13970000</f>
        <v>1.397E7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21</v>
      </c>
      <c r="B350" s="9" t="s">
        <v>72</v>
      </c>
      <c r="C350" s="9" t="s">
        <v>73</v>
      </c>
      <c r="D350" s="10"/>
      <c r="E350" s="2" t="str">
        <f>"－"</f>
        <v>－</v>
      </c>
      <c r="F350" s="10"/>
      <c r="G350" s="2" t="str">
        <f>"－"</f>
        <v>－</v>
      </c>
      <c r="H350" s="10"/>
      <c r="I350" s="2" t="str">
        <f>"－"</f>
        <v>－</v>
      </c>
      <c r="J350" s="10"/>
      <c r="K350" s="2" t="str">
        <f>"－"</f>
        <v>－</v>
      </c>
    </row>
    <row r="351">
      <c r="A351" s="8" t="s">
        <v>22</v>
      </c>
      <c r="B351" s="9" t="s">
        <v>72</v>
      </c>
      <c r="C351" s="9" t="s">
        <v>73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23</v>
      </c>
      <c r="B352" s="9" t="s">
        <v>72</v>
      </c>
      <c r="C352" s="9" t="s">
        <v>73</v>
      </c>
      <c r="D352" s="10"/>
      <c r="E352" s="2"/>
      <c r="F352" s="10"/>
      <c r="G352" s="2"/>
      <c r="H352" s="10"/>
      <c r="I352" s="2"/>
      <c r="J352" s="10"/>
      <c r="K352" s="2"/>
    </row>
    <row r="353">
      <c r="A353" s="8" t="s">
        <v>24</v>
      </c>
      <c r="B353" s="9" t="s">
        <v>72</v>
      </c>
      <c r="C353" s="9" t="s">
        <v>73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25</v>
      </c>
      <c r="B354" s="9" t="s">
        <v>72</v>
      </c>
      <c r="C354" s="9" t="s">
        <v>73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27</v>
      </c>
      <c r="B355" s="9" t="s">
        <v>72</v>
      </c>
      <c r="C355" s="9" t="s">
        <v>73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28</v>
      </c>
      <c r="B356" s="9" t="s">
        <v>72</v>
      </c>
      <c r="C356" s="9" t="s">
        <v>73</v>
      </c>
      <c r="D356" s="10"/>
      <c r="E356" s="2" t="n">
        <f>10</f>
        <v>10.0</v>
      </c>
      <c r="F356" s="10"/>
      <c r="G356" s="2" t="n">
        <f>14227500</f>
        <v>1.42275E7</v>
      </c>
      <c r="H356" s="10"/>
      <c r="I356" s="2" t="n">
        <f>10</f>
        <v>10.0</v>
      </c>
      <c r="J356" s="10"/>
      <c r="K356" s="2" t="str">
        <f>"－"</f>
        <v>－</v>
      </c>
    </row>
    <row r="357">
      <c r="A357" s="8" t="s">
        <v>29</v>
      </c>
      <c r="B357" s="9" t="s">
        <v>72</v>
      </c>
      <c r="C357" s="9" t="s">
        <v>73</v>
      </c>
      <c r="D357" s="10"/>
      <c r="E357" s="2" t="str">
        <f>"－"</f>
        <v>－</v>
      </c>
      <c r="F357" s="10"/>
      <c r="G357" s="2" t="str">
        <f>"－"</f>
        <v>－</v>
      </c>
      <c r="H357" s="10"/>
      <c r="I357" s="2" t="str">
        <f>"－"</f>
        <v>－</v>
      </c>
      <c r="J357" s="10"/>
      <c r="K357" s="2" t="str">
        <f>"－"</f>
        <v>－</v>
      </c>
    </row>
    <row r="358">
      <c r="A358" s="8" t="s">
        <v>30</v>
      </c>
      <c r="B358" s="9" t="s">
        <v>72</v>
      </c>
      <c r="C358" s="9" t="s">
        <v>73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31</v>
      </c>
      <c r="B359" s="9" t="s">
        <v>72</v>
      </c>
      <c r="C359" s="9" t="s">
        <v>73</v>
      </c>
      <c r="D359" s="10"/>
      <c r="E359" s="2"/>
      <c r="F359" s="10"/>
      <c r="G359" s="2"/>
      <c r="H359" s="10"/>
      <c r="I359" s="2"/>
      <c r="J359" s="10"/>
      <c r="K359" s="2"/>
    </row>
    <row r="360">
      <c r="A360" s="8" t="s">
        <v>32</v>
      </c>
      <c r="B360" s="9" t="s">
        <v>72</v>
      </c>
      <c r="C360" s="9" t="s">
        <v>73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33</v>
      </c>
      <c r="B361" s="9" t="s">
        <v>72</v>
      </c>
      <c r="C361" s="9" t="s">
        <v>73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34</v>
      </c>
      <c r="B362" s="9" t="s">
        <v>72</v>
      </c>
      <c r="C362" s="9" t="s">
        <v>73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35</v>
      </c>
      <c r="B363" s="9" t="s">
        <v>72</v>
      </c>
      <c r="C363" s="9" t="s">
        <v>73</v>
      </c>
      <c r="D363" s="10"/>
      <c r="E363" s="2" t="n">
        <f>10</f>
        <v>10.0</v>
      </c>
      <c r="F363" s="10"/>
      <c r="G363" s="2" t="n">
        <f>14157000</f>
        <v>1.4157E7</v>
      </c>
      <c r="H363" s="10"/>
      <c r="I363" s="2" t="n">
        <f>10</f>
        <v>10.0</v>
      </c>
      <c r="J363" s="10"/>
      <c r="K363" s="2" t="str">
        <f>"－"</f>
        <v>－</v>
      </c>
    </row>
    <row r="364">
      <c r="A364" s="8" t="s">
        <v>36</v>
      </c>
      <c r="B364" s="9" t="s">
        <v>72</v>
      </c>
      <c r="C364" s="9" t="s">
        <v>73</v>
      </c>
      <c r="D364" s="10"/>
      <c r="E364" s="2" t="str">
        <f>"－"</f>
        <v>－</v>
      </c>
      <c r="F364" s="10"/>
      <c r="G364" s="2" t="str">
        <f>"－"</f>
        <v>－</v>
      </c>
      <c r="H364" s="10"/>
      <c r="I364" s="2" t="str">
        <f>"－"</f>
        <v>－</v>
      </c>
      <c r="J364" s="10"/>
      <c r="K364" s="2" t="str">
        <f>"－"</f>
        <v>－</v>
      </c>
    </row>
    <row r="365">
      <c r="A365" s="8" t="s">
        <v>37</v>
      </c>
      <c r="B365" s="9" t="s">
        <v>72</v>
      </c>
      <c r="C365" s="9" t="s">
        <v>73</v>
      </c>
      <c r="D365" s="10"/>
      <c r="E365" s="2"/>
      <c r="F365" s="10"/>
      <c r="G365" s="2"/>
      <c r="H365" s="10"/>
      <c r="I365" s="2"/>
      <c r="J365" s="10"/>
      <c r="K365" s="2"/>
    </row>
    <row r="366">
      <c r="A366" s="8" t="s">
        <v>38</v>
      </c>
      <c r="B366" s="9" t="s">
        <v>72</v>
      </c>
      <c r="C366" s="9" t="s">
        <v>73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39</v>
      </c>
      <c r="B367" s="9" t="s">
        <v>72</v>
      </c>
      <c r="C367" s="9" t="s">
        <v>73</v>
      </c>
      <c r="D367" s="10" t="s">
        <v>26</v>
      </c>
      <c r="E367" s="2" t="n">
        <f>20</f>
        <v>20.0</v>
      </c>
      <c r="F367" s="10" t="s">
        <v>26</v>
      </c>
      <c r="G367" s="2" t="n">
        <f>28218500</f>
        <v>2.82185E7</v>
      </c>
      <c r="H367" s="10" t="s">
        <v>26</v>
      </c>
      <c r="I367" s="2" t="n">
        <f>20</f>
        <v>20.0</v>
      </c>
      <c r="J367" s="10"/>
      <c r="K367" s="2" t="str">
        <f>"－"</f>
        <v>－</v>
      </c>
    </row>
    <row r="368">
      <c r="A368" s="8" t="s">
        <v>40</v>
      </c>
      <c r="B368" s="9" t="s">
        <v>72</v>
      </c>
      <c r="C368" s="9" t="s">
        <v>73</v>
      </c>
      <c r="D368" s="10"/>
      <c r="E368" s="2" t="n">
        <f>10</f>
        <v>10.0</v>
      </c>
      <c r="F368" s="10"/>
      <c r="G368" s="2" t="n">
        <f>14328500</f>
        <v>1.43285E7</v>
      </c>
      <c r="H368" s="10"/>
      <c r="I368" s="2" t="n">
        <f>10</f>
        <v>10.0</v>
      </c>
      <c r="J368" s="10"/>
      <c r="K368" s="2" t="str">
        <f>"－"</f>
        <v>－</v>
      </c>
    </row>
    <row r="369">
      <c r="A369" s="8" t="s">
        <v>41</v>
      </c>
      <c r="B369" s="9" t="s">
        <v>72</v>
      </c>
      <c r="C369" s="9" t="s">
        <v>73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42</v>
      </c>
      <c r="B370" s="9" t="s">
        <v>72</v>
      </c>
      <c r="C370" s="9" t="s">
        <v>73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43</v>
      </c>
      <c r="B371" s="9" t="s">
        <v>72</v>
      </c>
      <c r="C371" s="9" t="s">
        <v>73</v>
      </c>
      <c r="D371" s="10"/>
      <c r="E371" s="2" t="str">
        <f>"－"</f>
        <v>－</v>
      </c>
      <c r="F371" s="10"/>
      <c r="G371" s="2" t="str">
        <f>"－"</f>
        <v>－</v>
      </c>
      <c r="H371" s="10"/>
      <c r="I371" s="2" t="str">
        <f>"－"</f>
        <v>－</v>
      </c>
      <c r="J371" s="10"/>
      <c r="K371" s="2" t="str">
        <f>"－"</f>
        <v>－</v>
      </c>
    </row>
    <row r="372">
      <c r="A372" s="8" t="s">
        <v>45</v>
      </c>
      <c r="B372" s="9" t="s">
        <v>72</v>
      </c>
      <c r="C372" s="9" t="s">
        <v>73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46</v>
      </c>
      <c r="B373" s="9" t="s">
        <v>72</v>
      </c>
      <c r="C373" s="9" t="s">
        <v>73</v>
      </c>
      <c r="D373" s="10"/>
      <c r="E373" s="2"/>
      <c r="F373" s="10"/>
      <c r="G373" s="2"/>
      <c r="H373" s="10"/>
      <c r="I373" s="2"/>
      <c r="J373" s="10"/>
      <c r="K373" s="2"/>
    </row>
    <row r="374">
      <c r="A374" s="8" t="s">
        <v>47</v>
      </c>
      <c r="B374" s="9" t="s">
        <v>72</v>
      </c>
      <c r="C374" s="9" t="s">
        <v>73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/>
      <c r="F377" s="10"/>
      <c r="G377" s="2"/>
      <c r="H377" s="10"/>
      <c r="I377" s="2"/>
      <c r="J377" s="10"/>
      <c r="K377" s="2"/>
    </row>
    <row r="378">
      <c r="A378" s="8" t="s">
        <v>16</v>
      </c>
      <c r="B378" s="9" t="s">
        <v>74</v>
      </c>
      <c r="C378" s="9" t="s">
        <v>75</v>
      </c>
      <c r="D378" s="10" t="s">
        <v>44</v>
      </c>
      <c r="E378" s="2" t="str">
        <f>"－"</f>
        <v>－</v>
      </c>
      <c r="F378" s="10" t="s">
        <v>44</v>
      </c>
      <c r="G378" s="2" t="str">
        <f>"－"</f>
        <v>－</v>
      </c>
      <c r="H378" s="10" t="s">
        <v>67</v>
      </c>
      <c r="I378" s="2" t="str">
        <f>"－"</f>
        <v>－</v>
      </c>
      <c r="J378" s="10" t="s">
        <v>44</v>
      </c>
      <c r="K378" s="2" t="str">
        <f>"－"</f>
        <v>－</v>
      </c>
    </row>
    <row r="379">
      <c r="A379" s="8" t="s">
        <v>19</v>
      </c>
      <c r="B379" s="9" t="s">
        <v>74</v>
      </c>
      <c r="C379" s="9" t="s">
        <v>75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20</v>
      </c>
      <c r="B380" s="9" t="s">
        <v>74</v>
      </c>
      <c r="C380" s="9" t="s">
        <v>75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21</v>
      </c>
      <c r="B381" s="9" t="s">
        <v>74</v>
      </c>
      <c r="C381" s="9" t="s">
        <v>75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>
      <c r="A382" s="8" t="s">
        <v>22</v>
      </c>
      <c r="B382" s="9" t="s">
        <v>74</v>
      </c>
      <c r="C382" s="9" t="s">
        <v>75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23</v>
      </c>
      <c r="B383" s="9" t="s">
        <v>74</v>
      </c>
      <c r="C383" s="9" t="s">
        <v>75</v>
      </c>
      <c r="D383" s="10"/>
      <c r="E383" s="2"/>
      <c r="F383" s="10"/>
      <c r="G383" s="2"/>
      <c r="H383" s="10"/>
      <c r="I383" s="2"/>
      <c r="J383" s="10"/>
      <c r="K383" s="2"/>
    </row>
    <row r="384">
      <c r="A384" s="8" t="s">
        <v>24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25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27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28</v>
      </c>
      <c r="B387" s="9" t="s">
        <v>74</v>
      </c>
      <c r="C387" s="9" t="s">
        <v>75</v>
      </c>
      <c r="D387" s="10"/>
      <c r="E387" s="2" t="n">
        <f>6</f>
        <v>6.0</v>
      </c>
      <c r="F387" s="10"/>
      <c r="G387" s="2" t="n">
        <f>12174000</f>
        <v>1.2174E7</v>
      </c>
      <c r="H387" s="10"/>
      <c r="I387" s="2" t="str">
        <f>"－"</f>
        <v>－</v>
      </c>
      <c r="J387" s="10" t="s">
        <v>26</v>
      </c>
      <c r="K387" s="2" t="n">
        <f>6</f>
        <v>6.0</v>
      </c>
    </row>
    <row r="388">
      <c r="A388" s="8" t="s">
        <v>29</v>
      </c>
      <c r="B388" s="9" t="s">
        <v>74</v>
      </c>
      <c r="C388" s="9" t="s">
        <v>75</v>
      </c>
      <c r="D388" s="10"/>
      <c r="E388" s="2" t="n">
        <f>6</f>
        <v>6.0</v>
      </c>
      <c r="F388" s="10"/>
      <c r="G388" s="2" t="n">
        <f>12336000</f>
        <v>1.2336E7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30</v>
      </c>
      <c r="B389" s="9" t="s">
        <v>74</v>
      </c>
      <c r="C389" s="9" t="s">
        <v>75</v>
      </c>
      <c r="D389" s="10"/>
      <c r="E389" s="2"/>
      <c r="F389" s="10"/>
      <c r="G389" s="2"/>
      <c r="H389" s="10"/>
      <c r="I389" s="2"/>
      <c r="J389" s="10"/>
      <c r="K389" s="2"/>
    </row>
    <row r="390">
      <c r="A390" s="8" t="s">
        <v>31</v>
      </c>
      <c r="B390" s="9" t="s">
        <v>74</v>
      </c>
      <c r="C390" s="9" t="s">
        <v>75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32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33</v>
      </c>
      <c r="B392" s="9" t="s">
        <v>74</v>
      </c>
      <c r="C392" s="9" t="s">
        <v>75</v>
      </c>
      <c r="D392" s="10" t="s">
        <v>26</v>
      </c>
      <c r="E392" s="2" t="n">
        <f>10</f>
        <v>10.0</v>
      </c>
      <c r="F392" s="10" t="s">
        <v>26</v>
      </c>
      <c r="G392" s="2" t="n">
        <f>20292500</f>
        <v>2.02925E7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34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35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36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37</v>
      </c>
      <c r="B396" s="9" t="s">
        <v>74</v>
      </c>
      <c r="C396" s="9" t="s">
        <v>75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38</v>
      </c>
      <c r="B397" s="9" t="s">
        <v>74</v>
      </c>
      <c r="C397" s="9" t="s">
        <v>75</v>
      </c>
      <c r="D397" s="10"/>
      <c r="E397" s="2"/>
      <c r="F397" s="10"/>
      <c r="G397" s="2"/>
      <c r="H397" s="10"/>
      <c r="I397" s="2"/>
      <c r="J397" s="10"/>
      <c r="K397" s="2"/>
    </row>
    <row r="398">
      <c r="A398" s="8" t="s">
        <v>39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str">
        <f>"－"</f>
        <v>－</v>
      </c>
    </row>
    <row r="399">
      <c r="A399" s="8" t="s">
        <v>40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str">
        <f>"－"</f>
        <v>－</v>
      </c>
    </row>
    <row r="400">
      <c r="A400" s="8" t="s">
        <v>41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42</v>
      </c>
      <c r="B401" s="9" t="s">
        <v>74</v>
      </c>
      <c r="C401" s="9" t="s">
        <v>75</v>
      </c>
      <c r="D401" s="10"/>
      <c r="E401" s="2" t="n">
        <f>6</f>
        <v>6.0</v>
      </c>
      <c r="F401" s="10"/>
      <c r="G401" s="2" t="n">
        <f>12131500</f>
        <v>1.21315E7</v>
      </c>
      <c r="H401" s="10"/>
      <c r="I401" s="2" t="str">
        <f>"－"</f>
        <v>－</v>
      </c>
      <c r="J401" s="10"/>
      <c r="K401" s="2" t="n">
        <f>5</f>
        <v>5.0</v>
      </c>
    </row>
    <row r="402">
      <c r="A402" s="8" t="s">
        <v>43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n">
        <f>4</f>
        <v>4.0</v>
      </c>
    </row>
    <row r="403">
      <c r="A403" s="8" t="s">
        <v>45</v>
      </c>
      <c r="B403" s="9" t="s">
        <v>74</v>
      </c>
      <c r="C403" s="9" t="s">
        <v>75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46</v>
      </c>
      <c r="B404" s="9" t="s">
        <v>74</v>
      </c>
      <c r="C404" s="9" t="s">
        <v>75</v>
      </c>
      <c r="D404" s="10"/>
      <c r="E404" s="2"/>
      <c r="F404" s="10"/>
      <c r="G404" s="2"/>
      <c r="H404" s="10"/>
      <c r="I404" s="2"/>
      <c r="J404" s="10"/>
      <c r="K404" s="2"/>
    </row>
    <row r="405">
      <c r="A405" s="8" t="s">
        <v>47</v>
      </c>
      <c r="B405" s="9" t="s">
        <v>74</v>
      </c>
      <c r="C405" s="9" t="s">
        <v>75</v>
      </c>
      <c r="D405" s="10"/>
      <c r="E405" s="2" t="n">
        <f>4</f>
        <v>4.0</v>
      </c>
      <c r="F405" s="10"/>
      <c r="G405" s="2" t="n">
        <f>8032000</f>
        <v>8032000.0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/>
      <c r="F408" s="10"/>
      <c r="G408" s="2"/>
      <c r="H408" s="10"/>
      <c r="I408" s="2"/>
      <c r="J408" s="10"/>
      <c r="K408" s="2"/>
    </row>
    <row r="409">
      <c r="A409" s="8" t="s">
        <v>16</v>
      </c>
      <c r="B409" s="9" t="s">
        <v>76</v>
      </c>
      <c r="C409" s="9" t="s">
        <v>77</v>
      </c>
      <c r="D409" s="10" t="s">
        <v>67</v>
      </c>
      <c r="E409" s="2" t="str">
        <f>"－"</f>
        <v>－</v>
      </c>
      <c r="F409" s="10" t="s">
        <v>67</v>
      </c>
      <c r="G409" s="2" t="str">
        <f>"－"</f>
        <v>－</v>
      </c>
      <c r="H409" s="10" t="s">
        <v>67</v>
      </c>
      <c r="I409" s="2" t="str">
        <f>"－"</f>
        <v>－</v>
      </c>
      <c r="J409" s="10" t="s">
        <v>67</v>
      </c>
      <c r="K409" s="2" t="n">
        <f>30320</f>
        <v>30320.0</v>
      </c>
    </row>
    <row r="410">
      <c r="A410" s="8" t="s">
        <v>19</v>
      </c>
      <c r="B410" s="9" t="s">
        <v>76</v>
      </c>
      <c r="C410" s="9" t="s">
        <v>77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30320</f>
        <v>30320.0</v>
      </c>
    </row>
    <row r="411">
      <c r="A411" s="8" t="s">
        <v>20</v>
      </c>
      <c r="B411" s="9" t="s">
        <v>76</v>
      </c>
      <c r="C411" s="9" t="s">
        <v>77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30320</f>
        <v>30320.0</v>
      </c>
    </row>
    <row r="412">
      <c r="A412" s="8" t="s">
        <v>21</v>
      </c>
      <c r="B412" s="9" t="s">
        <v>76</v>
      </c>
      <c r="C412" s="9" t="s">
        <v>77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n">
        <f>30320</f>
        <v>30320.0</v>
      </c>
    </row>
    <row r="413">
      <c r="A413" s="8" t="s">
        <v>22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23</v>
      </c>
      <c r="B414" s="9" t="s">
        <v>76</v>
      </c>
      <c r="C414" s="9" t="s">
        <v>77</v>
      </c>
      <c r="D414" s="10"/>
      <c r="E414" s="2"/>
      <c r="F414" s="10"/>
      <c r="G414" s="2"/>
      <c r="H414" s="10"/>
      <c r="I414" s="2"/>
      <c r="J414" s="10"/>
      <c r="K414" s="2"/>
    </row>
    <row r="415">
      <c r="A415" s="8" t="s">
        <v>24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30320</f>
        <v>30320.0</v>
      </c>
    </row>
    <row r="416">
      <c r="A416" s="8" t="s">
        <v>25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30320</f>
        <v>30320.0</v>
      </c>
    </row>
    <row r="417">
      <c r="A417" s="8" t="s">
        <v>27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30320</f>
        <v>30320.0</v>
      </c>
    </row>
    <row r="418">
      <c r="A418" s="8" t="s">
        <v>28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30320</f>
        <v>30320.0</v>
      </c>
    </row>
    <row r="419">
      <c r="A419" s="8" t="s">
        <v>29</v>
      </c>
      <c r="B419" s="9" t="s">
        <v>76</v>
      </c>
      <c r="C419" s="9" t="s">
        <v>77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n">
        <f>30320</f>
        <v>30320.0</v>
      </c>
    </row>
    <row r="420">
      <c r="A420" s="8" t="s">
        <v>30</v>
      </c>
      <c r="B420" s="9" t="s">
        <v>76</v>
      </c>
      <c r="C420" s="9" t="s">
        <v>77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31</v>
      </c>
      <c r="B421" s="9" t="s">
        <v>76</v>
      </c>
      <c r="C421" s="9" t="s">
        <v>77</v>
      </c>
      <c r="D421" s="10"/>
      <c r="E421" s="2"/>
      <c r="F421" s="10"/>
      <c r="G421" s="2"/>
      <c r="H421" s="10"/>
      <c r="I421" s="2"/>
      <c r="J421" s="10"/>
      <c r="K421" s="2"/>
    </row>
    <row r="422">
      <c r="A422" s="8" t="s">
        <v>32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30320</f>
        <v>30320.0</v>
      </c>
    </row>
    <row r="423">
      <c r="A423" s="8" t="s">
        <v>33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30320</f>
        <v>30320.0</v>
      </c>
    </row>
    <row r="424">
      <c r="A424" s="8" t="s">
        <v>34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30320</f>
        <v>30320.0</v>
      </c>
    </row>
    <row r="425">
      <c r="A425" s="8" t="s">
        <v>35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30320</f>
        <v>30320.0</v>
      </c>
    </row>
    <row r="426">
      <c r="A426" s="8" t="s">
        <v>36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n">
        <f>30320</f>
        <v>30320.0</v>
      </c>
    </row>
    <row r="427">
      <c r="A427" s="8" t="s">
        <v>37</v>
      </c>
      <c r="B427" s="9" t="s">
        <v>76</v>
      </c>
      <c r="C427" s="9" t="s">
        <v>77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38</v>
      </c>
      <c r="B428" s="9" t="s">
        <v>76</v>
      </c>
      <c r="C428" s="9" t="s">
        <v>77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39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n">
        <f>30320</f>
        <v>30320.0</v>
      </c>
    </row>
    <row r="430">
      <c r="A430" s="8" t="s">
        <v>40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n">
        <f>30320</f>
        <v>30320.0</v>
      </c>
    </row>
    <row r="431">
      <c r="A431" s="8" t="s">
        <v>41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30320</f>
        <v>30320.0</v>
      </c>
    </row>
    <row r="432">
      <c r="A432" s="8" t="s">
        <v>42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30320</f>
        <v>30320.0</v>
      </c>
    </row>
    <row r="433">
      <c r="A433" s="8" t="s">
        <v>43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n">
        <f>30320</f>
        <v>30320.0</v>
      </c>
    </row>
    <row r="434">
      <c r="A434" s="8" t="s">
        <v>45</v>
      </c>
      <c r="B434" s="9" t="s">
        <v>76</v>
      </c>
      <c r="C434" s="9" t="s">
        <v>77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46</v>
      </c>
      <c r="B435" s="9" t="s">
        <v>76</v>
      </c>
      <c r="C435" s="9" t="s">
        <v>77</v>
      </c>
      <c r="D435" s="10"/>
      <c r="E435" s="2"/>
      <c r="F435" s="10"/>
      <c r="G435" s="2"/>
      <c r="H435" s="10"/>
      <c r="I435" s="2"/>
      <c r="J435" s="10"/>
      <c r="K435" s="2"/>
    </row>
    <row r="436">
      <c r="A436" s="8" t="s">
        <v>47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n">
        <f>30320</f>
        <v>30320.0</v>
      </c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n">
        <f>30320</f>
        <v>30320.0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30320</f>
        <v>30320.0</v>
      </c>
    </row>
    <row r="439">
      <c r="A439" s="8" t="s">
        <v>50</v>
      </c>
      <c r="B439" s="9" t="s">
        <v>76</v>
      </c>
      <c r="C439" s="9" t="s">
        <v>77</v>
      </c>
      <c r="D439" s="10"/>
      <c r="E439" s="2"/>
      <c r="F439" s="10"/>
      <c r="G439" s="2"/>
      <c r="H439" s="10"/>
      <c r="I439" s="2"/>
      <c r="J439" s="10"/>
      <c r="K439" s="2"/>
    </row>
    <row r="440">
      <c r="A440" s="8" t="s">
        <v>16</v>
      </c>
      <c r="B440" s="9" t="s">
        <v>78</v>
      </c>
      <c r="C440" s="9" t="s">
        <v>79</v>
      </c>
      <c r="D440" s="10" t="s">
        <v>67</v>
      </c>
      <c r="E440" s="2" t="str">
        <f>"－"</f>
        <v>－</v>
      </c>
      <c r="F440" s="10" t="s">
        <v>67</v>
      </c>
      <c r="G440" s="2" t="str">
        <f>"－"</f>
        <v>－</v>
      </c>
      <c r="H440" s="10" t="s">
        <v>67</v>
      </c>
      <c r="I440" s="2" t="str">
        <f>"－"</f>
        <v>－</v>
      </c>
      <c r="J440" s="10" t="s">
        <v>67</v>
      </c>
      <c r="K440" s="2" t="str">
        <f>"－"</f>
        <v>－</v>
      </c>
    </row>
    <row r="441">
      <c r="A441" s="8" t="s">
        <v>19</v>
      </c>
      <c r="B441" s="9" t="s">
        <v>78</v>
      </c>
      <c r="C441" s="9" t="s">
        <v>79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20</v>
      </c>
      <c r="B442" s="9" t="s">
        <v>78</v>
      </c>
      <c r="C442" s="9" t="s">
        <v>79</v>
      </c>
      <c r="D442" s="10"/>
      <c r="E442" s="2" t="str">
        <f>"－"</f>
        <v>－</v>
      </c>
      <c r="F442" s="10"/>
      <c r="G442" s="2" t="str">
        <f>"－"</f>
        <v>－</v>
      </c>
      <c r="H442" s="10"/>
      <c r="I442" s="2" t="str">
        <f>"－"</f>
        <v>－</v>
      </c>
      <c r="J442" s="10"/>
      <c r="K442" s="2" t="str">
        <f>"－"</f>
        <v>－</v>
      </c>
    </row>
    <row r="443">
      <c r="A443" s="8" t="s">
        <v>21</v>
      </c>
      <c r="B443" s="9" t="s">
        <v>78</v>
      </c>
      <c r="C443" s="9" t="s">
        <v>79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 t="str">
        <f>"－"</f>
        <v>－</v>
      </c>
    </row>
    <row r="444">
      <c r="A444" s="8" t="s">
        <v>22</v>
      </c>
      <c r="B444" s="9" t="s">
        <v>78</v>
      </c>
      <c r="C444" s="9" t="s">
        <v>79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23</v>
      </c>
      <c r="B445" s="9" t="s">
        <v>78</v>
      </c>
      <c r="C445" s="9" t="s">
        <v>79</v>
      </c>
      <c r="D445" s="10"/>
      <c r="E445" s="2"/>
      <c r="F445" s="10"/>
      <c r="G445" s="2"/>
      <c r="H445" s="10"/>
      <c r="I445" s="2"/>
      <c r="J445" s="10"/>
      <c r="K445" s="2"/>
    </row>
    <row r="446">
      <c r="A446" s="8" t="s">
        <v>24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25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27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28</v>
      </c>
      <c r="B449" s="9" t="s">
        <v>78</v>
      </c>
      <c r="C449" s="9" t="s">
        <v>79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str">
        <f>"－"</f>
        <v>－</v>
      </c>
    </row>
    <row r="450">
      <c r="A450" s="8" t="s">
        <v>29</v>
      </c>
      <c r="B450" s="9" t="s">
        <v>78</v>
      </c>
      <c r="C450" s="9" t="s">
        <v>79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str">
        <f>"－"</f>
        <v>－</v>
      </c>
    </row>
    <row r="451">
      <c r="A451" s="8" t="s">
        <v>30</v>
      </c>
      <c r="B451" s="9" t="s">
        <v>78</v>
      </c>
      <c r="C451" s="9" t="s">
        <v>79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31</v>
      </c>
      <c r="B452" s="9" t="s">
        <v>78</v>
      </c>
      <c r="C452" s="9" t="s">
        <v>79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32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33</v>
      </c>
      <c r="B454" s="9" t="s">
        <v>78</v>
      </c>
      <c r="C454" s="9" t="s">
        <v>79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34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35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str">
        <f>"－"</f>
        <v>－</v>
      </c>
    </row>
    <row r="457">
      <c r="A457" s="8" t="s">
        <v>36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str">
        <f>"－"</f>
        <v>－</v>
      </c>
    </row>
    <row r="458">
      <c r="A458" s="8" t="s">
        <v>37</v>
      </c>
      <c r="B458" s="9" t="s">
        <v>78</v>
      </c>
      <c r="C458" s="9" t="s">
        <v>79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38</v>
      </c>
      <c r="B459" s="9" t="s">
        <v>78</v>
      </c>
      <c r="C459" s="9" t="s">
        <v>79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39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40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41</v>
      </c>
      <c r="B462" s="9" t="s">
        <v>78</v>
      </c>
      <c r="C462" s="9" t="s">
        <v>79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str">
        <f>"－"</f>
        <v>－</v>
      </c>
    </row>
    <row r="463">
      <c r="A463" s="8" t="s">
        <v>42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str">
        <f>"－"</f>
        <v>－</v>
      </c>
    </row>
    <row r="464">
      <c r="A464" s="8" t="s">
        <v>43</v>
      </c>
      <c r="B464" s="9" t="s">
        <v>78</v>
      </c>
      <c r="C464" s="9" t="s">
        <v>79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str">
        <f>"－"</f>
        <v>－</v>
      </c>
    </row>
    <row r="465">
      <c r="A465" s="8" t="s">
        <v>45</v>
      </c>
      <c r="B465" s="9" t="s">
        <v>78</v>
      </c>
      <c r="C465" s="9" t="s">
        <v>79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46</v>
      </c>
      <c r="B466" s="9" t="s">
        <v>78</v>
      </c>
      <c r="C466" s="9" t="s">
        <v>79</v>
      </c>
      <c r="D466" s="10"/>
      <c r="E466" s="2"/>
      <c r="F466" s="10"/>
      <c r="G466" s="2"/>
      <c r="H466" s="10"/>
      <c r="I466" s="2"/>
      <c r="J466" s="10"/>
      <c r="K466" s="2"/>
    </row>
    <row r="467">
      <c r="A467" s="8" t="s">
        <v>47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2"/>
      <c r="F470" s="10"/>
      <c r="G470" s="2"/>
      <c r="H470" s="10"/>
      <c r="I470" s="2"/>
      <c r="J470" s="10"/>
      <c r="K470" s="2"/>
    </row>
    <row r="471">
      <c r="A471" s="8" t="s">
        <v>16</v>
      </c>
      <c r="B471" s="9" t="s">
        <v>80</v>
      </c>
      <c r="C471" s="9" t="s">
        <v>81</v>
      </c>
      <c r="D471" s="10" t="s">
        <v>67</v>
      </c>
      <c r="E471" s="2" t="str">
        <f>"－"</f>
        <v>－</v>
      </c>
      <c r="F471" s="10" t="s">
        <v>67</v>
      </c>
      <c r="G471" s="2" t="str">
        <f>"－"</f>
        <v>－</v>
      </c>
      <c r="H471" s="10" t="s">
        <v>67</v>
      </c>
      <c r="I471" s="2" t="str">
        <f>"－"</f>
        <v>－</v>
      </c>
      <c r="J471" s="10" t="s">
        <v>67</v>
      </c>
      <c r="K471" s="2" t="str">
        <f>"－"</f>
        <v>－</v>
      </c>
    </row>
    <row r="472">
      <c r="A472" s="8" t="s">
        <v>19</v>
      </c>
      <c r="B472" s="9" t="s">
        <v>80</v>
      </c>
      <c r="C472" s="9" t="s">
        <v>81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20</v>
      </c>
      <c r="B473" s="9" t="s">
        <v>80</v>
      </c>
      <c r="C473" s="9" t="s">
        <v>81</v>
      </c>
      <c r="D473" s="10"/>
      <c r="E473" s="2" t="str">
        <f>"－"</f>
        <v>－</v>
      </c>
      <c r="F473" s="10"/>
      <c r="G473" s="2" t="str">
        <f>"－"</f>
        <v>－</v>
      </c>
      <c r="H473" s="10"/>
      <c r="I473" s="2" t="str">
        <f>"－"</f>
        <v>－</v>
      </c>
      <c r="J473" s="10"/>
      <c r="K473" s="2" t="str">
        <f>"－"</f>
        <v>－</v>
      </c>
    </row>
    <row r="474">
      <c r="A474" s="8" t="s">
        <v>21</v>
      </c>
      <c r="B474" s="9" t="s">
        <v>80</v>
      </c>
      <c r="C474" s="9" t="s">
        <v>81</v>
      </c>
      <c r="D474" s="10"/>
      <c r="E474" s="2" t="str">
        <f>"－"</f>
        <v>－</v>
      </c>
      <c r="F474" s="10"/>
      <c r="G474" s="2" t="str">
        <f>"－"</f>
        <v>－</v>
      </c>
      <c r="H474" s="10"/>
      <c r="I474" s="2" t="str">
        <f>"－"</f>
        <v>－</v>
      </c>
      <c r="J474" s="10"/>
      <c r="K474" s="2" t="str">
        <f>"－"</f>
        <v>－</v>
      </c>
    </row>
    <row r="475">
      <c r="A475" s="8" t="s">
        <v>22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23</v>
      </c>
      <c r="B476" s="9" t="s">
        <v>80</v>
      </c>
      <c r="C476" s="9" t="s">
        <v>81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24</v>
      </c>
      <c r="B477" s="9" t="s">
        <v>80</v>
      </c>
      <c r="C477" s="9" t="s">
        <v>81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25</v>
      </c>
      <c r="B478" s="9" t="s">
        <v>80</v>
      </c>
      <c r="C478" s="9" t="s">
        <v>81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27</v>
      </c>
      <c r="B479" s="9" t="s">
        <v>80</v>
      </c>
      <c r="C479" s="9" t="s">
        <v>81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28</v>
      </c>
      <c r="B480" s="9" t="s">
        <v>80</v>
      </c>
      <c r="C480" s="9" t="s">
        <v>81</v>
      </c>
      <c r="D480" s="10"/>
      <c r="E480" s="2" t="str">
        <f>"－"</f>
        <v>－</v>
      </c>
      <c r="F480" s="10"/>
      <c r="G480" s="2" t="str">
        <f>"－"</f>
        <v>－</v>
      </c>
      <c r="H480" s="10"/>
      <c r="I480" s="2" t="str">
        <f>"－"</f>
        <v>－</v>
      </c>
      <c r="J480" s="10"/>
      <c r="K480" s="2" t="str">
        <f>"－"</f>
        <v>－</v>
      </c>
    </row>
    <row r="481">
      <c r="A481" s="8" t="s">
        <v>29</v>
      </c>
      <c r="B481" s="9" t="s">
        <v>80</v>
      </c>
      <c r="C481" s="9" t="s">
        <v>81</v>
      </c>
      <c r="D481" s="10"/>
      <c r="E481" s="2" t="str">
        <f>"－"</f>
        <v>－</v>
      </c>
      <c r="F481" s="10"/>
      <c r="G481" s="2" t="str">
        <f>"－"</f>
        <v>－</v>
      </c>
      <c r="H481" s="10"/>
      <c r="I481" s="2" t="str">
        <f>"－"</f>
        <v>－</v>
      </c>
      <c r="J481" s="10"/>
      <c r="K481" s="2" t="str">
        <f>"－"</f>
        <v>－</v>
      </c>
    </row>
    <row r="482">
      <c r="A482" s="8" t="s">
        <v>30</v>
      </c>
      <c r="B482" s="9" t="s">
        <v>80</v>
      </c>
      <c r="C482" s="9" t="s">
        <v>81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31</v>
      </c>
      <c r="B483" s="9" t="s">
        <v>80</v>
      </c>
      <c r="C483" s="9" t="s">
        <v>81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32</v>
      </c>
      <c r="B484" s="9" t="s">
        <v>80</v>
      </c>
      <c r="C484" s="9" t="s">
        <v>81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33</v>
      </c>
      <c r="B485" s="9" t="s">
        <v>80</v>
      </c>
      <c r="C485" s="9" t="s">
        <v>81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34</v>
      </c>
      <c r="B486" s="9" t="s">
        <v>80</v>
      </c>
      <c r="C486" s="9" t="s">
        <v>81</v>
      </c>
      <c r="D486" s="10"/>
      <c r="E486" s="2" t="str">
        <f>"－"</f>
        <v>－</v>
      </c>
      <c r="F486" s="10"/>
      <c r="G486" s="2" t="str">
        <f>"－"</f>
        <v>－</v>
      </c>
      <c r="H486" s="10"/>
      <c r="I486" s="2" t="str">
        <f>"－"</f>
        <v>－</v>
      </c>
      <c r="J486" s="10"/>
      <c r="K486" s="2" t="str">
        <f>"－"</f>
        <v>－</v>
      </c>
    </row>
    <row r="487">
      <c r="A487" s="8" t="s">
        <v>35</v>
      </c>
      <c r="B487" s="9" t="s">
        <v>80</v>
      </c>
      <c r="C487" s="9" t="s">
        <v>81</v>
      </c>
      <c r="D487" s="10"/>
      <c r="E487" s="2" t="str">
        <f>"－"</f>
        <v>－</v>
      </c>
      <c r="F487" s="10"/>
      <c r="G487" s="2" t="str">
        <f>"－"</f>
        <v>－</v>
      </c>
      <c r="H487" s="10"/>
      <c r="I487" s="2" t="str">
        <f>"－"</f>
        <v>－</v>
      </c>
      <c r="J487" s="10"/>
      <c r="K487" s="2" t="str">
        <f>"－"</f>
        <v>－</v>
      </c>
    </row>
    <row r="488">
      <c r="A488" s="8" t="s">
        <v>36</v>
      </c>
      <c r="B488" s="9" t="s">
        <v>80</v>
      </c>
      <c r="C488" s="9" t="s">
        <v>81</v>
      </c>
      <c r="D488" s="10"/>
      <c r="E488" s="2" t="str">
        <f>"－"</f>
        <v>－</v>
      </c>
      <c r="F488" s="10"/>
      <c r="G488" s="2" t="str">
        <f>"－"</f>
        <v>－</v>
      </c>
      <c r="H488" s="10"/>
      <c r="I488" s="2" t="str">
        <f>"－"</f>
        <v>－</v>
      </c>
      <c r="J488" s="10"/>
      <c r="K488" s="2" t="str">
        <f>"－"</f>
        <v>－</v>
      </c>
    </row>
    <row r="489">
      <c r="A489" s="8" t="s">
        <v>37</v>
      </c>
      <c r="B489" s="9" t="s">
        <v>80</v>
      </c>
      <c r="C489" s="9" t="s">
        <v>81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38</v>
      </c>
      <c r="B490" s="9" t="s">
        <v>80</v>
      </c>
      <c r="C490" s="9" t="s">
        <v>81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39</v>
      </c>
      <c r="B491" s="9" t="s">
        <v>80</v>
      </c>
      <c r="C491" s="9" t="s">
        <v>81</v>
      </c>
      <c r="D491" s="10"/>
      <c r="E491" s="2" t="str">
        <f>"－"</f>
        <v>－</v>
      </c>
      <c r="F491" s="10"/>
      <c r="G491" s="2" t="str">
        <f>"－"</f>
        <v>－</v>
      </c>
      <c r="H491" s="10"/>
      <c r="I491" s="2" t="str">
        <f>"－"</f>
        <v>－</v>
      </c>
      <c r="J491" s="10"/>
      <c r="K491" s="2" t="str">
        <f>"－"</f>
        <v>－</v>
      </c>
    </row>
    <row r="492">
      <c r="A492" s="8" t="s">
        <v>40</v>
      </c>
      <c r="B492" s="9" t="s">
        <v>80</v>
      </c>
      <c r="C492" s="9" t="s">
        <v>81</v>
      </c>
      <c r="D492" s="10"/>
      <c r="E492" s="2" t="str">
        <f>"－"</f>
        <v>－</v>
      </c>
      <c r="F492" s="10"/>
      <c r="G492" s="2" t="str">
        <f>"－"</f>
        <v>－</v>
      </c>
      <c r="H492" s="10"/>
      <c r="I492" s="2" t="str">
        <f>"－"</f>
        <v>－</v>
      </c>
      <c r="J492" s="10"/>
      <c r="K492" s="2" t="str">
        <f>"－"</f>
        <v>－</v>
      </c>
    </row>
    <row r="493">
      <c r="A493" s="8" t="s">
        <v>41</v>
      </c>
      <c r="B493" s="9" t="s">
        <v>80</v>
      </c>
      <c r="C493" s="9" t="s">
        <v>81</v>
      </c>
      <c r="D493" s="10"/>
      <c r="E493" s="2" t="str">
        <f>"－"</f>
        <v>－</v>
      </c>
      <c r="F493" s="10"/>
      <c r="G493" s="2" t="str">
        <f>"－"</f>
        <v>－</v>
      </c>
      <c r="H493" s="10"/>
      <c r="I493" s="2" t="str">
        <f>"－"</f>
        <v>－</v>
      </c>
      <c r="J493" s="10"/>
      <c r="K493" s="2" t="str">
        <f>"－"</f>
        <v>－</v>
      </c>
    </row>
    <row r="494">
      <c r="A494" s="8" t="s">
        <v>42</v>
      </c>
      <c r="B494" s="9" t="s">
        <v>80</v>
      </c>
      <c r="C494" s="9" t="s">
        <v>81</v>
      </c>
      <c r="D494" s="10"/>
      <c r="E494" s="2" t="str">
        <f>"－"</f>
        <v>－</v>
      </c>
      <c r="F494" s="10"/>
      <c r="G494" s="2" t="str">
        <f>"－"</f>
        <v>－</v>
      </c>
      <c r="H494" s="10"/>
      <c r="I494" s="2" t="str">
        <f>"－"</f>
        <v>－</v>
      </c>
      <c r="J494" s="10"/>
      <c r="K494" s="2" t="str">
        <f>"－"</f>
        <v>－</v>
      </c>
    </row>
    <row r="495">
      <c r="A495" s="8" t="s">
        <v>43</v>
      </c>
      <c r="B495" s="9" t="s">
        <v>80</v>
      </c>
      <c r="C495" s="9" t="s">
        <v>81</v>
      </c>
      <c r="D495" s="10"/>
      <c r="E495" s="2" t="str">
        <f>"－"</f>
        <v>－</v>
      </c>
      <c r="F495" s="10"/>
      <c r="G495" s="2" t="str">
        <f>"－"</f>
        <v>－</v>
      </c>
      <c r="H495" s="10"/>
      <c r="I495" s="2" t="str">
        <f>"－"</f>
        <v>－</v>
      </c>
      <c r="J495" s="10"/>
      <c r="K495" s="2" t="str">
        <f>"－"</f>
        <v>－</v>
      </c>
    </row>
    <row r="496">
      <c r="A496" s="8" t="s">
        <v>45</v>
      </c>
      <c r="B496" s="9" t="s">
        <v>80</v>
      </c>
      <c r="C496" s="9" t="s">
        <v>81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46</v>
      </c>
      <c r="B497" s="9" t="s">
        <v>80</v>
      </c>
      <c r="C497" s="9" t="s">
        <v>81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47</v>
      </c>
      <c r="B498" s="9" t="s">
        <v>80</v>
      </c>
      <c r="C498" s="9" t="s">
        <v>81</v>
      </c>
      <c r="D498" s="10"/>
      <c r="E498" s="2" t="str">
        <f>"－"</f>
        <v>－</v>
      </c>
      <c r="F498" s="10"/>
      <c r="G498" s="2" t="str">
        <f>"－"</f>
        <v>－</v>
      </c>
      <c r="H498" s="10"/>
      <c r="I498" s="2" t="str">
        <f>"－"</f>
        <v>－</v>
      </c>
      <c r="J498" s="10"/>
      <c r="K498" s="2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2" t="str">
        <f>"－"</f>
        <v>－</v>
      </c>
      <c r="F499" s="10"/>
      <c r="G499" s="2" t="str">
        <f>"－"</f>
        <v>－</v>
      </c>
      <c r="H499" s="10"/>
      <c r="I499" s="2" t="str">
        <f>"－"</f>
        <v>－</v>
      </c>
      <c r="J499" s="10"/>
      <c r="K499" s="2" t="str">
        <f>"－"</f>
        <v>－</v>
      </c>
    </row>
    <row r="500">
      <c r="A500" s="8" t="s">
        <v>49</v>
      </c>
      <c r="B500" s="9" t="s">
        <v>80</v>
      </c>
      <c r="C500" s="9" t="s">
        <v>81</v>
      </c>
      <c r="D500" s="10"/>
      <c r="E500" s="2" t="str">
        <f>"－"</f>
        <v>－</v>
      </c>
      <c r="F500" s="10"/>
      <c r="G500" s="2" t="str">
        <f>"－"</f>
        <v>－</v>
      </c>
      <c r="H500" s="10"/>
      <c r="I500" s="2" t="str">
        <f>"－"</f>
        <v>－</v>
      </c>
      <c r="J500" s="10"/>
      <c r="K500" s="2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2"/>
      <c r="F501" s="10"/>
      <c r="G501" s="2"/>
      <c r="H501" s="10"/>
      <c r="I501" s="2"/>
      <c r="J501" s="10"/>
      <c r="K501" s="2"/>
    </row>
    <row r="502">
      <c r="A502" s="8" t="s">
        <v>16</v>
      </c>
      <c r="B502" s="9" t="s">
        <v>82</v>
      </c>
      <c r="C502" s="9" t="s">
        <v>83</v>
      </c>
      <c r="D502" s="10" t="s">
        <v>44</v>
      </c>
      <c r="E502" s="2" t="n">
        <f>12</f>
        <v>12.0</v>
      </c>
      <c r="F502" s="10" t="s">
        <v>44</v>
      </c>
      <c r="G502" s="2" t="n">
        <f>2657000</f>
        <v>2657000.0</v>
      </c>
      <c r="H502" s="10" t="s">
        <v>67</v>
      </c>
      <c r="I502" s="2" t="str">
        <f>"－"</f>
        <v>－</v>
      </c>
      <c r="J502" s="10"/>
      <c r="K502" s="2" t="n">
        <f>970</f>
        <v>970.0</v>
      </c>
    </row>
    <row r="503">
      <c r="A503" s="8" t="s">
        <v>19</v>
      </c>
      <c r="B503" s="9" t="s">
        <v>82</v>
      </c>
      <c r="C503" s="9" t="s">
        <v>83</v>
      </c>
      <c r="D503" s="10"/>
      <c r="E503" s="2" t="n">
        <f>43</f>
        <v>43.0</v>
      </c>
      <c r="F503" s="10"/>
      <c r="G503" s="2" t="n">
        <f>9691500</f>
        <v>9691500.0</v>
      </c>
      <c r="H503" s="10"/>
      <c r="I503" s="2" t="str">
        <f>"－"</f>
        <v>－</v>
      </c>
      <c r="J503" s="10"/>
      <c r="K503" s="2" t="n">
        <f>1008</f>
        <v>1008.0</v>
      </c>
    </row>
    <row r="504">
      <c r="A504" s="8" t="s">
        <v>20</v>
      </c>
      <c r="B504" s="9" t="s">
        <v>82</v>
      </c>
      <c r="C504" s="9" t="s">
        <v>83</v>
      </c>
      <c r="D504" s="10"/>
      <c r="E504" s="2" t="n">
        <f>29</f>
        <v>29.0</v>
      </c>
      <c r="F504" s="10"/>
      <c r="G504" s="2" t="n">
        <f>6360500</f>
        <v>6360500.0</v>
      </c>
      <c r="H504" s="10"/>
      <c r="I504" s="2" t="str">
        <f>"－"</f>
        <v>－</v>
      </c>
      <c r="J504" s="10"/>
      <c r="K504" s="2" t="n">
        <f>1028</f>
        <v>1028.0</v>
      </c>
    </row>
    <row r="505">
      <c r="A505" s="8" t="s">
        <v>21</v>
      </c>
      <c r="B505" s="9" t="s">
        <v>82</v>
      </c>
      <c r="C505" s="9" t="s">
        <v>83</v>
      </c>
      <c r="D505" s="10"/>
      <c r="E505" s="2" t="n">
        <f>139</f>
        <v>139.0</v>
      </c>
      <c r="F505" s="10"/>
      <c r="G505" s="2" t="n">
        <f>28936000</f>
        <v>2.8936E7</v>
      </c>
      <c r="H505" s="10"/>
      <c r="I505" s="2" t="str">
        <f>"－"</f>
        <v>－</v>
      </c>
      <c r="J505" s="10"/>
      <c r="K505" s="2" t="n">
        <f>1139</f>
        <v>1139.0</v>
      </c>
    </row>
    <row r="506">
      <c r="A506" s="8" t="s">
        <v>22</v>
      </c>
      <c r="B506" s="9" t="s">
        <v>82</v>
      </c>
      <c r="C506" s="9" t="s">
        <v>83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23</v>
      </c>
      <c r="B507" s="9" t="s">
        <v>82</v>
      </c>
      <c r="C507" s="9" t="s">
        <v>83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24</v>
      </c>
      <c r="B508" s="9" t="s">
        <v>82</v>
      </c>
      <c r="C508" s="9" t="s">
        <v>83</v>
      </c>
      <c r="D508" s="10"/>
      <c r="E508" s="2" t="n">
        <f>80</f>
        <v>80.0</v>
      </c>
      <c r="F508" s="10"/>
      <c r="G508" s="2" t="n">
        <f>16808000</f>
        <v>1.6808E7</v>
      </c>
      <c r="H508" s="10"/>
      <c r="I508" s="2" t="str">
        <f>"－"</f>
        <v>－</v>
      </c>
      <c r="J508" s="10" t="s">
        <v>26</v>
      </c>
      <c r="K508" s="2" t="n">
        <f>1189</f>
        <v>1189.0</v>
      </c>
    </row>
    <row r="509">
      <c r="A509" s="8" t="s">
        <v>25</v>
      </c>
      <c r="B509" s="9" t="s">
        <v>82</v>
      </c>
      <c r="C509" s="9" t="s">
        <v>83</v>
      </c>
      <c r="D509" s="10"/>
      <c r="E509" s="2" t="n">
        <f>21</f>
        <v>21.0</v>
      </c>
      <c r="F509" s="10"/>
      <c r="G509" s="2" t="n">
        <f>4301000</f>
        <v>4301000.0</v>
      </c>
      <c r="H509" s="10"/>
      <c r="I509" s="2" t="str">
        <f>"－"</f>
        <v>－</v>
      </c>
      <c r="J509" s="10"/>
      <c r="K509" s="2" t="n">
        <f>1186</f>
        <v>1186.0</v>
      </c>
    </row>
    <row r="510">
      <c r="A510" s="8" t="s">
        <v>27</v>
      </c>
      <c r="B510" s="9" t="s">
        <v>82</v>
      </c>
      <c r="C510" s="9" t="s">
        <v>83</v>
      </c>
      <c r="D510" s="10"/>
      <c r="E510" s="2" t="n">
        <f>107</f>
        <v>107.0</v>
      </c>
      <c r="F510" s="10"/>
      <c r="G510" s="2" t="n">
        <f>22119500</f>
        <v>2.21195E7</v>
      </c>
      <c r="H510" s="10"/>
      <c r="I510" s="2" t="str">
        <f>"－"</f>
        <v>－</v>
      </c>
      <c r="J510" s="10"/>
      <c r="K510" s="2" t="n">
        <f>1126</f>
        <v>1126.0</v>
      </c>
    </row>
    <row r="511">
      <c r="A511" s="8" t="s">
        <v>28</v>
      </c>
      <c r="B511" s="9" t="s">
        <v>82</v>
      </c>
      <c r="C511" s="9" t="s">
        <v>83</v>
      </c>
      <c r="D511" s="10"/>
      <c r="E511" s="2" t="n">
        <f>97</f>
        <v>97.0</v>
      </c>
      <c r="F511" s="10"/>
      <c r="G511" s="2" t="n">
        <f>20369000</f>
        <v>2.0369E7</v>
      </c>
      <c r="H511" s="10"/>
      <c r="I511" s="2" t="str">
        <f>"－"</f>
        <v>－</v>
      </c>
      <c r="J511" s="10"/>
      <c r="K511" s="2" t="n">
        <f>463</f>
        <v>463.0</v>
      </c>
    </row>
    <row r="512">
      <c r="A512" s="8" t="s">
        <v>29</v>
      </c>
      <c r="B512" s="9" t="s">
        <v>82</v>
      </c>
      <c r="C512" s="9" t="s">
        <v>83</v>
      </c>
      <c r="D512" s="10"/>
      <c r="E512" s="2" t="n">
        <f>113</f>
        <v>113.0</v>
      </c>
      <c r="F512" s="10"/>
      <c r="G512" s="2" t="n">
        <f>23793000</f>
        <v>2.3793E7</v>
      </c>
      <c r="H512" s="10"/>
      <c r="I512" s="2" t="str">
        <f>"－"</f>
        <v>－</v>
      </c>
      <c r="J512" s="10"/>
      <c r="K512" s="2" t="n">
        <f>483</f>
        <v>483.0</v>
      </c>
    </row>
    <row r="513">
      <c r="A513" s="8" t="s">
        <v>30</v>
      </c>
      <c r="B513" s="9" t="s">
        <v>82</v>
      </c>
      <c r="C513" s="9" t="s">
        <v>83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31</v>
      </c>
      <c r="B514" s="9" t="s">
        <v>82</v>
      </c>
      <c r="C514" s="9" t="s">
        <v>83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32</v>
      </c>
      <c r="B515" s="9" t="s">
        <v>82</v>
      </c>
      <c r="C515" s="9" t="s">
        <v>83</v>
      </c>
      <c r="D515" s="10"/>
      <c r="E515" s="2" t="n">
        <f>107</f>
        <v>107.0</v>
      </c>
      <c r="F515" s="10"/>
      <c r="G515" s="2" t="n">
        <f>21879000</f>
        <v>2.1879E7</v>
      </c>
      <c r="H515" s="10"/>
      <c r="I515" s="2" t="str">
        <f>"－"</f>
        <v>－</v>
      </c>
      <c r="J515" s="10" t="s">
        <v>44</v>
      </c>
      <c r="K515" s="2" t="n">
        <f>421</f>
        <v>421.0</v>
      </c>
    </row>
    <row r="516">
      <c r="A516" s="8" t="s">
        <v>33</v>
      </c>
      <c r="B516" s="9" t="s">
        <v>82</v>
      </c>
      <c r="C516" s="9" t="s">
        <v>83</v>
      </c>
      <c r="D516" s="10"/>
      <c r="E516" s="2" t="n">
        <f>190</f>
        <v>190.0</v>
      </c>
      <c r="F516" s="10"/>
      <c r="G516" s="2" t="n">
        <f>38913000</f>
        <v>3.8913E7</v>
      </c>
      <c r="H516" s="10"/>
      <c r="I516" s="2" t="str">
        <f>"－"</f>
        <v>－</v>
      </c>
      <c r="J516" s="10"/>
      <c r="K516" s="2" t="n">
        <f>520</f>
        <v>520.0</v>
      </c>
    </row>
    <row r="517">
      <c r="A517" s="8" t="s">
        <v>34</v>
      </c>
      <c r="B517" s="9" t="s">
        <v>82</v>
      </c>
      <c r="C517" s="9" t="s">
        <v>83</v>
      </c>
      <c r="D517" s="10"/>
      <c r="E517" s="2" t="n">
        <f>61</f>
        <v>61.0</v>
      </c>
      <c r="F517" s="10"/>
      <c r="G517" s="2" t="n">
        <f>12711000</f>
        <v>1.2711E7</v>
      </c>
      <c r="H517" s="10"/>
      <c r="I517" s="2" t="str">
        <f>"－"</f>
        <v>－</v>
      </c>
      <c r="J517" s="10"/>
      <c r="K517" s="2" t="n">
        <f>553</f>
        <v>553.0</v>
      </c>
    </row>
    <row r="518">
      <c r="A518" s="8" t="s">
        <v>35</v>
      </c>
      <c r="B518" s="9" t="s">
        <v>82</v>
      </c>
      <c r="C518" s="9" t="s">
        <v>83</v>
      </c>
      <c r="D518" s="10"/>
      <c r="E518" s="2" t="n">
        <f>159</f>
        <v>159.0</v>
      </c>
      <c r="F518" s="10"/>
      <c r="G518" s="2" t="n">
        <f>31988000</f>
        <v>3.1988E7</v>
      </c>
      <c r="H518" s="10"/>
      <c r="I518" s="2" t="str">
        <f>"－"</f>
        <v>－</v>
      </c>
      <c r="J518" s="10"/>
      <c r="K518" s="2" t="n">
        <f>563</f>
        <v>563.0</v>
      </c>
    </row>
    <row r="519">
      <c r="A519" s="8" t="s">
        <v>36</v>
      </c>
      <c r="B519" s="9" t="s">
        <v>82</v>
      </c>
      <c r="C519" s="9" t="s">
        <v>83</v>
      </c>
      <c r="D519" s="10"/>
      <c r="E519" s="2" t="n">
        <f>163</f>
        <v>163.0</v>
      </c>
      <c r="F519" s="10"/>
      <c r="G519" s="2" t="n">
        <f>32195500</f>
        <v>3.21955E7</v>
      </c>
      <c r="H519" s="10"/>
      <c r="I519" s="2" t="str">
        <f>"－"</f>
        <v>－</v>
      </c>
      <c r="J519" s="10"/>
      <c r="K519" s="2" t="n">
        <f>635</f>
        <v>635.0</v>
      </c>
    </row>
    <row r="520">
      <c r="A520" s="8" t="s">
        <v>37</v>
      </c>
      <c r="B520" s="9" t="s">
        <v>82</v>
      </c>
      <c r="C520" s="9" t="s">
        <v>83</v>
      </c>
      <c r="D520" s="10"/>
      <c r="E520" s="2"/>
      <c r="F520" s="10"/>
      <c r="G520" s="2"/>
      <c r="H520" s="10"/>
      <c r="I520" s="2"/>
      <c r="J520" s="10"/>
      <c r="K520" s="2"/>
    </row>
    <row r="521">
      <c r="A521" s="8" t="s">
        <v>38</v>
      </c>
      <c r="B521" s="9" t="s">
        <v>82</v>
      </c>
      <c r="C521" s="9" t="s">
        <v>83</v>
      </c>
      <c r="D521" s="10"/>
      <c r="E521" s="2"/>
      <c r="F521" s="10"/>
      <c r="G521" s="2"/>
      <c r="H521" s="10"/>
      <c r="I521" s="2"/>
      <c r="J521" s="10"/>
      <c r="K521" s="2"/>
    </row>
    <row r="522">
      <c r="A522" s="8" t="s">
        <v>39</v>
      </c>
      <c r="B522" s="9" t="s">
        <v>82</v>
      </c>
      <c r="C522" s="9" t="s">
        <v>83</v>
      </c>
      <c r="D522" s="10"/>
      <c r="E522" s="2" t="n">
        <f>238</f>
        <v>238.0</v>
      </c>
      <c r="F522" s="10"/>
      <c r="G522" s="2" t="n">
        <f>49255500</f>
        <v>4.92555E7</v>
      </c>
      <c r="H522" s="10"/>
      <c r="I522" s="2" t="str">
        <f>"－"</f>
        <v>－</v>
      </c>
      <c r="J522" s="10"/>
      <c r="K522" s="2" t="n">
        <f>757</f>
        <v>757.0</v>
      </c>
    </row>
    <row r="523">
      <c r="A523" s="8" t="s">
        <v>40</v>
      </c>
      <c r="B523" s="9" t="s">
        <v>82</v>
      </c>
      <c r="C523" s="9" t="s">
        <v>83</v>
      </c>
      <c r="D523" s="10"/>
      <c r="E523" s="2" t="n">
        <f>218</f>
        <v>218.0</v>
      </c>
      <c r="F523" s="10"/>
      <c r="G523" s="2" t="n">
        <f>46102500</f>
        <v>4.61025E7</v>
      </c>
      <c r="H523" s="10"/>
      <c r="I523" s="2" t="str">
        <f>"－"</f>
        <v>－</v>
      </c>
      <c r="J523" s="10"/>
      <c r="K523" s="2" t="n">
        <f>704</f>
        <v>704.0</v>
      </c>
    </row>
    <row r="524">
      <c r="A524" s="8" t="s">
        <v>41</v>
      </c>
      <c r="B524" s="9" t="s">
        <v>82</v>
      </c>
      <c r="C524" s="9" t="s">
        <v>83</v>
      </c>
      <c r="D524" s="10"/>
      <c r="E524" s="2" t="n">
        <f>94</f>
        <v>94.0</v>
      </c>
      <c r="F524" s="10"/>
      <c r="G524" s="2" t="n">
        <f>19767500</f>
        <v>1.97675E7</v>
      </c>
      <c r="H524" s="10"/>
      <c r="I524" s="2" t="str">
        <f>"－"</f>
        <v>－</v>
      </c>
      <c r="J524" s="10"/>
      <c r="K524" s="2" t="n">
        <f>672</f>
        <v>672.0</v>
      </c>
    </row>
    <row r="525">
      <c r="A525" s="8" t="s">
        <v>42</v>
      </c>
      <c r="B525" s="9" t="s">
        <v>82</v>
      </c>
      <c r="C525" s="9" t="s">
        <v>83</v>
      </c>
      <c r="D525" s="10"/>
      <c r="E525" s="2" t="n">
        <f>190</f>
        <v>190.0</v>
      </c>
      <c r="F525" s="10"/>
      <c r="G525" s="2" t="n">
        <f>40065500</f>
        <v>4.00655E7</v>
      </c>
      <c r="H525" s="10"/>
      <c r="I525" s="2" t="str">
        <f>"－"</f>
        <v>－</v>
      </c>
      <c r="J525" s="10"/>
      <c r="K525" s="2" t="n">
        <f>770</f>
        <v>770.0</v>
      </c>
    </row>
    <row r="526">
      <c r="A526" s="8" t="s">
        <v>43</v>
      </c>
      <c r="B526" s="9" t="s">
        <v>82</v>
      </c>
      <c r="C526" s="9" t="s">
        <v>83</v>
      </c>
      <c r="D526" s="10"/>
      <c r="E526" s="2" t="n">
        <f>157</f>
        <v>157.0</v>
      </c>
      <c r="F526" s="10"/>
      <c r="G526" s="2" t="n">
        <f>32189000</f>
        <v>3.2189E7</v>
      </c>
      <c r="H526" s="10"/>
      <c r="I526" s="2" t="str">
        <f>"－"</f>
        <v>－</v>
      </c>
      <c r="J526" s="10"/>
      <c r="K526" s="2" t="n">
        <f>894</f>
        <v>894.0</v>
      </c>
    </row>
    <row r="527">
      <c r="A527" s="8" t="s">
        <v>45</v>
      </c>
      <c r="B527" s="9" t="s">
        <v>82</v>
      </c>
      <c r="C527" s="9" t="s">
        <v>83</v>
      </c>
      <c r="D527" s="10"/>
      <c r="E527" s="2"/>
      <c r="F527" s="10"/>
      <c r="G527" s="2"/>
      <c r="H527" s="10"/>
      <c r="I527" s="2"/>
      <c r="J527" s="10"/>
      <c r="K527" s="2"/>
    </row>
    <row r="528">
      <c r="A528" s="8" t="s">
        <v>46</v>
      </c>
      <c r="B528" s="9" t="s">
        <v>82</v>
      </c>
      <c r="C528" s="9" t="s">
        <v>83</v>
      </c>
      <c r="D528" s="10"/>
      <c r="E528" s="2"/>
      <c r="F528" s="10"/>
      <c r="G528" s="2"/>
      <c r="H528" s="10"/>
      <c r="I528" s="2"/>
      <c r="J528" s="10"/>
      <c r="K528" s="2"/>
    </row>
    <row r="529">
      <c r="A529" s="8" t="s">
        <v>47</v>
      </c>
      <c r="B529" s="9" t="s">
        <v>82</v>
      </c>
      <c r="C529" s="9" t="s">
        <v>83</v>
      </c>
      <c r="D529" s="10"/>
      <c r="E529" s="2" t="n">
        <f>21</f>
        <v>21.0</v>
      </c>
      <c r="F529" s="10"/>
      <c r="G529" s="2" t="n">
        <f>4168000</f>
        <v>4168000.0</v>
      </c>
      <c r="H529" s="10"/>
      <c r="I529" s="2" t="str">
        <f>"－"</f>
        <v>－</v>
      </c>
      <c r="J529" s="10"/>
      <c r="K529" s="2" t="n">
        <f>896</f>
        <v>896.0</v>
      </c>
    </row>
    <row r="530">
      <c r="A530" s="8" t="s">
        <v>48</v>
      </c>
      <c r="B530" s="9" t="s">
        <v>82</v>
      </c>
      <c r="C530" s="9" t="s">
        <v>83</v>
      </c>
      <c r="D530" s="10"/>
      <c r="E530" s="2" t="n">
        <f>193</f>
        <v>193.0</v>
      </c>
      <c r="F530" s="10"/>
      <c r="G530" s="2" t="n">
        <f>38924000</f>
        <v>3.8924E7</v>
      </c>
      <c r="H530" s="10"/>
      <c r="I530" s="2" t="str">
        <f>"－"</f>
        <v>－</v>
      </c>
      <c r="J530" s="10"/>
      <c r="K530" s="2" t="n">
        <f>920</f>
        <v>920.0</v>
      </c>
    </row>
    <row r="531">
      <c r="A531" s="8" t="s">
        <v>49</v>
      </c>
      <c r="B531" s="9" t="s">
        <v>82</v>
      </c>
      <c r="C531" s="9" t="s">
        <v>83</v>
      </c>
      <c r="D531" s="10" t="s">
        <v>26</v>
      </c>
      <c r="E531" s="2" t="n">
        <f>254</f>
        <v>254.0</v>
      </c>
      <c r="F531" s="10" t="s">
        <v>26</v>
      </c>
      <c r="G531" s="2" t="n">
        <f>52096500</f>
        <v>5.20965E7</v>
      </c>
      <c r="H531" s="10"/>
      <c r="I531" s="2" t="str">
        <f>"－"</f>
        <v>－</v>
      </c>
      <c r="J531" s="10"/>
      <c r="K531" s="2" t="n">
        <f>1066</f>
        <v>1066.0</v>
      </c>
    </row>
    <row r="532">
      <c r="A532" s="8" t="s">
        <v>50</v>
      </c>
      <c r="B532" s="9" t="s">
        <v>82</v>
      </c>
      <c r="C532" s="9" t="s">
        <v>83</v>
      </c>
      <c r="D532" s="10"/>
      <c r="E532" s="2"/>
      <c r="F532" s="10"/>
      <c r="G532" s="2"/>
      <c r="H532" s="10"/>
      <c r="I532" s="2"/>
      <c r="J532" s="10"/>
      <c r="K532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