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<sst xmlns="http://schemas.openxmlformats.org/spreadsheetml/2006/main" count="512" uniqueCount="68">
  <si>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</si>
  <si>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</si>
  <si>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</si>
  <si>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</si>
  <si>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</si>
  <si>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</si>
  <si>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</si>
  <si>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</si>
  <si>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</si>
  <si>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</si>
  <si>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</si>
  <si>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</si>
  <si>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</si>
  <si>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</si>
  <si>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</si>
  <si>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</si>
  <si>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</si>
  <si>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</si>
  <si>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</si>
  <si>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</si>
  <si>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</si>
  <si>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</si>
  <si>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</si>
  <si>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</si>
  <si>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</si>
  <si>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</si>
  <si>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12.1</t>
  </si>
  <si>
    <t>日経225オプション</t>
  </si>
  <si>
    <t>Nikkei 225 Options</t>
  </si>
  <si>
    <t>2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</si>
  <si>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</si>
  <si>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</si>
  <si>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</si>
  <si>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</si>
  <si>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</si>
  <si>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</si>
  <si>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</si>
  <si>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</si>
  <si>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</si>
  <si>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11</t>
  </si>
  <si>
    <t>●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</si>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</sst>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33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60518</f>
        <v>60518.0</v>
      </c>
      <c r="F10" s="23"/>
      <c r="G10" s="25" t="n">
        <f>51295</f>
        <v>51295.0</v>
      </c>
      <c r="H10" s="23"/>
      <c r="I10" s="26" t="n">
        <f>111813</f>
        <v>111813.0</v>
      </c>
      <c r="J10" s="24"/>
      <c r="K10" s="25" t="n">
        <f>7780845800</f>
        <v>7.7808458E9</v>
      </c>
      <c r="L10" s="23"/>
      <c r="M10" s="25" t="n">
        <f>13230029120</f>
        <v>1.323002912E10</v>
      </c>
      <c r="N10" s="23"/>
      <c r="O10" s="26" t="n">
        <f>21010874920</f>
        <v>2.101087492E10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7245</f>
        <v>7245.0</v>
      </c>
      <c r="U10" s="23"/>
      <c r="V10" s="25" t="n">
        <f>9033</f>
        <v>9033.0</v>
      </c>
      <c r="W10" s="23"/>
      <c r="X10" s="26" t="n">
        <f>16278</f>
        <v>16278.0</v>
      </c>
      <c r="Y10" s="24"/>
      <c r="Z10" s="25" t="n">
        <f>1210020</f>
        <v>1210020.0</v>
      </c>
      <c r="AA10" s="23"/>
      <c r="AB10" s="25" t="n">
        <f>686012</f>
        <v>686012.0</v>
      </c>
      <c r="AC10" s="23"/>
      <c r="AD10" s="26" t="n">
        <f>1896032</f>
        <v>1896032.0</v>
      </c>
    </row>
    <row r="11">
      <c r="A11" s="30" t="s">
        <v>29</v>
      </c>
      <c r="B11" s="22" t="s">
        <v>27</v>
      </c>
      <c r="C11" s="22" t="s">
        <v>28</v>
      </c>
      <c r="D11" s="24"/>
      <c r="E11" s="25" t="n">
        <f>59642</f>
        <v>59642.0</v>
      </c>
      <c r="F11" s="23"/>
      <c r="G11" s="25" t="n">
        <f>40548</f>
        <v>40548.0</v>
      </c>
      <c r="H11" s="23"/>
      <c r="I11" s="26" t="n">
        <f>100190</f>
        <v>100190.0</v>
      </c>
      <c r="J11" s="24"/>
      <c r="K11" s="25" t="n">
        <f>9786719000</f>
        <v>9.786719E9</v>
      </c>
      <c r="L11" s="23"/>
      <c r="M11" s="25" t="n">
        <f>8914372050</f>
        <v>8.91437205E9</v>
      </c>
      <c r="N11" s="23"/>
      <c r="O11" s="26" t="n">
        <f>18701091050</f>
        <v>1.870109105E10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6012</f>
        <v>6012.0</v>
      </c>
      <c r="U11" s="23"/>
      <c r="V11" s="25" t="n">
        <f>5957</f>
        <v>5957.0</v>
      </c>
      <c r="W11" s="23"/>
      <c r="X11" s="26" t="n">
        <f>11969</f>
        <v>11969.0</v>
      </c>
      <c r="Y11" s="24"/>
      <c r="Z11" s="25" t="n">
        <f>1220169</f>
        <v>1220169.0</v>
      </c>
      <c r="AA11" s="23"/>
      <c r="AB11" s="25" t="n">
        <f>687732</f>
        <v>687732.0</v>
      </c>
      <c r="AC11" s="23"/>
      <c r="AD11" s="26" t="n">
        <f>1907901</f>
        <v>1907901.0</v>
      </c>
    </row>
    <row r="12">
      <c r="A12" s="30" t="s">
        <v>30</v>
      </c>
      <c r="B12" s="22" t="s">
        <v>27</v>
      </c>
      <c r="C12" s="22" t="s">
        <v>28</v>
      </c>
      <c r="D12" s="24"/>
      <c r="E12" s="25" t="n">
        <f>61243</f>
        <v>61243.0</v>
      </c>
      <c r="F12" s="23"/>
      <c r="G12" s="25" t="n">
        <f>51351</f>
        <v>51351.0</v>
      </c>
      <c r="H12" s="23"/>
      <c r="I12" s="26" t="n">
        <f>112594</f>
        <v>112594.0</v>
      </c>
      <c r="J12" s="24"/>
      <c r="K12" s="25" t="n">
        <f>12981143844</f>
        <v>1.2981143844E10</v>
      </c>
      <c r="L12" s="23"/>
      <c r="M12" s="25" t="n">
        <f>18618517000</f>
        <v>1.8618517E10</v>
      </c>
      <c r="N12" s="23"/>
      <c r="O12" s="26" t="n">
        <f>31599660844</f>
        <v>3.1599660844E10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9079</f>
        <v>9079.0</v>
      </c>
      <c r="U12" s="23" t="s">
        <v>31</v>
      </c>
      <c r="V12" s="25" t="n">
        <f>14485</f>
        <v>14485.0</v>
      </c>
      <c r="W12" s="23"/>
      <c r="X12" s="26" t="n">
        <f>23564</f>
        <v>23564.0</v>
      </c>
      <c r="Y12" s="24"/>
      <c r="Z12" s="25" t="n">
        <f>1230681</f>
        <v>1230681.0</v>
      </c>
      <c r="AA12" s="23"/>
      <c r="AB12" s="25" t="n">
        <f>693165</f>
        <v>693165.0</v>
      </c>
      <c r="AC12" s="23"/>
      <c r="AD12" s="26" t="n">
        <f>1923846</f>
        <v>1923846.0</v>
      </c>
    </row>
    <row r="13">
      <c r="A13" s="30" t="s">
        <v>32</v>
      </c>
      <c r="B13" s="22" t="s">
        <v>27</v>
      </c>
      <c r="C13" s="22" t="s">
        <v>28</v>
      </c>
      <c r="D13" s="24"/>
      <c r="E13" s="25" t="n">
        <f>48109</f>
        <v>48109.0</v>
      </c>
      <c r="F13" s="23"/>
      <c r="G13" s="25" t="n">
        <f>32674</f>
        <v>32674.0</v>
      </c>
      <c r="H13" s="23"/>
      <c r="I13" s="26" t="n">
        <f>80783</f>
        <v>80783.0</v>
      </c>
      <c r="J13" s="24"/>
      <c r="K13" s="25" t="n">
        <f>10719933200</f>
        <v>1.07199332E10</v>
      </c>
      <c r="L13" s="23"/>
      <c r="M13" s="25" t="n">
        <f>6973845390</f>
        <v>6.97384539E9</v>
      </c>
      <c r="N13" s="23"/>
      <c r="O13" s="26" t="n">
        <f>17693778590</f>
        <v>1.769377859E10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5750</f>
        <v>5750.0</v>
      </c>
      <c r="U13" s="23"/>
      <c r="V13" s="25" t="n">
        <f>5340</f>
        <v>5340.0</v>
      </c>
      <c r="W13" s="23"/>
      <c r="X13" s="26" t="n">
        <f>11090</f>
        <v>11090.0</v>
      </c>
      <c r="Y13" s="24"/>
      <c r="Z13" s="25" t="n">
        <f>1236644</f>
        <v>1236644.0</v>
      </c>
      <c r="AA13" s="23"/>
      <c r="AB13" s="25" t="n">
        <f>696090</f>
        <v>696090.0</v>
      </c>
      <c r="AC13" s="23"/>
      <c r="AD13" s="26" t="n">
        <f>1932734</f>
        <v>1932734.0</v>
      </c>
    </row>
    <row r="14">
      <c r="A14" s="30" t="s">
        <v>33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>
      <c r="A15" s="30" t="s">
        <v>34</v>
      </c>
      <c r="B15" s="22" t="s">
        <v>27</v>
      </c>
      <c r="C15" s="22" t="s">
        <v>28</v>
      </c>
      <c r="D15" s="24"/>
      <c r="E15" s="25"/>
      <c r="F15" s="23"/>
      <c r="G15" s="25"/>
      <c r="H15" s="23"/>
      <c r="I15" s="26"/>
      <c r="J15" s="24"/>
      <c r="K15" s="25"/>
      <c r="L15" s="23"/>
      <c r="M15" s="25"/>
      <c r="N15" s="23"/>
      <c r="O15" s="26"/>
      <c r="P15" s="27"/>
      <c r="Q15" s="28"/>
      <c r="R15" s="29"/>
      <c r="S15" s="24"/>
      <c r="T15" s="25"/>
      <c r="U15" s="23"/>
      <c r="V15" s="25"/>
      <c r="W15" s="23"/>
      <c r="X15" s="26"/>
      <c r="Y15" s="24"/>
      <c r="Z15" s="25"/>
      <c r="AA15" s="23"/>
      <c r="AB15" s="25"/>
      <c r="AC15" s="23"/>
      <c r="AD15" s="26"/>
    </row>
    <row r="16">
      <c r="A16" s="30" t="s">
        <v>35</v>
      </c>
      <c r="B16" s="22" t="s">
        <v>27</v>
      </c>
      <c r="C16" s="22" t="s">
        <v>28</v>
      </c>
      <c r="D16" s="24"/>
      <c r="E16" s="25" t="n">
        <f>64863</f>
        <v>64863.0</v>
      </c>
      <c r="F16" s="23"/>
      <c r="G16" s="25" t="n">
        <f>50719</f>
        <v>50719.0</v>
      </c>
      <c r="H16" s="23"/>
      <c r="I16" s="26" t="n">
        <f>115582</f>
        <v>115582.0</v>
      </c>
      <c r="J16" s="24"/>
      <c r="K16" s="25" t="n">
        <f>8082495520</f>
        <v>8.08249552E9</v>
      </c>
      <c r="L16" s="23"/>
      <c r="M16" s="25" t="n">
        <f>7856037680</f>
        <v>7.85603768E9</v>
      </c>
      <c r="N16" s="23"/>
      <c r="O16" s="26" t="n">
        <f>15938533200</f>
        <v>1.59385332E10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14823</f>
        <v>14823.0</v>
      </c>
      <c r="U16" s="23"/>
      <c r="V16" s="25" t="n">
        <f>14215</f>
        <v>14215.0</v>
      </c>
      <c r="W16" s="23" t="s">
        <v>31</v>
      </c>
      <c r="X16" s="26" t="n">
        <f>29038</f>
        <v>29038.0</v>
      </c>
      <c r="Y16" s="24"/>
      <c r="Z16" s="25" t="n">
        <f>1249036</f>
        <v>1249036.0</v>
      </c>
      <c r="AA16" s="23"/>
      <c r="AB16" s="25" t="n">
        <f>702988</f>
        <v>702988.0</v>
      </c>
      <c r="AC16" s="23"/>
      <c r="AD16" s="26" t="n">
        <f>1952024</f>
        <v>1952024.0</v>
      </c>
    </row>
    <row r="17">
      <c r="A17" s="30" t="s">
        <v>36</v>
      </c>
      <c r="B17" s="22" t="s">
        <v>27</v>
      </c>
      <c r="C17" s="22" t="s">
        <v>28</v>
      </c>
      <c r="D17" s="24"/>
      <c r="E17" s="25" t="n">
        <f>60757</f>
        <v>60757.0</v>
      </c>
      <c r="F17" s="23"/>
      <c r="G17" s="25" t="n">
        <f>47424</f>
        <v>47424.0</v>
      </c>
      <c r="H17" s="23"/>
      <c r="I17" s="26" t="n">
        <f>108181</f>
        <v>108181.0</v>
      </c>
      <c r="J17" s="24"/>
      <c r="K17" s="25" t="n">
        <f>11641626000</f>
        <v>1.1641626E10</v>
      </c>
      <c r="L17" s="23"/>
      <c r="M17" s="25" t="n">
        <f>13976695500</f>
        <v>1.39766955E10</v>
      </c>
      <c r="N17" s="23"/>
      <c r="O17" s="26" t="n">
        <f>25618321500</f>
        <v>2.56183215E10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13986</f>
        <v>13986.0</v>
      </c>
      <c r="U17" s="23"/>
      <c r="V17" s="25" t="n">
        <f>13125</f>
        <v>13125.0</v>
      </c>
      <c r="W17" s="23"/>
      <c r="X17" s="26" t="n">
        <f>27111</f>
        <v>27111.0</v>
      </c>
      <c r="Y17" s="24"/>
      <c r="Z17" s="25" t="n">
        <f>1256501</f>
        <v>1256501.0</v>
      </c>
      <c r="AA17" s="23"/>
      <c r="AB17" s="25" t="n">
        <f>706390</f>
        <v>706390.0</v>
      </c>
      <c r="AC17" s="23"/>
      <c r="AD17" s="26" t="n">
        <f>1962891</f>
        <v>1962891.0</v>
      </c>
    </row>
    <row r="18">
      <c r="A18" s="30" t="s">
        <v>37</v>
      </c>
      <c r="B18" s="22" t="s">
        <v>27</v>
      </c>
      <c r="C18" s="22" t="s">
        <v>28</v>
      </c>
      <c r="D18" s="24"/>
      <c r="E18" s="25" t="n">
        <f>64876</f>
        <v>64876.0</v>
      </c>
      <c r="F18" s="23"/>
      <c r="G18" s="25" t="n">
        <f>51480</f>
        <v>51480.0</v>
      </c>
      <c r="H18" s="23"/>
      <c r="I18" s="26" t="n">
        <f>116356</f>
        <v>116356.0</v>
      </c>
      <c r="J18" s="24"/>
      <c r="K18" s="25" t="n">
        <f>13809407890</f>
        <v>1.380940789E10</v>
      </c>
      <c r="L18" s="23" t="s">
        <v>31</v>
      </c>
      <c r="M18" s="25" t="n">
        <f>45002186100</f>
        <v>4.50021861E10</v>
      </c>
      <c r="N18" s="23" t="s">
        <v>31</v>
      </c>
      <c r="O18" s="26" t="n">
        <f>58811593990</f>
        <v>5.881159399E10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9358</f>
        <v>9358.0</v>
      </c>
      <c r="U18" s="23"/>
      <c r="V18" s="25" t="n">
        <f>8294</f>
        <v>8294.0</v>
      </c>
      <c r="W18" s="23"/>
      <c r="X18" s="26" t="n">
        <f>17652</f>
        <v>17652.0</v>
      </c>
      <c r="Y18" s="24"/>
      <c r="Z18" s="25" t="n">
        <f>1264857</f>
        <v>1264857.0</v>
      </c>
      <c r="AA18" s="23"/>
      <c r="AB18" s="25" t="n">
        <f>708919</f>
        <v>708919.0</v>
      </c>
      <c r="AC18" s="23"/>
      <c r="AD18" s="26" t="n">
        <f>1973776</f>
        <v>1973776.0</v>
      </c>
    </row>
    <row r="19">
      <c r="A19" s="30" t="s">
        <v>38</v>
      </c>
      <c r="B19" s="22" t="s">
        <v>27</v>
      </c>
      <c r="C19" s="22" t="s">
        <v>28</v>
      </c>
      <c r="D19" s="24" t="s">
        <v>31</v>
      </c>
      <c r="E19" s="25" t="n">
        <f>74574</f>
        <v>74574.0</v>
      </c>
      <c r="F19" s="23" t="s">
        <v>31</v>
      </c>
      <c r="G19" s="25" t="n">
        <f>60705</f>
        <v>60705.0</v>
      </c>
      <c r="H19" s="23" t="s">
        <v>31</v>
      </c>
      <c r="I19" s="26" t="n">
        <f>135279</f>
        <v>135279.0</v>
      </c>
      <c r="J19" s="24"/>
      <c r="K19" s="25" t="n">
        <f>7381280020</f>
        <v>7.38128002E9</v>
      </c>
      <c r="L19" s="23"/>
      <c r="M19" s="25" t="n">
        <f>10076844720</f>
        <v>1.007684472E10</v>
      </c>
      <c r="N19" s="23"/>
      <c r="O19" s="26" t="n">
        <f>17458124740</f>
        <v>1.745812474E10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/>
      <c r="T19" s="25" t="n">
        <f>9825</f>
        <v>9825.0</v>
      </c>
      <c r="U19" s="23"/>
      <c r="V19" s="25" t="n">
        <f>10074</f>
        <v>10074.0</v>
      </c>
      <c r="W19" s="23"/>
      <c r="X19" s="26" t="n">
        <f>19899</f>
        <v>19899.0</v>
      </c>
      <c r="Y19" s="24" t="s">
        <v>31</v>
      </c>
      <c r="Z19" s="25" t="n">
        <f>1279788</f>
        <v>1279788.0</v>
      </c>
      <c r="AA19" s="23" t="s">
        <v>31</v>
      </c>
      <c r="AB19" s="25" t="n">
        <f>713285</f>
        <v>713285.0</v>
      </c>
      <c r="AC19" s="23" t="s">
        <v>31</v>
      </c>
      <c r="AD19" s="26" t="n">
        <f>1993073</f>
        <v>1993073.0</v>
      </c>
    </row>
    <row r="20">
      <c r="A20" s="30" t="s">
        <v>39</v>
      </c>
      <c r="B20" s="22" t="s">
        <v>27</v>
      </c>
      <c r="C20" s="22" t="s">
        <v>28</v>
      </c>
      <c r="D20" s="24"/>
      <c r="E20" s="25" t="n">
        <f>38438</f>
        <v>38438.0</v>
      </c>
      <c r="F20" s="23"/>
      <c r="G20" s="25" t="n">
        <f>28451</f>
        <v>28451.0</v>
      </c>
      <c r="H20" s="23"/>
      <c r="I20" s="26" t="n">
        <f>66889</f>
        <v>66889.0</v>
      </c>
      <c r="J20" s="24"/>
      <c r="K20" s="25" t="n">
        <f>8284496300</f>
        <v>8.2844963E9</v>
      </c>
      <c r="L20" s="23"/>
      <c r="M20" s="25" t="n">
        <f>17744140062</f>
        <v>1.7744140062E10</v>
      </c>
      <c r="N20" s="23"/>
      <c r="O20" s="26" t="n">
        <f>26028636362</f>
        <v>2.6028636362E10</v>
      </c>
      <c r="P20" s="27" t="n">
        <f>4583</f>
        <v>4583.0</v>
      </c>
      <c r="Q20" s="28" t="n">
        <f>233489</f>
        <v>233489.0</v>
      </c>
      <c r="R20" s="29" t="n">
        <f>238072</f>
        <v>238072.0</v>
      </c>
      <c r="S20" s="24"/>
      <c r="T20" s="25" t="n">
        <f>7600</f>
        <v>7600.0</v>
      </c>
      <c r="U20" s="23"/>
      <c r="V20" s="25" t="n">
        <f>4550</f>
        <v>4550.0</v>
      </c>
      <c r="W20" s="23"/>
      <c r="X20" s="26" t="n">
        <f>12150</f>
        <v>12150.0</v>
      </c>
      <c r="Y20" s="24" t="s">
        <v>40</v>
      </c>
      <c r="Z20" s="25" t="n">
        <f>690568</f>
        <v>690568.0</v>
      </c>
      <c r="AA20" s="23" t="s">
        <v>40</v>
      </c>
      <c r="AB20" s="25" t="n">
        <f>435455</f>
        <v>435455.0</v>
      </c>
      <c r="AC20" s="23" t="s">
        <v>40</v>
      </c>
      <c r="AD20" s="26" t="n">
        <f>1126023</f>
        <v>1126023.0</v>
      </c>
    </row>
    <row r="21">
      <c r="A21" s="30" t="s">
        <v>41</v>
      </c>
      <c r="B21" s="22" t="s">
        <v>27</v>
      </c>
      <c r="C21" s="22" t="s">
        <v>28</v>
      </c>
      <c r="D21" s="24"/>
      <c r="E21" s="25"/>
      <c r="F21" s="23"/>
      <c r="G21" s="25"/>
      <c r="H21" s="23"/>
      <c r="I21" s="26"/>
      <c r="J21" s="24"/>
      <c r="K21" s="25"/>
      <c r="L21" s="23"/>
      <c r="M21" s="25"/>
      <c r="N21" s="23"/>
      <c r="O21" s="26"/>
      <c r="P21" s="27"/>
      <c r="Q21" s="28"/>
      <c r="R21" s="29"/>
      <c r="S21" s="24"/>
      <c r="T21" s="25"/>
      <c r="U21" s="23"/>
      <c r="V21" s="25"/>
      <c r="W21" s="23"/>
      <c r="X21" s="26"/>
      <c r="Y21" s="24"/>
      <c r="Z21" s="25"/>
      <c r="AA21" s="23"/>
      <c r="AB21" s="25"/>
      <c r="AC21" s="23"/>
      <c r="AD21" s="26"/>
    </row>
    <row r="22">
      <c r="A22" s="30" t="s">
        <v>42</v>
      </c>
      <c r="B22" s="22" t="s">
        <v>27</v>
      </c>
      <c r="C22" s="22" t="s">
        <v>28</v>
      </c>
      <c r="D22" s="24"/>
      <c r="E22" s="25"/>
      <c r="F22" s="23"/>
      <c r="G22" s="25"/>
      <c r="H22" s="23"/>
      <c r="I22" s="26"/>
      <c r="J22" s="24"/>
      <c r="K22" s="25"/>
      <c r="L22" s="23"/>
      <c r="M22" s="25"/>
      <c r="N22" s="23"/>
      <c r="O22" s="26"/>
      <c r="P22" s="27"/>
      <c r="Q22" s="28"/>
      <c r="R22" s="29"/>
      <c r="S22" s="24"/>
      <c r="T22" s="25"/>
      <c r="U22" s="23"/>
      <c r="V22" s="25"/>
      <c r="W22" s="23"/>
      <c r="X22" s="26"/>
      <c r="Y22" s="24"/>
      <c r="Z22" s="25"/>
      <c r="AA22" s="23"/>
      <c r="AB22" s="25"/>
      <c r="AC22" s="23"/>
      <c r="AD22" s="26"/>
    </row>
    <row r="23">
      <c r="A23" s="30" t="s">
        <v>43</v>
      </c>
      <c r="B23" s="22" t="s">
        <v>27</v>
      </c>
      <c r="C23" s="22" t="s">
        <v>28</v>
      </c>
      <c r="D23" s="24"/>
      <c r="E23" s="25" t="n">
        <f>53014</f>
        <v>53014.0</v>
      </c>
      <c r="F23" s="23"/>
      <c r="G23" s="25" t="n">
        <f>27620</f>
        <v>27620.0</v>
      </c>
      <c r="H23" s="23"/>
      <c r="I23" s="26" t="n">
        <f>80634</f>
        <v>80634.0</v>
      </c>
      <c r="J23" s="24"/>
      <c r="K23" s="25" t="n">
        <f>6758421500</f>
        <v>6.7584215E9</v>
      </c>
      <c r="L23" s="23"/>
      <c r="M23" s="25" t="n">
        <f>6906013970</f>
        <v>6.90601397E9</v>
      </c>
      <c r="N23" s="23"/>
      <c r="O23" s="26" t="n">
        <f>13664435470</f>
        <v>1.366443547E10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 t="s">
        <v>31</v>
      </c>
      <c r="T23" s="25" t="n">
        <f>14933</f>
        <v>14933.0</v>
      </c>
      <c r="U23" s="23"/>
      <c r="V23" s="25" t="n">
        <f>6204</f>
        <v>6204.0</v>
      </c>
      <c r="W23" s="23"/>
      <c r="X23" s="26" t="n">
        <f>21137</f>
        <v>21137.0</v>
      </c>
      <c r="Y23" s="24"/>
      <c r="Z23" s="25" t="n">
        <f>702606</f>
        <v>702606.0</v>
      </c>
      <c r="AA23" s="23"/>
      <c r="AB23" s="25" t="n">
        <f>442083</f>
        <v>442083.0</v>
      </c>
      <c r="AC23" s="23"/>
      <c r="AD23" s="26" t="n">
        <f>1144689</f>
        <v>1144689.0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39907</f>
        <v>39907.0</v>
      </c>
      <c r="F24" s="23"/>
      <c r="G24" s="25" t="n">
        <f>27048</f>
        <v>27048.0</v>
      </c>
      <c r="H24" s="23"/>
      <c r="I24" s="26" t="n">
        <f>66955</f>
        <v>66955.0</v>
      </c>
      <c r="J24" s="24" t="s">
        <v>31</v>
      </c>
      <c r="K24" s="25" t="n">
        <f>20141968996</f>
        <v>2.0141968996E10</v>
      </c>
      <c r="L24" s="23"/>
      <c r="M24" s="25" t="n">
        <f>31021840940</f>
        <v>3.102184094E10</v>
      </c>
      <c r="N24" s="23"/>
      <c r="O24" s="26" t="n">
        <f>51163809936</f>
        <v>5.1163809936E10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6575</f>
        <v>6575.0</v>
      </c>
      <c r="U24" s="23"/>
      <c r="V24" s="25" t="n">
        <f>6318</f>
        <v>6318.0</v>
      </c>
      <c r="W24" s="23"/>
      <c r="X24" s="26" t="n">
        <f>12893</f>
        <v>12893.0</v>
      </c>
      <c r="Y24" s="24"/>
      <c r="Z24" s="25" t="n">
        <f>716945</f>
        <v>716945.0</v>
      </c>
      <c r="AA24" s="23"/>
      <c r="AB24" s="25" t="n">
        <f>452036</f>
        <v>452036.0</v>
      </c>
      <c r="AC24" s="23"/>
      <c r="AD24" s="26" t="n">
        <f>1168981</f>
        <v>1168981.0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32116</f>
        <v>32116.0</v>
      </c>
      <c r="F25" s="23"/>
      <c r="G25" s="25" t="n">
        <f>16364</f>
        <v>16364.0</v>
      </c>
      <c r="H25" s="23"/>
      <c r="I25" s="26" t="n">
        <f>48480</f>
        <v>48480.0</v>
      </c>
      <c r="J25" s="24"/>
      <c r="K25" s="25" t="n">
        <f>7314776000</f>
        <v>7.314776E9</v>
      </c>
      <c r="L25" s="23"/>
      <c r="M25" s="25" t="n">
        <f>3872965100</f>
        <v>3.8729651E9</v>
      </c>
      <c r="N25" s="23"/>
      <c r="O25" s="26" t="n">
        <f>11187741100</f>
        <v>1.11877411E10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3714</f>
        <v>3714.0</v>
      </c>
      <c r="U25" s="23"/>
      <c r="V25" s="25" t="n">
        <f>2628</f>
        <v>2628.0</v>
      </c>
      <c r="W25" s="23"/>
      <c r="X25" s="26" t="n">
        <f>6342</f>
        <v>6342.0</v>
      </c>
      <c r="Y25" s="24"/>
      <c r="Z25" s="25" t="n">
        <f>724461</f>
        <v>724461.0</v>
      </c>
      <c r="AA25" s="23"/>
      <c r="AB25" s="25" t="n">
        <f>453491</f>
        <v>453491.0</v>
      </c>
      <c r="AC25" s="23"/>
      <c r="AD25" s="26" t="n">
        <f>1177952</f>
        <v>1177952.0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32003</f>
        <v>32003.0</v>
      </c>
      <c r="F26" s="23"/>
      <c r="G26" s="25" t="n">
        <f>15473</f>
        <v>15473.0</v>
      </c>
      <c r="H26" s="23"/>
      <c r="I26" s="26" t="n">
        <f>47476</f>
        <v>47476.0</v>
      </c>
      <c r="J26" s="24"/>
      <c r="K26" s="25" t="n">
        <f>4504885500</f>
        <v>4.5048855E9</v>
      </c>
      <c r="L26" s="23"/>
      <c r="M26" s="25" t="n">
        <f>2791761000</f>
        <v>2.791761E9</v>
      </c>
      <c r="N26" s="23"/>
      <c r="O26" s="26" t="n">
        <f>7296646500</f>
        <v>7.2966465E9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5645</f>
        <v>5645.0</v>
      </c>
      <c r="U26" s="23"/>
      <c r="V26" s="25" t="n">
        <f>4064</f>
        <v>4064.0</v>
      </c>
      <c r="W26" s="23"/>
      <c r="X26" s="26" t="n">
        <f>9709</f>
        <v>9709.0</v>
      </c>
      <c r="Y26" s="24"/>
      <c r="Z26" s="25" t="n">
        <f>734091</f>
        <v>734091.0</v>
      </c>
      <c r="AA26" s="23"/>
      <c r="AB26" s="25" t="n">
        <f>455986</f>
        <v>455986.0</v>
      </c>
      <c r="AC26" s="23"/>
      <c r="AD26" s="26" t="n">
        <f>1190077</f>
        <v>1190077.0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33612</f>
        <v>33612.0</v>
      </c>
      <c r="F27" s="23"/>
      <c r="G27" s="25" t="n">
        <f>16533</f>
        <v>16533.0</v>
      </c>
      <c r="H27" s="23"/>
      <c r="I27" s="26" t="n">
        <f>50145</f>
        <v>50145.0</v>
      </c>
      <c r="J27" s="24"/>
      <c r="K27" s="25" t="n">
        <f>17117669526</f>
        <v>1.7117669526E10</v>
      </c>
      <c r="L27" s="23"/>
      <c r="M27" s="25" t="n">
        <f>20311732000</f>
        <v>2.0311732E10</v>
      </c>
      <c r="N27" s="23"/>
      <c r="O27" s="26" t="n">
        <f>37429401526</f>
        <v>3.7429401526E10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6064</f>
        <v>6064.0</v>
      </c>
      <c r="U27" s="23"/>
      <c r="V27" s="25" t="n">
        <f>4233</f>
        <v>4233.0</v>
      </c>
      <c r="W27" s="23"/>
      <c r="X27" s="26" t="n">
        <f>10297</f>
        <v>10297.0</v>
      </c>
      <c r="Y27" s="24"/>
      <c r="Z27" s="25" t="n">
        <f>744235</f>
        <v>744235.0</v>
      </c>
      <c r="AA27" s="23"/>
      <c r="AB27" s="25" t="n">
        <f>460337</f>
        <v>460337.0</v>
      </c>
      <c r="AC27" s="23"/>
      <c r="AD27" s="26" t="n">
        <f>1204572</f>
        <v>1204572.0</v>
      </c>
    </row>
    <row r="28">
      <c r="A28" s="30" t="s">
        <v>48</v>
      </c>
      <c r="B28" s="22" t="s">
        <v>27</v>
      </c>
      <c r="C28" s="22" t="s">
        <v>28</v>
      </c>
      <c r="D28" s="24"/>
      <c r="E28" s="25"/>
      <c r="F28" s="23"/>
      <c r="G28" s="25"/>
      <c r="H28" s="23"/>
      <c r="I28" s="26"/>
      <c r="J28" s="24"/>
      <c r="K28" s="25"/>
      <c r="L28" s="23"/>
      <c r="M28" s="25"/>
      <c r="N28" s="23"/>
      <c r="O28" s="26"/>
      <c r="P28" s="27"/>
      <c r="Q28" s="28"/>
      <c r="R28" s="29"/>
      <c r="S28" s="24"/>
      <c r="T28" s="25"/>
      <c r="U28" s="23"/>
      <c r="V28" s="25"/>
      <c r="W28" s="23"/>
      <c r="X28" s="26"/>
      <c r="Y28" s="24"/>
      <c r="Z28" s="25"/>
      <c r="AA28" s="23"/>
      <c r="AB28" s="25"/>
      <c r="AC28" s="23"/>
      <c r="AD28" s="26"/>
    </row>
    <row r="29">
      <c r="A29" s="30" t="s">
        <v>49</v>
      </c>
      <c r="B29" s="22" t="s">
        <v>27</v>
      </c>
      <c r="C29" s="22" t="s">
        <v>28</v>
      </c>
      <c r="D29" s="24"/>
      <c r="E29" s="25"/>
      <c r="F29" s="23"/>
      <c r="G29" s="25"/>
      <c r="H29" s="23"/>
      <c r="I29" s="26"/>
      <c r="J29" s="24"/>
      <c r="K29" s="25"/>
      <c r="L29" s="23"/>
      <c r="M29" s="25"/>
      <c r="N29" s="23"/>
      <c r="O29" s="26"/>
      <c r="P29" s="27"/>
      <c r="Q29" s="28"/>
      <c r="R29" s="29"/>
      <c r="S29" s="24"/>
      <c r="T29" s="25"/>
      <c r="U29" s="23"/>
      <c r="V29" s="25"/>
      <c r="W29" s="23"/>
      <c r="X29" s="26"/>
      <c r="Y29" s="24"/>
      <c r="Z29" s="25"/>
      <c r="AA29" s="23"/>
      <c r="AB29" s="25"/>
      <c r="AC29" s="23"/>
      <c r="AD29" s="26"/>
    </row>
    <row r="30">
      <c r="A30" s="30" t="s">
        <v>50</v>
      </c>
      <c r="B30" s="22" t="s">
        <v>27</v>
      </c>
      <c r="C30" s="22" t="s">
        <v>28</v>
      </c>
      <c r="D30" s="24"/>
      <c r="E30" s="25" t="n">
        <f>44619</f>
        <v>44619.0</v>
      </c>
      <c r="F30" s="23"/>
      <c r="G30" s="25" t="n">
        <f>20668</f>
        <v>20668.0</v>
      </c>
      <c r="H30" s="23"/>
      <c r="I30" s="26" t="n">
        <f>65287</f>
        <v>65287.0</v>
      </c>
      <c r="J30" s="24"/>
      <c r="K30" s="25" t="n">
        <f>7434040000</f>
        <v>7.43404E9</v>
      </c>
      <c r="L30" s="23"/>
      <c r="M30" s="25" t="n">
        <f>7155570000</f>
        <v>7.15557E9</v>
      </c>
      <c r="N30" s="23"/>
      <c r="O30" s="26" t="n">
        <f>14589610000</f>
        <v>1.458961E10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12244</f>
        <v>12244.0</v>
      </c>
      <c r="U30" s="23"/>
      <c r="V30" s="25" t="n">
        <f>4252</f>
        <v>4252.0</v>
      </c>
      <c r="W30" s="23"/>
      <c r="X30" s="26" t="n">
        <f>16496</f>
        <v>16496.0</v>
      </c>
      <c r="Y30" s="24"/>
      <c r="Z30" s="25" t="n">
        <f>748204</f>
        <v>748204.0</v>
      </c>
      <c r="AA30" s="23"/>
      <c r="AB30" s="25" t="n">
        <f>460051</f>
        <v>460051.0</v>
      </c>
      <c r="AC30" s="23"/>
      <c r="AD30" s="26" t="n">
        <f>1208255</f>
        <v>1208255.0</v>
      </c>
    </row>
    <row r="31">
      <c r="A31" s="30" t="s">
        <v>51</v>
      </c>
      <c r="B31" s="22" t="s">
        <v>27</v>
      </c>
      <c r="C31" s="22" t="s">
        <v>28</v>
      </c>
      <c r="D31" s="24"/>
      <c r="E31" s="25" t="n">
        <f>57070</f>
        <v>57070.0</v>
      </c>
      <c r="F31" s="23"/>
      <c r="G31" s="25" t="n">
        <f>30337</f>
        <v>30337.0</v>
      </c>
      <c r="H31" s="23"/>
      <c r="I31" s="26" t="n">
        <f>87407</f>
        <v>87407.0</v>
      </c>
      <c r="J31" s="24"/>
      <c r="K31" s="25" t="n">
        <f>9118198250</f>
        <v>9.11819825E9</v>
      </c>
      <c r="L31" s="23"/>
      <c r="M31" s="25" t="n">
        <f>5888417750</f>
        <v>5.88841775E9</v>
      </c>
      <c r="N31" s="23"/>
      <c r="O31" s="26" t="n">
        <f>15006616000</f>
        <v>1.5006616E10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8201</f>
        <v>8201.0</v>
      </c>
      <c r="U31" s="23"/>
      <c r="V31" s="25" t="n">
        <f>4805</f>
        <v>4805.0</v>
      </c>
      <c r="W31" s="23"/>
      <c r="X31" s="26" t="n">
        <f>13006</f>
        <v>13006.0</v>
      </c>
      <c r="Y31" s="24"/>
      <c r="Z31" s="25" t="n">
        <f>751099</f>
        <v>751099.0</v>
      </c>
      <c r="AA31" s="23"/>
      <c r="AB31" s="25" t="n">
        <f>462186</f>
        <v>462186.0</v>
      </c>
      <c r="AC31" s="23"/>
      <c r="AD31" s="26" t="n">
        <f>1213285</f>
        <v>1213285.0</v>
      </c>
    </row>
    <row r="32">
      <c r="A32" s="30" t="s">
        <v>52</v>
      </c>
      <c r="B32" s="22" t="s">
        <v>27</v>
      </c>
      <c r="C32" s="22" t="s">
        <v>28</v>
      </c>
      <c r="D32" s="24"/>
      <c r="E32" s="25" t="n">
        <f>37565</f>
        <v>37565.0</v>
      </c>
      <c r="F32" s="23"/>
      <c r="G32" s="25" t="n">
        <f>18490</f>
        <v>18490.0</v>
      </c>
      <c r="H32" s="23"/>
      <c r="I32" s="26" t="n">
        <f>56055</f>
        <v>56055.0</v>
      </c>
      <c r="J32" s="24"/>
      <c r="K32" s="25" t="n">
        <f>5763992000</f>
        <v>5.763992E9</v>
      </c>
      <c r="L32" s="23"/>
      <c r="M32" s="25" t="n">
        <f>4148647000</f>
        <v>4.148647E9</v>
      </c>
      <c r="N32" s="23"/>
      <c r="O32" s="26" t="n">
        <f>9912639000</f>
        <v>9.912639E9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5975</f>
        <v>5975.0</v>
      </c>
      <c r="U32" s="23"/>
      <c r="V32" s="25" t="n">
        <f>4895</f>
        <v>4895.0</v>
      </c>
      <c r="W32" s="23"/>
      <c r="X32" s="26" t="n">
        <f>10870</f>
        <v>10870.0</v>
      </c>
      <c r="Y32" s="24"/>
      <c r="Z32" s="25" t="n">
        <f>753741</f>
        <v>753741.0</v>
      </c>
      <c r="AA32" s="23"/>
      <c r="AB32" s="25" t="n">
        <f>463927</f>
        <v>463927.0</v>
      </c>
      <c r="AC32" s="23"/>
      <c r="AD32" s="26" t="n">
        <f>1217668</f>
        <v>1217668.0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28084</f>
        <v>28084.0</v>
      </c>
      <c r="F33" s="23"/>
      <c r="G33" s="25" t="n">
        <f>13876</f>
        <v>13876.0</v>
      </c>
      <c r="H33" s="23"/>
      <c r="I33" s="26" t="n">
        <f>41960</f>
        <v>41960.0</v>
      </c>
      <c r="J33" s="24"/>
      <c r="K33" s="25" t="n">
        <f>6215617000</f>
        <v>6.215617E9</v>
      </c>
      <c r="L33" s="23"/>
      <c r="M33" s="25" t="n">
        <f>2087615000</f>
        <v>2.087615E9</v>
      </c>
      <c r="N33" s="23"/>
      <c r="O33" s="26" t="n">
        <f>8303232000</f>
        <v>8.303232E9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5218</f>
        <v>5218.0</v>
      </c>
      <c r="U33" s="23" t="s">
        <v>40</v>
      </c>
      <c r="V33" s="25" t="n">
        <f>1109</f>
        <v>1109.0</v>
      </c>
      <c r="W33" s="23"/>
      <c r="X33" s="26" t="n">
        <f>6327</f>
        <v>6327.0</v>
      </c>
      <c r="Y33" s="24"/>
      <c r="Z33" s="25" t="n">
        <f>758542</f>
        <v>758542.0</v>
      </c>
      <c r="AA33" s="23"/>
      <c r="AB33" s="25" t="n">
        <f>464490</f>
        <v>464490.0</v>
      </c>
      <c r="AC33" s="23"/>
      <c r="AD33" s="26" t="n">
        <f>1223032</f>
        <v>1223032.0</v>
      </c>
    </row>
    <row r="34">
      <c r="A34" s="30" t="s">
        <v>54</v>
      </c>
      <c r="B34" s="22" t="s">
        <v>27</v>
      </c>
      <c r="C34" s="22" t="s">
        <v>28</v>
      </c>
      <c r="D34" s="24" t="s">
        <v>40</v>
      </c>
      <c r="E34" s="25" t="n">
        <f>17010</f>
        <v>17010.0</v>
      </c>
      <c r="F34" s="23" t="s">
        <v>40</v>
      </c>
      <c r="G34" s="25" t="n">
        <f>10998</f>
        <v>10998.0</v>
      </c>
      <c r="H34" s="23" t="s">
        <v>40</v>
      </c>
      <c r="I34" s="26" t="n">
        <f>28008</f>
        <v>28008.0</v>
      </c>
      <c r="J34" s="24"/>
      <c r="K34" s="25" t="n">
        <f>2390247000</f>
        <v>2.390247E9</v>
      </c>
      <c r="L34" s="23" t="s">
        <v>40</v>
      </c>
      <c r="M34" s="25" t="n">
        <f>1729550000</f>
        <v>1.72955E9</v>
      </c>
      <c r="N34" s="23" t="s">
        <v>40</v>
      </c>
      <c r="O34" s="26" t="n">
        <f>4119797000</f>
        <v>4.119797E9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2814</f>
        <v>2814.0</v>
      </c>
      <c r="U34" s="23"/>
      <c r="V34" s="25" t="n">
        <f>1581</f>
        <v>1581.0</v>
      </c>
      <c r="W34" s="23" t="s">
        <v>40</v>
      </c>
      <c r="X34" s="26" t="n">
        <f>4395</f>
        <v>4395.0</v>
      </c>
      <c r="Y34" s="24"/>
      <c r="Z34" s="25" t="n">
        <f>760694</f>
        <v>760694.0</v>
      </c>
      <c r="AA34" s="23"/>
      <c r="AB34" s="25" t="n">
        <f>466459</f>
        <v>466459.0</v>
      </c>
      <c r="AC34" s="23"/>
      <c r="AD34" s="26" t="n">
        <f>1227153</f>
        <v>1227153.0</v>
      </c>
    </row>
    <row r="35">
      <c r="A35" s="30" t="s">
        <v>55</v>
      </c>
      <c r="B35" s="22" t="s">
        <v>27</v>
      </c>
      <c r="C35" s="22" t="s">
        <v>28</v>
      </c>
      <c r="D35" s="24"/>
      <c r="E35" s="25"/>
      <c r="F35" s="23"/>
      <c r="G35" s="25"/>
      <c r="H35" s="23"/>
      <c r="I35" s="26"/>
      <c r="J35" s="24"/>
      <c r="K35" s="25"/>
      <c r="L35" s="23"/>
      <c r="M35" s="25"/>
      <c r="N35" s="23"/>
      <c r="O35" s="26"/>
      <c r="P35" s="27"/>
      <c r="Q35" s="28"/>
      <c r="R35" s="29"/>
      <c r="S35" s="24"/>
      <c r="T35" s="25"/>
      <c r="U35" s="23"/>
      <c r="V35" s="25"/>
      <c r="W35" s="23"/>
      <c r="X35" s="26"/>
      <c r="Y35" s="24"/>
      <c r="Z35" s="25"/>
      <c r="AA35" s="23"/>
      <c r="AB35" s="25"/>
      <c r="AC35" s="23"/>
      <c r="AD35" s="26"/>
    </row>
    <row r="36">
      <c r="A36" s="30" t="s">
        <v>56</v>
      </c>
      <c r="B36" s="22" t="s">
        <v>27</v>
      </c>
      <c r="C36" s="22" t="s">
        <v>28</v>
      </c>
      <c r="D36" s="24"/>
      <c r="E36" s="25"/>
      <c r="F36" s="23"/>
      <c r="G36" s="25"/>
      <c r="H36" s="23"/>
      <c r="I36" s="26"/>
      <c r="J36" s="24"/>
      <c r="K36" s="25"/>
      <c r="L36" s="23"/>
      <c r="M36" s="25"/>
      <c r="N36" s="23"/>
      <c r="O36" s="26"/>
      <c r="P36" s="27"/>
      <c r="Q36" s="28"/>
      <c r="R36" s="29"/>
      <c r="S36" s="24"/>
      <c r="T36" s="25"/>
      <c r="U36" s="23"/>
      <c r="V36" s="25"/>
      <c r="W36" s="23"/>
      <c r="X36" s="26"/>
      <c r="Y36" s="24"/>
      <c r="Z36" s="25"/>
      <c r="AA36" s="23"/>
      <c r="AB36" s="25"/>
      <c r="AC36" s="23"/>
      <c r="AD36" s="26"/>
    </row>
    <row r="37">
      <c r="A37" s="30" t="s">
        <v>57</v>
      </c>
      <c r="B37" s="22" t="s">
        <v>27</v>
      </c>
      <c r="C37" s="22" t="s">
        <v>28</v>
      </c>
      <c r="D37" s="24"/>
      <c r="E37" s="25" t="n">
        <f>25736</f>
        <v>25736.0</v>
      </c>
      <c r="F37" s="23"/>
      <c r="G37" s="25" t="n">
        <f>17931</f>
        <v>17931.0</v>
      </c>
      <c r="H37" s="23"/>
      <c r="I37" s="26" t="n">
        <f>43667</f>
        <v>43667.0</v>
      </c>
      <c r="J37" s="24" t="s">
        <v>40</v>
      </c>
      <c r="K37" s="25" t="n">
        <f>2129286000</f>
        <v>2.129286E9</v>
      </c>
      <c r="L37" s="23"/>
      <c r="M37" s="25" t="n">
        <f>2843282000</f>
        <v>2.843282E9</v>
      </c>
      <c r="N37" s="23"/>
      <c r="O37" s="26" t="n">
        <f>4972568000</f>
        <v>4.972568E9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 t="s">
        <v>40</v>
      </c>
      <c r="T37" s="25" t="n">
        <f>2374</f>
        <v>2374.0</v>
      </c>
      <c r="U37" s="23"/>
      <c r="V37" s="25" t="n">
        <f>4032</f>
        <v>4032.0</v>
      </c>
      <c r="W37" s="23"/>
      <c r="X37" s="26" t="n">
        <f>6406</f>
        <v>6406.0</v>
      </c>
      <c r="Y37" s="24"/>
      <c r="Z37" s="25" t="n">
        <f>759626</f>
        <v>759626.0</v>
      </c>
      <c r="AA37" s="23"/>
      <c r="AB37" s="25" t="n">
        <f>467207</f>
        <v>467207.0</v>
      </c>
      <c r="AC37" s="23"/>
      <c r="AD37" s="26" t="n">
        <f>1226833</f>
        <v>1226833.0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62700</f>
        <v>62700.0</v>
      </c>
      <c r="F38" s="23"/>
      <c r="G38" s="25" t="n">
        <f>52376</f>
        <v>52376.0</v>
      </c>
      <c r="H38" s="23"/>
      <c r="I38" s="26" t="n">
        <f>115076</f>
        <v>115076.0</v>
      </c>
      <c r="J38" s="24"/>
      <c r="K38" s="25" t="n">
        <f>7897775000</f>
        <v>7.897775E9</v>
      </c>
      <c r="L38" s="23"/>
      <c r="M38" s="25" t="n">
        <f>9496689500</f>
        <v>9.4966895E9</v>
      </c>
      <c r="N38" s="23"/>
      <c r="O38" s="26" t="n">
        <f>17394464500</f>
        <v>1.73944645E10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6526</f>
        <v>6526.0</v>
      </c>
      <c r="U38" s="23"/>
      <c r="V38" s="25" t="n">
        <f>8731</f>
        <v>8731.0</v>
      </c>
      <c r="W38" s="23"/>
      <c r="X38" s="26" t="n">
        <f>15257</f>
        <v>15257.0</v>
      </c>
      <c r="Y38" s="24"/>
      <c r="Z38" s="25" t="n">
        <f>780137</f>
        <v>780137.0</v>
      </c>
      <c r="AA38" s="23"/>
      <c r="AB38" s="25" t="n">
        <f>472756</f>
        <v>472756.0</v>
      </c>
      <c r="AC38" s="23"/>
      <c r="AD38" s="26" t="n">
        <f>1252893</f>
        <v>1252893.0</v>
      </c>
    </row>
    <row r="39">
      <c r="A39" s="30" t="s">
        <v>59</v>
      </c>
      <c r="B39" s="22" t="s">
        <v>27</v>
      </c>
      <c r="C39" s="22" t="s">
        <v>28</v>
      </c>
      <c r="D39" s="24"/>
      <c r="E39" s="25" t="n">
        <f>65110</f>
        <v>65110.0</v>
      </c>
      <c r="F39" s="23"/>
      <c r="G39" s="25" t="n">
        <f>51255</f>
        <v>51255.0</v>
      </c>
      <c r="H39" s="23"/>
      <c r="I39" s="26" t="n">
        <f>116365</f>
        <v>116365.0</v>
      </c>
      <c r="J39" s="24"/>
      <c r="K39" s="25" t="n">
        <f>9036858175</f>
        <v>9.036858175E9</v>
      </c>
      <c r="L39" s="23"/>
      <c r="M39" s="25" t="n">
        <f>14982359800</f>
        <v>1.49823598E10</v>
      </c>
      <c r="N39" s="23"/>
      <c r="O39" s="26" t="n">
        <f>24019217975</f>
        <v>2.4019217975E10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8414</f>
        <v>8414.0</v>
      </c>
      <c r="U39" s="23"/>
      <c r="V39" s="25" t="n">
        <f>8017</f>
        <v>8017.0</v>
      </c>
      <c r="W39" s="23"/>
      <c r="X39" s="26" t="n">
        <f>16431</f>
        <v>16431.0</v>
      </c>
      <c r="Y39" s="24"/>
      <c r="Z39" s="25" t="n">
        <f>783891</f>
        <v>783891.0</v>
      </c>
      <c r="AA39" s="23"/>
      <c r="AB39" s="25" t="n">
        <f>469223</f>
        <v>469223.0</v>
      </c>
      <c r="AC39" s="23"/>
      <c r="AD39" s="26" t="n">
        <f>1253114</f>
        <v>1253114.0</v>
      </c>
    </row>
    <row r="40">
      <c r="A40" s="30" t="s">
        <v>60</v>
      </c>
      <c r="B40" s="22" t="s">
        <v>27</v>
      </c>
      <c r="C40" s="22" t="s">
        <v>28</v>
      </c>
      <c r="D40" s="24"/>
      <c r="E40" s="25"/>
      <c r="F40" s="23"/>
      <c r="G40" s="25"/>
      <c r="H40" s="23"/>
      <c r="I40" s="26"/>
      <c r="J40" s="24"/>
      <c r="K40" s="25"/>
      <c r="L40" s="23"/>
      <c r="M40" s="25"/>
      <c r="N40" s="23"/>
      <c r="O40" s="26"/>
      <c r="P40" s="27"/>
      <c r="Q40" s="28"/>
      <c r="R40" s="29"/>
      <c r="S40" s="24"/>
      <c r="T40" s="25"/>
      <c r="U40" s="23"/>
      <c r="V40" s="25"/>
      <c r="W40" s="23"/>
      <c r="X40" s="26"/>
      <c r="Y40" s="24"/>
      <c r="Z40" s="25"/>
      <c r="AA40" s="23"/>
      <c r="AB40" s="25"/>
      <c r="AC40" s="23"/>
      <c r="AD40" s="26"/>
    </row>
    <row r="41">
      <c r="A41" s="30" t="s">
        <v>26</v>
      </c>
      <c r="B41" s="22" t="s">
        <v>61</v>
      </c>
      <c r="C41" s="22" t="s">
        <v>62</v>
      </c>
      <c r="D41" s="24"/>
      <c r="E41" s="25" t="n">
        <f>803</f>
        <v>803.0</v>
      </c>
      <c r="F41" s="23"/>
      <c r="G41" s="25" t="n">
        <f>571</f>
        <v>571.0</v>
      </c>
      <c r="H41" s="23"/>
      <c r="I41" s="26" t="n">
        <f>1374</f>
        <v>1374.0</v>
      </c>
      <c r="J41" s="24"/>
      <c r="K41" s="25" t="n">
        <f>40230000</f>
        <v>4.023E7</v>
      </c>
      <c r="L41" s="23"/>
      <c r="M41" s="25" t="n">
        <f>40357000</f>
        <v>4.0357E7</v>
      </c>
      <c r="N41" s="23"/>
      <c r="O41" s="26" t="n">
        <f>80587000</f>
        <v>8.0587E7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122</f>
        <v>122.0</v>
      </c>
      <c r="U41" s="23"/>
      <c r="V41" s="25" t="n">
        <f>32</f>
        <v>32.0</v>
      </c>
      <c r="W41" s="23"/>
      <c r="X41" s="26" t="n">
        <f>154</f>
        <v>154.0</v>
      </c>
      <c r="Y41" s="24"/>
      <c r="Z41" s="25" t="n">
        <f>2094</f>
        <v>2094.0</v>
      </c>
      <c r="AA41" s="23"/>
      <c r="AB41" s="25" t="n">
        <f>1552</f>
        <v>1552.0</v>
      </c>
      <c r="AC41" s="23"/>
      <c r="AD41" s="26" t="n">
        <f>3646</f>
        <v>3646.0</v>
      </c>
    </row>
    <row r="42">
      <c r="A42" s="30" t="s">
        <v>29</v>
      </c>
      <c r="B42" s="22" t="s">
        <v>61</v>
      </c>
      <c r="C42" s="22" t="s">
        <v>62</v>
      </c>
      <c r="D42" s="24"/>
      <c r="E42" s="25" t="n">
        <f>824</f>
        <v>824.0</v>
      </c>
      <c r="F42" s="23"/>
      <c r="G42" s="25" t="n">
        <f>434</f>
        <v>434.0</v>
      </c>
      <c r="H42" s="23"/>
      <c r="I42" s="26" t="n">
        <f>1258</f>
        <v>1258.0</v>
      </c>
      <c r="J42" s="24"/>
      <c r="K42" s="25" t="n">
        <f>28527000</f>
        <v>2.8527E7</v>
      </c>
      <c r="L42" s="23"/>
      <c r="M42" s="25" t="n">
        <f>19359000</f>
        <v>1.9359E7</v>
      </c>
      <c r="N42" s="23"/>
      <c r="O42" s="26" t="n">
        <f>47886000</f>
        <v>4.7886E7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74</f>
        <v>74.0</v>
      </c>
      <c r="U42" s="23"/>
      <c r="V42" s="25" t="n">
        <f>48</f>
        <v>48.0</v>
      </c>
      <c r="W42" s="23"/>
      <c r="X42" s="26" t="n">
        <f>122</f>
        <v>122.0</v>
      </c>
      <c r="Y42" s="24"/>
      <c r="Z42" s="25" t="n">
        <f>2172</f>
        <v>2172.0</v>
      </c>
      <c r="AA42" s="23"/>
      <c r="AB42" s="25" t="n">
        <f>1684</f>
        <v>1684.0</v>
      </c>
      <c r="AC42" s="23"/>
      <c r="AD42" s="26" t="n">
        <f>3856</f>
        <v>3856.0</v>
      </c>
    </row>
    <row r="43">
      <c r="A43" s="30" t="s">
        <v>30</v>
      </c>
      <c r="B43" s="22" t="s">
        <v>61</v>
      </c>
      <c r="C43" s="22" t="s">
        <v>62</v>
      </c>
      <c r="D43" s="24"/>
      <c r="E43" s="25" t="n">
        <f>1322</f>
        <v>1322.0</v>
      </c>
      <c r="F43" s="23"/>
      <c r="G43" s="25" t="n">
        <f>919</f>
        <v>919.0</v>
      </c>
      <c r="H43" s="23"/>
      <c r="I43" s="26" t="n">
        <f>2241</f>
        <v>2241.0</v>
      </c>
      <c r="J43" s="24"/>
      <c r="K43" s="25" t="n">
        <f>29585000</f>
        <v>2.9585E7</v>
      </c>
      <c r="L43" s="23"/>
      <c r="M43" s="25" t="n">
        <f>24172000</f>
        <v>2.4172E7</v>
      </c>
      <c r="N43" s="23"/>
      <c r="O43" s="26" t="n">
        <f>53757000</f>
        <v>5.3757E7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98</f>
        <v>98.0</v>
      </c>
      <c r="U43" s="23"/>
      <c r="V43" s="25" t="n">
        <f>79</f>
        <v>79.0</v>
      </c>
      <c r="W43" s="23"/>
      <c r="X43" s="26" t="n">
        <f>177</f>
        <v>177.0</v>
      </c>
      <c r="Y43" s="24"/>
      <c r="Z43" s="25" t="n">
        <f>2335</f>
        <v>2335.0</v>
      </c>
      <c r="AA43" s="23"/>
      <c r="AB43" s="25" t="n">
        <f>1878</f>
        <v>1878.0</v>
      </c>
      <c r="AC43" s="23"/>
      <c r="AD43" s="26" t="n">
        <f>4213</f>
        <v>4213.0</v>
      </c>
    </row>
    <row r="44">
      <c r="A44" s="30" t="s">
        <v>32</v>
      </c>
      <c r="B44" s="22" t="s">
        <v>61</v>
      </c>
      <c r="C44" s="22" t="s">
        <v>62</v>
      </c>
      <c r="D44" s="24" t="s">
        <v>40</v>
      </c>
      <c r="E44" s="25" t="n">
        <f>35</f>
        <v>35.0</v>
      </c>
      <c r="F44" s="23" t="s">
        <v>40</v>
      </c>
      <c r="G44" s="25" t="n">
        <f>15</f>
        <v>15.0</v>
      </c>
      <c r="H44" s="23" t="s">
        <v>40</v>
      </c>
      <c r="I44" s="26" t="n">
        <f>50</f>
        <v>50.0</v>
      </c>
      <c r="J44" s="24" t="s">
        <v>40</v>
      </c>
      <c r="K44" s="25" t="n">
        <f>3635000</f>
        <v>3635000.0</v>
      </c>
      <c r="L44" s="23" t="s">
        <v>40</v>
      </c>
      <c r="M44" s="25" t="n">
        <f>1437000</f>
        <v>1437000.0</v>
      </c>
      <c r="N44" s="23" t="s">
        <v>40</v>
      </c>
      <c r="O44" s="26" t="n">
        <f>5072000</f>
        <v>5072000.0</v>
      </c>
      <c r="P44" s="27" t="n">
        <f>82</f>
        <v>82.0</v>
      </c>
      <c r="Q44" s="28" t="n">
        <f>325</f>
        <v>325.0</v>
      </c>
      <c r="R44" s="29" t="n">
        <f>407</f>
        <v>407.0</v>
      </c>
      <c r="S44" s="24" t="s">
        <v>40</v>
      </c>
      <c r="T44" s="25" t="str">
        <f>"－"</f>
        <v>－</v>
      </c>
      <c r="U44" s="23"/>
      <c r="V44" s="25" t="n">
        <f>6</f>
        <v>6.0</v>
      </c>
      <c r="W44" s="23"/>
      <c r="X44" s="26" t="n">
        <f>6</f>
        <v>6.0</v>
      </c>
      <c r="Y44" s="24" t="s">
        <v>40</v>
      </c>
      <c r="Z44" s="25" t="n">
        <f>191</f>
        <v>191.0</v>
      </c>
      <c r="AA44" s="23" t="s">
        <v>40</v>
      </c>
      <c r="AB44" s="25" t="n">
        <f>455</f>
        <v>455.0</v>
      </c>
      <c r="AC44" s="23" t="s">
        <v>40</v>
      </c>
      <c r="AD44" s="26" t="n">
        <f>646</f>
        <v>646.0</v>
      </c>
    </row>
    <row r="45">
      <c r="A45" s="30" t="s">
        <v>33</v>
      </c>
      <c r="B45" s="22" t="s">
        <v>61</v>
      </c>
      <c r="C45" s="22" t="s">
        <v>62</v>
      </c>
      <c r="D45" s="24"/>
      <c r="E45" s="25"/>
      <c r="F45" s="23"/>
      <c r="G45" s="25"/>
      <c r="H45" s="23"/>
      <c r="I45" s="26"/>
      <c r="J45" s="24"/>
      <c r="K45" s="25"/>
      <c r="L45" s="23"/>
      <c r="M45" s="25"/>
      <c r="N45" s="23"/>
      <c r="O45" s="26"/>
      <c r="P45" s="27"/>
      <c r="Q45" s="28"/>
      <c r="R45" s="29"/>
      <c r="S45" s="24"/>
      <c r="T45" s="25"/>
      <c r="U45" s="23"/>
      <c r="V45" s="25"/>
      <c r="W45" s="23"/>
      <c r="X45" s="26"/>
      <c r="Y45" s="24"/>
      <c r="Z45" s="25"/>
      <c r="AA45" s="23"/>
      <c r="AB45" s="25"/>
      <c r="AC45" s="23"/>
      <c r="AD45" s="26"/>
    </row>
    <row r="46">
      <c r="A46" s="30" t="s">
        <v>34</v>
      </c>
      <c r="B46" s="22" t="s">
        <v>61</v>
      </c>
      <c r="C46" s="22" t="s">
        <v>62</v>
      </c>
      <c r="D46" s="24"/>
      <c r="E46" s="25"/>
      <c r="F46" s="23"/>
      <c r="G46" s="25"/>
      <c r="H46" s="23"/>
      <c r="I46" s="26"/>
      <c r="J46" s="24"/>
      <c r="K46" s="25"/>
      <c r="L46" s="23"/>
      <c r="M46" s="25"/>
      <c r="N46" s="23"/>
      <c r="O46" s="26"/>
      <c r="P46" s="27"/>
      <c r="Q46" s="28"/>
      <c r="R46" s="29"/>
      <c r="S46" s="24"/>
      <c r="T46" s="25"/>
      <c r="U46" s="23"/>
      <c r="V46" s="25"/>
      <c r="W46" s="23"/>
      <c r="X46" s="26"/>
      <c r="Y46" s="24"/>
      <c r="Z46" s="25"/>
      <c r="AA46" s="23"/>
      <c r="AB46" s="25"/>
      <c r="AC46" s="23"/>
      <c r="AD46" s="26"/>
    </row>
    <row r="47">
      <c r="A47" s="30" t="s">
        <v>35</v>
      </c>
      <c r="B47" s="22" t="s">
        <v>61</v>
      </c>
      <c r="C47" s="22" t="s">
        <v>62</v>
      </c>
      <c r="D47" s="24"/>
      <c r="E47" s="25" t="n">
        <f>101</f>
        <v>101.0</v>
      </c>
      <c r="F47" s="23"/>
      <c r="G47" s="25" t="n">
        <f>37</f>
        <v>37.0</v>
      </c>
      <c r="H47" s="23"/>
      <c r="I47" s="26" t="n">
        <f>138</f>
        <v>138.0</v>
      </c>
      <c r="J47" s="24"/>
      <c r="K47" s="25" t="n">
        <f>7661000</f>
        <v>7661000.0</v>
      </c>
      <c r="L47" s="23"/>
      <c r="M47" s="25" t="n">
        <f>3002000</f>
        <v>3002000.0</v>
      </c>
      <c r="N47" s="23"/>
      <c r="O47" s="26" t="n">
        <f>10663000</f>
        <v>1.0663E7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13</f>
        <v>13.0</v>
      </c>
      <c r="U47" s="23"/>
      <c r="V47" s="25" t="n">
        <f>5</f>
        <v>5.0</v>
      </c>
      <c r="W47" s="23"/>
      <c r="X47" s="26" t="n">
        <f>18</f>
        <v>18.0</v>
      </c>
      <c r="Y47" s="24"/>
      <c r="Z47" s="25" t="n">
        <f>243</f>
        <v>243.0</v>
      </c>
      <c r="AA47" s="23"/>
      <c r="AB47" s="25" t="n">
        <f>491</f>
        <v>491.0</v>
      </c>
      <c r="AC47" s="23"/>
      <c r="AD47" s="26" t="n">
        <f>734</f>
        <v>734.0</v>
      </c>
    </row>
    <row r="48">
      <c r="A48" s="30" t="s">
        <v>36</v>
      </c>
      <c r="B48" s="22" t="s">
        <v>61</v>
      </c>
      <c r="C48" s="22" t="s">
        <v>62</v>
      </c>
      <c r="D48" s="24"/>
      <c r="E48" s="25" t="n">
        <f>50</f>
        <v>50.0</v>
      </c>
      <c r="F48" s="23"/>
      <c r="G48" s="25" t="n">
        <f>41</f>
        <v>41.0</v>
      </c>
      <c r="H48" s="23"/>
      <c r="I48" s="26" t="n">
        <f>91</f>
        <v>91.0</v>
      </c>
      <c r="J48" s="24"/>
      <c r="K48" s="25" t="n">
        <f>4378000</f>
        <v>4378000.0</v>
      </c>
      <c r="L48" s="23"/>
      <c r="M48" s="25" t="n">
        <f>2112000</f>
        <v>2112000.0</v>
      </c>
      <c r="N48" s="23"/>
      <c r="O48" s="26" t="n">
        <f>6490000</f>
        <v>6490000.0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1</f>
        <v>1.0</v>
      </c>
      <c r="U48" s="23"/>
      <c r="V48" s="25" t="n">
        <f>5</f>
        <v>5.0</v>
      </c>
      <c r="W48" s="23"/>
      <c r="X48" s="26" t="n">
        <f>6</f>
        <v>6.0</v>
      </c>
      <c r="Y48" s="24"/>
      <c r="Z48" s="25" t="n">
        <f>260</f>
        <v>260.0</v>
      </c>
      <c r="AA48" s="23"/>
      <c r="AB48" s="25" t="n">
        <f>484</f>
        <v>484.0</v>
      </c>
      <c r="AC48" s="23"/>
      <c r="AD48" s="26" t="n">
        <f>744</f>
        <v>744.0</v>
      </c>
    </row>
    <row r="49">
      <c r="A49" s="30" t="s">
        <v>37</v>
      </c>
      <c r="B49" s="22" t="s">
        <v>61</v>
      </c>
      <c r="C49" s="22" t="s">
        <v>62</v>
      </c>
      <c r="D49" s="24"/>
      <c r="E49" s="25" t="n">
        <f>256</f>
        <v>256.0</v>
      </c>
      <c r="F49" s="23"/>
      <c r="G49" s="25" t="n">
        <f>49</f>
        <v>49.0</v>
      </c>
      <c r="H49" s="23"/>
      <c r="I49" s="26" t="n">
        <f>305</f>
        <v>305.0</v>
      </c>
      <c r="J49" s="24"/>
      <c r="K49" s="25" t="n">
        <f>11166000</f>
        <v>1.1166E7</v>
      </c>
      <c r="L49" s="23"/>
      <c r="M49" s="25" t="n">
        <f>3038000</f>
        <v>3038000.0</v>
      </c>
      <c r="N49" s="23"/>
      <c r="O49" s="26" t="n">
        <f>14204000</f>
        <v>1.4204E7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11</f>
        <v>11.0</v>
      </c>
      <c r="U49" s="23"/>
      <c r="V49" s="25" t="n">
        <f>11</f>
        <v>11.0</v>
      </c>
      <c r="W49" s="23"/>
      <c r="X49" s="26" t="n">
        <f>22</f>
        <v>22.0</v>
      </c>
      <c r="Y49" s="24"/>
      <c r="Z49" s="25" t="n">
        <f>465</f>
        <v>465.0</v>
      </c>
      <c r="AA49" s="23"/>
      <c r="AB49" s="25" t="n">
        <f>517</f>
        <v>517.0</v>
      </c>
      <c r="AC49" s="23"/>
      <c r="AD49" s="26" t="n">
        <f>982</f>
        <v>982.0</v>
      </c>
    </row>
    <row r="50">
      <c r="A50" s="30" t="s">
        <v>38</v>
      </c>
      <c r="B50" s="22" t="s">
        <v>61</v>
      </c>
      <c r="C50" s="22" t="s">
        <v>62</v>
      </c>
      <c r="D50" s="24"/>
      <c r="E50" s="25" t="n">
        <f>239</f>
        <v>239.0</v>
      </c>
      <c r="F50" s="23"/>
      <c r="G50" s="25" t="n">
        <f>192</f>
        <v>192.0</v>
      </c>
      <c r="H50" s="23"/>
      <c r="I50" s="26" t="n">
        <f>431</f>
        <v>431.0</v>
      </c>
      <c r="J50" s="24"/>
      <c r="K50" s="25" t="n">
        <f>10323000</f>
        <v>1.0323E7</v>
      </c>
      <c r="L50" s="23"/>
      <c r="M50" s="25" t="n">
        <f>10486000</f>
        <v>1.0486E7</v>
      </c>
      <c r="N50" s="23"/>
      <c r="O50" s="26" t="n">
        <f>20809000</f>
        <v>2.0809E7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24</f>
        <v>24.0</v>
      </c>
      <c r="U50" s="23"/>
      <c r="V50" s="25" t="n">
        <f>21</f>
        <v>21.0</v>
      </c>
      <c r="W50" s="23"/>
      <c r="X50" s="26" t="n">
        <f>45</f>
        <v>45.0</v>
      </c>
      <c r="Y50" s="24"/>
      <c r="Z50" s="25" t="n">
        <f>653</f>
        <v>653.0</v>
      </c>
      <c r="AA50" s="23"/>
      <c r="AB50" s="25" t="n">
        <f>624</f>
        <v>624.0</v>
      </c>
      <c r="AC50" s="23"/>
      <c r="AD50" s="26" t="n">
        <f>1277</f>
        <v>1277.0</v>
      </c>
    </row>
    <row r="51">
      <c r="A51" s="30" t="s">
        <v>39</v>
      </c>
      <c r="B51" s="22" t="s">
        <v>61</v>
      </c>
      <c r="C51" s="22" t="s">
        <v>62</v>
      </c>
      <c r="D51" s="24"/>
      <c r="E51" s="25" t="n">
        <f>448</f>
        <v>448.0</v>
      </c>
      <c r="F51" s="23"/>
      <c r="G51" s="25" t="n">
        <f>699</f>
        <v>699.0</v>
      </c>
      <c r="H51" s="23"/>
      <c r="I51" s="26" t="n">
        <f>1147</f>
        <v>1147.0</v>
      </c>
      <c r="J51" s="24"/>
      <c r="K51" s="25" t="n">
        <f>24622000</f>
        <v>2.4622E7</v>
      </c>
      <c r="L51" s="23"/>
      <c r="M51" s="25" t="n">
        <f>111469938</f>
        <v>1.11469938E8</v>
      </c>
      <c r="N51" s="23"/>
      <c r="O51" s="26" t="n">
        <f>136091938</f>
        <v>1.36091938E8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43</f>
        <v>43.0</v>
      </c>
      <c r="U51" s="23" t="s">
        <v>31</v>
      </c>
      <c r="V51" s="25" t="n">
        <f>305</f>
        <v>305.0</v>
      </c>
      <c r="W51" s="23"/>
      <c r="X51" s="26" t="n">
        <f>348</f>
        <v>348.0</v>
      </c>
      <c r="Y51" s="24"/>
      <c r="Z51" s="25" t="n">
        <f>873</f>
        <v>873.0</v>
      </c>
      <c r="AA51" s="23"/>
      <c r="AB51" s="25" t="n">
        <f>1133</f>
        <v>1133.0</v>
      </c>
      <c r="AC51" s="23"/>
      <c r="AD51" s="26" t="n">
        <f>2006</f>
        <v>2006.0</v>
      </c>
    </row>
    <row r="52">
      <c r="A52" s="30" t="s">
        <v>41</v>
      </c>
      <c r="B52" s="22" t="s">
        <v>61</v>
      </c>
      <c r="C52" s="22" t="s">
        <v>62</v>
      </c>
      <c r="D52" s="24"/>
      <c r="E52" s="25"/>
      <c r="F52" s="23"/>
      <c r="G52" s="25"/>
      <c r="H52" s="23"/>
      <c r="I52" s="26"/>
      <c r="J52" s="24"/>
      <c r="K52" s="25"/>
      <c r="L52" s="23"/>
      <c r="M52" s="25"/>
      <c r="N52" s="23"/>
      <c r="O52" s="26"/>
      <c r="P52" s="27"/>
      <c r="Q52" s="28"/>
      <c r="R52" s="29"/>
      <c r="S52" s="24"/>
      <c r="T52" s="25"/>
      <c r="U52" s="23"/>
      <c r="V52" s="25"/>
      <c r="W52" s="23"/>
      <c r="X52" s="26"/>
      <c r="Y52" s="24"/>
      <c r="Z52" s="25"/>
      <c r="AA52" s="23"/>
      <c r="AB52" s="25"/>
      <c r="AC52" s="23"/>
      <c r="AD52" s="26"/>
    </row>
    <row r="53">
      <c r="A53" s="30" t="s">
        <v>42</v>
      </c>
      <c r="B53" s="22" t="s">
        <v>61</v>
      </c>
      <c r="C53" s="22" t="s">
        <v>62</v>
      </c>
      <c r="D53" s="24"/>
      <c r="E53" s="25"/>
      <c r="F53" s="23"/>
      <c r="G53" s="25"/>
      <c r="H53" s="23"/>
      <c r="I53" s="26"/>
      <c r="J53" s="24"/>
      <c r="K53" s="25"/>
      <c r="L53" s="23"/>
      <c r="M53" s="25"/>
      <c r="N53" s="23"/>
      <c r="O53" s="26"/>
      <c r="P53" s="27"/>
      <c r="Q53" s="28"/>
      <c r="R53" s="29"/>
      <c r="S53" s="24"/>
      <c r="T53" s="25"/>
      <c r="U53" s="23"/>
      <c r="V53" s="25"/>
      <c r="W53" s="23"/>
      <c r="X53" s="26"/>
      <c r="Y53" s="24"/>
      <c r="Z53" s="25"/>
      <c r="AA53" s="23"/>
      <c r="AB53" s="25"/>
      <c r="AC53" s="23"/>
      <c r="AD53" s="26"/>
    </row>
    <row r="54">
      <c r="A54" s="30" t="s">
        <v>43</v>
      </c>
      <c r="B54" s="22" t="s">
        <v>61</v>
      </c>
      <c r="C54" s="22" t="s">
        <v>62</v>
      </c>
      <c r="D54" s="24"/>
      <c r="E54" s="25" t="n">
        <f>1360</f>
        <v>1360.0</v>
      </c>
      <c r="F54" s="23"/>
      <c r="G54" s="25" t="n">
        <f>787</f>
        <v>787.0</v>
      </c>
      <c r="H54" s="23"/>
      <c r="I54" s="26" t="n">
        <f>2147</f>
        <v>2147.0</v>
      </c>
      <c r="J54" s="24"/>
      <c r="K54" s="25" t="n">
        <f>52883000</f>
        <v>5.2883E7</v>
      </c>
      <c r="L54" s="23"/>
      <c r="M54" s="25" t="n">
        <f>34485000</f>
        <v>3.4485E7</v>
      </c>
      <c r="N54" s="23"/>
      <c r="O54" s="26" t="n">
        <f>87368000</f>
        <v>8.7368E7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133</f>
        <v>133.0</v>
      </c>
      <c r="U54" s="23"/>
      <c r="V54" s="25" t="n">
        <f>106</f>
        <v>106.0</v>
      </c>
      <c r="W54" s="23"/>
      <c r="X54" s="26" t="n">
        <f>239</f>
        <v>239.0</v>
      </c>
      <c r="Y54" s="24"/>
      <c r="Z54" s="25" t="n">
        <f>1488</f>
        <v>1488.0</v>
      </c>
      <c r="AA54" s="23"/>
      <c r="AB54" s="25" t="n">
        <f>1503</f>
        <v>1503.0</v>
      </c>
      <c r="AC54" s="23"/>
      <c r="AD54" s="26" t="n">
        <f>2991</f>
        <v>2991.0</v>
      </c>
    </row>
    <row r="55">
      <c r="A55" s="30" t="s">
        <v>44</v>
      </c>
      <c r="B55" s="22" t="s">
        <v>61</v>
      </c>
      <c r="C55" s="22" t="s">
        <v>62</v>
      </c>
      <c r="D55" s="24"/>
      <c r="E55" s="25" t="n">
        <f>850</f>
        <v>850.0</v>
      </c>
      <c r="F55" s="23"/>
      <c r="G55" s="25" t="n">
        <f>639</f>
        <v>639.0</v>
      </c>
      <c r="H55" s="23"/>
      <c r="I55" s="26" t="n">
        <f>1489</f>
        <v>1489.0</v>
      </c>
      <c r="J55" s="24"/>
      <c r="K55" s="25" t="n">
        <f>24014000</f>
        <v>2.4014E7</v>
      </c>
      <c r="L55" s="23"/>
      <c r="M55" s="25" t="n">
        <f>13409000</f>
        <v>1.3409E7</v>
      </c>
      <c r="N55" s="23"/>
      <c r="O55" s="26" t="n">
        <f>37423000</f>
        <v>3.7423E7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145</f>
        <v>145.0</v>
      </c>
      <c r="U55" s="23"/>
      <c r="V55" s="25" t="n">
        <f>68</f>
        <v>68.0</v>
      </c>
      <c r="W55" s="23"/>
      <c r="X55" s="26" t="n">
        <f>213</f>
        <v>213.0</v>
      </c>
      <c r="Y55" s="24"/>
      <c r="Z55" s="25" t="n">
        <f>1994</f>
        <v>1994.0</v>
      </c>
      <c r="AA55" s="23"/>
      <c r="AB55" s="25" t="n">
        <f>1802</f>
        <v>1802.0</v>
      </c>
      <c r="AC55" s="23"/>
      <c r="AD55" s="26" t="n">
        <f>3796</f>
        <v>3796.0</v>
      </c>
    </row>
    <row r="56">
      <c r="A56" s="30" t="s">
        <v>45</v>
      </c>
      <c r="B56" s="22" t="s">
        <v>61</v>
      </c>
      <c r="C56" s="22" t="s">
        <v>62</v>
      </c>
      <c r="D56" s="24"/>
      <c r="E56" s="25" t="n">
        <f>1389</f>
        <v>1389.0</v>
      </c>
      <c r="F56" s="23"/>
      <c r="G56" s="25" t="n">
        <f>889</f>
        <v>889.0</v>
      </c>
      <c r="H56" s="23"/>
      <c r="I56" s="26" t="n">
        <f>2278</f>
        <v>2278.0</v>
      </c>
      <c r="J56" s="24"/>
      <c r="K56" s="25" t="n">
        <f>32789000</f>
        <v>3.2789E7</v>
      </c>
      <c r="L56" s="23"/>
      <c r="M56" s="25" t="n">
        <f>57820000</f>
        <v>5.782E7</v>
      </c>
      <c r="N56" s="23"/>
      <c r="O56" s="26" t="n">
        <f>90609000</f>
        <v>9.0609E7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94</f>
        <v>94.0</v>
      </c>
      <c r="U56" s="23"/>
      <c r="V56" s="25" t="n">
        <f>78</f>
        <v>78.0</v>
      </c>
      <c r="W56" s="23"/>
      <c r="X56" s="26" t="n">
        <f>172</f>
        <v>172.0</v>
      </c>
      <c r="Y56" s="24"/>
      <c r="Z56" s="25" t="n">
        <f>2378</f>
        <v>2378.0</v>
      </c>
      <c r="AA56" s="23"/>
      <c r="AB56" s="25" t="n">
        <f>2402</f>
        <v>2402.0</v>
      </c>
      <c r="AC56" s="23"/>
      <c r="AD56" s="26" t="n">
        <f>4780</f>
        <v>4780.0</v>
      </c>
    </row>
    <row r="57">
      <c r="A57" s="30" t="s">
        <v>46</v>
      </c>
      <c r="B57" s="22" t="s">
        <v>61</v>
      </c>
      <c r="C57" s="22" t="s">
        <v>62</v>
      </c>
      <c r="D57" s="24"/>
      <c r="E57" s="25" t="n">
        <f>1926</f>
        <v>1926.0</v>
      </c>
      <c r="F57" s="23"/>
      <c r="G57" s="25" t="n">
        <f>917</f>
        <v>917.0</v>
      </c>
      <c r="H57" s="23"/>
      <c r="I57" s="26" t="n">
        <f>2843</f>
        <v>2843.0</v>
      </c>
      <c r="J57" s="24"/>
      <c r="K57" s="25" t="n">
        <f>67243000</f>
        <v>6.7243E7</v>
      </c>
      <c r="L57" s="23"/>
      <c r="M57" s="25" t="n">
        <f>21825000</f>
        <v>2.1825E7</v>
      </c>
      <c r="N57" s="23"/>
      <c r="O57" s="26" t="n">
        <f>89068000</f>
        <v>8.9068E7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 t="s">
        <v>31</v>
      </c>
      <c r="T57" s="25" t="n">
        <f>387</f>
        <v>387.0</v>
      </c>
      <c r="U57" s="23"/>
      <c r="V57" s="25" t="n">
        <f>78</f>
        <v>78.0</v>
      </c>
      <c r="W57" s="23" t="s">
        <v>31</v>
      </c>
      <c r="X57" s="26" t="n">
        <f>465</f>
        <v>465.0</v>
      </c>
      <c r="Y57" s="24" t="s">
        <v>31</v>
      </c>
      <c r="Z57" s="25" t="n">
        <f>3157</f>
        <v>3157.0</v>
      </c>
      <c r="AA57" s="23" t="s">
        <v>31</v>
      </c>
      <c r="AB57" s="25" t="n">
        <f>2648</f>
        <v>2648.0</v>
      </c>
      <c r="AC57" s="23" t="s">
        <v>31</v>
      </c>
      <c r="AD57" s="26" t="n">
        <f>5805</f>
        <v>5805.0</v>
      </c>
    </row>
    <row r="58">
      <c r="A58" s="30" t="s">
        <v>47</v>
      </c>
      <c r="B58" s="22" t="s">
        <v>61</v>
      </c>
      <c r="C58" s="22" t="s">
        <v>62</v>
      </c>
      <c r="D58" s="24"/>
      <c r="E58" s="25" t="n">
        <f>386</f>
        <v>386.0</v>
      </c>
      <c r="F58" s="23"/>
      <c r="G58" s="25" t="n">
        <f>644</f>
        <v>644.0</v>
      </c>
      <c r="H58" s="23"/>
      <c r="I58" s="26" t="n">
        <f>1030</f>
        <v>1030.0</v>
      </c>
      <c r="J58" s="24"/>
      <c r="K58" s="25" t="n">
        <f>12166000</f>
        <v>1.2166E7</v>
      </c>
      <c r="L58" s="23"/>
      <c r="M58" s="25" t="n">
        <f>87026000</f>
        <v>8.7026E7</v>
      </c>
      <c r="N58" s="23"/>
      <c r="O58" s="26" t="n">
        <f>99192000</f>
        <v>9.9192E7</v>
      </c>
      <c r="P58" s="27" t="n">
        <f>16</f>
        <v>16.0</v>
      </c>
      <c r="Q58" s="28" t="n">
        <f>313</f>
        <v>313.0</v>
      </c>
      <c r="R58" s="29" t="n">
        <f>329</f>
        <v>329.0</v>
      </c>
      <c r="S58" s="24"/>
      <c r="T58" s="25" t="n">
        <f>82</f>
        <v>82.0</v>
      </c>
      <c r="U58" s="23"/>
      <c r="V58" s="25" t="n">
        <f>273</f>
        <v>273.0</v>
      </c>
      <c r="W58" s="23"/>
      <c r="X58" s="26" t="n">
        <f>355</f>
        <v>355.0</v>
      </c>
      <c r="Y58" s="24"/>
      <c r="Z58" s="25" t="n">
        <f>1146</f>
        <v>1146.0</v>
      </c>
      <c r="AA58" s="23"/>
      <c r="AB58" s="25" t="n">
        <f>1144</f>
        <v>1144.0</v>
      </c>
      <c r="AC58" s="23"/>
      <c r="AD58" s="26" t="n">
        <f>2290</f>
        <v>2290.0</v>
      </c>
    </row>
    <row r="59">
      <c r="A59" s="30" t="s">
        <v>48</v>
      </c>
      <c r="B59" s="22" t="s">
        <v>61</v>
      </c>
      <c r="C59" s="22" t="s">
        <v>62</v>
      </c>
      <c r="D59" s="24"/>
      <c r="E59" s="25"/>
      <c r="F59" s="23"/>
      <c r="G59" s="25"/>
      <c r="H59" s="23"/>
      <c r="I59" s="26"/>
      <c r="J59" s="24"/>
      <c r="K59" s="25"/>
      <c r="L59" s="23"/>
      <c r="M59" s="25"/>
      <c r="N59" s="23"/>
      <c r="O59" s="26"/>
      <c r="P59" s="27"/>
      <c r="Q59" s="28"/>
      <c r="R59" s="29"/>
      <c r="S59" s="24"/>
      <c r="T59" s="25"/>
      <c r="U59" s="23"/>
      <c r="V59" s="25"/>
      <c r="W59" s="23"/>
      <c r="X59" s="26"/>
      <c r="Y59" s="24"/>
      <c r="Z59" s="25"/>
      <c r="AA59" s="23"/>
      <c r="AB59" s="25"/>
      <c r="AC59" s="23"/>
      <c r="AD59" s="26"/>
    </row>
    <row r="60">
      <c r="A60" s="30" t="s">
        <v>49</v>
      </c>
      <c r="B60" s="22" t="s">
        <v>61</v>
      </c>
      <c r="C60" s="22" t="s">
        <v>62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>
      <c r="A61" s="30" t="s">
        <v>50</v>
      </c>
      <c r="B61" s="22" t="s">
        <v>61</v>
      </c>
      <c r="C61" s="22" t="s">
        <v>62</v>
      </c>
      <c r="D61" s="24"/>
      <c r="E61" s="25" t="n">
        <f>1583</f>
        <v>1583.0</v>
      </c>
      <c r="F61" s="23"/>
      <c r="G61" s="25" t="n">
        <f>1196</f>
        <v>1196.0</v>
      </c>
      <c r="H61" s="23"/>
      <c r="I61" s="26" t="n">
        <f>2779</f>
        <v>2779.0</v>
      </c>
      <c r="J61" s="24"/>
      <c r="K61" s="25" t="n">
        <f>48898000</f>
        <v>4.8898E7</v>
      </c>
      <c r="L61" s="23"/>
      <c r="M61" s="25" t="n">
        <f>30289000</f>
        <v>3.0289E7</v>
      </c>
      <c r="N61" s="23"/>
      <c r="O61" s="26" t="n">
        <f>79187000</f>
        <v>7.9187E7</v>
      </c>
      <c r="P61" s="27" t="str">
        <f>"－"</f>
        <v>－</v>
      </c>
      <c r="Q61" s="28" t="str">
        <f>"－"</f>
        <v>－</v>
      </c>
      <c r="R61" s="29" t="str">
        <f>"－"</f>
        <v>－</v>
      </c>
      <c r="S61" s="24"/>
      <c r="T61" s="25" t="n">
        <f>160</f>
        <v>160.0</v>
      </c>
      <c r="U61" s="23"/>
      <c r="V61" s="25" t="n">
        <f>183</f>
        <v>183.0</v>
      </c>
      <c r="W61" s="23"/>
      <c r="X61" s="26" t="n">
        <f>343</f>
        <v>343.0</v>
      </c>
      <c r="Y61" s="24"/>
      <c r="Z61" s="25" t="n">
        <f>1820</f>
        <v>1820.0</v>
      </c>
      <c r="AA61" s="23"/>
      <c r="AB61" s="25" t="n">
        <f>1688</f>
        <v>1688.0</v>
      </c>
      <c r="AC61" s="23"/>
      <c r="AD61" s="26" t="n">
        <f>3508</f>
        <v>3508.0</v>
      </c>
    </row>
    <row r="62">
      <c r="A62" s="30" t="s">
        <v>51</v>
      </c>
      <c r="B62" s="22" t="s">
        <v>61</v>
      </c>
      <c r="C62" s="22" t="s">
        <v>62</v>
      </c>
      <c r="D62" s="24"/>
      <c r="E62" s="25" t="n">
        <f>1476</f>
        <v>1476.0</v>
      </c>
      <c r="F62" s="23"/>
      <c r="G62" s="25" t="n">
        <f>1367</f>
        <v>1367.0</v>
      </c>
      <c r="H62" s="23"/>
      <c r="I62" s="26" t="n">
        <f>2843</f>
        <v>2843.0</v>
      </c>
      <c r="J62" s="24" t="s">
        <v>31</v>
      </c>
      <c r="K62" s="25" t="n">
        <f>93009600</f>
        <v>9.30096E7</v>
      </c>
      <c r="L62" s="23"/>
      <c r="M62" s="25" t="n">
        <f>52287000</f>
        <v>5.2287E7</v>
      </c>
      <c r="N62" s="23"/>
      <c r="O62" s="26" t="n">
        <f>145296600</f>
        <v>1.452966E8</v>
      </c>
      <c r="P62" s="27" t="str">
        <f>"－"</f>
        <v>－</v>
      </c>
      <c r="Q62" s="28" t="str">
        <f>"－"</f>
        <v>－</v>
      </c>
      <c r="R62" s="29" t="str">
        <f>"－"</f>
        <v>－</v>
      </c>
      <c r="S62" s="24"/>
      <c r="T62" s="25" t="n">
        <f>98</f>
        <v>98.0</v>
      </c>
      <c r="U62" s="23"/>
      <c r="V62" s="25" t="n">
        <f>108</f>
        <v>108.0</v>
      </c>
      <c r="W62" s="23"/>
      <c r="X62" s="26" t="n">
        <f>206</f>
        <v>206.0</v>
      </c>
      <c r="Y62" s="24"/>
      <c r="Z62" s="25" t="n">
        <f>2156</f>
        <v>2156.0</v>
      </c>
      <c r="AA62" s="23"/>
      <c r="AB62" s="25" t="n">
        <f>2167</f>
        <v>2167.0</v>
      </c>
      <c r="AC62" s="23"/>
      <c r="AD62" s="26" t="n">
        <f>4323</f>
        <v>4323.0</v>
      </c>
    </row>
    <row r="63">
      <c r="A63" s="30" t="s">
        <v>52</v>
      </c>
      <c r="B63" s="22" t="s">
        <v>61</v>
      </c>
      <c r="C63" s="22" t="s">
        <v>62</v>
      </c>
      <c r="D63" s="24"/>
      <c r="E63" s="25" t="n">
        <f>1215</f>
        <v>1215.0</v>
      </c>
      <c r="F63" s="23"/>
      <c r="G63" s="25" t="n">
        <f>791</f>
        <v>791.0</v>
      </c>
      <c r="H63" s="23"/>
      <c r="I63" s="26" t="n">
        <f>2006</f>
        <v>2006.0</v>
      </c>
      <c r="J63" s="24"/>
      <c r="K63" s="25" t="n">
        <f>66053000</f>
        <v>6.6053E7</v>
      </c>
      <c r="L63" s="23"/>
      <c r="M63" s="25" t="n">
        <f>26747000</f>
        <v>2.6747E7</v>
      </c>
      <c r="N63" s="23"/>
      <c r="O63" s="26" t="n">
        <f>92800000</f>
        <v>9.28E7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91</f>
        <v>91.0</v>
      </c>
      <c r="U63" s="23"/>
      <c r="V63" s="25" t="n">
        <f>114</f>
        <v>114.0</v>
      </c>
      <c r="W63" s="23"/>
      <c r="X63" s="26" t="n">
        <f>205</f>
        <v>205.0</v>
      </c>
      <c r="Y63" s="24"/>
      <c r="Z63" s="25" t="n">
        <f>2494</f>
        <v>2494.0</v>
      </c>
      <c r="AA63" s="23"/>
      <c r="AB63" s="25" t="n">
        <f>2371</f>
        <v>2371.0</v>
      </c>
      <c r="AC63" s="23"/>
      <c r="AD63" s="26" t="n">
        <f>4865</f>
        <v>4865.0</v>
      </c>
    </row>
    <row r="64">
      <c r="A64" s="30" t="s">
        <v>53</v>
      </c>
      <c r="B64" s="22" t="s">
        <v>61</v>
      </c>
      <c r="C64" s="22" t="s">
        <v>62</v>
      </c>
      <c r="D64" s="24"/>
      <c r="E64" s="25" t="n">
        <f>1689</f>
        <v>1689.0</v>
      </c>
      <c r="F64" s="23"/>
      <c r="G64" s="25" t="n">
        <f>972</f>
        <v>972.0</v>
      </c>
      <c r="H64" s="23"/>
      <c r="I64" s="26" t="n">
        <f>2661</f>
        <v>2661.0</v>
      </c>
      <c r="J64" s="24"/>
      <c r="K64" s="25" t="n">
        <f>27835000</f>
        <v>2.7835E7</v>
      </c>
      <c r="L64" s="23"/>
      <c r="M64" s="25" t="n">
        <f>21824000</f>
        <v>2.1824E7</v>
      </c>
      <c r="N64" s="23"/>
      <c r="O64" s="26" t="n">
        <f>49659000</f>
        <v>4.9659E7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100</f>
        <v>100.0</v>
      </c>
      <c r="U64" s="23"/>
      <c r="V64" s="25" t="n">
        <f>52</f>
        <v>52.0</v>
      </c>
      <c r="W64" s="23"/>
      <c r="X64" s="26" t="n">
        <f>152</f>
        <v>152.0</v>
      </c>
      <c r="Y64" s="24"/>
      <c r="Z64" s="25" t="n">
        <f>2776</f>
        <v>2776.0</v>
      </c>
      <c r="AA64" s="23"/>
      <c r="AB64" s="25" t="n">
        <f>2532</f>
        <v>2532.0</v>
      </c>
      <c r="AC64" s="23"/>
      <c r="AD64" s="26" t="n">
        <f>5308</f>
        <v>5308.0</v>
      </c>
    </row>
    <row r="65">
      <c r="A65" s="30" t="s">
        <v>54</v>
      </c>
      <c r="B65" s="22" t="s">
        <v>61</v>
      </c>
      <c r="C65" s="22" t="s">
        <v>62</v>
      </c>
      <c r="D65" s="24"/>
      <c r="E65" s="25" t="n">
        <f>466</f>
        <v>466.0</v>
      </c>
      <c r="F65" s="23"/>
      <c r="G65" s="25" t="n">
        <f>248</f>
        <v>248.0</v>
      </c>
      <c r="H65" s="23"/>
      <c r="I65" s="26" t="n">
        <f>714</f>
        <v>714.0</v>
      </c>
      <c r="J65" s="24"/>
      <c r="K65" s="25" t="n">
        <f>12139000</f>
        <v>1.2139E7</v>
      </c>
      <c r="L65" s="23"/>
      <c r="M65" s="25" t="n">
        <f>4283000</f>
        <v>4283000.0</v>
      </c>
      <c r="N65" s="23"/>
      <c r="O65" s="26" t="n">
        <f>16422000</f>
        <v>1.6422E7</v>
      </c>
      <c r="P65" s="27" t="n">
        <f>30</f>
        <v>30.0</v>
      </c>
      <c r="Q65" s="28" t="n">
        <f>308</f>
        <v>308.0</v>
      </c>
      <c r="R65" s="29" t="n">
        <f>338</f>
        <v>338.0</v>
      </c>
      <c r="S65" s="24"/>
      <c r="T65" s="25" t="str">
        <f>"－"</f>
        <v>－</v>
      </c>
      <c r="U65" s="23" t="s">
        <v>40</v>
      </c>
      <c r="V65" s="25" t="str">
        <f>"－"</f>
        <v>－</v>
      </c>
      <c r="W65" s="23" t="s">
        <v>40</v>
      </c>
      <c r="X65" s="26" t="str">
        <f>"－"</f>
        <v>－</v>
      </c>
      <c r="Y65" s="24"/>
      <c r="Z65" s="25" t="n">
        <f>872</f>
        <v>872.0</v>
      </c>
      <c r="AA65" s="23"/>
      <c r="AB65" s="25" t="n">
        <f>910</f>
        <v>910.0</v>
      </c>
      <c r="AC65" s="23"/>
      <c r="AD65" s="26" t="n">
        <f>1782</f>
        <v>1782.0</v>
      </c>
    </row>
    <row r="66">
      <c r="A66" s="30" t="s">
        <v>55</v>
      </c>
      <c r="B66" s="22" t="s">
        <v>61</v>
      </c>
      <c r="C66" s="22" t="s">
        <v>62</v>
      </c>
      <c r="D66" s="24"/>
      <c r="E66" s="25"/>
      <c r="F66" s="23"/>
      <c r="G66" s="25"/>
      <c r="H66" s="23"/>
      <c r="I66" s="26"/>
      <c r="J66" s="24"/>
      <c r="K66" s="25"/>
      <c r="L66" s="23"/>
      <c r="M66" s="25"/>
      <c r="N66" s="23"/>
      <c r="O66" s="26"/>
      <c r="P66" s="27"/>
      <c r="Q66" s="28"/>
      <c r="R66" s="29"/>
      <c r="S66" s="24"/>
      <c r="T66" s="25"/>
      <c r="U66" s="23"/>
      <c r="V66" s="25"/>
      <c r="W66" s="23"/>
      <c r="X66" s="26"/>
      <c r="Y66" s="24"/>
      <c r="Z66" s="25"/>
      <c r="AA66" s="23"/>
      <c r="AB66" s="25"/>
      <c r="AC66" s="23"/>
      <c r="AD66" s="26"/>
    </row>
    <row r="67">
      <c r="A67" s="30" t="s">
        <v>56</v>
      </c>
      <c r="B67" s="22" t="s">
        <v>61</v>
      </c>
      <c r="C67" s="22" t="s">
        <v>62</v>
      </c>
      <c r="D67" s="24"/>
      <c r="E67" s="25"/>
      <c r="F67" s="23"/>
      <c r="G67" s="25"/>
      <c r="H67" s="23"/>
      <c r="I67" s="26"/>
      <c r="J67" s="24"/>
      <c r="K67" s="25"/>
      <c r="L67" s="23"/>
      <c r="M67" s="25"/>
      <c r="N67" s="23"/>
      <c r="O67" s="26"/>
      <c r="P67" s="27"/>
      <c r="Q67" s="28"/>
      <c r="R67" s="29"/>
      <c r="S67" s="24"/>
      <c r="T67" s="25"/>
      <c r="U67" s="23"/>
      <c r="V67" s="25"/>
      <c r="W67" s="23"/>
      <c r="X67" s="26"/>
      <c r="Y67" s="24"/>
      <c r="Z67" s="25"/>
      <c r="AA67" s="23"/>
      <c r="AB67" s="25"/>
      <c r="AC67" s="23"/>
      <c r="AD67" s="26"/>
    </row>
    <row r="68">
      <c r="A68" s="30" t="s">
        <v>57</v>
      </c>
      <c r="B68" s="22" t="s">
        <v>61</v>
      </c>
      <c r="C68" s="22" t="s">
        <v>62</v>
      </c>
      <c r="D68" s="24"/>
      <c r="E68" s="25" t="n">
        <f>929</f>
        <v>929.0</v>
      </c>
      <c r="F68" s="23"/>
      <c r="G68" s="25" t="n">
        <f>949</f>
        <v>949.0</v>
      </c>
      <c r="H68" s="23"/>
      <c r="I68" s="26" t="n">
        <f>1878</f>
        <v>1878.0</v>
      </c>
      <c r="J68" s="24"/>
      <c r="K68" s="25" t="n">
        <f>11959000</f>
        <v>1.1959E7</v>
      </c>
      <c r="L68" s="23"/>
      <c r="M68" s="25" t="n">
        <f>86806568</f>
        <v>8.6806568E7</v>
      </c>
      <c r="N68" s="23"/>
      <c r="O68" s="26" t="n">
        <f>98765568</f>
        <v>9.8765568E7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str">
        <f>"－"</f>
        <v>－</v>
      </c>
      <c r="U68" s="23"/>
      <c r="V68" s="25" t="n">
        <f>260</f>
        <v>260.0</v>
      </c>
      <c r="W68" s="23"/>
      <c r="X68" s="26" t="n">
        <f>260</f>
        <v>260.0</v>
      </c>
      <c r="Y68" s="24"/>
      <c r="Z68" s="25" t="n">
        <f>1199</f>
        <v>1199.0</v>
      </c>
      <c r="AA68" s="23"/>
      <c r="AB68" s="25" t="n">
        <f>1487</f>
        <v>1487.0</v>
      </c>
      <c r="AC68" s="23"/>
      <c r="AD68" s="26" t="n">
        <f>2686</f>
        <v>2686.0</v>
      </c>
    </row>
    <row r="69">
      <c r="A69" s="30" t="s">
        <v>58</v>
      </c>
      <c r="B69" s="22" t="s">
        <v>61</v>
      </c>
      <c r="C69" s="22" t="s">
        <v>62</v>
      </c>
      <c r="D69" s="24" t="s">
        <v>31</v>
      </c>
      <c r="E69" s="25" t="n">
        <f>2719</f>
        <v>2719.0</v>
      </c>
      <c r="F69" s="23" t="s">
        <v>31</v>
      </c>
      <c r="G69" s="25" t="n">
        <f>2157</f>
        <v>2157.0</v>
      </c>
      <c r="H69" s="23" t="s">
        <v>31</v>
      </c>
      <c r="I69" s="26" t="n">
        <f>4876</f>
        <v>4876.0</v>
      </c>
      <c r="J69" s="24"/>
      <c r="K69" s="25" t="n">
        <f>53476000</f>
        <v>5.3476E7</v>
      </c>
      <c r="L69" s="23" t="s">
        <v>31</v>
      </c>
      <c r="M69" s="25" t="n">
        <f>118680000</f>
        <v>1.1868E8</v>
      </c>
      <c r="N69" s="23" t="s">
        <v>31</v>
      </c>
      <c r="O69" s="26" t="n">
        <f>172156000</f>
        <v>1.72156E8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1</f>
        <v>1.0</v>
      </c>
      <c r="U69" s="23"/>
      <c r="V69" s="25" t="str">
        <f>"－"</f>
        <v>－</v>
      </c>
      <c r="W69" s="23"/>
      <c r="X69" s="26" t="n">
        <f>1</f>
        <v>1.0</v>
      </c>
      <c r="Y69" s="24"/>
      <c r="Z69" s="25" t="n">
        <f>2199</f>
        <v>2199.0</v>
      </c>
      <c r="AA69" s="23"/>
      <c r="AB69" s="25" t="n">
        <f>1825</f>
        <v>1825.0</v>
      </c>
      <c r="AC69" s="23"/>
      <c r="AD69" s="26" t="n">
        <f>4024</f>
        <v>4024.0</v>
      </c>
    </row>
    <row r="70">
      <c r="A70" s="30" t="s">
        <v>59</v>
      </c>
      <c r="B70" s="22" t="s">
        <v>61</v>
      </c>
      <c r="C70" s="22" t="s">
        <v>62</v>
      </c>
      <c r="D70" s="24"/>
      <c r="E70" s="25" t="n">
        <f>83</f>
        <v>83.0</v>
      </c>
      <c r="F70" s="23"/>
      <c r="G70" s="25" t="n">
        <f>32</f>
        <v>32.0</v>
      </c>
      <c r="H70" s="23"/>
      <c r="I70" s="26" t="n">
        <f>115</f>
        <v>115.0</v>
      </c>
      <c r="J70" s="24"/>
      <c r="K70" s="25" t="n">
        <f>25378000</f>
        <v>2.5378E7</v>
      </c>
      <c r="L70" s="23"/>
      <c r="M70" s="25" t="n">
        <f>4850000</f>
        <v>4850000.0</v>
      </c>
      <c r="N70" s="23"/>
      <c r="O70" s="26" t="n">
        <f>30228000</f>
        <v>3.0228E7</v>
      </c>
      <c r="P70" s="27" t="n">
        <f>3</f>
        <v>3.0</v>
      </c>
      <c r="Q70" s="28" t="n">
        <f>447</f>
        <v>447.0</v>
      </c>
      <c r="R70" s="29" t="n">
        <f>450</f>
        <v>450.0</v>
      </c>
      <c r="S70" s="24"/>
      <c r="T70" s="25" t="str">
        <f>"－"</f>
        <v>－</v>
      </c>
      <c r="U70" s="23"/>
      <c r="V70" s="25" t="str">
        <f>"－"</f>
        <v>－</v>
      </c>
      <c r="W70" s="23"/>
      <c r="X70" s="26" t="str">
        <f>"－"</f>
        <v>－</v>
      </c>
      <c r="Y70" s="24"/>
      <c r="Z70" s="25" t="n">
        <f>355</f>
        <v>355.0</v>
      </c>
      <c r="AA70" s="23"/>
      <c r="AB70" s="25" t="n">
        <f>733</f>
        <v>733.0</v>
      </c>
      <c r="AC70" s="23"/>
      <c r="AD70" s="26" t="n">
        <f>1088</f>
        <v>1088.0</v>
      </c>
    </row>
    <row r="71">
      <c r="A71" s="30" t="s">
        <v>60</v>
      </c>
      <c r="B71" s="22" t="s">
        <v>61</v>
      </c>
      <c r="C71" s="22" t="s">
        <v>62</v>
      </c>
      <c r="D71" s="24"/>
      <c r="E71" s="25"/>
      <c r="F71" s="23"/>
      <c r="G71" s="25"/>
      <c r="H71" s="23"/>
      <c r="I71" s="26"/>
      <c r="J71" s="24"/>
      <c r="K71" s="25"/>
      <c r="L71" s="23"/>
      <c r="M71" s="25"/>
      <c r="N71" s="23"/>
      <c r="O71" s="26"/>
      <c r="P71" s="27"/>
      <c r="Q71" s="28"/>
      <c r="R71" s="29"/>
      <c r="S71" s="24"/>
      <c r="T71" s="25"/>
      <c r="U71" s="23"/>
      <c r="V71" s="25"/>
      <c r="W71" s="23"/>
      <c r="X71" s="26"/>
      <c r="Y71" s="24"/>
      <c r="Z71" s="25"/>
      <c r="AA71" s="23"/>
      <c r="AB71" s="25"/>
      <c r="AC71" s="23"/>
      <c r="AD71" s="26"/>
    </row>
    <row r="72">
      <c r="A72" s="30" t="s">
        <v>26</v>
      </c>
      <c r="B72" s="22" t="s">
        <v>63</v>
      </c>
      <c r="C72" s="22" t="s">
        <v>64</v>
      </c>
      <c r="D72" s="24" t="s">
        <v>40</v>
      </c>
      <c r="E72" s="25" t="str">
        <f>"－"</f>
        <v>－</v>
      </c>
      <c r="F72" s="23" t="s">
        <v>40</v>
      </c>
      <c r="G72" s="25" t="str">
        <f>"－"</f>
        <v>－</v>
      </c>
      <c r="H72" s="23" t="s">
        <v>40</v>
      </c>
      <c r="I72" s="26" t="str">
        <f>"－"</f>
        <v>－</v>
      </c>
      <c r="J72" s="24" t="s">
        <v>40</v>
      </c>
      <c r="K72" s="25" t="str">
        <f>"－"</f>
        <v>－</v>
      </c>
      <c r="L72" s="23" t="s">
        <v>40</v>
      </c>
      <c r="M72" s="25" t="str">
        <f>"－"</f>
        <v>－</v>
      </c>
      <c r="N72" s="23" t="s">
        <v>40</v>
      </c>
      <c r="O72" s="26" t="str">
        <f>"－"</f>
        <v>－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 t="s">
        <v>40</v>
      </c>
      <c r="T72" s="25" t="str">
        <f>"－"</f>
        <v>－</v>
      </c>
      <c r="U72" s="23" t="s">
        <v>40</v>
      </c>
      <c r="V72" s="25" t="str">
        <f>"－"</f>
        <v>－</v>
      </c>
      <c r="W72" s="23" t="s">
        <v>40</v>
      </c>
      <c r="X72" s="26" t="str">
        <f>"－"</f>
        <v>－</v>
      </c>
      <c r="Y72" s="24"/>
      <c r="Z72" s="25" t="n">
        <f>72929</f>
        <v>72929.0</v>
      </c>
      <c r="AA72" s="23"/>
      <c r="AB72" s="25" t="n">
        <f>19561</f>
        <v>19561.0</v>
      </c>
      <c r="AC72" s="23"/>
      <c r="AD72" s="26" t="n">
        <f>92490</f>
        <v>92490.0</v>
      </c>
    </row>
    <row r="73">
      <c r="A73" s="30" t="s">
        <v>29</v>
      </c>
      <c r="B73" s="22" t="s">
        <v>63</v>
      </c>
      <c r="C73" s="22" t="s">
        <v>64</v>
      </c>
      <c r="D73" s="24"/>
      <c r="E73" s="25" t="str">
        <f>"－"</f>
        <v>－</v>
      </c>
      <c r="F73" s="23"/>
      <c r="G73" s="25" t="n">
        <f>300</f>
        <v>300.0</v>
      </c>
      <c r="H73" s="23"/>
      <c r="I73" s="26" t="n">
        <f>300</f>
        <v>300.0</v>
      </c>
      <c r="J73" s="24"/>
      <c r="K73" s="25" t="str">
        <f>"－"</f>
        <v>－</v>
      </c>
      <c r="L73" s="23"/>
      <c r="M73" s="25" t="n">
        <f>158820000</f>
        <v>1.5882E8</v>
      </c>
      <c r="N73" s="23"/>
      <c r="O73" s="26" t="n">
        <f>158820000</f>
        <v>1.5882E8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str">
        <f>"－"</f>
        <v>－</v>
      </c>
      <c r="U73" s="23"/>
      <c r="V73" s="25" t="n">
        <f>300</f>
        <v>300.0</v>
      </c>
      <c r="W73" s="23"/>
      <c r="X73" s="26" t="n">
        <f>300</f>
        <v>300.0</v>
      </c>
      <c r="Y73" s="24"/>
      <c r="Z73" s="25" t="n">
        <f>72929</f>
        <v>72929.0</v>
      </c>
      <c r="AA73" s="23"/>
      <c r="AB73" s="25" t="n">
        <f>19861</f>
        <v>19861.0</v>
      </c>
      <c r="AC73" s="23"/>
      <c r="AD73" s="26" t="n">
        <f>92790</f>
        <v>92790.0</v>
      </c>
    </row>
    <row r="74">
      <c r="A74" s="30" t="s">
        <v>30</v>
      </c>
      <c r="B74" s="22" t="s">
        <v>63</v>
      </c>
      <c r="C74" s="22" t="s">
        <v>64</v>
      </c>
      <c r="D74" s="24"/>
      <c r="E74" s="25" t="n">
        <f>700</f>
        <v>700.0</v>
      </c>
      <c r="F74" s="23"/>
      <c r="G74" s="25" t="n">
        <f>500</f>
        <v>500.0</v>
      </c>
      <c r="H74" s="23"/>
      <c r="I74" s="26" t="n">
        <f>1200</f>
        <v>1200.0</v>
      </c>
      <c r="J74" s="24"/>
      <c r="K74" s="25" t="n">
        <f>153850000</f>
        <v>1.5385E8</v>
      </c>
      <c r="L74" s="23"/>
      <c r="M74" s="25" t="n">
        <f>141400000</f>
        <v>1.414E8</v>
      </c>
      <c r="N74" s="23"/>
      <c r="O74" s="26" t="n">
        <f>295250000</f>
        <v>2.9525E8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str">
        <f>"－"</f>
        <v>－</v>
      </c>
      <c r="U74" s="23"/>
      <c r="V74" s="25" t="str">
        <f>"－"</f>
        <v>－</v>
      </c>
      <c r="W74" s="23"/>
      <c r="X74" s="26" t="str">
        <f>"－"</f>
        <v>－</v>
      </c>
      <c r="Y74" s="24" t="s">
        <v>31</v>
      </c>
      <c r="Z74" s="25" t="n">
        <f>73629</f>
        <v>73629.0</v>
      </c>
      <c r="AA74" s="23"/>
      <c r="AB74" s="25" t="n">
        <f>20361</f>
        <v>20361.0</v>
      </c>
      <c r="AC74" s="23"/>
      <c r="AD74" s="26" t="n">
        <f>93990</f>
        <v>93990.0</v>
      </c>
    </row>
    <row r="75">
      <c r="A75" s="30" t="s">
        <v>32</v>
      </c>
      <c r="B75" s="22" t="s">
        <v>63</v>
      </c>
      <c r="C75" s="22" t="s">
        <v>64</v>
      </c>
      <c r="D75" s="24"/>
      <c r="E75" s="25" t="str">
        <f>"－"</f>
        <v>－</v>
      </c>
      <c r="F75" s="23"/>
      <c r="G75" s="25" t="str">
        <f>"－"</f>
        <v>－</v>
      </c>
      <c r="H75" s="23"/>
      <c r="I75" s="26" t="str">
        <f>"－"</f>
        <v>－</v>
      </c>
      <c r="J75" s="24"/>
      <c r="K75" s="25" t="str">
        <f>"－"</f>
        <v>－</v>
      </c>
      <c r="L75" s="23"/>
      <c r="M75" s="25" t="str">
        <f>"－"</f>
        <v>－</v>
      </c>
      <c r="N75" s="23"/>
      <c r="O75" s="26" t="str">
        <f>"－"</f>
        <v>－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str">
        <f>"－"</f>
        <v>－</v>
      </c>
      <c r="U75" s="23"/>
      <c r="V75" s="25" t="str">
        <f>"－"</f>
        <v>－</v>
      </c>
      <c r="W75" s="23"/>
      <c r="X75" s="26" t="str">
        <f>"－"</f>
        <v>－</v>
      </c>
      <c r="Y75" s="24"/>
      <c r="Z75" s="25" t="n">
        <f>73629</f>
        <v>73629.0</v>
      </c>
      <c r="AA75" s="23"/>
      <c r="AB75" s="25" t="n">
        <f>20361</f>
        <v>20361.0</v>
      </c>
      <c r="AC75" s="23"/>
      <c r="AD75" s="26" t="n">
        <f>93990</f>
        <v>93990.0</v>
      </c>
    </row>
    <row r="76">
      <c r="A76" s="30" t="s">
        <v>33</v>
      </c>
      <c r="B76" s="22" t="s">
        <v>63</v>
      </c>
      <c r="C76" s="22" t="s">
        <v>64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34</v>
      </c>
      <c r="B77" s="22" t="s">
        <v>63</v>
      </c>
      <c r="C77" s="22" t="s">
        <v>64</v>
      </c>
      <c r="D77" s="24"/>
      <c r="E77" s="25"/>
      <c r="F77" s="23"/>
      <c r="G77" s="25"/>
      <c r="H77" s="23"/>
      <c r="I77" s="26"/>
      <c r="J77" s="24"/>
      <c r="K77" s="25"/>
      <c r="L77" s="23"/>
      <c r="M77" s="25"/>
      <c r="N77" s="23"/>
      <c r="O77" s="26"/>
      <c r="P77" s="27"/>
      <c r="Q77" s="28"/>
      <c r="R77" s="29"/>
      <c r="S77" s="24"/>
      <c r="T77" s="25"/>
      <c r="U77" s="23"/>
      <c r="V77" s="25"/>
      <c r="W77" s="23"/>
      <c r="X77" s="26"/>
      <c r="Y77" s="24"/>
      <c r="Z77" s="25"/>
      <c r="AA77" s="23"/>
      <c r="AB77" s="25"/>
      <c r="AC77" s="23"/>
      <c r="AD77" s="26"/>
    </row>
    <row r="78">
      <c r="A78" s="30" t="s">
        <v>35</v>
      </c>
      <c r="B78" s="22" t="s">
        <v>63</v>
      </c>
      <c r="C78" s="22" t="s">
        <v>64</v>
      </c>
      <c r="D78" s="24"/>
      <c r="E78" s="25" t="n">
        <f>7260</f>
        <v>7260.0</v>
      </c>
      <c r="F78" s="23"/>
      <c r="G78" s="25" t="n">
        <f>100</f>
        <v>100.0</v>
      </c>
      <c r="H78" s="23"/>
      <c r="I78" s="26" t="n">
        <f>7360</f>
        <v>7360.0</v>
      </c>
      <c r="J78" s="24"/>
      <c r="K78" s="25" t="n">
        <f>1856220000</f>
        <v>1.85622E9</v>
      </c>
      <c r="L78" s="23"/>
      <c r="M78" s="25" t="n">
        <f>114100000</f>
        <v>1.141E8</v>
      </c>
      <c r="N78" s="23"/>
      <c r="O78" s="26" t="n">
        <f>1970320000</f>
        <v>1.97032E9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n">
        <f>7160</f>
        <v>7160.0</v>
      </c>
      <c r="U78" s="23"/>
      <c r="V78" s="25" t="str">
        <f>"－"</f>
        <v>－</v>
      </c>
      <c r="W78" s="23"/>
      <c r="X78" s="26" t="n">
        <f>7160</f>
        <v>7160.0</v>
      </c>
      <c r="Y78" s="24"/>
      <c r="Z78" s="25" t="n">
        <f>71769</f>
        <v>71769.0</v>
      </c>
      <c r="AA78" s="23"/>
      <c r="AB78" s="25" t="n">
        <f>20261</f>
        <v>20261.0</v>
      </c>
      <c r="AC78" s="23"/>
      <c r="AD78" s="26" t="n">
        <f>92030</f>
        <v>92030.0</v>
      </c>
    </row>
    <row r="79">
      <c r="A79" s="30" t="s">
        <v>36</v>
      </c>
      <c r="B79" s="22" t="s">
        <v>63</v>
      </c>
      <c r="C79" s="22" t="s">
        <v>64</v>
      </c>
      <c r="D79" s="24" t="s">
        <v>31</v>
      </c>
      <c r="E79" s="25" t="n">
        <f>9463</f>
        <v>9463.0</v>
      </c>
      <c r="F79" s="23" t="s">
        <v>31</v>
      </c>
      <c r="G79" s="25" t="n">
        <f>773</f>
        <v>773.0</v>
      </c>
      <c r="H79" s="23" t="s">
        <v>31</v>
      </c>
      <c r="I79" s="26" t="n">
        <f>10236</f>
        <v>10236.0</v>
      </c>
      <c r="J79" s="24" t="s">
        <v>31</v>
      </c>
      <c r="K79" s="25" t="n">
        <f>2543116400</f>
        <v>2.5431164E9</v>
      </c>
      <c r="L79" s="23" t="s">
        <v>31</v>
      </c>
      <c r="M79" s="25" t="n">
        <f>3384078000</f>
        <v>3.384078E9</v>
      </c>
      <c r="N79" s="23" t="s">
        <v>31</v>
      </c>
      <c r="O79" s="26" t="n">
        <f>5927194400</f>
        <v>5.9271944E9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 t="s">
        <v>31</v>
      </c>
      <c r="T79" s="25" t="n">
        <f>8690</f>
        <v>8690.0</v>
      </c>
      <c r="U79" s="23"/>
      <c r="V79" s="25" t="str">
        <f>"－"</f>
        <v>－</v>
      </c>
      <c r="W79" s="23" t="s">
        <v>31</v>
      </c>
      <c r="X79" s="26" t="n">
        <f>8690</f>
        <v>8690.0</v>
      </c>
      <c r="Y79" s="24"/>
      <c r="Z79" s="25" t="n">
        <f>72972</f>
        <v>72972.0</v>
      </c>
      <c r="AA79" s="23"/>
      <c r="AB79" s="25" t="n">
        <f>20721</f>
        <v>20721.0</v>
      </c>
      <c r="AC79" s="23"/>
      <c r="AD79" s="26" t="n">
        <f>93693</f>
        <v>93693.0</v>
      </c>
    </row>
    <row r="80">
      <c r="A80" s="30" t="s">
        <v>37</v>
      </c>
      <c r="B80" s="22" t="s">
        <v>63</v>
      </c>
      <c r="C80" s="22" t="s">
        <v>64</v>
      </c>
      <c r="D80" s="24"/>
      <c r="E80" s="25" t="str">
        <f>"－"</f>
        <v>－</v>
      </c>
      <c r="F80" s="23"/>
      <c r="G80" s="25" t="n">
        <f>300</f>
        <v>300.0</v>
      </c>
      <c r="H80" s="23"/>
      <c r="I80" s="26" t="n">
        <f>300</f>
        <v>300.0</v>
      </c>
      <c r="J80" s="24"/>
      <c r="K80" s="25" t="str">
        <f>"－"</f>
        <v>－</v>
      </c>
      <c r="L80" s="23"/>
      <c r="M80" s="25" t="n">
        <f>29100000</f>
        <v>2.91E7</v>
      </c>
      <c r="N80" s="23"/>
      <c r="O80" s="26" t="n">
        <f>29100000</f>
        <v>2.91E7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str">
        <f>"－"</f>
        <v>－</v>
      </c>
      <c r="U80" s="23"/>
      <c r="V80" s="25" t="str">
        <f>"－"</f>
        <v>－</v>
      </c>
      <c r="W80" s="23"/>
      <c r="X80" s="26" t="str">
        <f>"－"</f>
        <v>－</v>
      </c>
      <c r="Y80" s="24"/>
      <c r="Z80" s="25" t="n">
        <f>72972</f>
        <v>72972.0</v>
      </c>
      <c r="AA80" s="23"/>
      <c r="AB80" s="25" t="n">
        <f>21021</f>
        <v>21021.0</v>
      </c>
      <c r="AC80" s="23"/>
      <c r="AD80" s="26" t="n">
        <f>93993</f>
        <v>93993.0</v>
      </c>
    </row>
    <row r="81">
      <c r="A81" s="30" t="s">
        <v>38</v>
      </c>
      <c r="B81" s="22" t="s">
        <v>63</v>
      </c>
      <c r="C81" s="22" t="s">
        <v>64</v>
      </c>
      <c r="D81" s="24"/>
      <c r="E81" s="25" t="str">
        <f>"－"</f>
        <v>－</v>
      </c>
      <c r="F81" s="23"/>
      <c r="G81" s="25" t="n">
        <f>400</f>
        <v>400.0</v>
      </c>
      <c r="H81" s="23"/>
      <c r="I81" s="26" t="n">
        <f>400</f>
        <v>400.0</v>
      </c>
      <c r="J81" s="24"/>
      <c r="K81" s="25" t="str">
        <f>"－"</f>
        <v>－</v>
      </c>
      <c r="L81" s="23"/>
      <c r="M81" s="25" t="n">
        <f>32600000</f>
        <v>3.26E7</v>
      </c>
      <c r="N81" s="23"/>
      <c r="O81" s="26" t="n">
        <f>32600000</f>
        <v>3.26E7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str">
        <f>"－"</f>
        <v>－</v>
      </c>
      <c r="U81" s="23"/>
      <c r="V81" s="25" t="str">
        <f>"－"</f>
        <v>－</v>
      </c>
      <c r="W81" s="23"/>
      <c r="X81" s="26" t="str">
        <f>"－"</f>
        <v>－</v>
      </c>
      <c r="Y81" s="24"/>
      <c r="Z81" s="25" t="n">
        <f>72972</f>
        <v>72972.0</v>
      </c>
      <c r="AA81" s="23" t="s">
        <v>31</v>
      </c>
      <c r="AB81" s="25" t="n">
        <f>21121</f>
        <v>21121.0</v>
      </c>
      <c r="AC81" s="23" t="s">
        <v>31</v>
      </c>
      <c r="AD81" s="26" t="n">
        <f>94093</f>
        <v>94093.0</v>
      </c>
    </row>
    <row r="82">
      <c r="A82" s="30" t="s">
        <v>39</v>
      </c>
      <c r="B82" s="22" t="s">
        <v>63</v>
      </c>
      <c r="C82" s="22" t="s">
        <v>64</v>
      </c>
      <c r="D82" s="24"/>
      <c r="E82" s="25" t="str">
        <f>"－"</f>
        <v>－</v>
      </c>
      <c r="F82" s="23"/>
      <c r="G82" s="25" t="n">
        <f>360</f>
        <v>360.0</v>
      </c>
      <c r="H82" s="23"/>
      <c r="I82" s="26" t="n">
        <f>360</f>
        <v>360.0</v>
      </c>
      <c r="J82" s="24"/>
      <c r="K82" s="25" t="str">
        <f>"－"</f>
        <v>－</v>
      </c>
      <c r="L82" s="23"/>
      <c r="M82" s="25" t="n">
        <f>210960000</f>
        <v>2.1096E8</v>
      </c>
      <c r="N82" s="23"/>
      <c r="O82" s="26" t="n">
        <f>210960000</f>
        <v>2.1096E8</v>
      </c>
      <c r="P82" s="27" t="n">
        <f>350</f>
        <v>350.0</v>
      </c>
      <c r="Q82" s="28" t="n">
        <f>5217</f>
        <v>5217.0</v>
      </c>
      <c r="R82" s="29" t="n">
        <f>5567</f>
        <v>5567.0</v>
      </c>
      <c r="S82" s="24"/>
      <c r="T82" s="25" t="str">
        <f>"－"</f>
        <v>－</v>
      </c>
      <c r="U82" s="23" t="s">
        <v>31</v>
      </c>
      <c r="V82" s="25" t="n">
        <f>360</f>
        <v>360.0</v>
      </c>
      <c r="W82" s="23"/>
      <c r="X82" s="26" t="n">
        <f>360</f>
        <v>360.0</v>
      </c>
      <c r="Y82" s="24" t="s">
        <v>40</v>
      </c>
      <c r="Z82" s="25" t="n">
        <f>61927</f>
        <v>61927.0</v>
      </c>
      <c r="AA82" s="23" t="s">
        <v>40</v>
      </c>
      <c r="AB82" s="25" t="n">
        <f>14338</f>
        <v>14338.0</v>
      </c>
      <c r="AC82" s="23" t="s">
        <v>40</v>
      </c>
      <c r="AD82" s="26" t="n">
        <f>76265</f>
        <v>76265.0</v>
      </c>
    </row>
    <row r="83">
      <c r="A83" s="30" t="s">
        <v>41</v>
      </c>
      <c r="B83" s="22" t="s">
        <v>63</v>
      </c>
      <c r="C83" s="22" t="s">
        <v>64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42</v>
      </c>
      <c r="B84" s="22" t="s">
        <v>63</v>
      </c>
      <c r="C84" s="22" t="s">
        <v>64</v>
      </c>
      <c r="D84" s="24"/>
      <c r="E84" s="25"/>
      <c r="F84" s="23"/>
      <c r="G84" s="25"/>
      <c r="H84" s="23"/>
      <c r="I84" s="26"/>
      <c r="J84" s="24"/>
      <c r="K84" s="25"/>
      <c r="L84" s="23"/>
      <c r="M84" s="25"/>
      <c r="N84" s="23"/>
      <c r="O84" s="26"/>
      <c r="P84" s="27"/>
      <c r="Q84" s="28"/>
      <c r="R84" s="29"/>
      <c r="S84" s="24"/>
      <c r="T84" s="25"/>
      <c r="U84" s="23"/>
      <c r="V84" s="25"/>
      <c r="W84" s="23"/>
      <c r="X84" s="26"/>
      <c r="Y84" s="24"/>
      <c r="Z84" s="25"/>
      <c r="AA84" s="23"/>
      <c r="AB84" s="25"/>
      <c r="AC84" s="23"/>
      <c r="AD84" s="26"/>
    </row>
    <row r="85">
      <c r="A85" s="30" t="s">
        <v>43</v>
      </c>
      <c r="B85" s="22" t="s">
        <v>63</v>
      </c>
      <c r="C85" s="22" t="s">
        <v>64</v>
      </c>
      <c r="D85" s="24"/>
      <c r="E85" s="25" t="str">
        <f>"－"</f>
        <v>－</v>
      </c>
      <c r="F85" s="23"/>
      <c r="G85" s="25" t="str">
        <f>"－"</f>
        <v>－</v>
      </c>
      <c r="H85" s="23"/>
      <c r="I85" s="26" t="str">
        <f>"－"</f>
        <v>－</v>
      </c>
      <c r="J85" s="24"/>
      <c r="K85" s="25" t="str">
        <f>"－"</f>
        <v>－</v>
      </c>
      <c r="L85" s="23"/>
      <c r="M85" s="25" t="str">
        <f>"－"</f>
        <v>－</v>
      </c>
      <c r="N85" s="23"/>
      <c r="O85" s="26" t="str">
        <f>"－"</f>
        <v>－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/>
      <c r="V85" s="25" t="str">
        <f>"－"</f>
        <v>－</v>
      </c>
      <c r="W85" s="23"/>
      <c r="X85" s="26" t="str">
        <f>"－"</f>
        <v>－</v>
      </c>
      <c r="Y85" s="24"/>
      <c r="Z85" s="25" t="n">
        <f>61927</f>
        <v>61927.0</v>
      </c>
      <c r="AA85" s="23"/>
      <c r="AB85" s="25" t="n">
        <f>14338</f>
        <v>14338.0</v>
      </c>
      <c r="AC85" s="23"/>
      <c r="AD85" s="26" t="n">
        <f>76265</f>
        <v>76265.0</v>
      </c>
    </row>
    <row r="86">
      <c r="A86" s="30" t="s">
        <v>44</v>
      </c>
      <c r="B86" s="22" t="s">
        <v>63</v>
      </c>
      <c r="C86" s="22" t="s">
        <v>64</v>
      </c>
      <c r="D86" s="24"/>
      <c r="E86" s="25" t="n">
        <f>100</f>
        <v>100.0</v>
      </c>
      <c r="F86" s="23"/>
      <c r="G86" s="25" t="n">
        <f>600</f>
        <v>600.0</v>
      </c>
      <c r="H86" s="23"/>
      <c r="I86" s="26" t="n">
        <f>700</f>
        <v>700.0</v>
      </c>
      <c r="J86" s="24"/>
      <c r="K86" s="25" t="n">
        <f>63150000</f>
        <v>6.315E7</v>
      </c>
      <c r="L86" s="23"/>
      <c r="M86" s="25" t="n">
        <f>64200000</f>
        <v>6.42E7</v>
      </c>
      <c r="N86" s="23"/>
      <c r="O86" s="26" t="n">
        <f>127350000</f>
        <v>1.2735E8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str">
        <f>"－"</f>
        <v>－</v>
      </c>
      <c r="U86" s="23"/>
      <c r="V86" s="25" t="str">
        <f>"－"</f>
        <v>－</v>
      </c>
      <c r="W86" s="23"/>
      <c r="X86" s="26" t="str">
        <f>"－"</f>
        <v>－</v>
      </c>
      <c r="Y86" s="24"/>
      <c r="Z86" s="25" t="n">
        <f>62027</f>
        <v>62027.0</v>
      </c>
      <c r="AA86" s="23"/>
      <c r="AB86" s="25" t="n">
        <f>14438</f>
        <v>14438.0</v>
      </c>
      <c r="AC86" s="23"/>
      <c r="AD86" s="26" t="n">
        <f>76465</f>
        <v>76465.0</v>
      </c>
    </row>
    <row r="87">
      <c r="A87" s="30" t="s">
        <v>45</v>
      </c>
      <c r="B87" s="22" t="s">
        <v>63</v>
      </c>
      <c r="C87" s="22" t="s">
        <v>64</v>
      </c>
      <c r="D87" s="24"/>
      <c r="E87" s="25" t="n">
        <f>1091</f>
        <v>1091.0</v>
      </c>
      <c r="F87" s="23"/>
      <c r="G87" s="25" t="str">
        <f>"－"</f>
        <v>－</v>
      </c>
      <c r="H87" s="23"/>
      <c r="I87" s="26" t="n">
        <f>1091</f>
        <v>1091.0</v>
      </c>
      <c r="J87" s="24"/>
      <c r="K87" s="25" t="n">
        <f>214906700</f>
        <v>2.149067E8</v>
      </c>
      <c r="L87" s="23"/>
      <c r="M87" s="25" t="str">
        <f>"－"</f>
        <v>－</v>
      </c>
      <c r="N87" s="23"/>
      <c r="O87" s="26" t="n">
        <f>214906700</f>
        <v>2.149067E8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n">
        <f>260</f>
        <v>260.0</v>
      </c>
      <c r="U87" s="23"/>
      <c r="V87" s="25" t="str">
        <f>"－"</f>
        <v>－</v>
      </c>
      <c r="W87" s="23"/>
      <c r="X87" s="26" t="n">
        <f>260</f>
        <v>260.0</v>
      </c>
      <c r="Y87" s="24"/>
      <c r="Z87" s="25" t="n">
        <f>62175</f>
        <v>62175.0</v>
      </c>
      <c r="AA87" s="23"/>
      <c r="AB87" s="25" t="n">
        <f>14438</f>
        <v>14438.0</v>
      </c>
      <c r="AC87" s="23"/>
      <c r="AD87" s="26" t="n">
        <f>76613</f>
        <v>76613.0</v>
      </c>
    </row>
    <row r="88">
      <c r="A88" s="30" t="s">
        <v>46</v>
      </c>
      <c r="B88" s="22" t="s">
        <v>63</v>
      </c>
      <c r="C88" s="22" t="s">
        <v>64</v>
      </c>
      <c r="D88" s="24"/>
      <c r="E88" s="25" t="n">
        <f>1709</f>
        <v>1709.0</v>
      </c>
      <c r="F88" s="23"/>
      <c r="G88" s="25" t="str">
        <f>"－"</f>
        <v>－</v>
      </c>
      <c r="H88" s="23"/>
      <c r="I88" s="26" t="n">
        <f>1709</f>
        <v>1709.0</v>
      </c>
      <c r="J88" s="24"/>
      <c r="K88" s="25" t="n">
        <f>435354600</f>
        <v>4.353546E8</v>
      </c>
      <c r="L88" s="23"/>
      <c r="M88" s="25" t="str">
        <f>"－"</f>
        <v>－</v>
      </c>
      <c r="N88" s="23"/>
      <c r="O88" s="26" t="n">
        <f>435354600</f>
        <v>4.353546E8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n">
        <f>709</f>
        <v>709.0</v>
      </c>
      <c r="U88" s="23"/>
      <c r="V88" s="25" t="str">
        <f>"－"</f>
        <v>－</v>
      </c>
      <c r="W88" s="23"/>
      <c r="X88" s="26" t="n">
        <f>709</f>
        <v>709.0</v>
      </c>
      <c r="Y88" s="24"/>
      <c r="Z88" s="25" t="n">
        <f>63256</f>
        <v>63256.0</v>
      </c>
      <c r="AA88" s="23"/>
      <c r="AB88" s="25" t="n">
        <f>14438</f>
        <v>14438.0</v>
      </c>
      <c r="AC88" s="23"/>
      <c r="AD88" s="26" t="n">
        <f>77694</f>
        <v>77694.0</v>
      </c>
    </row>
    <row r="89">
      <c r="A89" s="30" t="s">
        <v>47</v>
      </c>
      <c r="B89" s="22" t="s">
        <v>63</v>
      </c>
      <c r="C89" s="22" t="s">
        <v>64</v>
      </c>
      <c r="D89" s="24"/>
      <c r="E89" s="25" t="n">
        <f>100</f>
        <v>100.0</v>
      </c>
      <c r="F89" s="23"/>
      <c r="G89" s="25" t="str">
        <f>"－"</f>
        <v>－</v>
      </c>
      <c r="H89" s="23"/>
      <c r="I89" s="26" t="n">
        <f>100</f>
        <v>100.0</v>
      </c>
      <c r="J89" s="24"/>
      <c r="K89" s="25" t="n">
        <f>26800000</f>
        <v>2.68E7</v>
      </c>
      <c r="L89" s="23"/>
      <c r="M89" s="25" t="str">
        <f>"－"</f>
        <v>－</v>
      </c>
      <c r="N89" s="23"/>
      <c r="O89" s="26" t="n">
        <f>26800000</f>
        <v>2.68E7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str">
        <f>"－"</f>
        <v>－</v>
      </c>
      <c r="U89" s="23"/>
      <c r="V89" s="25" t="str">
        <f>"－"</f>
        <v>－</v>
      </c>
      <c r="W89" s="23"/>
      <c r="X89" s="26" t="str">
        <f>"－"</f>
        <v>－</v>
      </c>
      <c r="Y89" s="24"/>
      <c r="Z89" s="25" t="n">
        <f>63356</f>
        <v>63356.0</v>
      </c>
      <c r="AA89" s="23"/>
      <c r="AB89" s="25" t="n">
        <f>14438</f>
        <v>14438.0</v>
      </c>
      <c r="AC89" s="23"/>
      <c r="AD89" s="26" t="n">
        <f>77794</f>
        <v>77794.0</v>
      </c>
    </row>
    <row r="90">
      <c r="A90" s="30" t="s">
        <v>48</v>
      </c>
      <c r="B90" s="22" t="s">
        <v>63</v>
      </c>
      <c r="C90" s="22" t="s">
        <v>64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49</v>
      </c>
      <c r="B91" s="22" t="s">
        <v>63</v>
      </c>
      <c r="C91" s="22" t="s">
        <v>64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>
      <c r="A92" s="30" t="s">
        <v>50</v>
      </c>
      <c r="B92" s="22" t="s">
        <v>63</v>
      </c>
      <c r="C92" s="22" t="s">
        <v>64</v>
      </c>
      <c r="D92" s="24"/>
      <c r="E92" s="25" t="n">
        <f>395</f>
        <v>395.0</v>
      </c>
      <c r="F92" s="23"/>
      <c r="G92" s="25" t="str">
        <f>"－"</f>
        <v>－</v>
      </c>
      <c r="H92" s="23"/>
      <c r="I92" s="26" t="n">
        <f>395</f>
        <v>395.0</v>
      </c>
      <c r="J92" s="24"/>
      <c r="K92" s="25" t="n">
        <f>334762500</f>
        <v>3.347625E8</v>
      </c>
      <c r="L92" s="23"/>
      <c r="M92" s="25" t="str">
        <f>"－"</f>
        <v>－</v>
      </c>
      <c r="N92" s="23"/>
      <c r="O92" s="26" t="n">
        <f>334762500</f>
        <v>3.347625E8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63751</f>
        <v>63751.0</v>
      </c>
      <c r="AA92" s="23"/>
      <c r="AB92" s="25" t="n">
        <f>14438</f>
        <v>14438.0</v>
      </c>
      <c r="AC92" s="23"/>
      <c r="AD92" s="26" t="n">
        <f>78189</f>
        <v>78189.0</v>
      </c>
    </row>
    <row r="93">
      <c r="A93" s="30" t="s">
        <v>51</v>
      </c>
      <c r="B93" s="22" t="s">
        <v>63</v>
      </c>
      <c r="C93" s="22" t="s">
        <v>64</v>
      </c>
      <c r="D93" s="24"/>
      <c r="E93" s="25" t="str">
        <f>"－"</f>
        <v>－</v>
      </c>
      <c r="F93" s="23"/>
      <c r="G93" s="25" t="n">
        <f>97</f>
        <v>97.0</v>
      </c>
      <c r="H93" s="23"/>
      <c r="I93" s="26" t="n">
        <f>97</f>
        <v>97.0</v>
      </c>
      <c r="J93" s="24"/>
      <c r="K93" s="25" t="str">
        <f>"－"</f>
        <v>－</v>
      </c>
      <c r="L93" s="23"/>
      <c r="M93" s="25" t="n">
        <f>83250250</f>
        <v>8.325025E7</v>
      </c>
      <c r="N93" s="23"/>
      <c r="O93" s="26" t="n">
        <f>83250250</f>
        <v>8.325025E7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n">
        <f>97</f>
        <v>97.0</v>
      </c>
      <c r="W93" s="23"/>
      <c r="X93" s="26" t="n">
        <f>97</f>
        <v>97.0</v>
      </c>
      <c r="Y93" s="24"/>
      <c r="Z93" s="25" t="n">
        <f>63751</f>
        <v>63751.0</v>
      </c>
      <c r="AA93" s="23"/>
      <c r="AB93" s="25" t="n">
        <f>14535</f>
        <v>14535.0</v>
      </c>
      <c r="AC93" s="23"/>
      <c r="AD93" s="26" t="n">
        <f>78286</f>
        <v>78286.0</v>
      </c>
    </row>
    <row r="94">
      <c r="A94" s="30" t="s">
        <v>52</v>
      </c>
      <c r="B94" s="22" t="s">
        <v>63</v>
      </c>
      <c r="C94" s="22" t="s">
        <v>64</v>
      </c>
      <c r="D94" s="24"/>
      <c r="E94" s="25" t="n">
        <f>100</f>
        <v>100.0</v>
      </c>
      <c r="F94" s="23"/>
      <c r="G94" s="25" t="str">
        <f>"－"</f>
        <v>－</v>
      </c>
      <c r="H94" s="23"/>
      <c r="I94" s="26" t="n">
        <f>100</f>
        <v>100.0</v>
      </c>
      <c r="J94" s="24"/>
      <c r="K94" s="25" t="n">
        <f>97000000</f>
        <v>9.7E7</v>
      </c>
      <c r="L94" s="23"/>
      <c r="M94" s="25" t="str">
        <f>"－"</f>
        <v>－</v>
      </c>
      <c r="N94" s="23"/>
      <c r="O94" s="26" t="n">
        <f>97000000</f>
        <v>9.7E7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str">
        <f>"－"</f>
        <v>－</v>
      </c>
      <c r="U94" s="23"/>
      <c r="V94" s="25" t="str">
        <f>"－"</f>
        <v>－</v>
      </c>
      <c r="W94" s="23"/>
      <c r="X94" s="26" t="str">
        <f>"－"</f>
        <v>－</v>
      </c>
      <c r="Y94" s="24"/>
      <c r="Z94" s="25" t="n">
        <f>63851</f>
        <v>63851.0</v>
      </c>
      <c r="AA94" s="23"/>
      <c r="AB94" s="25" t="n">
        <f>14438</f>
        <v>14438.0</v>
      </c>
      <c r="AC94" s="23"/>
      <c r="AD94" s="26" t="n">
        <f>78289</f>
        <v>78289.0</v>
      </c>
    </row>
    <row r="95">
      <c r="A95" s="30" t="s">
        <v>53</v>
      </c>
      <c r="B95" s="22" t="s">
        <v>63</v>
      </c>
      <c r="C95" s="22" t="s">
        <v>64</v>
      </c>
      <c r="D95" s="24"/>
      <c r="E95" s="25" t="str">
        <f>"－"</f>
        <v>－</v>
      </c>
      <c r="F95" s="23"/>
      <c r="G95" s="25" t="str">
        <f>"－"</f>
        <v>－</v>
      </c>
      <c r="H95" s="23"/>
      <c r="I95" s="26" t="str">
        <f>"－"</f>
        <v>－</v>
      </c>
      <c r="J95" s="24"/>
      <c r="K95" s="25" t="str">
        <f>"－"</f>
        <v>－</v>
      </c>
      <c r="L95" s="23"/>
      <c r="M95" s="25" t="str">
        <f>"－"</f>
        <v>－</v>
      </c>
      <c r="N95" s="23"/>
      <c r="O95" s="26" t="str">
        <f>"－"</f>
        <v>－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/>
      <c r="Z95" s="25" t="n">
        <f>63851</f>
        <v>63851.0</v>
      </c>
      <c r="AA95" s="23"/>
      <c r="AB95" s="25" t="n">
        <f>14438</f>
        <v>14438.0</v>
      </c>
      <c r="AC95" s="23"/>
      <c r="AD95" s="26" t="n">
        <f>78289</f>
        <v>78289.0</v>
      </c>
    </row>
    <row r="96">
      <c r="A96" s="30" t="s">
        <v>54</v>
      </c>
      <c r="B96" s="22" t="s">
        <v>63</v>
      </c>
      <c r="C96" s="22" t="s">
        <v>64</v>
      </c>
      <c r="D96" s="24"/>
      <c r="E96" s="25" t="str">
        <f>"－"</f>
        <v>－</v>
      </c>
      <c r="F96" s="23"/>
      <c r="G96" s="25" t="str">
        <f>"－"</f>
        <v>－</v>
      </c>
      <c r="H96" s="23"/>
      <c r="I96" s="26" t="str">
        <f>"－"</f>
        <v>－</v>
      </c>
      <c r="J96" s="24"/>
      <c r="K96" s="25" t="str">
        <f>"－"</f>
        <v>－</v>
      </c>
      <c r="L96" s="23"/>
      <c r="M96" s="25" t="str">
        <f>"－"</f>
        <v>－</v>
      </c>
      <c r="N96" s="23"/>
      <c r="O96" s="26" t="str">
        <f>"－"</f>
        <v>－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n">
        <f>63851</f>
        <v>63851.0</v>
      </c>
      <c r="AA96" s="23"/>
      <c r="AB96" s="25" t="n">
        <f>14438</f>
        <v>14438.0</v>
      </c>
      <c r="AC96" s="23"/>
      <c r="AD96" s="26" t="n">
        <f>78289</f>
        <v>78289.0</v>
      </c>
    </row>
    <row r="97">
      <c r="A97" s="30" t="s">
        <v>55</v>
      </c>
      <c r="B97" s="22" t="s">
        <v>63</v>
      </c>
      <c r="C97" s="22" t="s">
        <v>64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56</v>
      </c>
      <c r="B98" s="22" t="s">
        <v>63</v>
      </c>
      <c r="C98" s="22" t="s">
        <v>64</v>
      </c>
      <c r="D98" s="24"/>
      <c r="E98" s="25"/>
      <c r="F98" s="23"/>
      <c r="G98" s="25"/>
      <c r="H98" s="23"/>
      <c r="I98" s="26"/>
      <c r="J98" s="24"/>
      <c r="K98" s="25"/>
      <c r="L98" s="23"/>
      <c r="M98" s="25"/>
      <c r="N98" s="23"/>
      <c r="O98" s="26"/>
      <c r="P98" s="27"/>
      <c r="Q98" s="28"/>
      <c r="R98" s="29"/>
      <c r="S98" s="24"/>
      <c r="T98" s="25"/>
      <c r="U98" s="23"/>
      <c r="V98" s="25"/>
      <c r="W98" s="23"/>
      <c r="X98" s="26"/>
      <c r="Y98" s="24"/>
      <c r="Z98" s="25"/>
      <c r="AA98" s="23"/>
      <c r="AB98" s="25"/>
      <c r="AC98" s="23"/>
      <c r="AD98" s="26"/>
    </row>
    <row r="99">
      <c r="A99" s="30" t="s">
        <v>57</v>
      </c>
      <c r="B99" s="22" t="s">
        <v>63</v>
      </c>
      <c r="C99" s="22" t="s">
        <v>64</v>
      </c>
      <c r="D99" s="24"/>
      <c r="E99" s="25" t="str">
        <f>"－"</f>
        <v>－</v>
      </c>
      <c r="F99" s="23"/>
      <c r="G99" s="25" t="str">
        <f>"－"</f>
        <v>－</v>
      </c>
      <c r="H99" s="23"/>
      <c r="I99" s="26" t="str">
        <f>"－"</f>
        <v>－</v>
      </c>
      <c r="J99" s="24"/>
      <c r="K99" s="25" t="str">
        <f>"－"</f>
        <v>－</v>
      </c>
      <c r="L99" s="23"/>
      <c r="M99" s="25" t="str">
        <f>"－"</f>
        <v>－</v>
      </c>
      <c r="N99" s="23"/>
      <c r="O99" s="26" t="str">
        <f>"－"</f>
        <v>－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63851</f>
        <v>63851.0</v>
      </c>
      <c r="AA99" s="23"/>
      <c r="AB99" s="25" t="n">
        <f>14438</f>
        <v>14438.0</v>
      </c>
      <c r="AC99" s="23"/>
      <c r="AD99" s="26" t="n">
        <f>78289</f>
        <v>78289.0</v>
      </c>
    </row>
    <row r="100">
      <c r="A100" s="30" t="s">
        <v>58</v>
      </c>
      <c r="B100" s="22" t="s">
        <v>63</v>
      </c>
      <c r="C100" s="22" t="s">
        <v>64</v>
      </c>
      <c r="D100" s="24"/>
      <c r="E100" s="25" t="str">
        <f>"－"</f>
        <v>－</v>
      </c>
      <c r="F100" s="23"/>
      <c r="G100" s="25" t="str">
        <f>"－"</f>
        <v>－</v>
      </c>
      <c r="H100" s="23"/>
      <c r="I100" s="26" t="str">
        <f>"－"</f>
        <v>－</v>
      </c>
      <c r="J100" s="24"/>
      <c r="K100" s="25" t="str">
        <f>"－"</f>
        <v>－</v>
      </c>
      <c r="L100" s="23"/>
      <c r="M100" s="25" t="str">
        <f>"－"</f>
        <v>－</v>
      </c>
      <c r="N100" s="23"/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/>
      <c r="T100" s="25" t="str">
        <f>"－"</f>
        <v>－</v>
      </c>
      <c r="U100" s="23"/>
      <c r="V100" s="25" t="str">
        <f>"－"</f>
        <v>－</v>
      </c>
      <c r="W100" s="23"/>
      <c r="X100" s="26" t="str">
        <f>"－"</f>
        <v>－</v>
      </c>
      <c r="Y100" s="24"/>
      <c r="Z100" s="25" t="n">
        <f>63851</f>
        <v>63851.0</v>
      </c>
      <c r="AA100" s="23"/>
      <c r="AB100" s="25" t="n">
        <f>14438</f>
        <v>14438.0</v>
      </c>
      <c r="AC100" s="23"/>
      <c r="AD100" s="26" t="n">
        <f>78289</f>
        <v>78289.0</v>
      </c>
    </row>
    <row r="101">
      <c r="A101" s="30" t="s">
        <v>59</v>
      </c>
      <c r="B101" s="22" t="s">
        <v>63</v>
      </c>
      <c r="C101" s="22" t="s">
        <v>64</v>
      </c>
      <c r="D101" s="24"/>
      <c r="E101" s="25" t="n">
        <f>300</f>
        <v>300.0</v>
      </c>
      <c r="F101" s="23"/>
      <c r="G101" s="25" t="str">
        <f>"－"</f>
        <v>－</v>
      </c>
      <c r="H101" s="23"/>
      <c r="I101" s="26" t="n">
        <f>300</f>
        <v>300.0</v>
      </c>
      <c r="J101" s="24"/>
      <c r="K101" s="25" t="n">
        <f>40028176</f>
        <v>4.0028176E7</v>
      </c>
      <c r="L101" s="23"/>
      <c r="M101" s="25" t="str">
        <f>"－"</f>
        <v>－</v>
      </c>
      <c r="N101" s="23"/>
      <c r="O101" s="26" t="n">
        <f>40028176</f>
        <v>4.0028176E7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n">
        <f>300</f>
        <v>300.0</v>
      </c>
      <c r="U101" s="23"/>
      <c r="V101" s="25" t="str">
        <f>"－"</f>
        <v>－</v>
      </c>
      <c r="W101" s="23"/>
      <c r="X101" s="26" t="n">
        <f>300</f>
        <v>300.0</v>
      </c>
      <c r="Y101" s="24"/>
      <c r="Z101" s="25" t="n">
        <f>64151</f>
        <v>64151.0</v>
      </c>
      <c r="AA101" s="23"/>
      <c r="AB101" s="25" t="n">
        <f>14438</f>
        <v>14438.0</v>
      </c>
      <c r="AC101" s="23"/>
      <c r="AD101" s="26" t="n">
        <f>78589</f>
        <v>78589.0</v>
      </c>
    </row>
    <row r="102">
      <c r="A102" s="30" t="s">
        <v>60</v>
      </c>
      <c r="B102" s="22" t="s">
        <v>63</v>
      </c>
      <c r="C102" s="22" t="s">
        <v>64</v>
      </c>
      <c r="D102" s="24"/>
      <c r="E102" s="25"/>
      <c r="F102" s="23"/>
      <c r="G102" s="25"/>
      <c r="H102" s="23"/>
      <c r="I102" s="26"/>
      <c r="J102" s="24"/>
      <c r="K102" s="25"/>
      <c r="L102" s="23"/>
      <c r="M102" s="25"/>
      <c r="N102" s="23"/>
      <c r="O102" s="26"/>
      <c r="P102" s="27"/>
      <c r="Q102" s="28"/>
      <c r="R102" s="29"/>
      <c r="S102" s="24"/>
      <c r="T102" s="25"/>
      <c r="U102" s="23"/>
      <c r="V102" s="25"/>
      <c r="W102" s="23"/>
      <c r="X102" s="26"/>
      <c r="Y102" s="24"/>
      <c r="Z102" s="25"/>
      <c r="AA102" s="23"/>
      <c r="AB102" s="25"/>
      <c r="AC102" s="23"/>
      <c r="AD102" s="26"/>
    </row>
    <row r="103">
      <c r="A103" s="30" t="s">
        <v>26</v>
      </c>
      <c r="B103" s="22" t="s">
        <v>65</v>
      </c>
      <c r="C103" s="22" t="s">
        <v>66</v>
      </c>
      <c r="D103" s="24" t="s">
        <v>67</v>
      </c>
      <c r="E103" s="25" t="str">
        <f>"－"</f>
        <v>－</v>
      </c>
      <c r="F103" s="23" t="s">
        <v>67</v>
      </c>
      <c r="G103" s="25" t="str">
        <f>"－"</f>
        <v>－</v>
      </c>
      <c r="H103" s="23" t="s">
        <v>67</v>
      </c>
      <c r="I103" s="26" t="str">
        <f>"－"</f>
        <v>－</v>
      </c>
      <c r="J103" s="24" t="s">
        <v>67</v>
      </c>
      <c r="K103" s="25" t="str">
        <f>"－"</f>
        <v>－</v>
      </c>
      <c r="L103" s="23" t="s">
        <v>67</v>
      </c>
      <c r="M103" s="25" t="str">
        <f>"－"</f>
        <v>－</v>
      </c>
      <c r="N103" s="23" t="s">
        <v>67</v>
      </c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 t="s">
        <v>67</v>
      </c>
      <c r="T103" s="25" t="str">
        <f>"－"</f>
        <v>－</v>
      </c>
      <c r="U103" s="23" t="s">
        <v>67</v>
      </c>
      <c r="V103" s="25" t="str">
        <f>"－"</f>
        <v>－</v>
      </c>
      <c r="W103" s="23" t="s">
        <v>67</v>
      </c>
      <c r="X103" s="26" t="str">
        <f>"－"</f>
        <v>－</v>
      </c>
      <c r="Y103" s="24" t="s">
        <v>67</v>
      </c>
      <c r="Z103" s="25" t="str">
        <f>"－"</f>
        <v>－</v>
      </c>
      <c r="AA103" s="23" t="s">
        <v>67</v>
      </c>
      <c r="AB103" s="25" t="str">
        <f>"－"</f>
        <v>－</v>
      </c>
      <c r="AC103" s="23" t="s">
        <v>67</v>
      </c>
      <c r="AD103" s="26" t="str">
        <f>"－"</f>
        <v>－</v>
      </c>
    </row>
    <row r="104">
      <c r="A104" s="30" t="s">
        <v>29</v>
      </c>
      <c r="B104" s="22" t="s">
        <v>65</v>
      </c>
      <c r="C104" s="22" t="s">
        <v>66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30</v>
      </c>
      <c r="B105" s="22" t="s">
        <v>65</v>
      </c>
      <c r="C105" s="22" t="s">
        <v>66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32</v>
      </c>
      <c r="B106" s="22" t="s">
        <v>65</v>
      </c>
      <c r="C106" s="22" t="s">
        <v>66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33</v>
      </c>
      <c r="B107" s="22" t="s">
        <v>65</v>
      </c>
      <c r="C107" s="22" t="s">
        <v>66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>
      <c r="A108" s="30" t="s">
        <v>34</v>
      </c>
      <c r="B108" s="22" t="s">
        <v>65</v>
      </c>
      <c r="C108" s="22" t="s">
        <v>66</v>
      </c>
      <c r="D108" s="24"/>
      <c r="E108" s="25"/>
      <c r="F108" s="23"/>
      <c r="G108" s="25"/>
      <c r="H108" s="23"/>
      <c r="I108" s="26"/>
      <c r="J108" s="24"/>
      <c r="K108" s="25"/>
      <c r="L108" s="23"/>
      <c r="M108" s="25"/>
      <c r="N108" s="23"/>
      <c r="O108" s="26"/>
      <c r="P108" s="27"/>
      <c r="Q108" s="28"/>
      <c r="R108" s="29"/>
      <c r="S108" s="24"/>
      <c r="T108" s="25"/>
      <c r="U108" s="23"/>
      <c r="V108" s="25"/>
      <c r="W108" s="23"/>
      <c r="X108" s="26"/>
      <c r="Y108" s="24"/>
      <c r="Z108" s="25"/>
      <c r="AA108" s="23"/>
      <c r="AB108" s="25"/>
      <c r="AC108" s="23"/>
      <c r="AD108" s="26"/>
    </row>
    <row r="109">
      <c r="A109" s="30" t="s">
        <v>35</v>
      </c>
      <c r="B109" s="22" t="s">
        <v>65</v>
      </c>
      <c r="C109" s="22" t="s">
        <v>66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36</v>
      </c>
      <c r="B110" s="22" t="s">
        <v>65</v>
      </c>
      <c r="C110" s="22" t="s">
        <v>66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37</v>
      </c>
      <c r="B111" s="22" t="s">
        <v>65</v>
      </c>
      <c r="C111" s="22" t="s">
        <v>66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38</v>
      </c>
      <c r="B112" s="22" t="s">
        <v>65</v>
      </c>
      <c r="C112" s="22" t="s">
        <v>66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39</v>
      </c>
      <c r="B113" s="22" t="s">
        <v>65</v>
      </c>
      <c r="C113" s="22" t="s">
        <v>66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41</v>
      </c>
      <c r="B114" s="22" t="s">
        <v>65</v>
      </c>
      <c r="C114" s="22" t="s">
        <v>66</v>
      </c>
      <c r="D114" s="24"/>
      <c r="E114" s="25"/>
      <c r="F114" s="23"/>
      <c r="G114" s="25"/>
      <c r="H114" s="23"/>
      <c r="I114" s="26"/>
      <c r="J114" s="24"/>
      <c r="K114" s="25"/>
      <c r="L114" s="23"/>
      <c r="M114" s="25"/>
      <c r="N114" s="23"/>
      <c r="O114" s="26"/>
      <c r="P114" s="27"/>
      <c r="Q114" s="28"/>
      <c r="R114" s="29"/>
      <c r="S114" s="24"/>
      <c r="T114" s="25"/>
      <c r="U114" s="23"/>
      <c r="V114" s="25"/>
      <c r="W114" s="23"/>
      <c r="X114" s="26"/>
      <c r="Y114" s="24"/>
      <c r="Z114" s="25"/>
      <c r="AA114" s="23"/>
      <c r="AB114" s="25"/>
      <c r="AC114" s="23"/>
      <c r="AD114" s="26"/>
    </row>
    <row r="115">
      <c r="A115" s="30" t="s">
        <v>42</v>
      </c>
      <c r="B115" s="22" t="s">
        <v>65</v>
      </c>
      <c r="C115" s="22" t="s">
        <v>66</v>
      </c>
      <c r="D115" s="24"/>
      <c r="E115" s="25"/>
      <c r="F115" s="23"/>
      <c r="G115" s="25"/>
      <c r="H115" s="23"/>
      <c r="I115" s="26"/>
      <c r="J115" s="24"/>
      <c r="K115" s="25"/>
      <c r="L115" s="23"/>
      <c r="M115" s="25"/>
      <c r="N115" s="23"/>
      <c r="O115" s="26"/>
      <c r="P115" s="27"/>
      <c r="Q115" s="28"/>
      <c r="R115" s="29"/>
      <c r="S115" s="24"/>
      <c r="T115" s="25"/>
      <c r="U115" s="23"/>
      <c r="V115" s="25"/>
      <c r="W115" s="23"/>
      <c r="X115" s="26"/>
      <c r="Y115" s="24"/>
      <c r="Z115" s="25"/>
      <c r="AA115" s="23"/>
      <c r="AB115" s="25"/>
      <c r="AC115" s="23"/>
      <c r="AD115" s="26"/>
    </row>
    <row r="116">
      <c r="A116" s="30" t="s">
        <v>43</v>
      </c>
      <c r="B116" s="22" t="s">
        <v>65</v>
      </c>
      <c r="C116" s="22" t="s">
        <v>66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44</v>
      </c>
      <c r="B117" s="22" t="s">
        <v>65</v>
      </c>
      <c r="C117" s="22" t="s">
        <v>66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45</v>
      </c>
      <c r="B118" s="22" t="s">
        <v>65</v>
      </c>
      <c r="C118" s="22" t="s">
        <v>66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46</v>
      </c>
      <c r="B119" s="22" t="s">
        <v>65</v>
      </c>
      <c r="C119" s="22" t="s">
        <v>66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47</v>
      </c>
      <c r="B120" s="22" t="s">
        <v>65</v>
      </c>
      <c r="C120" s="22" t="s">
        <v>66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48</v>
      </c>
      <c r="B121" s="22" t="s">
        <v>65</v>
      </c>
      <c r="C121" s="22" t="s">
        <v>66</v>
      </c>
      <c r="D121" s="24"/>
      <c r="E121" s="25"/>
      <c r="F121" s="23"/>
      <c r="G121" s="25"/>
      <c r="H121" s="23"/>
      <c r="I121" s="26"/>
      <c r="J121" s="24"/>
      <c r="K121" s="25"/>
      <c r="L121" s="23"/>
      <c r="M121" s="25"/>
      <c r="N121" s="23"/>
      <c r="O121" s="26"/>
      <c r="P121" s="27"/>
      <c r="Q121" s="28"/>
      <c r="R121" s="29"/>
      <c r="S121" s="24"/>
      <c r="T121" s="25"/>
      <c r="U121" s="23"/>
      <c r="V121" s="25"/>
      <c r="W121" s="23"/>
      <c r="X121" s="26"/>
      <c r="Y121" s="24"/>
      <c r="Z121" s="25"/>
      <c r="AA121" s="23"/>
      <c r="AB121" s="25"/>
      <c r="AC121" s="23"/>
      <c r="AD121" s="26"/>
    </row>
    <row r="122">
      <c r="A122" s="30" t="s">
        <v>49</v>
      </c>
      <c r="B122" s="22" t="s">
        <v>65</v>
      </c>
      <c r="C122" s="22" t="s">
        <v>66</v>
      </c>
      <c r="D122" s="24"/>
      <c r="E122" s="25"/>
      <c r="F122" s="23"/>
      <c r="G122" s="25"/>
      <c r="H122" s="23"/>
      <c r="I122" s="26"/>
      <c r="J122" s="24"/>
      <c r="K122" s="25"/>
      <c r="L122" s="23"/>
      <c r="M122" s="25"/>
      <c r="N122" s="23"/>
      <c r="O122" s="26"/>
      <c r="P122" s="27"/>
      <c r="Q122" s="28"/>
      <c r="R122" s="29"/>
      <c r="S122" s="24"/>
      <c r="T122" s="25"/>
      <c r="U122" s="23"/>
      <c r="V122" s="25"/>
      <c r="W122" s="23"/>
      <c r="X122" s="26"/>
      <c r="Y122" s="24"/>
      <c r="Z122" s="25"/>
      <c r="AA122" s="23"/>
      <c r="AB122" s="25"/>
      <c r="AC122" s="23"/>
      <c r="AD122" s="26"/>
    </row>
    <row r="123">
      <c r="A123" s="30" t="s">
        <v>50</v>
      </c>
      <c r="B123" s="22" t="s">
        <v>65</v>
      </c>
      <c r="C123" s="22" t="s">
        <v>66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51</v>
      </c>
      <c r="B124" s="22" t="s">
        <v>65</v>
      </c>
      <c r="C124" s="22" t="s">
        <v>66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52</v>
      </c>
      <c r="B125" s="22" t="s">
        <v>65</v>
      </c>
      <c r="C125" s="22" t="s">
        <v>66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53</v>
      </c>
      <c r="B126" s="22" t="s">
        <v>65</v>
      </c>
      <c r="C126" s="22" t="s">
        <v>66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54</v>
      </c>
      <c r="B127" s="22" t="s">
        <v>65</v>
      </c>
      <c r="C127" s="22" t="s">
        <v>66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55</v>
      </c>
      <c r="B128" s="22" t="s">
        <v>65</v>
      </c>
      <c r="C128" s="22" t="s">
        <v>66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56</v>
      </c>
      <c r="B129" s="22" t="s">
        <v>65</v>
      </c>
      <c r="C129" s="22" t="s">
        <v>66</v>
      </c>
      <c r="D129" s="24"/>
      <c r="E129" s="25"/>
      <c r="F129" s="23"/>
      <c r="G129" s="25"/>
      <c r="H129" s="23"/>
      <c r="I129" s="26"/>
      <c r="J129" s="24"/>
      <c r="K129" s="25"/>
      <c r="L129" s="23"/>
      <c r="M129" s="25"/>
      <c r="N129" s="23"/>
      <c r="O129" s="26"/>
      <c r="P129" s="27"/>
      <c r="Q129" s="28"/>
      <c r="R129" s="29"/>
      <c r="S129" s="24"/>
      <c r="T129" s="25"/>
      <c r="U129" s="23"/>
      <c r="V129" s="25"/>
      <c r="W129" s="23"/>
      <c r="X129" s="26"/>
      <c r="Y129" s="24"/>
      <c r="Z129" s="25"/>
      <c r="AA129" s="23"/>
      <c r="AB129" s="25"/>
      <c r="AC129" s="23"/>
      <c r="AD129" s="26"/>
    </row>
    <row r="130">
      <c r="A130" s="30" t="s">
        <v>57</v>
      </c>
      <c r="B130" s="22" t="s">
        <v>65</v>
      </c>
      <c r="C130" s="22" t="s">
        <v>66</v>
      </c>
      <c r="D130" s="24"/>
      <c r="E130" s="25" t="str">
        <f>"－"</f>
        <v>－</v>
      </c>
      <c r="F130" s="23"/>
      <c r="G130" s="25" t="str">
        <f>"－"</f>
        <v>－</v>
      </c>
      <c r="H130" s="23"/>
      <c r="I130" s="26" t="str">
        <f>"－"</f>
        <v>－</v>
      </c>
      <c r="J130" s="24"/>
      <c r="K130" s="25" t="str">
        <f>"－"</f>
        <v>－</v>
      </c>
      <c r="L130" s="23"/>
      <c r="M130" s="25" t="str">
        <f>"－"</f>
        <v>－</v>
      </c>
      <c r="N130" s="23"/>
      <c r="O130" s="26" t="str">
        <f>"－"</f>
        <v>－</v>
      </c>
      <c r="P130" s="27" t="str">
        <f>"－"</f>
        <v>－</v>
      </c>
      <c r="Q130" s="28" t="str">
        <f>"－"</f>
        <v>－</v>
      </c>
      <c r="R130" s="29" t="str">
        <f>"－"</f>
        <v>－</v>
      </c>
      <c r="S130" s="24"/>
      <c r="T130" s="25" t="str">
        <f>"－"</f>
        <v>－</v>
      </c>
      <c r="U130" s="23"/>
      <c r="V130" s="25" t="str">
        <f>"－"</f>
        <v>－</v>
      </c>
      <c r="W130" s="23"/>
      <c r="X130" s="26" t="str">
        <f>"－"</f>
        <v>－</v>
      </c>
      <c r="Y130" s="24"/>
      <c r="Z130" s="25" t="str">
        <f>"－"</f>
        <v>－</v>
      </c>
      <c r="AA130" s="23"/>
      <c r="AB130" s="25" t="str">
        <f>"－"</f>
        <v>－</v>
      </c>
      <c r="AC130" s="23"/>
      <c r="AD130" s="26" t="str">
        <f>"－"</f>
        <v>－</v>
      </c>
    </row>
    <row r="131">
      <c r="A131" s="30" t="s">
        <v>58</v>
      </c>
      <c r="B131" s="22" t="s">
        <v>65</v>
      </c>
      <c r="C131" s="22" t="s">
        <v>66</v>
      </c>
      <c r="D131" s="24"/>
      <c r="E131" s="25" t="str">
        <f>"－"</f>
        <v>－</v>
      </c>
      <c r="F131" s="23"/>
      <c r="G131" s="25" t="str">
        <f>"－"</f>
        <v>－</v>
      </c>
      <c r="H131" s="23"/>
      <c r="I131" s="26" t="str">
        <f>"－"</f>
        <v>－</v>
      </c>
      <c r="J131" s="24"/>
      <c r="K131" s="25" t="str">
        <f>"－"</f>
        <v>－</v>
      </c>
      <c r="L131" s="23"/>
      <c r="M131" s="25" t="str">
        <f>"－"</f>
        <v>－</v>
      </c>
      <c r="N131" s="23"/>
      <c r="O131" s="26" t="str">
        <f>"－"</f>
        <v>－</v>
      </c>
      <c r="P131" s="27" t="str">
        <f>"－"</f>
        <v>－</v>
      </c>
      <c r="Q131" s="28" t="str">
        <f>"－"</f>
        <v>－</v>
      </c>
      <c r="R131" s="29" t="str">
        <f>"－"</f>
        <v>－</v>
      </c>
      <c r="S131" s="24"/>
      <c r="T131" s="25" t="str">
        <f>"－"</f>
        <v>－</v>
      </c>
      <c r="U131" s="23"/>
      <c r="V131" s="25" t="str">
        <f>"－"</f>
        <v>－</v>
      </c>
      <c r="W131" s="23"/>
      <c r="X131" s="26" t="str">
        <f>"－"</f>
        <v>－</v>
      </c>
      <c r="Y131" s="24"/>
      <c r="Z131" s="25" t="str">
        <f>"－"</f>
        <v>－</v>
      </c>
      <c r="AA131" s="23"/>
      <c r="AB131" s="25" t="str">
        <f>"－"</f>
        <v>－</v>
      </c>
      <c r="AC131" s="23"/>
      <c r="AD131" s="26" t="str">
        <f>"－"</f>
        <v>－</v>
      </c>
    </row>
    <row r="132">
      <c r="A132" s="30" t="s">
        <v>59</v>
      </c>
      <c r="B132" s="22" t="s">
        <v>65</v>
      </c>
      <c r="C132" s="22" t="s">
        <v>66</v>
      </c>
      <c r="D132" s="24"/>
      <c r="E132" s="25" t="str">
        <f>"－"</f>
        <v>－</v>
      </c>
      <c r="F132" s="23"/>
      <c r="G132" s="25" t="str">
        <f>"－"</f>
        <v>－</v>
      </c>
      <c r="H132" s="23"/>
      <c r="I132" s="26" t="str">
        <f>"－"</f>
        <v>－</v>
      </c>
      <c r="J132" s="24"/>
      <c r="K132" s="25" t="str">
        <f>"－"</f>
        <v>－</v>
      </c>
      <c r="L132" s="23"/>
      <c r="M132" s="25" t="str">
        <f>"－"</f>
        <v>－</v>
      </c>
      <c r="N132" s="23"/>
      <c r="O132" s="26" t="str">
        <f>"－"</f>
        <v>－</v>
      </c>
      <c r="P132" s="27" t="str">
        <f>"－"</f>
        <v>－</v>
      </c>
      <c r="Q132" s="28" t="str">
        <f>"－"</f>
        <v>－</v>
      </c>
      <c r="R132" s="29" t="str">
        <f>"－"</f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 t="str">
        <f>"－"</f>
        <v>－</v>
      </c>
      <c r="AA132" s="23"/>
      <c r="AB132" s="25" t="str">
        <f>"－"</f>
        <v>－</v>
      </c>
      <c r="AC132" s="23"/>
      <c r="AD132" s="26" t="str">
        <f>"－"</f>
        <v>－</v>
      </c>
    </row>
    <row r="133">
      <c r="A133" s="30" t="s">
        <v>60</v>
      </c>
      <c r="B133" s="22" t="s">
        <v>65</v>
      </c>
      <c r="C133" s="22" t="s">
        <v>66</v>
      </c>
      <c r="D133" s="24"/>
      <c r="E133" s="25"/>
      <c r="F133" s="23"/>
      <c r="G133" s="25"/>
      <c r="H133" s="23"/>
      <c r="I133" s="26"/>
      <c r="J133" s="24"/>
      <c r="K133" s="25"/>
      <c r="L133" s="23"/>
      <c r="M133" s="25"/>
      <c r="N133" s="23"/>
      <c r="O133" s="26"/>
      <c r="P133" s="27"/>
      <c r="Q133" s="28"/>
      <c r="R133" s="29"/>
      <c r="S133" s="24"/>
      <c r="T133" s="25"/>
      <c r="U133" s="23"/>
      <c r="V133" s="25"/>
      <c r="W133" s="23"/>
      <c r="X133" s="26"/>
      <c r="Y133" s="24"/>
      <c r="Z133" s="25"/>
      <c r="AA133" s="23"/>
      <c r="AB133" s="25"/>
      <c r="AC133" s="23"/>
      <c r="AD133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