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7515" windowWidth="14400" xWindow="-15" yWindow="0"/>
  </bookViews>
  <sheets>
    <sheet name="BO_DM0035" r:id="rId1" sheetId="9"/>
  </sheets>
  <definedNames>
    <definedName localSheetId="0" name="_xlnm.Print_Titles">BO_DM0035!$3:$5</definedName>
  </definedNames>
  <calcPr calcId="145621"/>
</workbook>
</file>

<file path=xl/sharedStrings.xml><?xml version="1.0" encoding="utf-8"?>
<sst xmlns="http://schemas.openxmlformats.org/spreadsheetml/2006/main" count="1197" uniqueCount="73">
  <si>
    <t>月日</t>
  </si>
  <si>
    <t>取　引　高</t>
  </si>
  <si>
    <t>Date</t>
  </si>
  <si>
    <t>取　引　金　額</t>
  </si>
  <si>
    <t>ギ　ブ　・　ア　ッ　プ　数　量</t>
  </si>
  <si>
    <t>建　玉　現　在　高</t>
  </si>
  <si>
    <t>Trading Volume</t>
  </si>
  <si>
    <t>Trading Value</t>
  </si>
  <si>
    <t>Give Up Volume</t>
  </si>
  <si>
    <t>Open Interest</t>
  </si>
  <si>
    <t>商品等</t>
    <rPh eb="2" sb="0">
      <t>ショウヒン</t>
    </rPh>
    <rPh eb="3" sb="2">
      <t>ナド</t>
    </rPh>
    <phoneticPr fontId="92"/>
  </si>
  <si>
    <t>（単位 units. 円 ￥.）</t>
    <phoneticPr fontId="5"/>
  </si>
  <si>
    <t>（注）  1．◎は最高、 ●は最低を示す。　2．ギブ･アップ数量は売と買の合計数量　　Note： 1．◎ indicates highest and ● indicates lowest.　2．Give-Up Volume means total amount of the buying and selling.</t>
  </si>
  <si>
    <t>商品先物取引取引状況（日別）</t>
    <rPh eb="2" sb="0">
      <t>ショウヒン</t>
    </rPh>
    <phoneticPr fontId="5"/>
  </si>
  <si>
    <t>Products</t>
    <phoneticPr fontId="92"/>
  </si>
  <si>
    <t>Trading of Commodity Futures (Daily)</t>
    <phoneticPr fontId="5"/>
  </si>
  <si>
    <t>2.1</t>
  </si>
  <si>
    <t>金標準先物</t>
  </si>
  <si>
    <t>Gold Standard Futures</t>
  </si>
  <si>
    <t>◎</t>
  </si>
  <si>
    <t>2</t>
  </si>
  <si>
    <t>●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</si>
  <si>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</si>
  <si>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</si>
  <si>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</si>
  <si>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</si>
  <si>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</si>
  <si>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</si>
  <si>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</si>
  <si>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</si>
  <si>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</si>
  <si>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</si>
  <si>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</si>
  <si>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</si>
  <si>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</si>
  <si>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</si>
  <si>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</si>
  <si>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</si>
  <si>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</si>
  <si>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</si>
  <si>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</si>
  <si>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</si>
  <si>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</si>
  <si>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</si>
  <si>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</si>
  <si>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</si>
  <si>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</si>
  <si>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</si>
  <si>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金ミニ先物</t>
  </si>
  <si>
    <t>Gold Mini Futures</t>
  </si>
  <si>
    <t>◎●</t>
  </si>
  <si>
    <t>金限日先物</t>
  </si>
  <si>
    <t>Gold Rolling-Spot Futures</t>
  </si>
  <si>
    <t>銀先物</t>
  </si>
  <si>
    <t>Silver Futures</t>
  </si>
  <si>
    <t>白金標準先物</t>
  </si>
  <si>
    <t>Platinum Standard Futures</t>
  </si>
  <si>
    <t>白金ミニ先物</t>
  </si>
  <si>
    <t>Platinum Mini Futures</t>
  </si>
  <si>
    <t>白金限日先物</t>
  </si>
  <si>
    <t>Platinum Rolling-Spot Futures</t>
  </si>
  <si>
    <t>パラジウム先物</t>
  </si>
  <si>
    <t>Palladium Futures</t>
  </si>
  <si>
    <t>ゴム（RSS3）先物</t>
  </si>
  <si>
    <t>RSS3 Rubber Futures</t>
  </si>
  <si>
    <t>ゴム（TSR20）先物</t>
  </si>
  <si>
    <t>TSR20 Rubber Futures</t>
  </si>
  <si>
    <t>とうもろこし先物</t>
  </si>
  <si>
    <t>Corn Futures</t>
  </si>
  <si>
    <t>一般大豆先物</t>
  </si>
  <si>
    <t>Soybean Futures</t>
  </si>
  <si>
    <t>小豆先物</t>
  </si>
  <si>
    <t>Azuki (Red Bean) Futures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</si>
</sst>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,###"/>
  </numFmts>
  <fonts count="11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9"/>
      <name val="ＭＳ ゴシック"/>
      <family val="3"/>
      <charset val="128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20"/>
      <name val="ＭＳ ゴシック"/>
      <family val="3"/>
      <charset val="128"/>
    </font>
    <font>
      <sz val="11"/>
      <name val="ＭＳ Ｐゴシック"/>
      <family val="2"/>
      <scheme val="minor"/>
    </font>
  </fonts>
  <fills count="5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995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9" numFmtId="9"/>
    <xf borderId="0" fillId="0" fontId="20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3" fontId="22" numFmtId="0"/>
    <xf applyAlignment="0" applyBorder="0" applyNumberFormat="0" applyProtection="0" borderId="0" fillId="10" fontId="22" numFmtId="0"/>
    <xf applyAlignment="0" applyBorder="0" applyNumberFormat="0" applyProtection="0" borderId="0" fillId="11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16" fontId="22" numFmtId="0"/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7" fontId="22" numFmtId="0"/>
    <xf applyAlignment="0" applyBorder="0" applyNumberFormat="0" applyProtection="0" borderId="0" fillId="18" fontId="22" numFmtId="0"/>
    <xf applyAlignment="0" applyBorder="0" applyNumberFormat="0" applyProtection="0" borderId="0" fillId="19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20" fontId="22" numFmtId="0"/>
    <xf borderId="0" fillId="0" fontId="24" numFmtId="0">
      <alignment horizontal="center" wrapText="1"/>
      <protection locked="0"/>
    </xf>
    <xf borderId="0" fillId="0" fontId="25" numFmtId="0"/>
    <xf applyAlignment="0" applyBorder="0" applyNumberFormat="0" applyProtection="0" borderId="0" fillId="4" fontId="26" numFmtId="0"/>
    <xf applyAlignment="0" applyBorder="0" applyFill="0" applyNumberFormat="0" applyProtection="0" borderId="0" fillId="0" fontId="27" numFmtId="0"/>
    <xf applyAlignment="0" applyBorder="0" applyFill="0" borderId="0" fillId="0" fontId="6" numFmtId="179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6" fillId="22" fontId="29" numFmtId="0"/>
    <xf borderId="0" fillId="0" fontId="30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1" numFmtId="0">
      <alignment horizontal="left"/>
    </xf>
    <xf applyAlignment="0" applyBorder="0" applyFill="0" applyNumberFormat="0" applyProtection="0" borderId="0" fillId="0" fontId="32" numFmtId="0"/>
    <xf applyAlignment="0" applyBorder="0" applyNumberFormat="0" applyProtection="0" borderId="0" fillId="5" fontId="33" numFmtId="0"/>
    <xf applyAlignment="0" applyBorder="0" applyNumberFormat="0" applyProtection="0" borderId="0" fillId="23" fontId="34" numFmtId="38"/>
    <xf borderId="0" fillId="24" fontId="35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7" fillId="0" fontId="36" numFmtId="0"/>
    <xf applyAlignment="0" applyFill="0" applyNumberFormat="0" applyProtection="0" borderId="8" fillId="0" fontId="37" numFmtId="0"/>
    <xf applyAlignment="0" applyFill="0" applyNumberFormat="0" applyProtection="0" borderId="9" fillId="0" fontId="38" numFmtId="0"/>
    <xf applyAlignment="0" applyBorder="0" applyFill="0" applyNumberFormat="0" applyProtection="0" borderId="0" fillId="0" fontId="38" numFmtId="0"/>
    <xf applyBorder="0" borderId="0" fillId="0" fontId="6" numFmtId="0"/>
    <xf applyAlignment="0" applyNumberFormat="0" applyProtection="0" borderId="5" fillId="8" fontId="39" numFmtId="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borderId="0" fillId="0" fontId="6" numFmtId="0"/>
    <xf applyAlignment="0" applyFill="0" applyNumberFormat="0" applyProtection="0" borderId="10" fillId="0" fontId="40" numFmtId="0"/>
    <xf applyAlignment="0" applyBorder="0" applyFill="0" applyFont="0" applyProtection="0" borderId="0" fillId="0" fontId="41" numFmtId="38"/>
    <xf applyAlignment="0" applyBorder="0" applyFill="0" applyFont="0" applyProtection="0" borderId="0" fillId="0" fontId="41" numFmtId="40"/>
    <xf applyAlignment="0" applyBorder="0" applyFill="0" applyFont="0" applyProtection="0" borderId="0" fillId="0" fontId="41" numFmtId="182"/>
    <xf applyAlignment="0" applyBorder="0" applyFill="0" applyFont="0" applyProtection="0" borderId="0" fillId="0" fontId="41" numFmtId="183"/>
    <xf applyAlignment="0" applyBorder="0" applyNumberFormat="0" applyProtection="0" borderId="0" fillId="26" fontId="42" numFmtId="0"/>
    <xf borderId="0" fillId="0" fontId="43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borderId="0" fillId="0" fontId="24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1" numFmtId="4">
      <alignment horizontal="right"/>
    </xf>
    <xf applyAlignment="0" applyBorder="0" applyFill="0" applyFont="0" applyNumberFormat="0" applyProtection="0" borderId="0" fillId="0" fontId="45" numFmtId="0">
      <alignment horizontal="left"/>
    </xf>
    <xf borderId="13" fillId="0" fontId="46" numFmtId="0">
      <alignment horizontal="center"/>
    </xf>
    <xf applyAlignment="0" applyBorder="0" applyFill="0" applyFont="0" applyNumberFormat="0" borderId="0" fillId="0" fontId="47" numFmtId="0"/>
    <xf borderId="0" fillId="0" fontId="48" numFmtId="4">
      <alignment horizontal="right"/>
    </xf>
    <xf borderId="0" fillId="0" fontId="49" numFmtId="0">
      <alignment horizontal="left"/>
    </xf>
    <xf borderId="0" fillId="0" fontId="50" numFmtId="0"/>
    <xf borderId="0" fillId="0" fontId="51" numFmtId="0">
      <alignment horizontal="center"/>
    </xf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Border="0" applyFill="0" applyNumberFormat="0" applyProtection="0" borderId="0" fillId="0" fontId="53" numFmtId="0"/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borderId="0" fillId="0" fontId="54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borderId="0" fillId="0" fontId="57" numFmtId="0"/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1" numFmtId="0">
      <alignment vertical="top"/>
      <protection locked="0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6" numFmtId="38"/>
    <xf applyAlignment="0" applyBorder="0" applyFill="0" applyFont="0" applyProtection="0" borderId="0" fillId="0" fontId="17" numFmtId="38">
      <alignment vertical="center"/>
    </xf>
    <xf applyAlignment="0" applyBorder="0" applyFill="0" applyFont="0" applyProtection="0" borderId="0" fillId="0" fontId="67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7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borderId="0" fillId="0" fontId="71" numFmtId="0"/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borderId="0" fillId="0" fontId="11" numFmtId="186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7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9" numFmtId="0"/>
    <xf borderId="0" fillId="0" fontId="17" numFmtId="0">
      <alignment vertical="center"/>
    </xf>
    <xf borderId="0" fillId="0" fontId="19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8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8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9" numFmtId="0">
      <alignment vertical="center"/>
    </xf>
    <xf borderId="0" fillId="0" fontId="13" numFmtId="0"/>
    <xf borderId="0" fillId="0" fontId="79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80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9" numFmtId="0"/>
    <xf borderId="0" fillId="0" fontId="13" numFmtId="0">
      <alignment vertical="center"/>
    </xf>
    <xf borderId="0" fillId="0" fontId="13" numFmtId="0">
      <alignment vertical="center"/>
    </xf>
    <xf borderId="0" fillId="0" fontId="19" numFmtId="0"/>
    <xf borderId="0" fillId="0" fontId="17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1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9" numFmtId="0"/>
    <xf borderId="0" fillId="0" fontId="78" numFmtId="0">
      <alignment vertical="center"/>
    </xf>
    <xf borderId="0" fillId="0" fontId="19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1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7" numFmtId="0">
      <alignment vertical="center"/>
    </xf>
    <xf borderId="0" fillId="0" fontId="81" numFmtId="0"/>
    <xf borderId="0" fillId="0" fontId="17" numFmtId="0">
      <alignment vertical="center"/>
    </xf>
    <xf borderId="0" fillId="0" fontId="4" numFmtId="0"/>
    <xf borderId="0" fillId="0" fontId="4" numFmtId="0">
      <alignment vertical="center"/>
    </xf>
    <xf borderId="0" fillId="0" fontId="81" numFmtId="0"/>
    <xf borderId="0" fillId="0" fontId="4" numFmtId="0"/>
    <xf borderId="0" fillId="0" fontId="4" numFmtId="0"/>
    <xf borderId="0" fillId="0" fontId="81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1" numFmtId="0"/>
    <xf borderId="0" fillId="0" fontId="81" numFmtId="0"/>
    <xf borderId="0" fillId="0" fontId="4" numFmtId="0"/>
    <xf borderId="0" fillId="0" fontId="81" numFmtId="0"/>
    <xf borderId="0" fillId="0" fontId="21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2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7" numFmtId="0"/>
    <xf borderId="0" fillId="0" fontId="4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83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5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5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80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5" numFmtId="0">
      <alignment vertical="center"/>
    </xf>
    <xf borderId="0" fillId="0" fontId="85" numFmtId="0">
      <alignment vertical="center"/>
    </xf>
    <xf borderId="0" fillId="0" fontId="4" numFmtId="0">
      <alignment vertical="center"/>
    </xf>
    <xf borderId="0" fillId="0" fontId="85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9" numFmtId="0"/>
    <xf borderId="0" fillId="0" fontId="85" numFmtId="0">
      <alignment vertical="center"/>
    </xf>
    <xf borderId="0" fillId="0" fontId="19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1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6" numFmtId="0"/>
    <xf borderId="0" fillId="0" fontId="87" numFmtId="0"/>
    <xf borderId="0" fillId="0" fontId="57" numFmtId="0"/>
    <xf applyBorder="0" applyFill="0" borderId="0" fillId="0" fontId="14" numFmtId="49"/>
    <xf borderId="0" fillId="0" fontId="88" numFmtId="0"/>
    <xf borderId="0" fillId="0" fontId="89" numFmtId="0"/>
    <xf borderId="0" fillId="0" fontId="88" numFmtId="0"/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borderId="0" fillId="0" fontId="4" numFmtId="0"/>
    <xf borderId="0" fillId="0" fontId="91" numFmtId="0">
      <alignment vertical="center"/>
    </xf>
    <xf applyAlignment="0" applyBorder="0" applyFill="0" applyNumberFormat="0" applyProtection="0" borderId="0" fillId="0" fontId="93" numFmtId="0">
      <alignment vertical="center"/>
    </xf>
    <xf applyAlignment="0" applyFill="0" applyNumberFormat="0" applyProtection="0" borderId="17" fillId="0" fontId="94" numFmtId="0">
      <alignment vertical="center"/>
    </xf>
    <xf applyAlignment="0" applyFill="0" applyNumberFormat="0" applyProtection="0" borderId="18" fillId="0" fontId="95" numFmtId="0">
      <alignment vertical="center"/>
    </xf>
    <xf applyAlignment="0" applyFill="0" applyNumberFormat="0" applyProtection="0" borderId="19" fillId="0" fontId="96" numFmtId="0">
      <alignment vertical="center"/>
    </xf>
    <xf applyAlignment="0" applyBorder="0" applyFill="0" applyNumberFormat="0" applyProtection="0" borderId="0" fillId="0" fontId="96" numFmtId="0">
      <alignment vertical="center"/>
    </xf>
    <xf applyAlignment="0" applyBorder="0" applyNumberFormat="0" applyProtection="0" borderId="0" fillId="28" fontId="97" numFmtId="0">
      <alignment vertical="center"/>
    </xf>
    <xf applyAlignment="0" applyBorder="0" applyNumberFormat="0" applyProtection="0" borderId="0" fillId="29" fontId="98" numFmtId="0">
      <alignment vertical="center"/>
    </xf>
    <xf applyAlignment="0" applyBorder="0" applyNumberFormat="0" applyProtection="0" borderId="0" fillId="30" fontId="99" numFmtId="0">
      <alignment vertical="center"/>
    </xf>
    <xf applyAlignment="0" applyNumberFormat="0" applyProtection="0" borderId="20" fillId="31" fontId="100" numFmtId="0">
      <alignment vertical="center"/>
    </xf>
    <xf applyAlignment="0" applyNumberFormat="0" applyProtection="0" borderId="21" fillId="32" fontId="101" numFmtId="0">
      <alignment vertical="center"/>
    </xf>
    <xf applyAlignment="0" applyNumberFormat="0" applyProtection="0" borderId="20" fillId="32" fontId="102" numFmtId="0">
      <alignment vertical="center"/>
    </xf>
    <xf applyAlignment="0" applyFill="0" applyNumberFormat="0" applyProtection="0" borderId="22" fillId="0" fontId="103" numFmtId="0">
      <alignment vertical="center"/>
    </xf>
    <xf applyAlignment="0" applyNumberFormat="0" applyProtection="0" borderId="23" fillId="33" fontId="104" numFmtId="0">
      <alignment vertical="center"/>
    </xf>
    <xf applyAlignment="0" applyBorder="0" applyFill="0" applyNumberFormat="0" applyProtection="0" borderId="0" fillId="0" fontId="105" numFmtId="0">
      <alignment vertical="center"/>
    </xf>
    <xf applyAlignment="0" applyBorder="0" applyFill="0" applyNumberFormat="0" applyProtection="0" borderId="0" fillId="0" fontId="106" numFmtId="0">
      <alignment vertical="center"/>
    </xf>
    <xf applyAlignment="0" applyFill="0" applyNumberFormat="0" applyProtection="0" borderId="25" fillId="0" fontId="107" numFmtId="0">
      <alignment vertical="center"/>
    </xf>
    <xf applyAlignment="0" applyBorder="0" applyNumberFormat="0" applyProtection="0" borderId="0" fillId="35" fontId="108" numFmtId="0">
      <alignment vertical="center"/>
    </xf>
    <xf applyAlignment="0" applyBorder="0" applyNumberFormat="0" applyProtection="0" borderId="0" fillId="36" fontId="2" numFmtId="0">
      <alignment vertical="center"/>
    </xf>
    <xf applyAlignment="0" applyBorder="0" applyNumberFormat="0" applyProtection="0" borderId="0" fillId="37" fontId="2" numFmtId="0">
      <alignment vertical="center"/>
    </xf>
    <xf applyAlignment="0" applyBorder="0" applyNumberFormat="0" applyProtection="0" borderId="0" fillId="38" fontId="108" numFmtId="0">
      <alignment vertical="center"/>
    </xf>
    <xf applyAlignment="0" applyBorder="0" applyNumberFormat="0" applyProtection="0" borderId="0" fillId="39" fontId="108" numFmtId="0">
      <alignment vertical="center"/>
    </xf>
    <xf applyAlignment="0" applyBorder="0" applyNumberFormat="0" applyProtection="0" borderId="0" fillId="40" fontId="2" numFmtId="0">
      <alignment vertical="center"/>
    </xf>
    <xf applyAlignment="0" applyBorder="0" applyNumberFormat="0" applyProtection="0" borderId="0" fillId="41" fontId="2" numFmtId="0">
      <alignment vertical="center"/>
    </xf>
    <xf applyAlignment="0" applyBorder="0" applyNumberFormat="0" applyProtection="0" borderId="0" fillId="42" fontId="108" numFmtId="0">
      <alignment vertical="center"/>
    </xf>
    <xf applyAlignment="0" applyBorder="0" applyNumberFormat="0" applyProtection="0" borderId="0" fillId="43" fontId="108" numFmtId="0">
      <alignment vertical="center"/>
    </xf>
    <xf applyAlignment="0" applyBorder="0" applyNumberFormat="0" applyProtection="0" borderId="0" fillId="44" fontId="2" numFmtId="0">
      <alignment vertical="center"/>
    </xf>
    <xf applyAlignment="0" applyBorder="0" applyNumberFormat="0" applyProtection="0" borderId="0" fillId="45" fontId="2" numFmtId="0">
      <alignment vertical="center"/>
    </xf>
    <xf applyAlignment="0" applyBorder="0" applyNumberFormat="0" applyProtection="0" borderId="0" fillId="46" fontId="108" numFmtId="0">
      <alignment vertical="center"/>
    </xf>
    <xf applyAlignment="0" applyBorder="0" applyNumberFormat="0" applyProtection="0" borderId="0" fillId="47" fontId="108" numFmtId="0">
      <alignment vertical="center"/>
    </xf>
    <xf applyAlignment="0" applyBorder="0" applyNumberFormat="0" applyProtection="0" borderId="0" fillId="48" fontId="2" numFmtId="0">
      <alignment vertical="center"/>
    </xf>
    <xf applyAlignment="0" applyBorder="0" applyNumberFormat="0" applyProtection="0" borderId="0" fillId="49" fontId="2" numFmtId="0">
      <alignment vertical="center"/>
    </xf>
    <xf applyAlignment="0" applyBorder="0" applyNumberFormat="0" applyProtection="0" borderId="0" fillId="50" fontId="108" numFmtId="0">
      <alignment vertical="center"/>
    </xf>
    <xf applyAlignment="0" applyBorder="0" applyNumberFormat="0" applyProtection="0" borderId="0" fillId="51" fontId="108" numFmtId="0">
      <alignment vertical="center"/>
    </xf>
    <xf applyAlignment="0" applyBorder="0" applyNumberFormat="0" applyProtection="0" borderId="0" fillId="52" fontId="2" numFmtId="0">
      <alignment vertical="center"/>
    </xf>
    <xf applyAlignment="0" applyBorder="0" applyNumberFormat="0" applyProtection="0" borderId="0" fillId="53" fontId="2" numFmtId="0">
      <alignment vertical="center"/>
    </xf>
    <xf applyAlignment="0" applyBorder="0" applyNumberFormat="0" applyProtection="0" borderId="0" fillId="54" fontId="108" numFmtId="0">
      <alignment vertical="center"/>
    </xf>
    <xf applyAlignment="0" applyBorder="0" applyNumberFormat="0" applyProtection="0" borderId="0" fillId="55" fontId="108" numFmtId="0">
      <alignment vertical="center"/>
    </xf>
    <xf applyAlignment="0" applyBorder="0" applyNumberFormat="0" applyProtection="0" borderId="0" fillId="56" fontId="2" numFmtId="0">
      <alignment vertical="center"/>
    </xf>
    <xf applyAlignment="0" applyBorder="0" applyNumberFormat="0" applyProtection="0" borderId="0" fillId="57" fontId="2" numFmtId="0">
      <alignment vertical="center"/>
    </xf>
    <xf applyAlignment="0" applyBorder="0" applyNumberFormat="0" applyProtection="0" borderId="0" fillId="58" fontId="108" numFmtId="0">
      <alignment vertical="center"/>
    </xf>
    <xf borderId="0" fillId="0" fontId="2" numFmtId="0">
      <alignment vertical="center"/>
    </xf>
    <xf applyAlignment="0" applyFont="0" applyNumberFormat="0" applyProtection="0" borderId="24" fillId="34" fontId="2" numFmtId="0">
      <alignment vertical="center"/>
    </xf>
    <xf borderId="0" fillId="0" fontId="1" numFmtId="0">
      <alignment vertical="center"/>
    </xf>
    <xf applyAlignment="0" applyBorder="0" applyNumberFormat="0" applyProtection="0" borderId="0" fillId="36" fontId="1" numFmtId="0">
      <alignment vertical="center"/>
    </xf>
    <xf applyAlignment="0" applyBorder="0" applyNumberFormat="0" applyProtection="0" borderId="0" fillId="37" fontId="1" numFmtId="0">
      <alignment vertical="center"/>
    </xf>
    <xf applyAlignment="0" applyBorder="0" applyNumberFormat="0" applyProtection="0" borderId="0" fillId="40" fontId="1" numFmtId="0">
      <alignment vertical="center"/>
    </xf>
    <xf applyAlignment="0" applyBorder="0" applyNumberFormat="0" applyProtection="0" borderId="0" fillId="41" fontId="1" numFmtId="0">
      <alignment vertical="center"/>
    </xf>
    <xf applyAlignment="0" applyBorder="0" applyNumberFormat="0" applyProtection="0" borderId="0" fillId="44" fontId="1" numFmtId="0">
      <alignment vertical="center"/>
    </xf>
    <xf applyAlignment="0" applyBorder="0" applyNumberFormat="0" applyProtection="0" borderId="0" fillId="45" fontId="1" numFmtId="0">
      <alignment vertical="center"/>
    </xf>
    <xf applyAlignment="0" applyBorder="0" applyNumberFormat="0" applyProtection="0" borderId="0" fillId="48" fontId="1" numFmtId="0">
      <alignment vertical="center"/>
    </xf>
    <xf applyAlignment="0" applyBorder="0" applyNumberFormat="0" applyProtection="0" borderId="0" fillId="49" fontId="1" numFmtId="0">
      <alignment vertical="center"/>
    </xf>
    <xf applyAlignment="0" applyBorder="0" applyNumberFormat="0" applyProtection="0" borderId="0" fillId="52" fontId="1" numFmtId="0">
      <alignment vertical="center"/>
    </xf>
    <xf applyAlignment="0" applyBorder="0" applyNumberFormat="0" applyProtection="0" borderId="0" fillId="53" fontId="1" numFmtId="0">
      <alignment vertical="center"/>
    </xf>
    <xf applyAlignment="0" applyBorder="0" applyNumberFormat="0" applyProtection="0" borderId="0" fillId="56" fontId="1" numFmtId="0">
      <alignment vertical="center"/>
    </xf>
    <xf applyAlignment="0" applyBorder="0" applyNumberFormat="0" applyProtection="0" borderId="0" fillId="57" fontId="1" numFmtId="0">
      <alignment vertical="center"/>
    </xf>
    <xf borderId="0" fillId="0" fontId="1" numFmtId="0">
      <alignment vertical="center"/>
    </xf>
    <xf applyAlignment="0" applyFont="0" applyNumberFormat="0" applyProtection="0" borderId="24" fillId="34" fontId="1" numFmtId="0">
      <alignment vertical="center"/>
    </xf>
  </cellStyleXfs>
  <cellXfs count="15">
    <xf borderId="0" fillId="0" fontId="0" numFmtId="0" xfId="0"/>
    <xf applyFill="1" applyFont="1" borderId="0" fillId="0" fontId="19" numFmtId="0" xfId="1937">
      <alignment vertical="center"/>
    </xf>
    <xf applyFill="1" applyFont="1" borderId="0" fillId="0" fontId="110" numFmtId="0" xfId="1937">
      <alignment vertical="center"/>
    </xf>
    <xf applyAlignment="1" applyBorder="1" applyFill="1" applyFont="1" applyNumberFormat="1" borderId="15" fillId="0" fontId="16" numFmtId="0" xfId="0">
      <alignment vertical="center"/>
    </xf>
    <xf applyAlignment="1" applyBorder="1" applyFill="1" applyFont="1" applyNumberFormat="1" borderId="15" fillId="0" fontId="6" numFmtId="0" xfId="1937">
      <alignment vertical="center" wrapText="1"/>
    </xf>
    <xf applyBorder="1" applyFill="1" applyFont="1" borderId="15" fillId="0" fontId="19" numFmtId="0" xfId="1937">
      <alignment vertical="center"/>
    </xf>
    <xf applyAlignment="1" applyBorder="1" applyFill="1" applyFont="1" borderId="15" fillId="0" fontId="6" numFmtId="0" xfId="1937">
      <alignment horizontal="right" vertical="center"/>
    </xf>
    <xf applyAlignment="1" applyBorder="1" applyFill="1" applyFont="1" applyNumberFormat="1" borderId="16" fillId="0" fontId="6" numFmtId="0" xfId="1937">
      <alignment horizontal="center" vertical="center" wrapText="1"/>
    </xf>
    <xf applyAlignment="1" applyBorder="1" applyFont="1" applyNumberFormat="1" borderId="16" fillId="0" fontId="6" numFmtId="49" xfId="1937">
      <alignment horizontal="right" vertical="top" wrapText="1"/>
    </xf>
    <xf applyAlignment="1" applyBorder="1" applyFont="1" applyNumberFormat="1" borderId="16" fillId="0" fontId="6" numFmtId="49" xfId="1937">
      <alignment horizontal="left" vertical="top" wrapText="1"/>
    </xf>
    <xf applyAlignment="1" applyBorder="1" applyFont="1" applyNumberFormat="1" borderId="26" fillId="0" fontId="6" numFmtId="49" xfId="1937">
      <alignment horizontal="center" vertical="top" wrapText="1"/>
    </xf>
    <xf applyAlignment="1" applyBorder="1" applyFont="1" applyNumberFormat="1" borderId="27" fillId="0" fontId="6" numFmtId="189" quotePrefix="1" xfId="1937">
      <alignment horizontal="right" vertical="top" wrapText="1"/>
    </xf>
    <xf applyFont="1" borderId="0" fillId="0" fontId="110" numFmtId="0" xfId="1937">
      <alignment vertical="center"/>
    </xf>
    <xf applyAlignment="1" applyFill="1" applyFont="1" applyNumberFormat="1" borderId="0" fillId="0" fontId="109" numFmtId="0" xfId="1937">
      <alignment horizontal="left" vertical="center" wrapText="1"/>
    </xf>
    <xf applyAlignment="1" applyBorder="1" applyFill="1" applyFont="1" applyNumberFormat="1" borderId="16" fillId="0" fontId="6" numFmtId="0" xfId="1937">
      <alignment horizontal="center" vertical="center" wrapText="1"/>
    </xf>
  </cellXfs>
  <cellStyles count="1995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builtinId="30" customBuiltin="1" name="20% - アクセント 1" xfId="1955"/>
    <cellStyle name="20% - アクセント 1 10" xfId="1981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builtinId="34" customBuiltin="1" name="20% - アクセント 2" xfId="1959"/>
    <cellStyle name="20% - アクセント 2 10" xfId="198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builtinId="38" customBuiltin="1" name="20% - アクセント 3" xfId="1963"/>
    <cellStyle name="20% - アクセント 3 10" xfId="1985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builtinId="42" customBuiltin="1" name="20% - アクセント 4" xfId="1967"/>
    <cellStyle name="20% - アクセント 4 10" xfId="1987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builtinId="46" customBuiltin="1" name="20% - アクセント 5" xfId="1971"/>
    <cellStyle name="20% - アクセント 5 10" xfId="1989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builtinId="50" customBuiltin="1" name="20% - アクセント 6" xfId="1975"/>
    <cellStyle name="20% - アクセント 6 10" xfId="1991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builtinId="31" customBuiltin="1" name="40% - アクセント 1" xfId="1956"/>
    <cellStyle name="40% - アクセント 1 10" xfId="1982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builtinId="35" customBuiltin="1" name="40% - アクセント 2" xfId="1960"/>
    <cellStyle name="40% - アクセント 2 10" xfId="1984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builtinId="39" customBuiltin="1" name="40% - アクセント 3" xfId="1964"/>
    <cellStyle name="40% - アクセント 3 10" xfId="1986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builtinId="43" customBuiltin="1" name="40% - アクセント 4" xfId="1968"/>
    <cellStyle name="40% - アクセント 4 10" xfId="1988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builtinId="47" customBuiltin="1" name="40% - アクセント 5" xfId="1972"/>
    <cellStyle name="40% - アクセント 5 10" xfId="1990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builtinId="51" customBuiltin="1" name="40% - アクセント 6" xfId="1976"/>
    <cellStyle name="40% - アクセント 6 10" xfId="1992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builtinId="32" customBuiltin="1" name="60% - アクセント 1" xfId="1957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builtinId="36" customBuiltin="1" name="60% - アクセント 2" xfId="196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builtinId="40" customBuiltin="1" name="60% - アクセント 3" xfId="1965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builtinId="44" customBuiltin="1" name="60% - アクセント 4" xfId="1969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builtinId="48" customBuiltin="1" name="60% - アクセント 5" xfId="1973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builtinId="52" customBuiltin="1" name="60% - アクセント 6" xfId="1977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builtinId="29" customBuiltin="1" name="アクセント 1" xfId="195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builtinId="33" customBuiltin="1" name="アクセント 2" xfId="1958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builtinId="37" customBuiltin="1" name="アクセント 3" xfId="1962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builtinId="41" customBuiltin="1" name="アクセント 4" xfId="1966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builtinId="45" customBuiltin="1" name="アクセント 5" xfId="1970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builtinId="49" customBuiltin="1" name="アクセント 6" xfId="197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builtinId="15" customBuiltin="1" name="タイトル" xfId="1938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builtinId="23" customBuiltin="1" name="チェック セル" xfId="1950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builtinId="28" customBuiltin="1" name="どちらでもない" xfId="1945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10" xfId="1979"/>
    <cellStyle name="メモ 10 2" xfId="1994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builtinId="24" customBuiltin="1" name="リンク セル" xfId="1949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3" xfId="736"/>
    <cellStyle name="_x001d_・_x000c_ﾏ・_x000d_ﾂ・_x0001__x0016__x0011_F5_x0007__x0001__x0001_ 3 2" xfId="737"/>
    <cellStyle builtinId="27" customBuiltin="1" name="悪い" xfId="1944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builtinId="22" customBuiltin="1" name="計算" xfId="1948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builtinId="11" customBuiltin="1" name="警告文" xfId="1951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builtinId="16" customBuiltin="1" name="見出し 1" xfId="1939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builtinId="17" customBuiltin="1" name="見出し 2" xfId="1940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builtinId="18" customBuiltin="1" name="見出し 3" xfId="1941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builtinId="19" customBuiltin="1" name="見出し 4" xfId="1942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builtinId="25" customBuiltin="1" name="集計" xfId="1953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builtinId="21" customBuiltin="1" name="出力" xfId="1947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builtinId="53" customBuiltin="1" name="説明文" xfId="1952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builtinId="20" customBuiltin="1" name="入力" xfId="1946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3" xfId="1978"/>
    <cellStyle name="標準 133 2" xfId="1993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80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builtinId="26" customBuiltin="1" name="良い" xfId="1943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L369"/>
  <sheetViews>
    <sheetView showGridLines="0" tabSelected="1" view="pageBreakPreview" workbookViewId="0" zoomScaleNormal="85" zoomScaleSheetLayoutView="100">
      <pane activePane="bottomLeft" state="frozen" topLeftCell="A6" ySplit="5"/>
      <selection activeCell="A6" pane="bottomLeft" sqref="A6"/>
    </sheetView>
  </sheetViews>
  <sheetFormatPr customHeight="1" defaultRowHeight="13.5"/>
  <cols>
    <col min="1" max="1" customWidth="true" style="1" width="6.25" collapsed="false"/>
    <col min="2" max="2" customWidth="true" style="1" width="33.25" collapsed="false"/>
    <col min="3" max="3" bestFit="true" customWidth="true" style="1" width="37.5" collapsed="false"/>
    <col min="4" max="4" customWidth="true" style="1" width="5.375" collapsed="false"/>
    <col min="5" max="5" customWidth="true" style="1" width="26.875" collapsed="false"/>
    <col min="6" max="6" customWidth="true" style="1" width="5.375" collapsed="false"/>
    <col min="7" max="7" customWidth="true" style="1" width="26.875" collapsed="false"/>
    <col min="8" max="8" customWidth="true" style="1" width="5.375" collapsed="false"/>
    <col min="9" max="9" customWidth="true" style="1" width="26.875" collapsed="false"/>
    <col min="10" max="10" customWidth="true" style="1" width="5.375" collapsed="false"/>
    <col min="11" max="11" customWidth="true" style="1" width="26.875" collapsed="false"/>
    <col min="12" max="16384" style="2" width="9.0" collapsed="false"/>
  </cols>
  <sheetData>
    <row customHeight="1" ht="30" r="1" spans="1:11">
      <c r="A1" s="13" t="s">
        <v>13</v>
      </c>
      <c r="B1" s="13"/>
      <c r="C1" s="13"/>
    </row>
    <row customHeight="1" ht="30" r="2" spans="1:11">
      <c r="A2" s="13" t="s">
        <v>15</v>
      </c>
      <c r="B2" s="13"/>
      <c r="C2" s="13"/>
    </row>
    <row customHeight="1" ht="17.100000000000001" r="3" spans="1:11">
      <c r="A3" s="3" t="s">
        <v>12</v>
      </c>
      <c r="B3" s="4"/>
      <c r="C3" s="4"/>
      <c r="D3" s="5"/>
      <c r="E3" s="5"/>
      <c r="F3" s="5"/>
      <c r="G3" s="5"/>
      <c r="H3" s="5"/>
      <c r="I3" s="5"/>
      <c r="J3" s="5"/>
      <c r="K3" s="6" t="s">
        <v>11</v>
      </c>
    </row>
    <row customHeight="1" ht="17.100000000000001" r="4" spans="1:11">
      <c r="A4" s="7" t="s">
        <v>0</v>
      </c>
      <c r="B4" s="14" t="s">
        <v>10</v>
      </c>
      <c r="C4" s="14" t="s">
        <v>14</v>
      </c>
      <c r="D4" s="14" t="s">
        <v>1</v>
      </c>
      <c r="E4" s="14"/>
      <c r="F4" s="14" t="s">
        <v>3</v>
      </c>
      <c r="G4" s="14"/>
      <c r="H4" s="14" t="s">
        <v>4</v>
      </c>
      <c r="I4" s="14"/>
      <c r="J4" s="14" t="s">
        <v>5</v>
      </c>
      <c r="K4" s="14"/>
    </row>
    <row customHeight="1" ht="17.100000000000001" r="5" spans="1:11">
      <c r="A5" s="7" t="s">
        <v>2</v>
      </c>
      <c r="B5" s="14"/>
      <c r="C5" s="14"/>
      <c r="D5" s="14" t="s">
        <v>6</v>
      </c>
      <c r="E5" s="14"/>
      <c r="F5" s="14" t="s">
        <v>7</v>
      </c>
      <c r="G5" s="14"/>
      <c r="H5" s="14" t="s">
        <v>8</v>
      </c>
      <c r="I5" s="14"/>
      <c r="J5" s="14" t="s">
        <v>9</v>
      </c>
      <c r="K5" s="14"/>
    </row>
    <row customFormat="1" customHeight="1" ht="13.5" r="6" s="12" spans="1:11">
      <c r="A6" s="8" t="s">
        <v>16</v>
      </c>
      <c r="B6" s="9" t="s">
        <v>17</v>
      </c>
      <c r="C6" s="9" t="s">
        <v>18</v>
      </c>
      <c r="D6" s="10"/>
      <c r="E6" s="11" t="n">
        <f>41092</f>
        <v>41092.0</v>
      </c>
      <c r="F6" s="10"/>
      <c r="G6" s="11" t="n">
        <f>257398043000</f>
        <v>2.57398043E11</v>
      </c>
      <c r="H6" s="10" t="s">
        <v>19</v>
      </c>
      <c r="I6" s="11" t="n">
        <f>23</f>
        <v>23.0</v>
      </c>
      <c r="J6" s="10"/>
      <c r="K6" s="11" t="n">
        <f>48653</f>
        <v>48653.0</v>
      </c>
    </row>
    <row r="7">
      <c r="A7" s="8" t="s">
        <v>20</v>
      </c>
      <c r="B7" s="9" t="s">
        <v>17</v>
      </c>
      <c r="C7" s="9" t="s">
        <v>18</v>
      </c>
      <c r="D7" s="10"/>
      <c r="E7" s="11" t="n">
        <f>29181</f>
        <v>29181.0</v>
      </c>
      <c r="F7" s="10"/>
      <c r="G7" s="11" t="n">
        <f>183411355000</f>
        <v>1.83411355E11</v>
      </c>
      <c r="H7" s="10" t="s">
        <v>21</v>
      </c>
      <c r="I7" s="11" t="str">
        <f>"－"</f>
        <v>－</v>
      </c>
      <c r="J7" s="10"/>
      <c r="K7" s="11" t="n">
        <f>48566</f>
        <v>48566.0</v>
      </c>
    </row>
    <row r="8">
      <c r="A8" s="8" t="s">
        <v>22</v>
      </c>
      <c r="B8" s="9" t="s">
        <v>17</v>
      </c>
      <c r="C8" s="9" t="s">
        <v>18</v>
      </c>
      <c r="D8" s="10"/>
      <c r="E8" s="11" t="n">
        <f>27091</f>
        <v>27091.0</v>
      </c>
      <c r="F8" s="10"/>
      <c r="G8" s="11" t="n">
        <f>168560956000</f>
        <v>1.68560956E11</v>
      </c>
      <c r="H8" s="10"/>
      <c r="I8" s="11" t="n">
        <f>5</f>
        <v>5.0</v>
      </c>
      <c r="J8" s="10"/>
      <c r="K8" s="11" t="n">
        <f>48976</f>
        <v>48976.0</v>
      </c>
    </row>
    <row r="9">
      <c r="A9" s="8" t="s">
        <v>23</v>
      </c>
      <c r="B9" s="9" t="s">
        <v>17</v>
      </c>
      <c r="C9" s="9" t="s">
        <v>18</v>
      </c>
      <c r="D9" s="10"/>
      <c r="E9" s="11" t="n">
        <f>23122</f>
        <v>23122.0</v>
      </c>
      <c r="F9" s="10"/>
      <c r="G9" s="11" t="n">
        <f>143062557000</f>
        <v>1.43062557E11</v>
      </c>
      <c r="H9" s="10"/>
      <c r="I9" s="11" t="n">
        <f>3</f>
        <v>3.0</v>
      </c>
      <c r="J9" s="10"/>
      <c r="K9" s="11" t="n">
        <f>49467</f>
        <v>49467.0</v>
      </c>
    </row>
    <row r="10">
      <c r="A10" s="8" t="s">
        <v>24</v>
      </c>
      <c r="B10" s="9" t="s">
        <v>17</v>
      </c>
      <c r="C10" s="9" t="s">
        <v>18</v>
      </c>
      <c r="D10" s="10"/>
      <c r="E10" s="11" t="n">
        <f>40221</f>
        <v>40221.0</v>
      </c>
      <c r="F10" s="10"/>
      <c r="G10" s="11" t="n">
        <f>245894010000</f>
        <v>2.4589401E11</v>
      </c>
      <c r="H10" s="10"/>
      <c r="I10" s="11" t="n">
        <f>5</f>
        <v>5.0</v>
      </c>
      <c r="J10" s="10" t="s">
        <v>19</v>
      </c>
      <c r="K10" s="11" t="n">
        <f>51007</f>
        <v>51007.0</v>
      </c>
    </row>
    <row r="11">
      <c r="A11" s="8" t="s">
        <v>25</v>
      </c>
      <c r="B11" s="9" t="s">
        <v>17</v>
      </c>
      <c r="C11" s="9" t="s">
        <v>18</v>
      </c>
      <c r="D11" s="10"/>
      <c r="E11" s="11"/>
      <c r="F11" s="10"/>
      <c r="G11" s="11"/>
      <c r="H11" s="10"/>
      <c r="I11" s="11"/>
      <c r="J11" s="10"/>
      <c r="K11" s="11"/>
    </row>
    <row r="12">
      <c r="A12" s="8" t="s">
        <v>26</v>
      </c>
      <c r="B12" s="9" t="s">
        <v>17</v>
      </c>
      <c r="C12" s="9" t="s">
        <v>18</v>
      </c>
      <c r="D12" s="10"/>
      <c r="E12" s="11"/>
      <c r="F12" s="10"/>
      <c r="G12" s="11"/>
      <c r="H12" s="10"/>
      <c r="I12" s="11"/>
      <c r="J12" s="10"/>
      <c r="K12" s="11"/>
    </row>
    <row r="13">
      <c r="A13" s="8" t="s">
        <v>27</v>
      </c>
      <c r="B13" s="9" t="s">
        <v>17</v>
      </c>
      <c r="C13" s="9" t="s">
        <v>18</v>
      </c>
      <c r="D13" s="10"/>
      <c r="E13" s="11" t="n">
        <f>26024</f>
        <v>26024.0</v>
      </c>
      <c r="F13" s="10"/>
      <c r="G13" s="11" t="n">
        <f>159888658000</f>
        <v>1.59888658E11</v>
      </c>
      <c r="H13" s="10"/>
      <c r="I13" s="11" t="n">
        <f>2</f>
        <v>2.0</v>
      </c>
      <c r="J13" s="10"/>
      <c r="K13" s="11" t="n">
        <f>50452</f>
        <v>50452.0</v>
      </c>
    </row>
    <row r="14">
      <c r="A14" s="8" t="s">
        <v>28</v>
      </c>
      <c r="B14" s="9" t="s">
        <v>17</v>
      </c>
      <c r="C14" s="9" t="s">
        <v>18</v>
      </c>
      <c r="D14" s="10"/>
      <c r="E14" s="11" t="n">
        <f>23785</f>
        <v>23785.0</v>
      </c>
      <c r="F14" s="10"/>
      <c r="G14" s="11" t="n">
        <f>147605899000</f>
        <v>1.47605899E11</v>
      </c>
      <c r="H14" s="10"/>
      <c r="I14" s="11" t="str">
        <f>"－"</f>
        <v>－</v>
      </c>
      <c r="J14" s="10"/>
      <c r="K14" s="11" t="n">
        <f>49824</f>
        <v>49824.0</v>
      </c>
    </row>
    <row r="15">
      <c r="A15" s="8" t="s">
        <v>29</v>
      </c>
      <c r="B15" s="9" t="s">
        <v>17</v>
      </c>
      <c r="C15" s="9" t="s">
        <v>18</v>
      </c>
      <c r="D15" s="10"/>
      <c r="E15" s="11" t="n">
        <f>18555</f>
        <v>18555.0</v>
      </c>
      <c r="F15" s="10"/>
      <c r="G15" s="11" t="n">
        <f>115045268000</f>
        <v>1.15045268E11</v>
      </c>
      <c r="H15" s="10"/>
      <c r="I15" s="11" t="n">
        <f>22</f>
        <v>22.0</v>
      </c>
      <c r="J15" s="10"/>
      <c r="K15" s="11" t="n">
        <f>49779</f>
        <v>49779.0</v>
      </c>
    </row>
    <row r="16">
      <c r="A16" s="8" t="s">
        <v>30</v>
      </c>
      <c r="B16" s="9" t="s">
        <v>17</v>
      </c>
      <c r="C16" s="9" t="s">
        <v>18</v>
      </c>
      <c r="D16" s="10"/>
      <c r="E16" s="11"/>
      <c r="F16" s="10"/>
      <c r="G16" s="11"/>
      <c r="H16" s="10"/>
      <c r="I16" s="11"/>
      <c r="J16" s="10"/>
      <c r="K16" s="11"/>
    </row>
    <row r="17">
      <c r="A17" s="8" t="s">
        <v>31</v>
      </c>
      <c r="B17" s="9" t="s">
        <v>17</v>
      </c>
      <c r="C17" s="9" t="s">
        <v>18</v>
      </c>
      <c r="D17" s="10"/>
      <c r="E17" s="11" t="n">
        <f>23311</f>
        <v>23311.0</v>
      </c>
      <c r="F17" s="10"/>
      <c r="G17" s="11" t="n">
        <f>144284985000</f>
        <v>1.44284985E11</v>
      </c>
      <c r="H17" s="10"/>
      <c r="I17" s="11" t="n">
        <f>3</f>
        <v>3.0</v>
      </c>
      <c r="J17" s="10"/>
      <c r="K17" s="11" t="n">
        <f>50000</f>
        <v>50000.0</v>
      </c>
    </row>
    <row r="18">
      <c r="A18" s="8" t="s">
        <v>32</v>
      </c>
      <c r="B18" s="9" t="s">
        <v>17</v>
      </c>
      <c r="C18" s="9" t="s">
        <v>18</v>
      </c>
      <c r="D18" s="10"/>
      <c r="E18" s="11"/>
      <c r="F18" s="10"/>
      <c r="G18" s="11"/>
      <c r="H18" s="10"/>
      <c r="I18" s="11"/>
      <c r="J18" s="10"/>
      <c r="K18" s="11"/>
    </row>
    <row r="19">
      <c r="A19" s="8" t="s">
        <v>33</v>
      </c>
      <c r="B19" s="9" t="s">
        <v>17</v>
      </c>
      <c r="C19" s="9" t="s">
        <v>18</v>
      </c>
      <c r="D19" s="10"/>
      <c r="E19" s="11"/>
      <c r="F19" s="10"/>
      <c r="G19" s="11"/>
      <c r="H19" s="10"/>
      <c r="I19" s="11"/>
      <c r="J19" s="10"/>
      <c r="K19" s="11"/>
    </row>
    <row r="20">
      <c r="A20" s="8" t="s">
        <v>34</v>
      </c>
      <c r="B20" s="9" t="s">
        <v>17</v>
      </c>
      <c r="C20" s="9" t="s">
        <v>18</v>
      </c>
      <c r="D20" s="10"/>
      <c r="E20" s="11" t="n">
        <f>17987</f>
        <v>17987.0</v>
      </c>
      <c r="F20" s="10"/>
      <c r="G20" s="11" t="n">
        <f>110719877000</f>
        <v>1.10719877E11</v>
      </c>
      <c r="H20" s="10"/>
      <c r="I20" s="11" t="n">
        <f>1</f>
        <v>1.0</v>
      </c>
      <c r="J20" s="10"/>
      <c r="K20" s="11" t="n">
        <f>49529</f>
        <v>49529.0</v>
      </c>
    </row>
    <row r="21">
      <c r="A21" s="8" t="s">
        <v>35</v>
      </c>
      <c r="B21" s="9" t="s">
        <v>17</v>
      </c>
      <c r="C21" s="9" t="s">
        <v>18</v>
      </c>
      <c r="D21" s="10" t="s">
        <v>21</v>
      </c>
      <c r="E21" s="11" t="n">
        <f>14743</f>
        <v>14743.0</v>
      </c>
      <c r="F21" s="10" t="s">
        <v>21</v>
      </c>
      <c r="G21" s="11" t="n">
        <f>91168509000</f>
        <v>9.1168509E10</v>
      </c>
      <c r="H21" s="10"/>
      <c r="I21" s="11" t="n">
        <f>3</f>
        <v>3.0</v>
      </c>
      <c r="J21" s="10"/>
      <c r="K21" s="11" t="n">
        <f>49344</f>
        <v>49344.0</v>
      </c>
    </row>
    <row r="22">
      <c r="A22" s="8" t="s">
        <v>36</v>
      </c>
      <c r="B22" s="9" t="s">
        <v>17</v>
      </c>
      <c r="C22" s="9" t="s">
        <v>18</v>
      </c>
      <c r="D22" s="10"/>
      <c r="E22" s="11" t="n">
        <f>40610</f>
        <v>40610.0</v>
      </c>
      <c r="F22" s="10"/>
      <c r="G22" s="11" t="n">
        <f>249300350000</f>
        <v>2.4930035E11</v>
      </c>
      <c r="H22" s="10"/>
      <c r="I22" s="11" t="n">
        <f>5</f>
        <v>5.0</v>
      </c>
      <c r="J22" s="10"/>
      <c r="K22" s="11" t="n">
        <f>49609</f>
        <v>49609.0</v>
      </c>
    </row>
    <row r="23">
      <c r="A23" s="8" t="s">
        <v>37</v>
      </c>
      <c r="B23" s="9" t="s">
        <v>17</v>
      </c>
      <c r="C23" s="9" t="s">
        <v>18</v>
      </c>
      <c r="D23" s="10"/>
      <c r="E23" s="11" t="n">
        <f>36720</f>
        <v>36720.0</v>
      </c>
      <c r="F23" s="10"/>
      <c r="G23" s="11" t="n">
        <f>223351070000</f>
        <v>2.2335107E11</v>
      </c>
      <c r="H23" s="10"/>
      <c r="I23" s="11" t="n">
        <f>1</f>
        <v>1.0</v>
      </c>
      <c r="J23" s="10"/>
      <c r="K23" s="11" t="n">
        <f>50451</f>
        <v>50451.0</v>
      </c>
    </row>
    <row r="24">
      <c r="A24" s="8" t="s">
        <v>38</v>
      </c>
      <c r="B24" s="9" t="s">
        <v>17</v>
      </c>
      <c r="C24" s="9" t="s">
        <v>18</v>
      </c>
      <c r="D24" s="10"/>
      <c r="E24" s="11" t="n">
        <f>38124</f>
        <v>38124.0</v>
      </c>
      <c r="F24" s="10"/>
      <c r="G24" s="11" t="n">
        <f>230193295000</f>
        <v>2.30193295E11</v>
      </c>
      <c r="H24" s="10"/>
      <c r="I24" s="11" t="n">
        <f>8</f>
        <v>8.0</v>
      </c>
      <c r="J24" s="10"/>
      <c r="K24" s="11" t="n">
        <f>49018</f>
        <v>49018.0</v>
      </c>
    </row>
    <row r="25">
      <c r="A25" s="8" t="s">
        <v>39</v>
      </c>
      <c r="B25" s="9" t="s">
        <v>17</v>
      </c>
      <c r="C25" s="9" t="s">
        <v>18</v>
      </c>
      <c r="D25" s="10"/>
      <c r="E25" s="11"/>
      <c r="F25" s="10"/>
      <c r="G25" s="11"/>
      <c r="H25" s="10"/>
      <c r="I25" s="11"/>
      <c r="J25" s="10"/>
      <c r="K25" s="11"/>
    </row>
    <row r="26">
      <c r="A26" s="8" t="s">
        <v>40</v>
      </c>
      <c r="B26" s="9" t="s">
        <v>17</v>
      </c>
      <c r="C26" s="9" t="s">
        <v>18</v>
      </c>
      <c r="D26" s="10"/>
      <c r="E26" s="11"/>
      <c r="F26" s="10"/>
      <c r="G26" s="11"/>
      <c r="H26" s="10"/>
      <c r="I26" s="11"/>
      <c r="J26" s="10"/>
      <c r="K26" s="11"/>
    </row>
    <row r="27">
      <c r="A27" s="8" t="s">
        <v>41</v>
      </c>
      <c r="B27" s="9" t="s">
        <v>17</v>
      </c>
      <c r="C27" s="9" t="s">
        <v>18</v>
      </c>
      <c r="D27" s="10"/>
      <c r="E27" s="11" t="n">
        <f>28713</f>
        <v>28713.0</v>
      </c>
      <c r="F27" s="10"/>
      <c r="G27" s="11" t="n">
        <f>173840382000</f>
        <v>1.73840382E11</v>
      </c>
      <c r="H27" s="10"/>
      <c r="I27" s="11" t="n">
        <f>7</f>
        <v>7.0</v>
      </c>
      <c r="J27" s="10"/>
      <c r="K27" s="11" t="n">
        <f>48028</f>
        <v>48028.0</v>
      </c>
    </row>
    <row r="28">
      <c r="A28" s="8" t="s">
        <v>42</v>
      </c>
      <c r="B28" s="9" t="s">
        <v>17</v>
      </c>
      <c r="C28" s="9" t="s">
        <v>18</v>
      </c>
      <c r="D28" s="10"/>
      <c r="E28" s="11"/>
      <c r="F28" s="10"/>
      <c r="G28" s="11"/>
      <c r="H28" s="10"/>
      <c r="I28" s="11"/>
      <c r="J28" s="10"/>
      <c r="K28" s="11"/>
    </row>
    <row r="29">
      <c r="A29" s="8" t="s">
        <v>43</v>
      </c>
      <c r="B29" s="9" t="s">
        <v>17</v>
      </c>
      <c r="C29" s="9" t="s">
        <v>18</v>
      </c>
      <c r="D29" s="10"/>
      <c r="E29" s="11" t="n">
        <f>25233</f>
        <v>25233.0</v>
      </c>
      <c r="F29" s="10"/>
      <c r="G29" s="11" t="n">
        <f>154467698000</f>
        <v>1.54467698E11</v>
      </c>
      <c r="H29" s="10"/>
      <c r="I29" s="11" t="n">
        <f>2</f>
        <v>2.0</v>
      </c>
      <c r="J29" s="10"/>
      <c r="K29" s="11" t="n">
        <f>47567</f>
        <v>47567.0</v>
      </c>
    </row>
    <row r="30">
      <c r="A30" s="8" t="s">
        <v>44</v>
      </c>
      <c r="B30" s="9" t="s">
        <v>17</v>
      </c>
      <c r="C30" s="9" t="s">
        <v>18</v>
      </c>
      <c r="D30" s="10"/>
      <c r="E30" s="11" t="n">
        <f>26975</f>
        <v>26975.0</v>
      </c>
      <c r="F30" s="10"/>
      <c r="G30" s="11" t="n">
        <f>165413407000</f>
        <v>1.65413407E11</v>
      </c>
      <c r="H30" s="10"/>
      <c r="I30" s="11" t="n">
        <f>1</f>
        <v>1.0</v>
      </c>
      <c r="J30" s="10" t="s">
        <v>21</v>
      </c>
      <c r="K30" s="11" t="n">
        <f>46929</f>
        <v>46929.0</v>
      </c>
    </row>
    <row r="31">
      <c r="A31" s="8" t="s">
        <v>45</v>
      </c>
      <c r="B31" s="9" t="s">
        <v>17</v>
      </c>
      <c r="C31" s="9" t="s">
        <v>18</v>
      </c>
      <c r="D31" s="10" t="s">
        <v>19</v>
      </c>
      <c r="E31" s="11" t="n">
        <f>50469</f>
        <v>50469.0</v>
      </c>
      <c r="F31" s="10" t="s">
        <v>19</v>
      </c>
      <c r="G31" s="11" t="n">
        <f>306014274000</f>
        <v>3.06014274E11</v>
      </c>
      <c r="H31" s="10"/>
      <c r="I31" s="11" t="n">
        <f>3</f>
        <v>3.0</v>
      </c>
      <c r="J31" s="10"/>
      <c r="K31" s="11" t="n">
        <f>47505</f>
        <v>47505.0</v>
      </c>
    </row>
    <row r="32">
      <c r="A32" s="8" t="s">
        <v>46</v>
      </c>
      <c r="B32" s="9" t="s">
        <v>17</v>
      </c>
      <c r="C32" s="9" t="s">
        <v>18</v>
      </c>
      <c r="D32" s="10"/>
      <c r="E32" s="11"/>
      <c r="F32" s="10"/>
      <c r="G32" s="11"/>
      <c r="H32" s="10"/>
      <c r="I32" s="11"/>
      <c r="J32" s="10"/>
      <c r="K32" s="11"/>
    </row>
    <row r="33">
      <c r="A33" s="8" t="s">
        <v>47</v>
      </c>
      <c r="B33" s="9" t="s">
        <v>17</v>
      </c>
      <c r="C33" s="9" t="s">
        <v>18</v>
      </c>
      <c r="D33" s="10"/>
      <c r="E33" s="11"/>
      <c r="F33" s="10"/>
      <c r="G33" s="11"/>
      <c r="H33" s="10"/>
      <c r="I33" s="11"/>
      <c r="J33" s="10"/>
      <c r="K33" s="11"/>
    </row>
    <row r="34">
      <c r="A34" s="8" t="s">
        <v>16</v>
      </c>
      <c r="B34" s="9" t="s">
        <v>48</v>
      </c>
      <c r="C34" s="9" t="s">
        <v>49</v>
      </c>
      <c r="D34" s="10" t="s">
        <v>19</v>
      </c>
      <c r="E34" s="11" t="n">
        <f>14504</f>
        <v>14504.0</v>
      </c>
      <c r="F34" s="10" t="s">
        <v>19</v>
      </c>
      <c r="G34" s="11" t="n">
        <f>9081411400</f>
        <v>9.0814114E9</v>
      </c>
      <c r="H34" s="10" t="s">
        <v>50</v>
      </c>
      <c r="I34" s="11" t="str">
        <f>"－"</f>
        <v>－</v>
      </c>
      <c r="J34" s="10"/>
      <c r="K34" s="11" t="n">
        <f>12775</f>
        <v>12775.0</v>
      </c>
    </row>
    <row r="35">
      <c r="A35" s="8" t="s">
        <v>20</v>
      </c>
      <c r="B35" s="9" t="s">
        <v>48</v>
      </c>
      <c r="C35" s="9" t="s">
        <v>49</v>
      </c>
      <c r="D35" s="10"/>
      <c r="E35" s="11" t="n">
        <f>9071</f>
        <v>9071.0</v>
      </c>
      <c r="F35" s="10"/>
      <c r="G35" s="11" t="n">
        <f>5701029000</f>
        <v>5.701029E9</v>
      </c>
      <c r="H35" s="10"/>
      <c r="I35" s="11" t="str">
        <f>"－"</f>
        <v>－</v>
      </c>
      <c r="J35" s="10" t="s">
        <v>21</v>
      </c>
      <c r="K35" s="11" t="n">
        <f>12732</f>
        <v>12732.0</v>
      </c>
    </row>
    <row r="36">
      <c r="A36" s="8" t="s">
        <v>22</v>
      </c>
      <c r="B36" s="9" t="s">
        <v>48</v>
      </c>
      <c r="C36" s="9" t="s">
        <v>49</v>
      </c>
      <c r="D36" s="10"/>
      <c r="E36" s="11" t="n">
        <f>7938</f>
        <v>7938.0</v>
      </c>
      <c r="F36" s="10"/>
      <c r="G36" s="11" t="n">
        <f>4940038800</f>
        <v>4.9400388E9</v>
      </c>
      <c r="H36" s="10"/>
      <c r="I36" s="11" t="str">
        <f>"－"</f>
        <v>－</v>
      </c>
      <c r="J36" s="10"/>
      <c r="K36" s="11" t="n">
        <f>12825</f>
        <v>12825.0</v>
      </c>
    </row>
    <row r="37">
      <c r="A37" s="8" t="s">
        <v>23</v>
      </c>
      <c r="B37" s="9" t="s">
        <v>48</v>
      </c>
      <c r="C37" s="9" t="s">
        <v>49</v>
      </c>
      <c r="D37" s="10"/>
      <c r="E37" s="11" t="n">
        <f>5842</f>
        <v>5842.0</v>
      </c>
      <c r="F37" s="10"/>
      <c r="G37" s="11" t="n">
        <f>3614917700</f>
        <v>3.6149177E9</v>
      </c>
      <c r="H37" s="10"/>
      <c r="I37" s="11" t="str">
        <f>"－"</f>
        <v>－</v>
      </c>
      <c r="J37" s="10"/>
      <c r="K37" s="11" t="n">
        <f>12760</f>
        <v>12760.0</v>
      </c>
    </row>
    <row r="38">
      <c r="A38" s="8" t="s">
        <v>24</v>
      </c>
      <c r="B38" s="9" t="s">
        <v>48</v>
      </c>
      <c r="C38" s="9" t="s">
        <v>49</v>
      </c>
      <c r="D38" s="10"/>
      <c r="E38" s="11" t="n">
        <f>11269</f>
        <v>11269.0</v>
      </c>
      <c r="F38" s="10"/>
      <c r="G38" s="11" t="n">
        <f>6894565300</f>
        <v>6.8945653E9</v>
      </c>
      <c r="H38" s="10"/>
      <c r="I38" s="11" t="str">
        <f>"－"</f>
        <v>－</v>
      </c>
      <c r="J38" s="10"/>
      <c r="K38" s="11" t="n">
        <f>13087</f>
        <v>13087.0</v>
      </c>
    </row>
    <row r="39">
      <c r="A39" s="8" t="s">
        <v>25</v>
      </c>
      <c r="B39" s="9" t="s">
        <v>48</v>
      </c>
      <c r="C39" s="9" t="s">
        <v>49</v>
      </c>
      <c r="D39" s="10"/>
      <c r="E39" s="11"/>
      <c r="F39" s="10"/>
      <c r="G39" s="11"/>
      <c r="H39" s="10"/>
      <c r="I39" s="11"/>
      <c r="J39" s="10"/>
      <c r="K39" s="11"/>
    </row>
    <row r="40">
      <c r="A40" s="8" t="s">
        <v>26</v>
      </c>
      <c r="B40" s="9" t="s">
        <v>48</v>
      </c>
      <c r="C40" s="9" t="s">
        <v>49</v>
      </c>
      <c r="D40" s="10"/>
      <c r="E40" s="11"/>
      <c r="F40" s="10"/>
      <c r="G40" s="11"/>
      <c r="H40" s="10"/>
      <c r="I40" s="11"/>
      <c r="J40" s="10"/>
      <c r="K40" s="11"/>
    </row>
    <row r="41">
      <c r="A41" s="8" t="s">
        <v>27</v>
      </c>
      <c r="B41" s="9" t="s">
        <v>48</v>
      </c>
      <c r="C41" s="9" t="s">
        <v>49</v>
      </c>
      <c r="D41" s="10"/>
      <c r="E41" s="11" t="n">
        <f>8875</f>
        <v>8875.0</v>
      </c>
      <c r="F41" s="10"/>
      <c r="G41" s="11" t="n">
        <f>5451570300</f>
        <v>5.4515703E9</v>
      </c>
      <c r="H41" s="10"/>
      <c r="I41" s="11" t="str">
        <f>"－"</f>
        <v>－</v>
      </c>
      <c r="J41" s="10"/>
      <c r="K41" s="11" t="n">
        <f>12974</f>
        <v>12974.0</v>
      </c>
    </row>
    <row r="42">
      <c r="A42" s="8" t="s">
        <v>28</v>
      </c>
      <c r="B42" s="9" t="s">
        <v>48</v>
      </c>
      <c r="C42" s="9" t="s">
        <v>49</v>
      </c>
      <c r="D42" s="10"/>
      <c r="E42" s="11" t="n">
        <f>7879</f>
        <v>7879.0</v>
      </c>
      <c r="F42" s="10"/>
      <c r="G42" s="11" t="n">
        <f>4886580100</f>
        <v>4.8865801E9</v>
      </c>
      <c r="H42" s="10"/>
      <c r="I42" s="11" t="str">
        <f>"－"</f>
        <v>－</v>
      </c>
      <c r="J42" s="10"/>
      <c r="K42" s="11" t="n">
        <f>13037</f>
        <v>13037.0</v>
      </c>
    </row>
    <row r="43">
      <c r="A43" s="8" t="s">
        <v>29</v>
      </c>
      <c r="B43" s="9" t="s">
        <v>48</v>
      </c>
      <c r="C43" s="9" t="s">
        <v>49</v>
      </c>
      <c r="D43" s="10"/>
      <c r="E43" s="11" t="n">
        <f>5422</f>
        <v>5422.0</v>
      </c>
      <c r="F43" s="10"/>
      <c r="G43" s="11" t="n">
        <f>3362815600</f>
        <v>3.3628156E9</v>
      </c>
      <c r="H43" s="10"/>
      <c r="I43" s="11" t="str">
        <f>"－"</f>
        <v>－</v>
      </c>
      <c r="J43" s="10"/>
      <c r="K43" s="11" t="n">
        <f>13088</f>
        <v>13088.0</v>
      </c>
    </row>
    <row r="44">
      <c r="A44" s="8" t="s">
        <v>30</v>
      </c>
      <c r="B44" s="9" t="s">
        <v>48</v>
      </c>
      <c r="C44" s="9" t="s">
        <v>49</v>
      </c>
      <c r="D44" s="10"/>
      <c r="E44" s="11"/>
      <c r="F44" s="10"/>
      <c r="G44" s="11"/>
      <c r="H44" s="10"/>
      <c r="I44" s="11"/>
      <c r="J44" s="10"/>
      <c r="K44" s="11"/>
    </row>
    <row r="45">
      <c r="A45" s="8" t="s">
        <v>31</v>
      </c>
      <c r="B45" s="9" t="s">
        <v>48</v>
      </c>
      <c r="C45" s="9" t="s">
        <v>49</v>
      </c>
      <c r="D45" s="10"/>
      <c r="E45" s="11" t="n">
        <f>6853</f>
        <v>6853.0</v>
      </c>
      <c r="F45" s="10"/>
      <c r="G45" s="11" t="n">
        <f>4241750300</f>
        <v>4.2417503E9</v>
      </c>
      <c r="H45" s="10"/>
      <c r="I45" s="11" t="str">
        <f>"－"</f>
        <v>－</v>
      </c>
      <c r="J45" s="10"/>
      <c r="K45" s="11" t="n">
        <f>13144</f>
        <v>13144.0</v>
      </c>
    </row>
    <row r="46">
      <c r="A46" s="8" t="s">
        <v>32</v>
      </c>
      <c r="B46" s="9" t="s">
        <v>48</v>
      </c>
      <c r="C46" s="9" t="s">
        <v>49</v>
      </c>
      <c r="D46" s="10"/>
      <c r="E46" s="11"/>
      <c r="F46" s="10"/>
      <c r="G46" s="11"/>
      <c r="H46" s="10"/>
      <c r="I46" s="11"/>
      <c r="J46" s="10"/>
      <c r="K46" s="11"/>
    </row>
    <row r="47">
      <c r="A47" s="8" t="s">
        <v>33</v>
      </c>
      <c r="B47" s="9" t="s">
        <v>48</v>
      </c>
      <c r="C47" s="9" t="s">
        <v>49</v>
      </c>
      <c r="D47" s="10"/>
      <c r="E47" s="11"/>
      <c r="F47" s="10"/>
      <c r="G47" s="11"/>
      <c r="H47" s="10"/>
      <c r="I47" s="11"/>
      <c r="J47" s="10"/>
      <c r="K47" s="11"/>
    </row>
    <row r="48">
      <c r="A48" s="8" t="s">
        <v>34</v>
      </c>
      <c r="B48" s="9" t="s">
        <v>48</v>
      </c>
      <c r="C48" s="9" t="s">
        <v>49</v>
      </c>
      <c r="D48" s="10"/>
      <c r="E48" s="11" t="n">
        <f>5966</f>
        <v>5966.0</v>
      </c>
      <c r="F48" s="10"/>
      <c r="G48" s="11" t="n">
        <f>3672507200</f>
        <v>3.6725072E9</v>
      </c>
      <c r="H48" s="10"/>
      <c r="I48" s="11" t="str">
        <f>"－"</f>
        <v>－</v>
      </c>
      <c r="J48" s="10"/>
      <c r="K48" s="11" t="n">
        <f>13164</f>
        <v>13164.0</v>
      </c>
    </row>
    <row r="49">
      <c r="A49" s="8" t="s">
        <v>35</v>
      </c>
      <c r="B49" s="9" t="s">
        <v>48</v>
      </c>
      <c r="C49" s="9" t="s">
        <v>49</v>
      </c>
      <c r="D49" s="10" t="s">
        <v>21</v>
      </c>
      <c r="E49" s="11" t="n">
        <f>5230</f>
        <v>5230.0</v>
      </c>
      <c r="F49" s="10" t="s">
        <v>21</v>
      </c>
      <c r="G49" s="11" t="n">
        <f>3232941300</f>
        <v>3.2329413E9</v>
      </c>
      <c r="H49" s="10"/>
      <c r="I49" s="11" t="str">
        <f>"－"</f>
        <v>－</v>
      </c>
      <c r="J49" s="10"/>
      <c r="K49" s="11" t="n">
        <f>13185</f>
        <v>13185.0</v>
      </c>
    </row>
    <row r="50">
      <c r="A50" s="8" t="s">
        <v>36</v>
      </c>
      <c r="B50" s="9" t="s">
        <v>48</v>
      </c>
      <c r="C50" s="9" t="s">
        <v>49</v>
      </c>
      <c r="D50" s="10"/>
      <c r="E50" s="11" t="n">
        <f>8916</f>
        <v>8916.0</v>
      </c>
      <c r="F50" s="10"/>
      <c r="G50" s="11" t="n">
        <f>5475288400</f>
        <v>5.4752884E9</v>
      </c>
      <c r="H50" s="10"/>
      <c r="I50" s="11" t="str">
        <f>"－"</f>
        <v>－</v>
      </c>
      <c r="J50" s="10"/>
      <c r="K50" s="11" t="n">
        <f>13383</f>
        <v>13383.0</v>
      </c>
    </row>
    <row r="51">
      <c r="A51" s="8" t="s">
        <v>37</v>
      </c>
      <c r="B51" s="9" t="s">
        <v>48</v>
      </c>
      <c r="C51" s="9" t="s">
        <v>49</v>
      </c>
      <c r="D51" s="10"/>
      <c r="E51" s="11" t="n">
        <f>9053</f>
        <v>9053.0</v>
      </c>
      <c r="F51" s="10"/>
      <c r="G51" s="11" t="n">
        <f>5510345700</f>
        <v>5.5103457E9</v>
      </c>
      <c r="H51" s="10"/>
      <c r="I51" s="11" t="str">
        <f>"－"</f>
        <v>－</v>
      </c>
      <c r="J51" s="10"/>
      <c r="K51" s="11" t="n">
        <f>13416</f>
        <v>13416.0</v>
      </c>
    </row>
    <row r="52">
      <c r="A52" s="8" t="s">
        <v>38</v>
      </c>
      <c r="B52" s="9" t="s">
        <v>48</v>
      </c>
      <c r="C52" s="9" t="s">
        <v>49</v>
      </c>
      <c r="D52" s="10"/>
      <c r="E52" s="11" t="n">
        <f>8323</f>
        <v>8323.0</v>
      </c>
      <c r="F52" s="10"/>
      <c r="G52" s="11" t="n">
        <f>5028945000</f>
        <v>5.028945E9</v>
      </c>
      <c r="H52" s="10"/>
      <c r="I52" s="11" t="str">
        <f>"－"</f>
        <v>－</v>
      </c>
      <c r="J52" s="10" t="s">
        <v>19</v>
      </c>
      <c r="K52" s="11" t="n">
        <f>13497</f>
        <v>13497.0</v>
      </c>
    </row>
    <row r="53">
      <c r="A53" s="8" t="s">
        <v>39</v>
      </c>
      <c r="B53" s="9" t="s">
        <v>48</v>
      </c>
      <c r="C53" s="9" t="s">
        <v>49</v>
      </c>
      <c r="D53" s="10"/>
      <c r="E53" s="11"/>
      <c r="F53" s="10"/>
      <c r="G53" s="11"/>
      <c r="H53" s="10"/>
      <c r="I53" s="11"/>
      <c r="J53" s="10"/>
      <c r="K53" s="11"/>
    </row>
    <row r="54">
      <c r="A54" s="8" t="s">
        <v>40</v>
      </c>
      <c r="B54" s="9" t="s">
        <v>48</v>
      </c>
      <c r="C54" s="9" t="s">
        <v>49</v>
      </c>
      <c r="D54" s="10"/>
      <c r="E54" s="11"/>
      <c r="F54" s="10"/>
      <c r="G54" s="11"/>
      <c r="H54" s="10"/>
      <c r="I54" s="11"/>
      <c r="J54" s="10"/>
      <c r="K54" s="11"/>
    </row>
    <row r="55">
      <c r="A55" s="8" t="s">
        <v>41</v>
      </c>
      <c r="B55" s="9" t="s">
        <v>48</v>
      </c>
      <c r="C55" s="9" t="s">
        <v>49</v>
      </c>
      <c r="D55" s="10"/>
      <c r="E55" s="11" t="n">
        <f>8921</f>
        <v>8921.0</v>
      </c>
      <c r="F55" s="10"/>
      <c r="G55" s="11" t="n">
        <f>5396835600</f>
        <v>5.3968356E9</v>
      </c>
      <c r="H55" s="10"/>
      <c r="I55" s="11" t="str">
        <f>"－"</f>
        <v>－</v>
      </c>
      <c r="J55" s="10"/>
      <c r="K55" s="11" t="n">
        <f>13352</f>
        <v>13352.0</v>
      </c>
    </row>
    <row r="56">
      <c r="A56" s="8" t="s">
        <v>42</v>
      </c>
      <c r="B56" s="9" t="s">
        <v>48</v>
      </c>
      <c r="C56" s="9" t="s">
        <v>49</v>
      </c>
      <c r="D56" s="10"/>
      <c r="E56" s="11"/>
      <c r="F56" s="10"/>
      <c r="G56" s="11"/>
      <c r="H56" s="10"/>
      <c r="I56" s="11"/>
      <c r="J56" s="10"/>
      <c r="K56" s="11"/>
    </row>
    <row r="57">
      <c r="A57" s="8" t="s">
        <v>43</v>
      </c>
      <c r="B57" s="9" t="s">
        <v>48</v>
      </c>
      <c r="C57" s="9" t="s">
        <v>49</v>
      </c>
      <c r="D57" s="10"/>
      <c r="E57" s="11" t="n">
        <f>6265</f>
        <v>6265.0</v>
      </c>
      <c r="F57" s="10"/>
      <c r="G57" s="11" t="n">
        <f>3832331100</f>
        <v>3.8323311E9</v>
      </c>
      <c r="H57" s="10"/>
      <c r="I57" s="11" t="str">
        <f>"－"</f>
        <v>－</v>
      </c>
      <c r="J57" s="10"/>
      <c r="K57" s="11" t="n">
        <f>13063</f>
        <v>13063.0</v>
      </c>
    </row>
    <row r="58">
      <c r="A58" s="8" t="s">
        <v>44</v>
      </c>
      <c r="B58" s="9" t="s">
        <v>48</v>
      </c>
      <c r="C58" s="9" t="s">
        <v>49</v>
      </c>
      <c r="D58" s="10"/>
      <c r="E58" s="11" t="n">
        <f>6081</f>
        <v>6081.0</v>
      </c>
      <c r="F58" s="10"/>
      <c r="G58" s="11" t="n">
        <f>3727859500</f>
        <v>3.7278595E9</v>
      </c>
      <c r="H58" s="10"/>
      <c r="I58" s="11" t="str">
        <f>"－"</f>
        <v>－</v>
      </c>
      <c r="J58" s="10"/>
      <c r="K58" s="11" t="n">
        <f>12977</f>
        <v>12977.0</v>
      </c>
    </row>
    <row r="59">
      <c r="A59" s="8" t="s">
        <v>45</v>
      </c>
      <c r="B59" s="9" t="s">
        <v>48</v>
      </c>
      <c r="C59" s="9" t="s">
        <v>49</v>
      </c>
      <c r="D59" s="10"/>
      <c r="E59" s="11" t="n">
        <f>9410</f>
        <v>9410.0</v>
      </c>
      <c r="F59" s="10"/>
      <c r="G59" s="11" t="n">
        <f>5708178900</f>
        <v>5.7081789E9</v>
      </c>
      <c r="H59" s="10"/>
      <c r="I59" s="11" t="str">
        <f>"－"</f>
        <v>－</v>
      </c>
      <c r="J59" s="10"/>
      <c r="K59" s="11" t="n">
        <f>12939</f>
        <v>12939.0</v>
      </c>
    </row>
    <row r="60">
      <c r="A60" s="8" t="s">
        <v>46</v>
      </c>
      <c r="B60" s="9" t="s">
        <v>48</v>
      </c>
      <c r="C60" s="9" t="s">
        <v>49</v>
      </c>
      <c r="D60" s="10"/>
      <c r="E60" s="11"/>
      <c r="F60" s="10"/>
      <c r="G60" s="11"/>
      <c r="H60" s="10"/>
      <c r="I60" s="11"/>
      <c r="J60" s="10"/>
      <c r="K60" s="11"/>
    </row>
    <row r="61">
      <c r="A61" s="8" t="s">
        <v>47</v>
      </c>
      <c r="B61" s="9" t="s">
        <v>48</v>
      </c>
      <c r="C61" s="9" t="s">
        <v>49</v>
      </c>
      <c r="D61" s="10"/>
      <c r="E61" s="11"/>
      <c r="F61" s="10"/>
      <c r="G61" s="11"/>
      <c r="H61" s="10"/>
      <c r="I61" s="11"/>
      <c r="J61" s="10"/>
      <c r="K61" s="11"/>
    </row>
    <row r="62">
      <c r="A62" s="8" t="s">
        <v>16</v>
      </c>
      <c r="B62" s="9" t="s">
        <v>51</v>
      </c>
      <c r="C62" s="9" t="s">
        <v>52</v>
      </c>
      <c r="D62" s="10"/>
      <c r="E62" s="11" t="n">
        <f>3749</f>
        <v>3749.0</v>
      </c>
      <c r="F62" s="10"/>
      <c r="G62" s="11" t="n">
        <f>2377388200</f>
        <v>2.3773882E9</v>
      </c>
      <c r="H62" s="10" t="s">
        <v>50</v>
      </c>
      <c r="I62" s="11" t="str">
        <f>"－"</f>
        <v>－</v>
      </c>
      <c r="J62" s="10"/>
      <c r="K62" s="11" t="n">
        <f>53125</f>
        <v>53125.0</v>
      </c>
    </row>
    <row r="63">
      <c r="A63" s="8" t="s">
        <v>20</v>
      </c>
      <c r="B63" s="9" t="s">
        <v>51</v>
      </c>
      <c r="C63" s="9" t="s">
        <v>52</v>
      </c>
      <c r="D63" s="10"/>
      <c r="E63" s="11" t="n">
        <f>1780</f>
        <v>1780.0</v>
      </c>
      <c r="F63" s="10"/>
      <c r="G63" s="11" t="n">
        <f>1133807800</f>
        <v>1.1338078E9</v>
      </c>
      <c r="H63" s="10"/>
      <c r="I63" s="11" t="str">
        <f>"－"</f>
        <v>－</v>
      </c>
      <c r="J63" s="10" t="s">
        <v>21</v>
      </c>
      <c r="K63" s="11" t="n">
        <f>53096</f>
        <v>53096.0</v>
      </c>
    </row>
    <row r="64">
      <c r="A64" s="8" t="s">
        <v>22</v>
      </c>
      <c r="B64" s="9" t="s">
        <v>51</v>
      </c>
      <c r="C64" s="9" t="s">
        <v>52</v>
      </c>
      <c r="D64" s="10"/>
      <c r="E64" s="11" t="n">
        <f>1859</f>
        <v>1859.0</v>
      </c>
      <c r="F64" s="10"/>
      <c r="G64" s="11" t="n">
        <f>1172717400</f>
        <v>1.1727174E9</v>
      </c>
      <c r="H64" s="10"/>
      <c r="I64" s="11" t="str">
        <f>"－"</f>
        <v>－</v>
      </c>
      <c r="J64" s="10"/>
      <c r="K64" s="11" t="n">
        <f>53533</f>
        <v>53533.0</v>
      </c>
    </row>
    <row r="65">
      <c r="A65" s="8" t="s">
        <v>23</v>
      </c>
      <c r="B65" s="9" t="s">
        <v>51</v>
      </c>
      <c r="C65" s="9" t="s">
        <v>52</v>
      </c>
      <c r="D65" s="10"/>
      <c r="E65" s="11" t="n">
        <f>1580</f>
        <v>1580.0</v>
      </c>
      <c r="F65" s="10"/>
      <c r="G65" s="11" t="n">
        <f>990714500</f>
        <v>9.907145E8</v>
      </c>
      <c r="H65" s="10"/>
      <c r="I65" s="11" t="str">
        <f>"－"</f>
        <v>－</v>
      </c>
      <c r="J65" s="10"/>
      <c r="K65" s="11" t="n">
        <f>53960</f>
        <v>53960.0</v>
      </c>
    </row>
    <row r="66">
      <c r="A66" s="8" t="s">
        <v>24</v>
      </c>
      <c r="B66" s="9" t="s">
        <v>51</v>
      </c>
      <c r="C66" s="9" t="s">
        <v>52</v>
      </c>
      <c r="D66" s="10" t="s">
        <v>19</v>
      </c>
      <c r="E66" s="11" t="n">
        <f>5201</f>
        <v>5201.0</v>
      </c>
      <c r="F66" s="10" t="s">
        <v>19</v>
      </c>
      <c r="G66" s="11" t="n">
        <f>3231019100</f>
        <v>3.2310191E9</v>
      </c>
      <c r="H66" s="10"/>
      <c r="I66" s="11" t="str">
        <f>"－"</f>
        <v>－</v>
      </c>
      <c r="J66" s="10" t="s">
        <v>19</v>
      </c>
      <c r="K66" s="11" t="n">
        <f>54077</f>
        <v>54077.0</v>
      </c>
    </row>
    <row r="67">
      <c r="A67" s="8" t="s">
        <v>25</v>
      </c>
      <c r="B67" s="9" t="s">
        <v>51</v>
      </c>
      <c r="C67" s="9" t="s">
        <v>52</v>
      </c>
      <c r="D67" s="10"/>
      <c r="E67" s="11"/>
      <c r="F67" s="10"/>
      <c r="G67" s="11"/>
      <c r="H67" s="10"/>
      <c r="I67" s="11"/>
      <c r="J67" s="10"/>
      <c r="K67" s="11"/>
    </row>
    <row r="68">
      <c r="A68" s="8" t="s">
        <v>26</v>
      </c>
      <c r="B68" s="9" t="s">
        <v>51</v>
      </c>
      <c r="C68" s="9" t="s">
        <v>52</v>
      </c>
      <c r="D68" s="10"/>
      <c r="E68" s="11"/>
      <c r="F68" s="10"/>
      <c r="G68" s="11"/>
      <c r="H68" s="10"/>
      <c r="I68" s="11"/>
      <c r="J68" s="10"/>
      <c r="K68" s="11"/>
    </row>
    <row r="69">
      <c r="A69" s="8" t="s">
        <v>27</v>
      </c>
      <c r="B69" s="9" t="s">
        <v>51</v>
      </c>
      <c r="C69" s="9" t="s">
        <v>52</v>
      </c>
      <c r="D69" s="10"/>
      <c r="E69" s="11" t="n">
        <f>2394</f>
        <v>2394.0</v>
      </c>
      <c r="F69" s="10"/>
      <c r="G69" s="11" t="n">
        <f>1492013100</f>
        <v>1.4920131E9</v>
      </c>
      <c r="H69" s="10"/>
      <c r="I69" s="11" t="str">
        <f>"－"</f>
        <v>－</v>
      </c>
      <c r="J69" s="10"/>
      <c r="K69" s="11" t="n">
        <f>53844</f>
        <v>53844.0</v>
      </c>
    </row>
    <row r="70">
      <c r="A70" s="8" t="s">
        <v>28</v>
      </c>
      <c r="B70" s="9" t="s">
        <v>51</v>
      </c>
      <c r="C70" s="9" t="s">
        <v>52</v>
      </c>
      <c r="D70" s="10"/>
      <c r="E70" s="11" t="n">
        <f>2575</f>
        <v>2575.0</v>
      </c>
      <c r="F70" s="10"/>
      <c r="G70" s="11" t="n">
        <f>1619339400</f>
        <v>1.6193394E9</v>
      </c>
      <c r="H70" s="10"/>
      <c r="I70" s="11" t="str">
        <f>"－"</f>
        <v>－</v>
      </c>
      <c r="J70" s="10"/>
      <c r="K70" s="11" t="n">
        <f>53575</f>
        <v>53575.0</v>
      </c>
    </row>
    <row r="71">
      <c r="A71" s="8" t="s">
        <v>29</v>
      </c>
      <c r="B71" s="9" t="s">
        <v>51</v>
      </c>
      <c r="C71" s="9" t="s">
        <v>52</v>
      </c>
      <c r="D71" s="10"/>
      <c r="E71" s="11" t="n">
        <f>1561</f>
        <v>1561.0</v>
      </c>
      <c r="F71" s="10"/>
      <c r="G71" s="11" t="n">
        <f>980444000</f>
        <v>9.80444E8</v>
      </c>
      <c r="H71" s="10"/>
      <c r="I71" s="11" t="str">
        <f>"－"</f>
        <v>－</v>
      </c>
      <c r="J71" s="10"/>
      <c r="K71" s="11" t="n">
        <f>53898</f>
        <v>53898.0</v>
      </c>
    </row>
    <row r="72">
      <c r="A72" s="8" t="s">
        <v>30</v>
      </c>
      <c r="B72" s="9" t="s">
        <v>51</v>
      </c>
      <c r="C72" s="9" t="s">
        <v>52</v>
      </c>
      <c r="D72" s="10"/>
      <c r="E72" s="11"/>
      <c r="F72" s="10"/>
      <c r="G72" s="11"/>
      <c r="H72" s="10"/>
      <c r="I72" s="11"/>
      <c r="J72" s="10"/>
      <c r="K72" s="11"/>
    </row>
    <row r="73">
      <c r="A73" s="8" t="s">
        <v>31</v>
      </c>
      <c r="B73" s="9" t="s">
        <v>51</v>
      </c>
      <c r="C73" s="9" t="s">
        <v>52</v>
      </c>
      <c r="D73" s="10"/>
      <c r="E73" s="11" t="n">
        <f>2236</f>
        <v>2236.0</v>
      </c>
      <c r="F73" s="10"/>
      <c r="G73" s="11" t="n">
        <f>1398781200</f>
        <v>1.3987812E9</v>
      </c>
      <c r="H73" s="10"/>
      <c r="I73" s="11" t="str">
        <f>"－"</f>
        <v>－</v>
      </c>
      <c r="J73" s="10"/>
      <c r="K73" s="11" t="n">
        <f>53930</f>
        <v>53930.0</v>
      </c>
    </row>
    <row r="74">
      <c r="A74" s="8" t="s">
        <v>32</v>
      </c>
      <c r="B74" s="9" t="s">
        <v>51</v>
      </c>
      <c r="C74" s="9" t="s">
        <v>52</v>
      </c>
      <c r="D74" s="10"/>
      <c r="E74" s="11"/>
      <c r="F74" s="10"/>
      <c r="G74" s="11"/>
      <c r="H74" s="10"/>
      <c r="I74" s="11"/>
      <c r="J74" s="10"/>
      <c r="K74" s="11"/>
    </row>
    <row r="75">
      <c r="A75" s="8" t="s">
        <v>33</v>
      </c>
      <c r="B75" s="9" t="s">
        <v>51</v>
      </c>
      <c r="C75" s="9" t="s">
        <v>52</v>
      </c>
      <c r="D75" s="10"/>
      <c r="E75" s="11"/>
      <c r="F75" s="10"/>
      <c r="G75" s="11"/>
      <c r="H75" s="10"/>
      <c r="I75" s="11"/>
      <c r="J75" s="10"/>
      <c r="K75" s="11"/>
    </row>
    <row r="76">
      <c r="A76" s="8" t="s">
        <v>34</v>
      </c>
      <c r="B76" s="9" t="s">
        <v>51</v>
      </c>
      <c r="C76" s="9" t="s">
        <v>52</v>
      </c>
      <c r="D76" s="10"/>
      <c r="E76" s="11" t="n">
        <f>1490</f>
        <v>1490.0</v>
      </c>
      <c r="F76" s="10"/>
      <c r="G76" s="11" t="n">
        <f>929341500</f>
        <v>9.293415E8</v>
      </c>
      <c r="H76" s="10"/>
      <c r="I76" s="11" t="str">
        <f>"－"</f>
        <v>－</v>
      </c>
      <c r="J76" s="10"/>
      <c r="K76" s="11" t="n">
        <f>53874</f>
        <v>53874.0</v>
      </c>
    </row>
    <row r="77">
      <c r="A77" s="8" t="s">
        <v>35</v>
      </c>
      <c r="B77" s="9" t="s">
        <v>51</v>
      </c>
      <c r="C77" s="9" t="s">
        <v>52</v>
      </c>
      <c r="D77" s="10" t="s">
        <v>21</v>
      </c>
      <c r="E77" s="11" t="n">
        <f>1312</f>
        <v>1312.0</v>
      </c>
      <c r="F77" s="10" t="s">
        <v>21</v>
      </c>
      <c r="G77" s="11" t="n">
        <f>822777500</f>
        <v>8.227775E8</v>
      </c>
      <c r="H77" s="10"/>
      <c r="I77" s="11" t="str">
        <f>"－"</f>
        <v>－</v>
      </c>
      <c r="J77" s="10"/>
      <c r="K77" s="11" t="n">
        <f>53557</f>
        <v>53557.0</v>
      </c>
    </row>
    <row r="78">
      <c r="A78" s="8" t="s">
        <v>36</v>
      </c>
      <c r="B78" s="9" t="s">
        <v>51</v>
      </c>
      <c r="C78" s="9" t="s">
        <v>52</v>
      </c>
      <c r="D78" s="10"/>
      <c r="E78" s="11" t="n">
        <f>2708</f>
        <v>2708.0</v>
      </c>
      <c r="F78" s="10"/>
      <c r="G78" s="11" t="n">
        <f>1683894400</f>
        <v>1.6838944E9</v>
      </c>
      <c r="H78" s="10"/>
      <c r="I78" s="11" t="str">
        <f>"－"</f>
        <v>－</v>
      </c>
      <c r="J78" s="10"/>
      <c r="K78" s="11" t="n">
        <f>53738</f>
        <v>53738.0</v>
      </c>
    </row>
    <row r="79">
      <c r="A79" s="8" t="s">
        <v>37</v>
      </c>
      <c r="B79" s="9" t="s">
        <v>51</v>
      </c>
      <c r="C79" s="9" t="s">
        <v>52</v>
      </c>
      <c r="D79" s="10"/>
      <c r="E79" s="11" t="n">
        <f>3545</f>
        <v>3545.0</v>
      </c>
      <c r="F79" s="10"/>
      <c r="G79" s="11" t="n">
        <f>2189346500</f>
        <v>2.1893465E9</v>
      </c>
      <c r="H79" s="10"/>
      <c r="I79" s="11" t="str">
        <f>"－"</f>
        <v>－</v>
      </c>
      <c r="J79" s="10"/>
      <c r="K79" s="11" t="n">
        <f>53553</f>
        <v>53553.0</v>
      </c>
    </row>
    <row r="80">
      <c r="A80" s="8" t="s">
        <v>38</v>
      </c>
      <c r="B80" s="9" t="s">
        <v>51</v>
      </c>
      <c r="C80" s="9" t="s">
        <v>52</v>
      </c>
      <c r="D80" s="10"/>
      <c r="E80" s="11" t="n">
        <f>4805</f>
        <v>4805.0</v>
      </c>
      <c r="F80" s="10"/>
      <c r="G80" s="11" t="n">
        <f>2939413700</f>
        <v>2.9394137E9</v>
      </c>
      <c r="H80" s="10"/>
      <c r="I80" s="11" t="str">
        <f>"－"</f>
        <v>－</v>
      </c>
      <c r="J80" s="10"/>
      <c r="K80" s="11" t="n">
        <f>53437</f>
        <v>53437.0</v>
      </c>
    </row>
    <row r="81">
      <c r="A81" s="8" t="s">
        <v>39</v>
      </c>
      <c r="B81" s="9" t="s">
        <v>51</v>
      </c>
      <c r="C81" s="9" t="s">
        <v>52</v>
      </c>
      <c r="D81" s="10"/>
      <c r="E81" s="11"/>
      <c r="F81" s="10"/>
      <c r="G81" s="11"/>
      <c r="H81" s="10"/>
      <c r="I81" s="11"/>
      <c r="J81" s="10"/>
      <c r="K81" s="11"/>
    </row>
    <row r="82">
      <c r="A82" s="8" t="s">
        <v>40</v>
      </c>
      <c r="B82" s="9" t="s">
        <v>51</v>
      </c>
      <c r="C82" s="9" t="s">
        <v>52</v>
      </c>
      <c r="D82" s="10"/>
      <c r="E82" s="11"/>
      <c r="F82" s="10"/>
      <c r="G82" s="11"/>
      <c r="H82" s="10"/>
      <c r="I82" s="11"/>
      <c r="J82" s="10"/>
      <c r="K82" s="11"/>
    </row>
    <row r="83">
      <c r="A83" s="8" t="s">
        <v>41</v>
      </c>
      <c r="B83" s="9" t="s">
        <v>51</v>
      </c>
      <c r="C83" s="9" t="s">
        <v>52</v>
      </c>
      <c r="D83" s="10"/>
      <c r="E83" s="11" t="n">
        <f>1990</f>
        <v>1990.0</v>
      </c>
      <c r="F83" s="10"/>
      <c r="G83" s="11" t="n">
        <f>1221611400</f>
        <v>1.2216114E9</v>
      </c>
      <c r="H83" s="10"/>
      <c r="I83" s="11" t="str">
        <f>"－"</f>
        <v>－</v>
      </c>
      <c r="J83" s="10"/>
      <c r="K83" s="11" t="n">
        <f>53546</f>
        <v>53546.0</v>
      </c>
    </row>
    <row r="84">
      <c r="A84" s="8" t="s">
        <v>42</v>
      </c>
      <c r="B84" s="9" t="s">
        <v>51</v>
      </c>
      <c r="C84" s="9" t="s">
        <v>52</v>
      </c>
      <c r="D84" s="10"/>
      <c r="E84" s="11"/>
      <c r="F84" s="10"/>
      <c r="G84" s="11"/>
      <c r="H84" s="10"/>
      <c r="I84" s="11"/>
      <c r="J84" s="10"/>
      <c r="K84" s="11"/>
    </row>
    <row r="85">
      <c r="A85" s="8" t="s">
        <v>43</v>
      </c>
      <c r="B85" s="9" t="s">
        <v>51</v>
      </c>
      <c r="C85" s="9" t="s">
        <v>52</v>
      </c>
      <c r="D85" s="10"/>
      <c r="E85" s="11" t="n">
        <f>2400</f>
        <v>2400.0</v>
      </c>
      <c r="F85" s="10"/>
      <c r="G85" s="11" t="n">
        <f>1488998600</f>
        <v>1.4889986E9</v>
      </c>
      <c r="H85" s="10"/>
      <c r="I85" s="11" t="str">
        <f>"－"</f>
        <v>－</v>
      </c>
      <c r="J85" s="10"/>
      <c r="K85" s="11" t="n">
        <f>53415</f>
        <v>53415.0</v>
      </c>
    </row>
    <row r="86">
      <c r="A86" s="8" t="s">
        <v>44</v>
      </c>
      <c r="B86" s="9" t="s">
        <v>51</v>
      </c>
      <c r="C86" s="9" t="s">
        <v>52</v>
      </c>
      <c r="D86" s="10"/>
      <c r="E86" s="11" t="n">
        <f>2991</f>
        <v>2991.0</v>
      </c>
      <c r="F86" s="10"/>
      <c r="G86" s="11" t="n">
        <f>1857674000</f>
        <v>1.857674E9</v>
      </c>
      <c r="H86" s="10"/>
      <c r="I86" s="11" t="str">
        <f>"－"</f>
        <v>－</v>
      </c>
      <c r="J86" s="10"/>
      <c r="K86" s="11" t="n">
        <f>53306</f>
        <v>53306.0</v>
      </c>
    </row>
    <row r="87">
      <c r="A87" s="8" t="s">
        <v>45</v>
      </c>
      <c r="B87" s="9" t="s">
        <v>51</v>
      </c>
      <c r="C87" s="9" t="s">
        <v>52</v>
      </c>
      <c r="D87" s="10"/>
      <c r="E87" s="11" t="n">
        <f>4796</f>
        <v>4796.0</v>
      </c>
      <c r="F87" s="10"/>
      <c r="G87" s="11" t="n">
        <f>2945825800</f>
        <v>2.9458258E9</v>
      </c>
      <c r="H87" s="10"/>
      <c r="I87" s="11" t="str">
        <f>"－"</f>
        <v>－</v>
      </c>
      <c r="J87" s="10"/>
      <c r="K87" s="11" t="n">
        <f>53297</f>
        <v>53297.0</v>
      </c>
    </row>
    <row r="88">
      <c r="A88" s="8" t="s">
        <v>46</v>
      </c>
      <c r="B88" s="9" t="s">
        <v>51</v>
      </c>
      <c r="C88" s="9" t="s">
        <v>52</v>
      </c>
      <c r="D88" s="10"/>
      <c r="E88" s="11"/>
      <c r="F88" s="10"/>
      <c r="G88" s="11"/>
      <c r="H88" s="10"/>
      <c r="I88" s="11"/>
      <c r="J88" s="10"/>
      <c r="K88" s="11"/>
    </row>
    <row r="89">
      <c r="A89" s="8" t="s">
        <v>47</v>
      </c>
      <c r="B89" s="9" t="s">
        <v>51</v>
      </c>
      <c r="C89" s="9" t="s">
        <v>52</v>
      </c>
      <c r="D89" s="10"/>
      <c r="E89" s="11"/>
      <c r="F89" s="10"/>
      <c r="G89" s="11"/>
      <c r="H89" s="10"/>
      <c r="I89" s="11"/>
      <c r="J89" s="10"/>
      <c r="K89" s="11"/>
    </row>
    <row r="90">
      <c r="A90" s="8" t="s">
        <v>16</v>
      </c>
      <c r="B90" s="9" t="s">
        <v>53</v>
      </c>
      <c r="C90" s="9" t="s">
        <v>54</v>
      </c>
      <c r="D90" s="10"/>
      <c r="E90" s="11" t="n">
        <f>866</f>
        <v>866.0</v>
      </c>
      <c r="F90" s="10"/>
      <c r="G90" s="11" t="n">
        <f>819739000</f>
        <v>8.19739E8</v>
      </c>
      <c r="H90" s="10" t="s">
        <v>50</v>
      </c>
      <c r="I90" s="11" t="str">
        <f>"－"</f>
        <v>－</v>
      </c>
      <c r="J90" s="10" t="s">
        <v>21</v>
      </c>
      <c r="K90" s="11" t="n">
        <f>1188</f>
        <v>1188.0</v>
      </c>
    </row>
    <row r="91">
      <c r="A91" s="8" t="s">
        <v>20</v>
      </c>
      <c r="B91" s="9" t="s">
        <v>53</v>
      </c>
      <c r="C91" s="9" t="s">
        <v>54</v>
      </c>
      <c r="D91" s="10" t="s">
        <v>19</v>
      </c>
      <c r="E91" s="11" t="n">
        <f>1062</f>
        <v>1062.0</v>
      </c>
      <c r="F91" s="10" t="s">
        <v>19</v>
      </c>
      <c r="G91" s="11" t="n">
        <f>1046840000</f>
        <v>1.04684E9</v>
      </c>
      <c r="H91" s="10"/>
      <c r="I91" s="11" t="str">
        <f>"－"</f>
        <v>－</v>
      </c>
      <c r="J91" s="10"/>
      <c r="K91" s="11" t="n">
        <f>1357</f>
        <v>1357.0</v>
      </c>
    </row>
    <row r="92">
      <c r="A92" s="8" t="s">
        <v>22</v>
      </c>
      <c r="B92" s="9" t="s">
        <v>53</v>
      </c>
      <c r="C92" s="9" t="s">
        <v>54</v>
      </c>
      <c r="D92" s="10"/>
      <c r="E92" s="11" t="n">
        <f>605</f>
        <v>605.0</v>
      </c>
      <c r="F92" s="10"/>
      <c r="G92" s="11" t="n">
        <f>561105000</f>
        <v>5.61105E8</v>
      </c>
      <c r="H92" s="10"/>
      <c r="I92" s="11" t="str">
        <f>"－"</f>
        <v>－</v>
      </c>
      <c r="J92" s="10"/>
      <c r="K92" s="11" t="n">
        <f>1444</f>
        <v>1444.0</v>
      </c>
    </row>
    <row r="93">
      <c r="A93" s="8" t="s">
        <v>23</v>
      </c>
      <c r="B93" s="9" t="s">
        <v>53</v>
      </c>
      <c r="C93" s="9" t="s">
        <v>54</v>
      </c>
      <c r="D93" s="10"/>
      <c r="E93" s="11" t="n">
        <f>531</f>
        <v>531.0</v>
      </c>
      <c r="F93" s="10"/>
      <c r="G93" s="11" t="n">
        <f>481110000</f>
        <v>4.8111E8</v>
      </c>
      <c r="H93" s="10"/>
      <c r="I93" s="11" t="str">
        <f>"－"</f>
        <v>－</v>
      </c>
      <c r="J93" s="10"/>
      <c r="K93" s="11" t="n">
        <f>1482</f>
        <v>1482.0</v>
      </c>
    </row>
    <row r="94">
      <c r="A94" s="8" t="s">
        <v>24</v>
      </c>
      <c r="B94" s="9" t="s">
        <v>53</v>
      </c>
      <c r="C94" s="9" t="s">
        <v>54</v>
      </c>
      <c r="D94" s="10"/>
      <c r="E94" s="11" t="n">
        <f>344</f>
        <v>344.0</v>
      </c>
      <c r="F94" s="10"/>
      <c r="G94" s="11" t="n">
        <f>307202000</f>
        <v>3.07202E8</v>
      </c>
      <c r="H94" s="10"/>
      <c r="I94" s="11" t="str">
        <f>"－"</f>
        <v>－</v>
      </c>
      <c r="J94" s="10"/>
      <c r="K94" s="11" t="n">
        <f>1457</f>
        <v>1457.0</v>
      </c>
    </row>
    <row r="95">
      <c r="A95" s="8" t="s">
        <v>25</v>
      </c>
      <c r="B95" s="9" t="s">
        <v>53</v>
      </c>
      <c r="C95" s="9" t="s">
        <v>54</v>
      </c>
      <c r="D95" s="10"/>
      <c r="E95" s="11"/>
      <c r="F95" s="10"/>
      <c r="G95" s="11"/>
      <c r="H95" s="10"/>
      <c r="I95" s="11"/>
      <c r="J95" s="10"/>
      <c r="K95" s="11"/>
    </row>
    <row r="96">
      <c r="A96" s="8" t="s">
        <v>26</v>
      </c>
      <c r="B96" s="9" t="s">
        <v>53</v>
      </c>
      <c r="C96" s="9" t="s">
        <v>54</v>
      </c>
      <c r="D96" s="10"/>
      <c r="E96" s="11"/>
      <c r="F96" s="10"/>
      <c r="G96" s="11"/>
      <c r="H96" s="10"/>
      <c r="I96" s="11"/>
      <c r="J96" s="10"/>
      <c r="K96" s="11"/>
    </row>
    <row r="97">
      <c r="A97" s="8" t="s">
        <v>27</v>
      </c>
      <c r="B97" s="9" t="s">
        <v>53</v>
      </c>
      <c r="C97" s="9" t="s">
        <v>54</v>
      </c>
      <c r="D97" s="10"/>
      <c r="E97" s="11" t="n">
        <f>204</f>
        <v>204.0</v>
      </c>
      <c r="F97" s="10"/>
      <c r="G97" s="11" t="n">
        <f>186881000</f>
        <v>1.86881E8</v>
      </c>
      <c r="H97" s="10"/>
      <c r="I97" s="11" t="str">
        <f>"－"</f>
        <v>－</v>
      </c>
      <c r="J97" s="10"/>
      <c r="K97" s="11" t="n">
        <f>1445</f>
        <v>1445.0</v>
      </c>
    </row>
    <row r="98">
      <c r="A98" s="8" t="s">
        <v>28</v>
      </c>
      <c r="B98" s="9" t="s">
        <v>53</v>
      </c>
      <c r="C98" s="9" t="s">
        <v>54</v>
      </c>
      <c r="D98" s="10"/>
      <c r="E98" s="11" t="n">
        <f>149</f>
        <v>149.0</v>
      </c>
      <c r="F98" s="10"/>
      <c r="G98" s="11" t="n">
        <f>138444000</f>
        <v>1.38444E8</v>
      </c>
      <c r="H98" s="10"/>
      <c r="I98" s="11" t="str">
        <f>"－"</f>
        <v>－</v>
      </c>
      <c r="J98" s="10"/>
      <c r="K98" s="11" t="n">
        <f>1449</f>
        <v>1449.0</v>
      </c>
    </row>
    <row r="99">
      <c r="A99" s="8" t="s">
        <v>29</v>
      </c>
      <c r="B99" s="9" t="s">
        <v>53</v>
      </c>
      <c r="C99" s="9" t="s">
        <v>54</v>
      </c>
      <c r="D99" s="10"/>
      <c r="E99" s="11" t="n">
        <f>137</f>
        <v>137.0</v>
      </c>
      <c r="F99" s="10"/>
      <c r="G99" s="11" t="n">
        <f>127381000</f>
        <v>1.27381E8</v>
      </c>
      <c r="H99" s="10"/>
      <c r="I99" s="11" t="str">
        <f>"－"</f>
        <v>－</v>
      </c>
      <c r="J99" s="10"/>
      <c r="K99" s="11" t="n">
        <f>1480</f>
        <v>1480.0</v>
      </c>
    </row>
    <row r="100">
      <c r="A100" s="8" t="s">
        <v>30</v>
      </c>
      <c r="B100" s="9" t="s">
        <v>53</v>
      </c>
      <c r="C100" s="9" t="s">
        <v>54</v>
      </c>
      <c r="D100" s="10"/>
      <c r="E100" s="11"/>
      <c r="F100" s="10"/>
      <c r="G100" s="11"/>
      <c r="H100" s="10"/>
      <c r="I100" s="11"/>
      <c r="J100" s="10"/>
      <c r="K100" s="11"/>
    </row>
    <row r="101">
      <c r="A101" s="8" t="s">
        <v>31</v>
      </c>
      <c r="B101" s="9" t="s">
        <v>53</v>
      </c>
      <c r="C101" s="9" t="s">
        <v>54</v>
      </c>
      <c r="D101" s="10" t="s">
        <v>21</v>
      </c>
      <c r="E101" s="11" t="n">
        <f>105</f>
        <v>105.0</v>
      </c>
      <c r="F101" s="10" t="s">
        <v>21</v>
      </c>
      <c r="G101" s="11" t="n">
        <f>96524000</f>
        <v>9.6524E7</v>
      </c>
      <c r="H101" s="10"/>
      <c r="I101" s="11" t="str">
        <f>"－"</f>
        <v>－</v>
      </c>
      <c r="J101" s="10"/>
      <c r="K101" s="11" t="n">
        <f>1480</f>
        <v>1480.0</v>
      </c>
    </row>
    <row r="102">
      <c r="A102" s="8" t="s">
        <v>32</v>
      </c>
      <c r="B102" s="9" t="s">
        <v>53</v>
      </c>
      <c r="C102" s="9" t="s">
        <v>54</v>
      </c>
      <c r="D102" s="10"/>
      <c r="E102" s="11"/>
      <c r="F102" s="10"/>
      <c r="G102" s="11"/>
      <c r="H102" s="10"/>
      <c r="I102" s="11"/>
      <c r="J102" s="10"/>
      <c r="K102" s="11"/>
    </row>
    <row r="103">
      <c r="A103" s="8" t="s">
        <v>33</v>
      </c>
      <c r="B103" s="9" t="s">
        <v>53</v>
      </c>
      <c r="C103" s="9" t="s">
        <v>54</v>
      </c>
      <c r="D103" s="10"/>
      <c r="E103" s="11"/>
      <c r="F103" s="10"/>
      <c r="G103" s="11"/>
      <c r="H103" s="10"/>
      <c r="I103" s="11"/>
      <c r="J103" s="10"/>
      <c r="K103" s="11"/>
    </row>
    <row r="104">
      <c r="A104" s="8" t="s">
        <v>34</v>
      </c>
      <c r="B104" s="9" t="s">
        <v>53</v>
      </c>
      <c r="C104" s="9" t="s">
        <v>54</v>
      </c>
      <c r="D104" s="10"/>
      <c r="E104" s="11" t="n">
        <f>223</f>
        <v>223.0</v>
      </c>
      <c r="F104" s="10"/>
      <c r="G104" s="11" t="n">
        <f>207794000</f>
        <v>2.07794E8</v>
      </c>
      <c r="H104" s="10"/>
      <c r="I104" s="11" t="str">
        <f>"－"</f>
        <v>－</v>
      </c>
      <c r="J104" s="10"/>
      <c r="K104" s="11" t="n">
        <f>1487</f>
        <v>1487.0</v>
      </c>
    </row>
    <row r="105">
      <c r="A105" s="8" t="s">
        <v>35</v>
      </c>
      <c r="B105" s="9" t="s">
        <v>53</v>
      </c>
      <c r="C105" s="9" t="s">
        <v>54</v>
      </c>
      <c r="D105" s="10"/>
      <c r="E105" s="11" t="n">
        <f>336</f>
        <v>336.0</v>
      </c>
      <c r="F105" s="10"/>
      <c r="G105" s="11" t="n">
        <f>320223000</f>
        <v>3.20223E8</v>
      </c>
      <c r="H105" s="10"/>
      <c r="I105" s="11" t="str">
        <f>"－"</f>
        <v>－</v>
      </c>
      <c r="J105" s="10"/>
      <c r="K105" s="11" t="n">
        <f>1579</f>
        <v>1579.0</v>
      </c>
    </row>
    <row r="106">
      <c r="A106" s="8" t="s">
        <v>36</v>
      </c>
      <c r="B106" s="9" t="s">
        <v>53</v>
      </c>
      <c r="C106" s="9" t="s">
        <v>54</v>
      </c>
      <c r="D106" s="10"/>
      <c r="E106" s="11" t="n">
        <f>594</f>
        <v>594.0</v>
      </c>
      <c r="F106" s="10"/>
      <c r="G106" s="11" t="n">
        <f>564869000</f>
        <v>5.64869E8</v>
      </c>
      <c r="H106" s="10"/>
      <c r="I106" s="11" t="str">
        <f>"－"</f>
        <v>－</v>
      </c>
      <c r="J106" s="10"/>
      <c r="K106" s="11" t="n">
        <f>1725</f>
        <v>1725.0</v>
      </c>
    </row>
    <row r="107">
      <c r="A107" s="8" t="s">
        <v>37</v>
      </c>
      <c r="B107" s="9" t="s">
        <v>53</v>
      </c>
      <c r="C107" s="9" t="s">
        <v>54</v>
      </c>
      <c r="D107" s="10"/>
      <c r="E107" s="11" t="n">
        <f>133</f>
        <v>133.0</v>
      </c>
      <c r="F107" s="10"/>
      <c r="G107" s="11" t="n">
        <f>124980000</f>
        <v>1.2498E8</v>
      </c>
      <c r="H107" s="10"/>
      <c r="I107" s="11" t="str">
        <f>"－"</f>
        <v>－</v>
      </c>
      <c r="J107" s="10"/>
      <c r="K107" s="11" t="n">
        <f>1747</f>
        <v>1747.0</v>
      </c>
    </row>
    <row r="108">
      <c r="A108" s="8" t="s">
        <v>38</v>
      </c>
      <c r="B108" s="9" t="s">
        <v>53</v>
      </c>
      <c r="C108" s="9" t="s">
        <v>54</v>
      </c>
      <c r="D108" s="10"/>
      <c r="E108" s="11" t="n">
        <f>367</f>
        <v>367.0</v>
      </c>
      <c r="F108" s="10"/>
      <c r="G108" s="11" t="n">
        <f>339557000</f>
        <v>3.39557E8</v>
      </c>
      <c r="H108" s="10"/>
      <c r="I108" s="11" t="str">
        <f>"－"</f>
        <v>－</v>
      </c>
      <c r="J108" s="10"/>
      <c r="K108" s="11" t="n">
        <f>1773</f>
        <v>1773.0</v>
      </c>
    </row>
    <row r="109">
      <c r="A109" s="8" t="s">
        <v>39</v>
      </c>
      <c r="B109" s="9" t="s">
        <v>53</v>
      </c>
      <c r="C109" s="9" t="s">
        <v>54</v>
      </c>
      <c r="D109" s="10"/>
      <c r="E109" s="11"/>
      <c r="F109" s="10"/>
      <c r="G109" s="11"/>
      <c r="H109" s="10"/>
      <c r="I109" s="11"/>
      <c r="J109" s="10"/>
      <c r="K109" s="11"/>
    </row>
    <row r="110">
      <c r="A110" s="8" t="s">
        <v>40</v>
      </c>
      <c r="B110" s="9" t="s">
        <v>53</v>
      </c>
      <c r="C110" s="9" t="s">
        <v>54</v>
      </c>
      <c r="D110" s="10"/>
      <c r="E110" s="11"/>
      <c r="F110" s="10"/>
      <c r="G110" s="11"/>
      <c r="H110" s="10"/>
      <c r="I110" s="11"/>
      <c r="J110" s="10"/>
      <c r="K110" s="11"/>
    </row>
    <row r="111">
      <c r="A111" s="8" t="s">
        <v>41</v>
      </c>
      <c r="B111" s="9" t="s">
        <v>53</v>
      </c>
      <c r="C111" s="9" t="s">
        <v>54</v>
      </c>
      <c r="D111" s="10"/>
      <c r="E111" s="11" t="n">
        <f>217</f>
        <v>217.0</v>
      </c>
      <c r="F111" s="10"/>
      <c r="G111" s="11" t="n">
        <f>203666000</f>
        <v>2.03666E8</v>
      </c>
      <c r="H111" s="10"/>
      <c r="I111" s="11" t="str">
        <f>"－"</f>
        <v>－</v>
      </c>
      <c r="J111" s="10"/>
      <c r="K111" s="11" t="n">
        <f>1740</f>
        <v>1740.0</v>
      </c>
    </row>
    <row r="112">
      <c r="A112" s="8" t="s">
        <v>42</v>
      </c>
      <c r="B112" s="9" t="s">
        <v>53</v>
      </c>
      <c r="C112" s="9" t="s">
        <v>54</v>
      </c>
      <c r="D112" s="10"/>
      <c r="E112" s="11"/>
      <c r="F112" s="10"/>
      <c r="G112" s="11"/>
      <c r="H112" s="10"/>
      <c r="I112" s="11"/>
      <c r="J112" s="10"/>
      <c r="K112" s="11"/>
    </row>
    <row r="113">
      <c r="A113" s="8" t="s">
        <v>43</v>
      </c>
      <c r="B113" s="9" t="s">
        <v>53</v>
      </c>
      <c r="C113" s="9" t="s">
        <v>54</v>
      </c>
      <c r="D113" s="10"/>
      <c r="E113" s="11" t="n">
        <f>219</f>
        <v>219.0</v>
      </c>
      <c r="F113" s="10"/>
      <c r="G113" s="11" t="n">
        <f>208147000</f>
        <v>2.08147E8</v>
      </c>
      <c r="H113" s="10"/>
      <c r="I113" s="11" t="str">
        <f>"－"</f>
        <v>－</v>
      </c>
      <c r="J113" s="10"/>
      <c r="K113" s="11" t="n">
        <f>1737</f>
        <v>1737.0</v>
      </c>
    </row>
    <row r="114">
      <c r="A114" s="8" t="s">
        <v>44</v>
      </c>
      <c r="B114" s="9" t="s">
        <v>53</v>
      </c>
      <c r="C114" s="9" t="s">
        <v>54</v>
      </c>
      <c r="D114" s="10"/>
      <c r="E114" s="11" t="n">
        <f>246</f>
        <v>246.0</v>
      </c>
      <c r="F114" s="10"/>
      <c r="G114" s="11" t="n">
        <f>234908000</f>
        <v>2.34908E8</v>
      </c>
      <c r="H114" s="10"/>
      <c r="I114" s="11" t="str">
        <f>"－"</f>
        <v>－</v>
      </c>
      <c r="J114" s="10"/>
      <c r="K114" s="11" t="n">
        <f>1722</f>
        <v>1722.0</v>
      </c>
    </row>
    <row r="115">
      <c r="A115" s="8" t="s">
        <v>45</v>
      </c>
      <c r="B115" s="9" t="s">
        <v>53</v>
      </c>
      <c r="C115" s="9" t="s">
        <v>54</v>
      </c>
      <c r="D115" s="10"/>
      <c r="E115" s="11" t="n">
        <f>663</f>
        <v>663.0</v>
      </c>
      <c r="F115" s="10"/>
      <c r="G115" s="11" t="n">
        <f>632986000</f>
        <v>6.32986E8</v>
      </c>
      <c r="H115" s="10"/>
      <c r="I115" s="11" t="str">
        <f>"－"</f>
        <v>－</v>
      </c>
      <c r="J115" s="10" t="s">
        <v>19</v>
      </c>
      <c r="K115" s="11" t="n">
        <f>1867</f>
        <v>1867.0</v>
      </c>
    </row>
    <row r="116">
      <c r="A116" s="8" t="s">
        <v>46</v>
      </c>
      <c r="B116" s="9" t="s">
        <v>53</v>
      </c>
      <c r="C116" s="9" t="s">
        <v>54</v>
      </c>
      <c r="D116" s="10"/>
      <c r="E116" s="11"/>
      <c r="F116" s="10"/>
      <c r="G116" s="11"/>
      <c r="H116" s="10"/>
      <c r="I116" s="11"/>
      <c r="J116" s="10"/>
      <c r="K116" s="11"/>
    </row>
    <row r="117">
      <c r="A117" s="8" t="s">
        <v>47</v>
      </c>
      <c r="B117" s="9" t="s">
        <v>53</v>
      </c>
      <c r="C117" s="9" t="s">
        <v>54</v>
      </c>
      <c r="D117" s="10"/>
      <c r="E117" s="11"/>
      <c r="F117" s="10"/>
      <c r="G117" s="11"/>
      <c r="H117" s="10"/>
      <c r="I117" s="11"/>
      <c r="J117" s="10"/>
      <c r="K117" s="11"/>
    </row>
    <row r="118">
      <c r="A118" s="8" t="s">
        <v>16</v>
      </c>
      <c r="B118" s="9" t="s">
        <v>55</v>
      </c>
      <c r="C118" s="9" t="s">
        <v>56</v>
      </c>
      <c r="D118" s="10"/>
      <c r="E118" s="11" t="n">
        <f>16248</f>
        <v>16248.0</v>
      </c>
      <c r="F118" s="10"/>
      <c r="G118" s="11" t="n">
        <f>29646069500</f>
        <v>2.96460695E10</v>
      </c>
      <c r="H118" s="10"/>
      <c r="I118" s="11" t="n">
        <f>17</f>
        <v>17.0</v>
      </c>
      <c r="J118" s="10"/>
      <c r="K118" s="11" t="n">
        <f>24674</f>
        <v>24674.0</v>
      </c>
    </row>
    <row r="119">
      <c r="A119" s="8" t="s">
        <v>20</v>
      </c>
      <c r="B119" s="9" t="s">
        <v>55</v>
      </c>
      <c r="C119" s="9" t="s">
        <v>56</v>
      </c>
      <c r="D119" s="10"/>
      <c r="E119" s="11" t="n">
        <f>14666</f>
        <v>14666.0</v>
      </c>
      <c r="F119" s="10"/>
      <c r="G119" s="11" t="n">
        <f>27301109000</f>
        <v>2.7301109E10</v>
      </c>
      <c r="H119" s="10"/>
      <c r="I119" s="11" t="n">
        <f>4</f>
        <v>4.0</v>
      </c>
      <c r="J119" s="10"/>
      <c r="K119" s="11" t="n">
        <f>23887</f>
        <v>23887.0</v>
      </c>
    </row>
    <row r="120">
      <c r="A120" s="8" t="s">
        <v>22</v>
      </c>
      <c r="B120" s="9" t="s">
        <v>55</v>
      </c>
      <c r="C120" s="9" t="s">
        <v>56</v>
      </c>
      <c r="D120" s="10"/>
      <c r="E120" s="11" t="n">
        <f>10149</f>
        <v>10149.0</v>
      </c>
      <c r="F120" s="10"/>
      <c r="G120" s="11" t="n">
        <f>18648696500</f>
        <v>1.86486965E10</v>
      </c>
      <c r="H120" s="10"/>
      <c r="I120" s="11" t="n">
        <f>7</f>
        <v>7.0</v>
      </c>
      <c r="J120" s="10"/>
      <c r="K120" s="11" t="n">
        <f>24086</f>
        <v>24086.0</v>
      </c>
    </row>
    <row r="121">
      <c r="A121" s="8" t="s">
        <v>23</v>
      </c>
      <c r="B121" s="9" t="s">
        <v>55</v>
      </c>
      <c r="C121" s="9" t="s">
        <v>56</v>
      </c>
      <c r="D121" s="10"/>
      <c r="E121" s="11" t="n">
        <f>7838</f>
        <v>7838.0</v>
      </c>
      <c r="F121" s="10"/>
      <c r="G121" s="11" t="n">
        <f>14366360500</f>
        <v>1.43663605E10</v>
      </c>
      <c r="H121" s="10"/>
      <c r="I121" s="11" t="n">
        <f>6</f>
        <v>6.0</v>
      </c>
      <c r="J121" s="10"/>
      <c r="K121" s="11" t="n">
        <f>24031</f>
        <v>24031.0</v>
      </c>
    </row>
    <row r="122">
      <c r="A122" s="8" t="s">
        <v>24</v>
      </c>
      <c r="B122" s="9" t="s">
        <v>55</v>
      </c>
      <c r="C122" s="9" t="s">
        <v>56</v>
      </c>
      <c r="D122" s="10" t="s">
        <v>21</v>
      </c>
      <c r="E122" s="11" t="n">
        <f>7723</f>
        <v>7723.0</v>
      </c>
      <c r="F122" s="10" t="s">
        <v>21</v>
      </c>
      <c r="G122" s="11" t="n">
        <f>14152917500</f>
        <v>1.41529175E10</v>
      </c>
      <c r="H122" s="10"/>
      <c r="I122" s="11" t="n">
        <f>4</f>
        <v>4.0</v>
      </c>
      <c r="J122" s="10"/>
      <c r="K122" s="11" t="n">
        <f>23710</f>
        <v>23710.0</v>
      </c>
    </row>
    <row r="123">
      <c r="A123" s="8" t="s">
        <v>25</v>
      </c>
      <c r="B123" s="9" t="s">
        <v>55</v>
      </c>
      <c r="C123" s="9" t="s">
        <v>56</v>
      </c>
      <c r="D123" s="10"/>
      <c r="E123" s="11"/>
      <c r="F123" s="10"/>
      <c r="G123" s="11"/>
      <c r="H123" s="10"/>
      <c r="I123" s="11"/>
      <c r="J123" s="10"/>
      <c r="K123" s="11"/>
    </row>
    <row r="124">
      <c r="A124" s="8" t="s">
        <v>26</v>
      </c>
      <c r="B124" s="9" t="s">
        <v>55</v>
      </c>
      <c r="C124" s="9" t="s">
        <v>56</v>
      </c>
      <c r="D124" s="10"/>
      <c r="E124" s="11"/>
      <c r="F124" s="10"/>
      <c r="G124" s="11"/>
      <c r="H124" s="10"/>
      <c r="I124" s="11"/>
      <c r="J124" s="10"/>
      <c r="K124" s="11"/>
    </row>
    <row r="125">
      <c r="A125" s="8" t="s">
        <v>27</v>
      </c>
      <c r="B125" s="9" t="s">
        <v>55</v>
      </c>
      <c r="C125" s="9" t="s">
        <v>56</v>
      </c>
      <c r="D125" s="10"/>
      <c r="E125" s="11" t="n">
        <f>12055</f>
        <v>12055.0</v>
      </c>
      <c r="F125" s="10"/>
      <c r="G125" s="11" t="n">
        <f>22622216500</f>
        <v>2.26222165E10</v>
      </c>
      <c r="H125" s="10"/>
      <c r="I125" s="11" t="n">
        <f>22</f>
        <v>22.0</v>
      </c>
      <c r="J125" s="10"/>
      <c r="K125" s="11" t="n">
        <f>22941</f>
        <v>22941.0</v>
      </c>
    </row>
    <row r="126">
      <c r="A126" s="8" t="s">
        <v>28</v>
      </c>
      <c r="B126" s="9" t="s">
        <v>55</v>
      </c>
      <c r="C126" s="9" t="s">
        <v>56</v>
      </c>
      <c r="D126" s="10"/>
      <c r="E126" s="11" t="n">
        <f>14834</f>
        <v>14834.0</v>
      </c>
      <c r="F126" s="10"/>
      <c r="G126" s="11" t="n">
        <f>28922265000</f>
        <v>2.8922265E10</v>
      </c>
      <c r="H126" s="10"/>
      <c r="I126" s="11" t="n">
        <f>35</f>
        <v>35.0</v>
      </c>
      <c r="J126" s="10"/>
      <c r="K126" s="11" t="n">
        <f>22790</f>
        <v>22790.0</v>
      </c>
    </row>
    <row r="127">
      <c r="A127" s="8" t="s">
        <v>29</v>
      </c>
      <c r="B127" s="9" t="s">
        <v>55</v>
      </c>
      <c r="C127" s="9" t="s">
        <v>56</v>
      </c>
      <c r="D127" s="10"/>
      <c r="E127" s="11" t="n">
        <f>12716</f>
        <v>12716.0</v>
      </c>
      <c r="F127" s="10"/>
      <c r="G127" s="11" t="n">
        <f>25272663500</f>
        <v>2.52726635E10</v>
      </c>
      <c r="H127" s="10" t="s">
        <v>19</v>
      </c>
      <c r="I127" s="11" t="n">
        <f>98</f>
        <v>98.0</v>
      </c>
      <c r="J127" s="10"/>
      <c r="K127" s="11" t="n">
        <f>22968</f>
        <v>22968.0</v>
      </c>
    </row>
    <row r="128">
      <c r="A128" s="8" t="s">
        <v>30</v>
      </c>
      <c r="B128" s="9" t="s">
        <v>55</v>
      </c>
      <c r="C128" s="9" t="s">
        <v>56</v>
      </c>
      <c r="D128" s="10"/>
      <c r="E128" s="11"/>
      <c r="F128" s="10"/>
      <c r="G128" s="11"/>
      <c r="H128" s="10"/>
      <c r="I128" s="11"/>
      <c r="J128" s="10"/>
      <c r="K128" s="11"/>
    </row>
    <row r="129">
      <c r="A129" s="8" t="s">
        <v>31</v>
      </c>
      <c r="B129" s="9" t="s">
        <v>55</v>
      </c>
      <c r="C129" s="9" t="s">
        <v>56</v>
      </c>
      <c r="D129" s="10"/>
      <c r="E129" s="11" t="n">
        <f>17857</f>
        <v>17857.0</v>
      </c>
      <c r="F129" s="10"/>
      <c r="G129" s="11" t="n">
        <f>36345293500</f>
        <v>3.63452935E10</v>
      </c>
      <c r="H129" s="10"/>
      <c r="I129" s="11" t="n">
        <f>2</f>
        <v>2.0</v>
      </c>
      <c r="J129" s="10"/>
      <c r="K129" s="11" t="n">
        <f>22862</f>
        <v>22862.0</v>
      </c>
    </row>
    <row r="130">
      <c r="A130" s="8" t="s">
        <v>32</v>
      </c>
      <c r="B130" s="9" t="s">
        <v>55</v>
      </c>
      <c r="C130" s="9" t="s">
        <v>56</v>
      </c>
      <c r="D130" s="10"/>
      <c r="E130" s="11"/>
      <c r="F130" s="10"/>
      <c r="G130" s="11"/>
      <c r="H130" s="10"/>
      <c r="I130" s="11"/>
      <c r="J130" s="10"/>
      <c r="K130" s="11"/>
    </row>
    <row r="131">
      <c r="A131" s="8" t="s">
        <v>33</v>
      </c>
      <c r="B131" s="9" t="s">
        <v>55</v>
      </c>
      <c r="C131" s="9" t="s">
        <v>56</v>
      </c>
      <c r="D131" s="10"/>
      <c r="E131" s="11"/>
      <c r="F131" s="10"/>
      <c r="G131" s="11"/>
      <c r="H131" s="10"/>
      <c r="I131" s="11"/>
      <c r="J131" s="10"/>
      <c r="K131" s="11"/>
    </row>
    <row r="132">
      <c r="A132" s="8" t="s">
        <v>34</v>
      </c>
      <c r="B132" s="9" t="s">
        <v>55</v>
      </c>
      <c r="C132" s="9" t="s">
        <v>56</v>
      </c>
      <c r="D132" s="10"/>
      <c r="E132" s="11" t="n">
        <f>17624</f>
        <v>17624.0</v>
      </c>
      <c r="F132" s="10"/>
      <c r="G132" s="11" t="n">
        <f>36977276000</f>
        <v>3.6977276E10</v>
      </c>
      <c r="H132" s="10"/>
      <c r="I132" s="11" t="n">
        <f>1</f>
        <v>1.0</v>
      </c>
      <c r="J132" s="10"/>
      <c r="K132" s="11" t="n">
        <f>22220</f>
        <v>22220.0</v>
      </c>
    </row>
    <row r="133">
      <c r="A133" s="8" t="s">
        <v>35</v>
      </c>
      <c r="B133" s="9" t="s">
        <v>55</v>
      </c>
      <c r="C133" s="9" t="s">
        <v>56</v>
      </c>
      <c r="D133" s="10" t="s">
        <v>19</v>
      </c>
      <c r="E133" s="11" t="n">
        <f>26560</f>
        <v>26560.0</v>
      </c>
      <c r="F133" s="10" t="s">
        <v>19</v>
      </c>
      <c r="G133" s="11" t="n">
        <f>58595744000</f>
        <v>5.8595744E10</v>
      </c>
      <c r="H133" s="10"/>
      <c r="I133" s="11" t="n">
        <f>1</f>
        <v>1.0</v>
      </c>
      <c r="J133" s="10" t="s">
        <v>21</v>
      </c>
      <c r="K133" s="11" t="n">
        <f>22207</f>
        <v>22207.0</v>
      </c>
    </row>
    <row r="134">
      <c r="A134" s="8" t="s">
        <v>36</v>
      </c>
      <c r="B134" s="9" t="s">
        <v>55</v>
      </c>
      <c r="C134" s="9" t="s">
        <v>56</v>
      </c>
      <c r="D134" s="10"/>
      <c r="E134" s="11" t="n">
        <f>20752</f>
        <v>20752.0</v>
      </c>
      <c r="F134" s="10"/>
      <c r="G134" s="11" t="n">
        <f>44842809500</f>
        <v>4.48428095E10</v>
      </c>
      <c r="H134" s="10"/>
      <c r="I134" s="11" t="n">
        <f>6</f>
        <v>6.0</v>
      </c>
      <c r="J134" s="10"/>
      <c r="K134" s="11" t="n">
        <f>22669</f>
        <v>22669.0</v>
      </c>
    </row>
    <row r="135">
      <c r="A135" s="8" t="s">
        <v>37</v>
      </c>
      <c r="B135" s="9" t="s">
        <v>55</v>
      </c>
      <c r="C135" s="9" t="s">
        <v>56</v>
      </c>
      <c r="D135" s="10"/>
      <c r="E135" s="11" t="n">
        <f>20863</f>
        <v>20863.0</v>
      </c>
      <c r="F135" s="10"/>
      <c r="G135" s="11" t="n">
        <f>44520642500</f>
        <v>4.45206425E10</v>
      </c>
      <c r="H135" s="10"/>
      <c r="I135" s="11" t="n">
        <f>10</f>
        <v>10.0</v>
      </c>
      <c r="J135" s="10"/>
      <c r="K135" s="11" t="n">
        <f>23646</f>
        <v>23646.0</v>
      </c>
    </row>
    <row r="136">
      <c r="A136" s="8" t="s">
        <v>38</v>
      </c>
      <c r="B136" s="9" t="s">
        <v>55</v>
      </c>
      <c r="C136" s="9" t="s">
        <v>56</v>
      </c>
      <c r="D136" s="10"/>
      <c r="E136" s="11" t="n">
        <f>15342</f>
        <v>15342.0</v>
      </c>
      <c r="F136" s="10"/>
      <c r="G136" s="11" t="n">
        <f>32717256000</f>
        <v>3.2717256E10</v>
      </c>
      <c r="H136" s="10" t="s">
        <v>21</v>
      </c>
      <c r="I136" s="11" t="str">
        <f>"－"</f>
        <v>－</v>
      </c>
      <c r="J136" s="10"/>
      <c r="K136" s="11" t="n">
        <f>23889</f>
        <v>23889.0</v>
      </c>
    </row>
    <row r="137">
      <c r="A137" s="8" t="s">
        <v>39</v>
      </c>
      <c r="B137" s="9" t="s">
        <v>55</v>
      </c>
      <c r="C137" s="9" t="s">
        <v>56</v>
      </c>
      <c r="D137" s="10"/>
      <c r="E137" s="11"/>
      <c r="F137" s="10"/>
      <c r="G137" s="11"/>
      <c r="H137" s="10"/>
      <c r="I137" s="11"/>
      <c r="J137" s="10"/>
      <c r="K137" s="11"/>
    </row>
    <row r="138">
      <c r="A138" s="8" t="s">
        <v>40</v>
      </c>
      <c r="B138" s="9" t="s">
        <v>55</v>
      </c>
      <c r="C138" s="9" t="s">
        <v>56</v>
      </c>
      <c r="D138" s="10"/>
      <c r="E138" s="11"/>
      <c r="F138" s="10"/>
      <c r="G138" s="11"/>
      <c r="H138" s="10"/>
      <c r="I138" s="11"/>
      <c r="J138" s="10"/>
      <c r="K138" s="11"/>
    </row>
    <row r="139">
      <c r="A139" s="8" t="s">
        <v>41</v>
      </c>
      <c r="B139" s="9" t="s">
        <v>55</v>
      </c>
      <c r="C139" s="9" t="s">
        <v>56</v>
      </c>
      <c r="D139" s="10"/>
      <c r="E139" s="11" t="n">
        <f>12347</f>
        <v>12347.0</v>
      </c>
      <c r="F139" s="10"/>
      <c r="G139" s="11" t="n">
        <f>26803390000</f>
        <v>2.680339E10</v>
      </c>
      <c r="H139" s="10"/>
      <c r="I139" s="11" t="n">
        <f>1</f>
        <v>1.0</v>
      </c>
      <c r="J139" s="10"/>
      <c r="K139" s="11" t="n">
        <f>23406</f>
        <v>23406.0</v>
      </c>
    </row>
    <row r="140">
      <c r="A140" s="8" t="s">
        <v>42</v>
      </c>
      <c r="B140" s="9" t="s">
        <v>55</v>
      </c>
      <c r="C140" s="9" t="s">
        <v>56</v>
      </c>
      <c r="D140" s="10"/>
      <c r="E140" s="11"/>
      <c r="F140" s="10"/>
      <c r="G140" s="11"/>
      <c r="H140" s="10"/>
      <c r="I140" s="11"/>
      <c r="J140" s="10"/>
      <c r="K140" s="11"/>
    </row>
    <row r="141">
      <c r="A141" s="8" t="s">
        <v>43</v>
      </c>
      <c r="B141" s="9" t="s">
        <v>55</v>
      </c>
      <c r="C141" s="9" t="s">
        <v>56</v>
      </c>
      <c r="D141" s="10"/>
      <c r="E141" s="11" t="n">
        <f>13886</f>
        <v>13886.0</v>
      </c>
      <c r="F141" s="10"/>
      <c r="G141" s="11" t="n">
        <f>29643625000</f>
        <v>2.9643625E10</v>
      </c>
      <c r="H141" s="10"/>
      <c r="I141" s="11" t="n">
        <f>2</f>
        <v>2.0</v>
      </c>
      <c r="J141" s="10"/>
      <c r="K141" s="11" t="n">
        <f>25004</f>
        <v>25004.0</v>
      </c>
    </row>
    <row r="142">
      <c r="A142" s="8" t="s">
        <v>44</v>
      </c>
      <c r="B142" s="9" t="s">
        <v>55</v>
      </c>
      <c r="C142" s="9" t="s">
        <v>56</v>
      </c>
      <c r="D142" s="10"/>
      <c r="E142" s="11" t="n">
        <f>12459</f>
        <v>12459.0</v>
      </c>
      <c r="F142" s="10"/>
      <c r="G142" s="11" t="n">
        <f>26671337000</f>
        <v>2.6671337E10</v>
      </c>
      <c r="H142" s="10"/>
      <c r="I142" s="11" t="str">
        <f>"－"</f>
        <v>－</v>
      </c>
      <c r="J142" s="10"/>
      <c r="K142" s="11" t="n">
        <f>25579</f>
        <v>25579.0</v>
      </c>
    </row>
    <row r="143">
      <c r="A143" s="8" t="s">
        <v>45</v>
      </c>
      <c r="B143" s="9" t="s">
        <v>55</v>
      </c>
      <c r="C143" s="9" t="s">
        <v>56</v>
      </c>
      <c r="D143" s="10"/>
      <c r="E143" s="11" t="n">
        <f>18640</f>
        <v>18640.0</v>
      </c>
      <c r="F143" s="10"/>
      <c r="G143" s="11" t="n">
        <f>39058235500</f>
        <v>3.90582355E10</v>
      </c>
      <c r="H143" s="10"/>
      <c r="I143" s="11" t="str">
        <f>"－"</f>
        <v>－</v>
      </c>
      <c r="J143" s="10" t="s">
        <v>19</v>
      </c>
      <c r="K143" s="11" t="n">
        <f>26070</f>
        <v>26070.0</v>
      </c>
    </row>
    <row r="144">
      <c r="A144" s="8" t="s">
        <v>46</v>
      </c>
      <c r="B144" s="9" t="s">
        <v>55</v>
      </c>
      <c r="C144" s="9" t="s">
        <v>56</v>
      </c>
      <c r="D144" s="10"/>
      <c r="E144" s="11"/>
      <c r="F144" s="10"/>
      <c r="G144" s="11"/>
      <c r="H144" s="10"/>
      <c r="I144" s="11"/>
      <c r="J144" s="10"/>
      <c r="K144" s="11"/>
    </row>
    <row r="145">
      <c r="A145" s="8" t="s">
        <v>47</v>
      </c>
      <c r="B145" s="9" t="s">
        <v>55</v>
      </c>
      <c r="C145" s="9" t="s">
        <v>56</v>
      </c>
      <c r="D145" s="10"/>
      <c r="E145" s="11"/>
      <c r="F145" s="10"/>
      <c r="G145" s="11"/>
      <c r="H145" s="10"/>
      <c r="I145" s="11"/>
      <c r="J145" s="10"/>
      <c r="K145" s="11"/>
    </row>
    <row r="146">
      <c r="A146" s="8" t="s">
        <v>16</v>
      </c>
      <c r="B146" s="9" t="s">
        <v>57</v>
      </c>
      <c r="C146" s="9" t="s">
        <v>58</v>
      </c>
      <c r="D146" s="10" t="s">
        <v>19</v>
      </c>
      <c r="E146" s="11" t="n">
        <f>3645</f>
        <v>3645.0</v>
      </c>
      <c r="F146" s="10" t="s">
        <v>19</v>
      </c>
      <c r="G146" s="11" t="n">
        <f>1328195600</f>
        <v>1.3281956E9</v>
      </c>
      <c r="H146" s="10" t="s">
        <v>50</v>
      </c>
      <c r="I146" s="11" t="str">
        <f>"－"</f>
        <v>－</v>
      </c>
      <c r="J146" s="10"/>
      <c r="K146" s="11" t="n">
        <f>2053</f>
        <v>2053.0</v>
      </c>
    </row>
    <row r="147">
      <c r="A147" s="8" t="s">
        <v>20</v>
      </c>
      <c r="B147" s="9" t="s">
        <v>57</v>
      </c>
      <c r="C147" s="9" t="s">
        <v>58</v>
      </c>
      <c r="D147" s="10"/>
      <c r="E147" s="11" t="n">
        <f>2326</f>
        <v>2326.0</v>
      </c>
      <c r="F147" s="10"/>
      <c r="G147" s="11" t="n">
        <f>865863200</f>
        <v>8.658632E8</v>
      </c>
      <c r="H147" s="10"/>
      <c r="I147" s="11" t="str">
        <f>"－"</f>
        <v>－</v>
      </c>
      <c r="J147" s="10"/>
      <c r="K147" s="11" t="n">
        <f>1977</f>
        <v>1977.0</v>
      </c>
    </row>
    <row r="148">
      <c r="A148" s="8" t="s">
        <v>22</v>
      </c>
      <c r="B148" s="9" t="s">
        <v>57</v>
      </c>
      <c r="C148" s="9" t="s">
        <v>58</v>
      </c>
      <c r="D148" s="10"/>
      <c r="E148" s="11" t="n">
        <f>1472</f>
        <v>1472.0</v>
      </c>
      <c r="F148" s="10"/>
      <c r="G148" s="11" t="n">
        <f>541048300</f>
        <v>5.410483E8</v>
      </c>
      <c r="H148" s="10"/>
      <c r="I148" s="11" t="str">
        <f>"－"</f>
        <v>－</v>
      </c>
      <c r="J148" s="10"/>
      <c r="K148" s="11" t="n">
        <f>1973</f>
        <v>1973.0</v>
      </c>
    </row>
    <row r="149">
      <c r="A149" s="8" t="s">
        <v>23</v>
      </c>
      <c r="B149" s="9" t="s">
        <v>57</v>
      </c>
      <c r="C149" s="9" t="s">
        <v>58</v>
      </c>
      <c r="D149" s="10"/>
      <c r="E149" s="11" t="n">
        <f>1210</f>
        <v>1210.0</v>
      </c>
      <c r="F149" s="10"/>
      <c r="G149" s="11" t="n">
        <f>443508100</f>
        <v>4.435081E8</v>
      </c>
      <c r="H149" s="10"/>
      <c r="I149" s="11" t="str">
        <f>"－"</f>
        <v>－</v>
      </c>
      <c r="J149" s="10"/>
      <c r="K149" s="11" t="n">
        <f>2016</f>
        <v>2016.0</v>
      </c>
    </row>
    <row r="150">
      <c r="A150" s="8" t="s">
        <v>24</v>
      </c>
      <c r="B150" s="9" t="s">
        <v>57</v>
      </c>
      <c r="C150" s="9" t="s">
        <v>58</v>
      </c>
      <c r="D150" s="10"/>
      <c r="E150" s="11" t="n">
        <f>1186</f>
        <v>1186.0</v>
      </c>
      <c r="F150" s="10"/>
      <c r="G150" s="11" t="n">
        <f>434035900</f>
        <v>4.340359E8</v>
      </c>
      <c r="H150" s="10"/>
      <c r="I150" s="11" t="str">
        <f>"－"</f>
        <v>－</v>
      </c>
      <c r="J150" s="10"/>
      <c r="K150" s="11" t="n">
        <f>1960</f>
        <v>1960.0</v>
      </c>
    </row>
    <row r="151">
      <c r="A151" s="8" t="s">
        <v>25</v>
      </c>
      <c r="B151" s="9" t="s">
        <v>57</v>
      </c>
      <c r="C151" s="9" t="s">
        <v>58</v>
      </c>
      <c r="D151" s="10"/>
      <c r="E151" s="11"/>
      <c r="F151" s="10"/>
      <c r="G151" s="11"/>
      <c r="H151" s="10"/>
      <c r="I151" s="11"/>
      <c r="J151" s="10"/>
      <c r="K151" s="11"/>
    </row>
    <row r="152">
      <c r="A152" s="8" t="s">
        <v>26</v>
      </c>
      <c r="B152" s="9" t="s">
        <v>57</v>
      </c>
      <c r="C152" s="9" t="s">
        <v>58</v>
      </c>
      <c r="D152" s="10"/>
      <c r="E152" s="11"/>
      <c r="F152" s="10"/>
      <c r="G152" s="11"/>
      <c r="H152" s="10"/>
      <c r="I152" s="11"/>
      <c r="J152" s="10"/>
      <c r="K152" s="11"/>
    </row>
    <row r="153">
      <c r="A153" s="8" t="s">
        <v>27</v>
      </c>
      <c r="B153" s="9" t="s">
        <v>57</v>
      </c>
      <c r="C153" s="9" t="s">
        <v>58</v>
      </c>
      <c r="D153" s="10"/>
      <c r="E153" s="11" t="n">
        <f>1314</f>
        <v>1314.0</v>
      </c>
      <c r="F153" s="10"/>
      <c r="G153" s="11" t="n">
        <f>492947900</f>
        <v>4.929479E8</v>
      </c>
      <c r="H153" s="10"/>
      <c r="I153" s="11" t="str">
        <f>"－"</f>
        <v>－</v>
      </c>
      <c r="J153" s="10"/>
      <c r="K153" s="11" t="n">
        <f>1877</f>
        <v>1877.0</v>
      </c>
    </row>
    <row r="154">
      <c r="A154" s="8" t="s">
        <v>28</v>
      </c>
      <c r="B154" s="9" t="s">
        <v>57</v>
      </c>
      <c r="C154" s="9" t="s">
        <v>58</v>
      </c>
      <c r="D154" s="10"/>
      <c r="E154" s="11" t="n">
        <f>1598</f>
        <v>1598.0</v>
      </c>
      <c r="F154" s="10"/>
      <c r="G154" s="11" t="n">
        <f>621704900</f>
        <v>6.217049E8</v>
      </c>
      <c r="H154" s="10"/>
      <c r="I154" s="11" t="str">
        <f>"－"</f>
        <v>－</v>
      </c>
      <c r="J154" s="10"/>
      <c r="K154" s="11" t="n">
        <f>1840</f>
        <v>1840.0</v>
      </c>
    </row>
    <row r="155">
      <c r="A155" s="8" t="s">
        <v>29</v>
      </c>
      <c r="B155" s="9" t="s">
        <v>57</v>
      </c>
      <c r="C155" s="9" t="s">
        <v>58</v>
      </c>
      <c r="D155" s="10"/>
      <c r="E155" s="11" t="n">
        <f>1518</f>
        <v>1518.0</v>
      </c>
      <c r="F155" s="10"/>
      <c r="G155" s="11" t="n">
        <f>602645900</f>
        <v>6.026459E8</v>
      </c>
      <c r="H155" s="10"/>
      <c r="I155" s="11" t="str">
        <f>"－"</f>
        <v>－</v>
      </c>
      <c r="J155" s="10"/>
      <c r="K155" s="11" t="n">
        <f>1830</f>
        <v>1830.0</v>
      </c>
    </row>
    <row r="156">
      <c r="A156" s="8" t="s">
        <v>30</v>
      </c>
      <c r="B156" s="9" t="s">
        <v>57</v>
      </c>
      <c r="C156" s="9" t="s">
        <v>58</v>
      </c>
      <c r="D156" s="10"/>
      <c r="E156" s="11"/>
      <c r="F156" s="10"/>
      <c r="G156" s="11"/>
      <c r="H156" s="10"/>
      <c r="I156" s="11"/>
      <c r="J156" s="10"/>
      <c r="K156" s="11"/>
    </row>
    <row r="157">
      <c r="A157" s="8" t="s">
        <v>31</v>
      </c>
      <c r="B157" s="9" t="s">
        <v>57</v>
      </c>
      <c r="C157" s="9" t="s">
        <v>58</v>
      </c>
      <c r="D157" s="10"/>
      <c r="E157" s="11" t="n">
        <f>2393</f>
        <v>2393.0</v>
      </c>
      <c r="F157" s="10"/>
      <c r="G157" s="11" t="n">
        <f>976251000</f>
        <v>9.76251E8</v>
      </c>
      <c r="H157" s="10"/>
      <c r="I157" s="11" t="str">
        <f>"－"</f>
        <v>－</v>
      </c>
      <c r="J157" s="10"/>
      <c r="K157" s="11" t="n">
        <f>1760</f>
        <v>1760.0</v>
      </c>
    </row>
    <row r="158">
      <c r="A158" s="8" t="s">
        <v>32</v>
      </c>
      <c r="B158" s="9" t="s">
        <v>57</v>
      </c>
      <c r="C158" s="9" t="s">
        <v>58</v>
      </c>
      <c r="D158" s="10"/>
      <c r="E158" s="11"/>
      <c r="F158" s="10"/>
      <c r="G158" s="11"/>
      <c r="H158" s="10"/>
      <c r="I158" s="11"/>
      <c r="J158" s="10"/>
      <c r="K158" s="11"/>
    </row>
    <row r="159">
      <c r="A159" s="8" t="s">
        <v>33</v>
      </c>
      <c r="B159" s="9" t="s">
        <v>57</v>
      </c>
      <c r="C159" s="9" t="s">
        <v>58</v>
      </c>
      <c r="D159" s="10"/>
      <c r="E159" s="11"/>
      <c r="F159" s="10"/>
      <c r="G159" s="11"/>
      <c r="H159" s="10"/>
      <c r="I159" s="11"/>
      <c r="J159" s="10"/>
      <c r="K159" s="11"/>
    </row>
    <row r="160">
      <c r="A160" s="8" t="s">
        <v>34</v>
      </c>
      <c r="B160" s="9" t="s">
        <v>57</v>
      </c>
      <c r="C160" s="9" t="s">
        <v>58</v>
      </c>
      <c r="D160" s="10"/>
      <c r="E160" s="11" t="n">
        <f>2293</f>
        <v>2293.0</v>
      </c>
      <c r="F160" s="10"/>
      <c r="G160" s="11" t="n">
        <f>959696800</f>
        <v>9.596968E8</v>
      </c>
      <c r="H160" s="10"/>
      <c r="I160" s="11" t="str">
        <f>"－"</f>
        <v>－</v>
      </c>
      <c r="J160" s="10"/>
      <c r="K160" s="11" t="n">
        <f>1717</f>
        <v>1717.0</v>
      </c>
    </row>
    <row r="161">
      <c r="A161" s="8" t="s">
        <v>35</v>
      </c>
      <c r="B161" s="9" t="s">
        <v>57</v>
      </c>
      <c r="C161" s="9" t="s">
        <v>58</v>
      </c>
      <c r="D161" s="10"/>
      <c r="E161" s="11" t="n">
        <f>2782</f>
        <v>2782.0</v>
      </c>
      <c r="F161" s="10"/>
      <c r="G161" s="11" t="n">
        <f>1223677600</f>
        <v>1.2236776E9</v>
      </c>
      <c r="H161" s="10"/>
      <c r="I161" s="11" t="str">
        <f>"－"</f>
        <v>－</v>
      </c>
      <c r="J161" s="10"/>
      <c r="K161" s="11" t="n">
        <f>1709</f>
        <v>1709.0</v>
      </c>
    </row>
    <row r="162">
      <c r="A162" s="8" t="s">
        <v>36</v>
      </c>
      <c r="B162" s="9" t="s">
        <v>57</v>
      </c>
      <c r="C162" s="9" t="s">
        <v>58</v>
      </c>
      <c r="D162" s="10"/>
      <c r="E162" s="11" t="n">
        <f>2287</f>
        <v>2287.0</v>
      </c>
      <c r="F162" s="10"/>
      <c r="G162" s="11" t="n">
        <f>989482900</f>
        <v>9.894829E8</v>
      </c>
      <c r="H162" s="10"/>
      <c r="I162" s="11" t="str">
        <f>"－"</f>
        <v>－</v>
      </c>
      <c r="J162" s="10" t="s">
        <v>21</v>
      </c>
      <c r="K162" s="11" t="n">
        <f>1708</f>
        <v>1708.0</v>
      </c>
    </row>
    <row r="163">
      <c r="A163" s="8" t="s">
        <v>37</v>
      </c>
      <c r="B163" s="9" t="s">
        <v>57</v>
      </c>
      <c r="C163" s="9" t="s">
        <v>58</v>
      </c>
      <c r="D163" s="10"/>
      <c r="E163" s="11" t="n">
        <f>2916</f>
        <v>2916.0</v>
      </c>
      <c r="F163" s="10"/>
      <c r="G163" s="11" t="n">
        <f>1240816000</f>
        <v>1.240816E9</v>
      </c>
      <c r="H163" s="10"/>
      <c r="I163" s="11" t="str">
        <f>"－"</f>
        <v>－</v>
      </c>
      <c r="J163" s="10"/>
      <c r="K163" s="11" t="n">
        <f>1751</f>
        <v>1751.0</v>
      </c>
    </row>
    <row r="164">
      <c r="A164" s="8" t="s">
        <v>38</v>
      </c>
      <c r="B164" s="9" t="s">
        <v>57</v>
      </c>
      <c r="C164" s="9" t="s">
        <v>58</v>
      </c>
      <c r="D164" s="10"/>
      <c r="E164" s="11" t="n">
        <f>1956</f>
        <v>1956.0</v>
      </c>
      <c r="F164" s="10"/>
      <c r="G164" s="11" t="n">
        <f>834344200</f>
        <v>8.343442E8</v>
      </c>
      <c r="H164" s="10"/>
      <c r="I164" s="11" t="str">
        <f>"－"</f>
        <v>－</v>
      </c>
      <c r="J164" s="10"/>
      <c r="K164" s="11" t="n">
        <f>1984</f>
        <v>1984.0</v>
      </c>
    </row>
    <row r="165">
      <c r="A165" s="8" t="s">
        <v>39</v>
      </c>
      <c r="B165" s="9" t="s">
        <v>57</v>
      </c>
      <c r="C165" s="9" t="s">
        <v>58</v>
      </c>
      <c r="D165" s="10"/>
      <c r="E165" s="11"/>
      <c r="F165" s="10"/>
      <c r="G165" s="11"/>
      <c r="H165" s="10"/>
      <c r="I165" s="11"/>
      <c r="J165" s="10"/>
      <c r="K165" s="11"/>
    </row>
    <row r="166">
      <c r="A166" s="8" t="s">
        <v>40</v>
      </c>
      <c r="B166" s="9" t="s">
        <v>57</v>
      </c>
      <c r="C166" s="9" t="s">
        <v>58</v>
      </c>
      <c r="D166" s="10"/>
      <c r="E166" s="11"/>
      <c r="F166" s="10"/>
      <c r="G166" s="11"/>
      <c r="H166" s="10"/>
      <c r="I166" s="11"/>
      <c r="J166" s="10"/>
      <c r="K166" s="11"/>
    </row>
    <row r="167">
      <c r="A167" s="8" t="s">
        <v>41</v>
      </c>
      <c r="B167" s="9" t="s">
        <v>57</v>
      </c>
      <c r="C167" s="9" t="s">
        <v>58</v>
      </c>
      <c r="D167" s="10"/>
      <c r="E167" s="11" t="n">
        <f>1715</f>
        <v>1715.0</v>
      </c>
      <c r="F167" s="10"/>
      <c r="G167" s="11" t="n">
        <f>743964800</f>
        <v>7.439648E8</v>
      </c>
      <c r="H167" s="10"/>
      <c r="I167" s="11" t="str">
        <f>"－"</f>
        <v>－</v>
      </c>
      <c r="J167" s="10"/>
      <c r="K167" s="11" t="n">
        <f>2025</f>
        <v>2025.0</v>
      </c>
    </row>
    <row r="168">
      <c r="A168" s="8" t="s">
        <v>42</v>
      </c>
      <c r="B168" s="9" t="s">
        <v>57</v>
      </c>
      <c r="C168" s="9" t="s">
        <v>58</v>
      </c>
      <c r="D168" s="10"/>
      <c r="E168" s="11"/>
      <c r="F168" s="10"/>
      <c r="G168" s="11"/>
      <c r="H168" s="10"/>
      <c r="I168" s="11"/>
      <c r="J168" s="10"/>
      <c r="K168" s="11"/>
    </row>
    <row r="169">
      <c r="A169" s="8" t="s">
        <v>43</v>
      </c>
      <c r="B169" s="9" t="s">
        <v>57</v>
      </c>
      <c r="C169" s="9" t="s">
        <v>58</v>
      </c>
      <c r="D169" s="10"/>
      <c r="E169" s="11" t="n">
        <f>1727</f>
        <v>1727.0</v>
      </c>
      <c r="F169" s="10"/>
      <c r="G169" s="11" t="n">
        <f>742183700</f>
        <v>7.421837E8</v>
      </c>
      <c r="H169" s="10"/>
      <c r="I169" s="11" t="str">
        <f>"－"</f>
        <v>－</v>
      </c>
      <c r="J169" s="10"/>
      <c r="K169" s="11" t="n">
        <f>2076</f>
        <v>2076.0</v>
      </c>
    </row>
    <row r="170">
      <c r="A170" s="8" t="s">
        <v>44</v>
      </c>
      <c r="B170" s="9" t="s">
        <v>57</v>
      </c>
      <c r="C170" s="9" t="s">
        <v>58</v>
      </c>
      <c r="D170" s="10" t="s">
        <v>21</v>
      </c>
      <c r="E170" s="11" t="n">
        <f>909</f>
        <v>909.0</v>
      </c>
      <c r="F170" s="10" t="s">
        <v>21</v>
      </c>
      <c r="G170" s="11" t="n">
        <f>388874800</f>
        <v>3.888748E8</v>
      </c>
      <c r="H170" s="10"/>
      <c r="I170" s="11" t="str">
        <f>"－"</f>
        <v>－</v>
      </c>
      <c r="J170" s="10"/>
      <c r="K170" s="11" t="n">
        <f>2054</f>
        <v>2054.0</v>
      </c>
    </row>
    <row r="171">
      <c r="A171" s="8" t="s">
        <v>45</v>
      </c>
      <c r="B171" s="9" t="s">
        <v>57</v>
      </c>
      <c r="C171" s="9" t="s">
        <v>58</v>
      </c>
      <c r="D171" s="10"/>
      <c r="E171" s="11" t="n">
        <f>1302</f>
        <v>1302.0</v>
      </c>
      <c r="F171" s="10"/>
      <c r="G171" s="11" t="n">
        <f>547667900</f>
        <v>5.476679E8</v>
      </c>
      <c r="H171" s="10"/>
      <c r="I171" s="11" t="str">
        <f>"－"</f>
        <v>－</v>
      </c>
      <c r="J171" s="10" t="s">
        <v>19</v>
      </c>
      <c r="K171" s="11" t="n">
        <f>2096</f>
        <v>2096.0</v>
      </c>
    </row>
    <row r="172">
      <c r="A172" s="8" t="s">
        <v>46</v>
      </c>
      <c r="B172" s="9" t="s">
        <v>57</v>
      </c>
      <c r="C172" s="9" t="s">
        <v>58</v>
      </c>
      <c r="D172" s="10"/>
      <c r="E172" s="11"/>
      <c r="F172" s="10"/>
      <c r="G172" s="11"/>
      <c r="H172" s="10"/>
      <c r="I172" s="11"/>
      <c r="J172" s="10"/>
      <c r="K172" s="11"/>
    </row>
    <row r="173">
      <c r="A173" s="8" t="s">
        <v>47</v>
      </c>
      <c r="B173" s="9" t="s">
        <v>57</v>
      </c>
      <c r="C173" s="9" t="s">
        <v>58</v>
      </c>
      <c r="D173" s="10"/>
      <c r="E173" s="11"/>
      <c r="F173" s="10"/>
      <c r="G173" s="11"/>
      <c r="H173" s="10"/>
      <c r="I173" s="11"/>
      <c r="J173" s="10"/>
      <c r="K173" s="11"/>
    </row>
    <row r="174">
      <c r="A174" s="8" t="s">
        <v>16</v>
      </c>
      <c r="B174" s="9" t="s">
        <v>59</v>
      </c>
      <c r="C174" s="9" t="s">
        <v>60</v>
      </c>
      <c r="D174" s="10"/>
      <c r="E174" s="11" t="n">
        <f>1034</f>
        <v>1034.0</v>
      </c>
      <c r="F174" s="10"/>
      <c r="G174" s="11" t="n">
        <f>382009300</f>
        <v>3.820093E8</v>
      </c>
      <c r="H174" s="10" t="s">
        <v>50</v>
      </c>
      <c r="I174" s="11" t="str">
        <f>"－"</f>
        <v>－</v>
      </c>
      <c r="J174" s="10" t="s">
        <v>21</v>
      </c>
      <c r="K174" s="11" t="n">
        <f>11514</f>
        <v>11514.0</v>
      </c>
    </row>
    <row r="175">
      <c r="A175" s="8" t="s">
        <v>20</v>
      </c>
      <c r="B175" s="9" t="s">
        <v>59</v>
      </c>
      <c r="C175" s="9" t="s">
        <v>60</v>
      </c>
      <c r="D175" s="10"/>
      <c r="E175" s="11" t="n">
        <f>813</f>
        <v>813.0</v>
      </c>
      <c r="F175" s="10"/>
      <c r="G175" s="11" t="n">
        <f>306266500</f>
        <v>3.062665E8</v>
      </c>
      <c r="H175" s="10"/>
      <c r="I175" s="11" t="str">
        <f>"－"</f>
        <v>－</v>
      </c>
      <c r="J175" s="10"/>
      <c r="K175" s="11" t="n">
        <f>11596</f>
        <v>11596.0</v>
      </c>
    </row>
    <row r="176">
      <c r="A176" s="8" t="s">
        <v>22</v>
      </c>
      <c r="B176" s="9" t="s">
        <v>59</v>
      </c>
      <c r="C176" s="9" t="s">
        <v>60</v>
      </c>
      <c r="D176" s="10"/>
      <c r="E176" s="11" t="n">
        <f>367</f>
        <v>367.0</v>
      </c>
      <c r="F176" s="10"/>
      <c r="G176" s="11" t="n">
        <f>136740400</f>
        <v>1.367404E8</v>
      </c>
      <c r="H176" s="10"/>
      <c r="I176" s="11" t="str">
        <f>"－"</f>
        <v>－</v>
      </c>
      <c r="J176" s="10"/>
      <c r="K176" s="11" t="n">
        <f>11592</f>
        <v>11592.0</v>
      </c>
    </row>
    <row r="177">
      <c r="A177" s="8" t="s">
        <v>23</v>
      </c>
      <c r="B177" s="9" t="s">
        <v>59</v>
      </c>
      <c r="C177" s="9" t="s">
        <v>60</v>
      </c>
      <c r="D177" s="10" t="s">
        <v>21</v>
      </c>
      <c r="E177" s="11" t="n">
        <f>271</f>
        <v>271.0</v>
      </c>
      <c r="F177" s="10" t="s">
        <v>21</v>
      </c>
      <c r="G177" s="11" t="n">
        <f>100730700</f>
        <v>1.007307E8</v>
      </c>
      <c r="H177" s="10"/>
      <c r="I177" s="11" t="str">
        <f>"－"</f>
        <v>－</v>
      </c>
      <c r="J177" s="10"/>
      <c r="K177" s="11" t="n">
        <f>11584</f>
        <v>11584.0</v>
      </c>
    </row>
    <row r="178">
      <c r="A178" s="8" t="s">
        <v>24</v>
      </c>
      <c r="B178" s="9" t="s">
        <v>59</v>
      </c>
      <c r="C178" s="9" t="s">
        <v>60</v>
      </c>
      <c r="D178" s="10"/>
      <c r="E178" s="11" t="n">
        <f>618</f>
        <v>618.0</v>
      </c>
      <c r="F178" s="10"/>
      <c r="G178" s="11" t="n">
        <f>230037500</f>
        <v>2.300375E8</v>
      </c>
      <c r="H178" s="10"/>
      <c r="I178" s="11" t="str">
        <f>"－"</f>
        <v>－</v>
      </c>
      <c r="J178" s="10"/>
      <c r="K178" s="11" t="n">
        <f>11588</f>
        <v>11588.0</v>
      </c>
    </row>
    <row r="179">
      <c r="A179" s="8" t="s">
        <v>25</v>
      </c>
      <c r="B179" s="9" t="s">
        <v>59</v>
      </c>
      <c r="C179" s="9" t="s">
        <v>60</v>
      </c>
      <c r="D179" s="10"/>
      <c r="E179" s="11"/>
      <c r="F179" s="10"/>
      <c r="G179" s="11"/>
      <c r="H179" s="10"/>
      <c r="I179" s="11"/>
      <c r="J179" s="10"/>
      <c r="K179" s="11"/>
    </row>
    <row r="180">
      <c r="A180" s="8" t="s">
        <v>26</v>
      </c>
      <c r="B180" s="9" t="s">
        <v>59</v>
      </c>
      <c r="C180" s="9" t="s">
        <v>60</v>
      </c>
      <c r="D180" s="10"/>
      <c r="E180" s="11"/>
      <c r="F180" s="10"/>
      <c r="G180" s="11"/>
      <c r="H180" s="10"/>
      <c r="I180" s="11"/>
      <c r="J180" s="10"/>
      <c r="K180" s="11"/>
    </row>
    <row r="181">
      <c r="A181" s="8" t="s">
        <v>27</v>
      </c>
      <c r="B181" s="9" t="s">
        <v>59</v>
      </c>
      <c r="C181" s="9" t="s">
        <v>60</v>
      </c>
      <c r="D181" s="10"/>
      <c r="E181" s="11" t="n">
        <f>958</f>
        <v>958.0</v>
      </c>
      <c r="F181" s="10"/>
      <c r="G181" s="11" t="n">
        <f>360791300</f>
        <v>3.607913E8</v>
      </c>
      <c r="H181" s="10"/>
      <c r="I181" s="11" t="str">
        <f>"－"</f>
        <v>－</v>
      </c>
      <c r="J181" s="10"/>
      <c r="K181" s="11" t="n">
        <f>11766</f>
        <v>11766.0</v>
      </c>
    </row>
    <row r="182">
      <c r="A182" s="8" t="s">
        <v>28</v>
      </c>
      <c r="B182" s="9" t="s">
        <v>59</v>
      </c>
      <c r="C182" s="9" t="s">
        <v>60</v>
      </c>
      <c r="D182" s="10"/>
      <c r="E182" s="11" t="n">
        <f>797</f>
        <v>797.0</v>
      </c>
      <c r="F182" s="10"/>
      <c r="G182" s="11" t="n">
        <f>313651600</f>
        <v>3.136516E8</v>
      </c>
      <c r="H182" s="10"/>
      <c r="I182" s="11" t="str">
        <f>"－"</f>
        <v>－</v>
      </c>
      <c r="J182" s="10"/>
      <c r="K182" s="11" t="n">
        <f>11829</f>
        <v>11829.0</v>
      </c>
    </row>
    <row r="183">
      <c r="A183" s="8" t="s">
        <v>29</v>
      </c>
      <c r="B183" s="9" t="s">
        <v>59</v>
      </c>
      <c r="C183" s="9" t="s">
        <v>60</v>
      </c>
      <c r="D183" s="10"/>
      <c r="E183" s="11" t="n">
        <f>813</f>
        <v>813.0</v>
      </c>
      <c r="F183" s="10"/>
      <c r="G183" s="11" t="n">
        <f>327120100</f>
        <v>3.271201E8</v>
      </c>
      <c r="H183" s="10"/>
      <c r="I183" s="11" t="str">
        <f>"－"</f>
        <v>－</v>
      </c>
      <c r="J183" s="10"/>
      <c r="K183" s="11" t="n">
        <f>11870</f>
        <v>11870.0</v>
      </c>
    </row>
    <row r="184">
      <c r="A184" s="8" t="s">
        <v>30</v>
      </c>
      <c r="B184" s="9" t="s">
        <v>59</v>
      </c>
      <c r="C184" s="9" t="s">
        <v>60</v>
      </c>
      <c r="D184" s="10"/>
      <c r="E184" s="11"/>
      <c r="F184" s="10"/>
      <c r="G184" s="11"/>
      <c r="H184" s="10"/>
      <c r="I184" s="11"/>
      <c r="J184" s="10"/>
      <c r="K184" s="11"/>
    </row>
    <row r="185">
      <c r="A185" s="8" t="s">
        <v>31</v>
      </c>
      <c r="B185" s="9" t="s">
        <v>59</v>
      </c>
      <c r="C185" s="9" t="s">
        <v>60</v>
      </c>
      <c r="D185" s="10"/>
      <c r="E185" s="11" t="n">
        <f>1063</f>
        <v>1063.0</v>
      </c>
      <c r="F185" s="10"/>
      <c r="G185" s="11" t="n">
        <f>435608000</f>
        <v>4.35608E8</v>
      </c>
      <c r="H185" s="10"/>
      <c r="I185" s="11" t="str">
        <f>"－"</f>
        <v>－</v>
      </c>
      <c r="J185" s="10"/>
      <c r="K185" s="11" t="n">
        <f>11918</f>
        <v>11918.0</v>
      </c>
    </row>
    <row r="186">
      <c r="A186" s="8" t="s">
        <v>32</v>
      </c>
      <c r="B186" s="9" t="s">
        <v>59</v>
      </c>
      <c r="C186" s="9" t="s">
        <v>60</v>
      </c>
      <c r="D186" s="10"/>
      <c r="E186" s="11"/>
      <c r="F186" s="10"/>
      <c r="G186" s="11"/>
      <c r="H186" s="10"/>
      <c r="I186" s="11"/>
      <c r="J186" s="10"/>
      <c r="K186" s="11"/>
    </row>
    <row r="187">
      <c r="A187" s="8" t="s">
        <v>33</v>
      </c>
      <c r="B187" s="9" t="s">
        <v>59</v>
      </c>
      <c r="C187" s="9" t="s">
        <v>60</v>
      </c>
      <c r="D187" s="10"/>
      <c r="E187" s="11"/>
      <c r="F187" s="10"/>
      <c r="G187" s="11"/>
      <c r="H187" s="10"/>
      <c r="I187" s="11"/>
      <c r="J187" s="10"/>
      <c r="K187" s="11"/>
    </row>
    <row r="188">
      <c r="A188" s="8" t="s">
        <v>34</v>
      </c>
      <c r="B188" s="9" t="s">
        <v>59</v>
      </c>
      <c r="C188" s="9" t="s">
        <v>60</v>
      </c>
      <c r="D188" s="10"/>
      <c r="E188" s="11" t="n">
        <f>1155</f>
        <v>1155.0</v>
      </c>
      <c r="F188" s="10"/>
      <c r="G188" s="11" t="n">
        <f>489124600</f>
        <v>4.891246E8</v>
      </c>
      <c r="H188" s="10"/>
      <c r="I188" s="11" t="str">
        <f>"－"</f>
        <v>－</v>
      </c>
      <c r="J188" s="10"/>
      <c r="K188" s="11" t="n">
        <f>11944</f>
        <v>11944.0</v>
      </c>
    </row>
    <row r="189">
      <c r="A189" s="8" t="s">
        <v>35</v>
      </c>
      <c r="B189" s="9" t="s">
        <v>59</v>
      </c>
      <c r="C189" s="9" t="s">
        <v>60</v>
      </c>
      <c r="D189" s="10" t="s">
        <v>19</v>
      </c>
      <c r="E189" s="11" t="n">
        <f>1612</f>
        <v>1612.0</v>
      </c>
      <c r="F189" s="10" t="s">
        <v>19</v>
      </c>
      <c r="G189" s="11" t="n">
        <f>713770600</f>
        <v>7.137706E8</v>
      </c>
      <c r="H189" s="10"/>
      <c r="I189" s="11" t="str">
        <f>"－"</f>
        <v>－</v>
      </c>
      <c r="J189" s="10"/>
      <c r="K189" s="11" t="n">
        <f>12055</f>
        <v>12055.0</v>
      </c>
    </row>
    <row r="190">
      <c r="A190" s="8" t="s">
        <v>36</v>
      </c>
      <c r="B190" s="9" t="s">
        <v>59</v>
      </c>
      <c r="C190" s="9" t="s">
        <v>60</v>
      </c>
      <c r="D190" s="10"/>
      <c r="E190" s="11" t="n">
        <f>1605</f>
        <v>1605.0</v>
      </c>
      <c r="F190" s="10"/>
      <c r="G190" s="11" t="n">
        <f>698511300</f>
        <v>6.985113E8</v>
      </c>
      <c r="H190" s="10"/>
      <c r="I190" s="11" t="str">
        <f>"－"</f>
        <v>－</v>
      </c>
      <c r="J190" s="10"/>
      <c r="K190" s="11" t="n">
        <f>12090</f>
        <v>12090.0</v>
      </c>
    </row>
    <row r="191">
      <c r="A191" s="8" t="s">
        <v>37</v>
      </c>
      <c r="B191" s="9" t="s">
        <v>59</v>
      </c>
      <c r="C191" s="9" t="s">
        <v>60</v>
      </c>
      <c r="D191" s="10"/>
      <c r="E191" s="11" t="n">
        <f>716</f>
        <v>716.0</v>
      </c>
      <c r="F191" s="10"/>
      <c r="G191" s="11" t="n">
        <f>309418300</f>
        <v>3.094183E8</v>
      </c>
      <c r="H191" s="10"/>
      <c r="I191" s="11" t="str">
        <f>"－"</f>
        <v>－</v>
      </c>
      <c r="J191" s="10"/>
      <c r="K191" s="11" t="n">
        <f>12072</f>
        <v>12072.0</v>
      </c>
    </row>
    <row r="192">
      <c r="A192" s="8" t="s">
        <v>38</v>
      </c>
      <c r="B192" s="9" t="s">
        <v>59</v>
      </c>
      <c r="C192" s="9" t="s">
        <v>60</v>
      </c>
      <c r="D192" s="10"/>
      <c r="E192" s="11" t="n">
        <f>1076</f>
        <v>1076.0</v>
      </c>
      <c r="F192" s="10"/>
      <c r="G192" s="11" t="n">
        <f>465788700</f>
        <v>4.657887E8</v>
      </c>
      <c r="H192" s="10"/>
      <c r="I192" s="11" t="str">
        <f>"－"</f>
        <v>－</v>
      </c>
      <c r="J192" s="10" t="s">
        <v>19</v>
      </c>
      <c r="K192" s="11" t="n">
        <f>12191</f>
        <v>12191.0</v>
      </c>
    </row>
    <row r="193">
      <c r="A193" s="8" t="s">
        <v>39</v>
      </c>
      <c r="B193" s="9" t="s">
        <v>59</v>
      </c>
      <c r="C193" s="9" t="s">
        <v>60</v>
      </c>
      <c r="D193" s="10"/>
      <c r="E193" s="11"/>
      <c r="F193" s="10"/>
      <c r="G193" s="11"/>
      <c r="H193" s="10"/>
      <c r="I193" s="11"/>
      <c r="J193" s="10"/>
      <c r="K193" s="11"/>
    </row>
    <row r="194">
      <c r="A194" s="8" t="s">
        <v>40</v>
      </c>
      <c r="B194" s="9" t="s">
        <v>59</v>
      </c>
      <c r="C194" s="9" t="s">
        <v>60</v>
      </c>
      <c r="D194" s="10"/>
      <c r="E194" s="11"/>
      <c r="F194" s="10"/>
      <c r="G194" s="11"/>
      <c r="H194" s="10"/>
      <c r="I194" s="11"/>
      <c r="J194" s="10"/>
      <c r="K194" s="11"/>
    </row>
    <row r="195">
      <c r="A195" s="8" t="s">
        <v>41</v>
      </c>
      <c r="B195" s="9" t="s">
        <v>59</v>
      </c>
      <c r="C195" s="9" t="s">
        <v>60</v>
      </c>
      <c r="D195" s="10"/>
      <c r="E195" s="11" t="n">
        <f>495</f>
        <v>495.0</v>
      </c>
      <c r="F195" s="10"/>
      <c r="G195" s="11" t="n">
        <f>217742000</f>
        <v>2.17742E8</v>
      </c>
      <c r="H195" s="10"/>
      <c r="I195" s="11" t="str">
        <f>"－"</f>
        <v>－</v>
      </c>
      <c r="J195" s="10"/>
      <c r="K195" s="11" t="n">
        <f>12136</f>
        <v>12136.0</v>
      </c>
    </row>
    <row r="196">
      <c r="A196" s="8" t="s">
        <v>42</v>
      </c>
      <c r="B196" s="9" t="s">
        <v>59</v>
      </c>
      <c r="C196" s="9" t="s">
        <v>60</v>
      </c>
      <c r="D196" s="10"/>
      <c r="E196" s="11"/>
      <c r="F196" s="10"/>
      <c r="G196" s="11"/>
      <c r="H196" s="10"/>
      <c r="I196" s="11"/>
      <c r="J196" s="10"/>
      <c r="K196" s="11"/>
    </row>
    <row r="197">
      <c r="A197" s="8" t="s">
        <v>43</v>
      </c>
      <c r="B197" s="9" t="s">
        <v>59</v>
      </c>
      <c r="C197" s="9" t="s">
        <v>60</v>
      </c>
      <c r="D197" s="10"/>
      <c r="E197" s="11" t="n">
        <f>669</f>
        <v>669.0</v>
      </c>
      <c r="F197" s="10"/>
      <c r="G197" s="11" t="n">
        <f>288571400</f>
        <v>2.885714E8</v>
      </c>
      <c r="H197" s="10"/>
      <c r="I197" s="11" t="str">
        <f>"－"</f>
        <v>－</v>
      </c>
      <c r="J197" s="10"/>
      <c r="K197" s="11" t="n">
        <f>12030</f>
        <v>12030.0</v>
      </c>
    </row>
    <row r="198">
      <c r="A198" s="8" t="s">
        <v>44</v>
      </c>
      <c r="B198" s="9" t="s">
        <v>59</v>
      </c>
      <c r="C198" s="9" t="s">
        <v>60</v>
      </c>
      <c r="D198" s="10"/>
      <c r="E198" s="11" t="n">
        <f>665</f>
        <v>665.0</v>
      </c>
      <c r="F198" s="10"/>
      <c r="G198" s="11" t="n">
        <f>286998000</f>
        <v>2.86998E8</v>
      </c>
      <c r="H198" s="10"/>
      <c r="I198" s="11" t="str">
        <f>"－"</f>
        <v>－</v>
      </c>
      <c r="J198" s="10"/>
      <c r="K198" s="11" t="n">
        <f>12095</f>
        <v>12095.0</v>
      </c>
    </row>
    <row r="199">
      <c r="A199" s="8" t="s">
        <v>45</v>
      </c>
      <c r="B199" s="9" t="s">
        <v>59</v>
      </c>
      <c r="C199" s="9" t="s">
        <v>60</v>
      </c>
      <c r="D199" s="10"/>
      <c r="E199" s="11" t="n">
        <f>716</f>
        <v>716.0</v>
      </c>
      <c r="F199" s="10"/>
      <c r="G199" s="11" t="n">
        <f>302577800</f>
        <v>3.025778E8</v>
      </c>
      <c r="H199" s="10"/>
      <c r="I199" s="11" t="str">
        <f>"－"</f>
        <v>－</v>
      </c>
      <c r="J199" s="10"/>
      <c r="K199" s="11" t="n">
        <f>12035</f>
        <v>12035.0</v>
      </c>
    </row>
    <row r="200">
      <c r="A200" s="8" t="s">
        <v>46</v>
      </c>
      <c r="B200" s="9" t="s">
        <v>59</v>
      </c>
      <c r="C200" s="9" t="s">
        <v>60</v>
      </c>
      <c r="D200" s="10"/>
      <c r="E200" s="11"/>
      <c r="F200" s="10"/>
      <c r="G200" s="11"/>
      <c r="H200" s="10"/>
      <c r="I200" s="11"/>
      <c r="J200" s="10"/>
      <c r="K200" s="11"/>
    </row>
    <row r="201">
      <c r="A201" s="8" t="s">
        <v>47</v>
      </c>
      <c r="B201" s="9" t="s">
        <v>59</v>
      </c>
      <c r="C201" s="9" t="s">
        <v>60</v>
      </c>
      <c r="D201" s="10"/>
      <c r="E201" s="11"/>
      <c r="F201" s="10"/>
      <c r="G201" s="11"/>
      <c r="H201" s="10"/>
      <c r="I201" s="11"/>
      <c r="J201" s="10"/>
      <c r="K201" s="11"/>
    </row>
    <row r="202">
      <c r="A202" s="8" t="s">
        <v>16</v>
      </c>
      <c r="B202" s="9" t="s">
        <v>61</v>
      </c>
      <c r="C202" s="9" t="s">
        <v>62</v>
      </c>
      <c r="D202" s="10"/>
      <c r="E202" s="11" t="n">
        <f>10</f>
        <v>10.0</v>
      </c>
      <c r="F202" s="10"/>
      <c r="G202" s="11" t="n">
        <f>37904500</f>
        <v>3.79045E7</v>
      </c>
      <c r="H202" s="10" t="s">
        <v>50</v>
      </c>
      <c r="I202" s="11" t="str">
        <f>"－"</f>
        <v>－</v>
      </c>
      <c r="J202" s="10"/>
      <c r="K202" s="11" t="n">
        <f>356</f>
        <v>356.0</v>
      </c>
    </row>
    <row r="203">
      <c r="A203" s="8" t="s">
        <v>20</v>
      </c>
      <c r="B203" s="9" t="s">
        <v>61</v>
      </c>
      <c r="C203" s="9" t="s">
        <v>62</v>
      </c>
      <c r="D203" s="10" t="s">
        <v>19</v>
      </c>
      <c r="E203" s="11" t="n">
        <f>160</f>
        <v>160.0</v>
      </c>
      <c r="F203" s="10" t="s">
        <v>19</v>
      </c>
      <c r="G203" s="11" t="n">
        <f>601932500</f>
        <v>6.019325E8</v>
      </c>
      <c r="H203" s="10"/>
      <c r="I203" s="11" t="str">
        <f>"－"</f>
        <v>－</v>
      </c>
      <c r="J203" s="10"/>
      <c r="K203" s="11" t="n">
        <f>344</f>
        <v>344.0</v>
      </c>
    </row>
    <row r="204">
      <c r="A204" s="8" t="s">
        <v>22</v>
      </c>
      <c r="B204" s="9" t="s">
        <v>61</v>
      </c>
      <c r="C204" s="9" t="s">
        <v>62</v>
      </c>
      <c r="D204" s="10"/>
      <c r="E204" s="11" t="n">
        <f>12</f>
        <v>12.0</v>
      </c>
      <c r="F204" s="10"/>
      <c r="G204" s="11" t="n">
        <f>45047000</f>
        <v>4.5047E7</v>
      </c>
      <c r="H204" s="10"/>
      <c r="I204" s="11" t="str">
        <f>"－"</f>
        <v>－</v>
      </c>
      <c r="J204" s="10"/>
      <c r="K204" s="11" t="n">
        <f>340</f>
        <v>340.0</v>
      </c>
    </row>
    <row r="205">
      <c r="A205" s="8" t="s">
        <v>23</v>
      </c>
      <c r="B205" s="9" t="s">
        <v>61</v>
      </c>
      <c r="C205" s="9" t="s">
        <v>62</v>
      </c>
      <c r="D205" s="10"/>
      <c r="E205" s="11" t="n">
        <f>2</f>
        <v>2.0</v>
      </c>
      <c r="F205" s="10"/>
      <c r="G205" s="11" t="n">
        <f>7490000</f>
        <v>7490000.0</v>
      </c>
      <c r="H205" s="10"/>
      <c r="I205" s="11" t="str">
        <f>"－"</f>
        <v>－</v>
      </c>
      <c r="J205" s="10"/>
      <c r="K205" s="11" t="n">
        <f>338</f>
        <v>338.0</v>
      </c>
    </row>
    <row r="206">
      <c r="A206" s="8" t="s">
        <v>24</v>
      </c>
      <c r="B206" s="9" t="s">
        <v>61</v>
      </c>
      <c r="C206" s="9" t="s">
        <v>62</v>
      </c>
      <c r="D206" s="10"/>
      <c r="E206" s="11" t="n">
        <f>4</f>
        <v>4.0</v>
      </c>
      <c r="F206" s="10"/>
      <c r="G206" s="11" t="n">
        <f>15215000</f>
        <v>1.5215E7</v>
      </c>
      <c r="H206" s="10"/>
      <c r="I206" s="11" t="str">
        <f>"－"</f>
        <v>－</v>
      </c>
      <c r="J206" s="10"/>
      <c r="K206" s="11" t="n">
        <f>337</f>
        <v>337.0</v>
      </c>
    </row>
    <row r="207">
      <c r="A207" s="8" t="s">
        <v>25</v>
      </c>
      <c r="B207" s="9" t="s">
        <v>61</v>
      </c>
      <c r="C207" s="9" t="s">
        <v>62</v>
      </c>
      <c r="D207" s="10"/>
      <c r="E207" s="11"/>
      <c r="F207" s="10"/>
      <c r="G207" s="11"/>
      <c r="H207" s="10"/>
      <c r="I207" s="11"/>
      <c r="J207" s="10"/>
      <c r="K207" s="11"/>
    </row>
    <row r="208">
      <c r="A208" s="8" t="s">
        <v>26</v>
      </c>
      <c r="B208" s="9" t="s">
        <v>61</v>
      </c>
      <c r="C208" s="9" t="s">
        <v>62</v>
      </c>
      <c r="D208" s="10"/>
      <c r="E208" s="11"/>
      <c r="F208" s="10"/>
      <c r="G208" s="11"/>
      <c r="H208" s="10"/>
      <c r="I208" s="11"/>
      <c r="J208" s="10"/>
      <c r="K208" s="11"/>
    </row>
    <row r="209">
      <c r="A209" s="8" t="s">
        <v>27</v>
      </c>
      <c r="B209" s="9" t="s">
        <v>61</v>
      </c>
      <c r="C209" s="9" t="s">
        <v>62</v>
      </c>
      <c r="D209" s="10"/>
      <c r="E209" s="11" t="n">
        <f>16</f>
        <v>16.0</v>
      </c>
      <c r="F209" s="10"/>
      <c r="G209" s="11" t="n">
        <f>61743500</f>
        <v>6.17435E7</v>
      </c>
      <c r="H209" s="10"/>
      <c r="I209" s="11" t="str">
        <f>"－"</f>
        <v>－</v>
      </c>
      <c r="J209" s="10"/>
      <c r="K209" s="11" t="n">
        <f>329</f>
        <v>329.0</v>
      </c>
    </row>
    <row r="210">
      <c r="A210" s="8" t="s">
        <v>28</v>
      </c>
      <c r="B210" s="9" t="s">
        <v>61</v>
      </c>
      <c r="C210" s="9" t="s">
        <v>62</v>
      </c>
      <c r="D210" s="10"/>
      <c r="E210" s="11" t="n">
        <f>2</f>
        <v>2.0</v>
      </c>
      <c r="F210" s="10"/>
      <c r="G210" s="11" t="n">
        <f>7805000</f>
        <v>7805000.0</v>
      </c>
      <c r="H210" s="10"/>
      <c r="I210" s="11" t="str">
        <f>"－"</f>
        <v>－</v>
      </c>
      <c r="J210" s="10"/>
      <c r="K210" s="11" t="n">
        <f>327</f>
        <v>327.0</v>
      </c>
    </row>
    <row r="211">
      <c r="A211" s="8" t="s">
        <v>29</v>
      </c>
      <c r="B211" s="9" t="s">
        <v>61</v>
      </c>
      <c r="C211" s="9" t="s">
        <v>62</v>
      </c>
      <c r="D211" s="10"/>
      <c r="E211" s="11" t="n">
        <f>7</f>
        <v>7.0</v>
      </c>
      <c r="F211" s="10"/>
      <c r="G211" s="11" t="n">
        <f>26956000</f>
        <v>2.6956E7</v>
      </c>
      <c r="H211" s="10"/>
      <c r="I211" s="11" t="str">
        <f>"－"</f>
        <v>－</v>
      </c>
      <c r="J211" s="10"/>
      <c r="K211" s="11" t="n">
        <f>324</f>
        <v>324.0</v>
      </c>
    </row>
    <row r="212">
      <c r="A212" s="8" t="s">
        <v>30</v>
      </c>
      <c r="B212" s="9" t="s">
        <v>61</v>
      </c>
      <c r="C212" s="9" t="s">
        <v>62</v>
      </c>
      <c r="D212" s="10"/>
      <c r="E212" s="11"/>
      <c r="F212" s="10"/>
      <c r="G212" s="11"/>
      <c r="H212" s="10"/>
      <c r="I212" s="11"/>
      <c r="J212" s="10"/>
      <c r="K212" s="11"/>
    </row>
    <row r="213">
      <c r="A213" s="8" t="s">
        <v>31</v>
      </c>
      <c r="B213" s="9" t="s">
        <v>61</v>
      </c>
      <c r="C213" s="9" t="s">
        <v>62</v>
      </c>
      <c r="D213" s="10"/>
      <c r="E213" s="11" t="n">
        <f>6</f>
        <v>6.0</v>
      </c>
      <c r="F213" s="10"/>
      <c r="G213" s="11" t="n">
        <f>23313000</f>
        <v>2.3313E7</v>
      </c>
      <c r="H213" s="10"/>
      <c r="I213" s="11" t="str">
        <f>"－"</f>
        <v>－</v>
      </c>
      <c r="J213" s="10"/>
      <c r="K213" s="11" t="n">
        <f>325</f>
        <v>325.0</v>
      </c>
    </row>
    <row r="214">
      <c r="A214" s="8" t="s">
        <v>32</v>
      </c>
      <c r="B214" s="9" t="s">
        <v>61</v>
      </c>
      <c r="C214" s="9" t="s">
        <v>62</v>
      </c>
      <c r="D214" s="10"/>
      <c r="E214" s="11"/>
      <c r="F214" s="10"/>
      <c r="G214" s="11"/>
      <c r="H214" s="10"/>
      <c r="I214" s="11"/>
      <c r="J214" s="10"/>
      <c r="K214" s="11"/>
    </row>
    <row r="215">
      <c r="A215" s="8" t="s">
        <v>33</v>
      </c>
      <c r="B215" s="9" t="s">
        <v>61</v>
      </c>
      <c r="C215" s="9" t="s">
        <v>62</v>
      </c>
      <c r="D215" s="10"/>
      <c r="E215" s="11"/>
      <c r="F215" s="10"/>
      <c r="G215" s="11"/>
      <c r="H215" s="10"/>
      <c r="I215" s="11"/>
      <c r="J215" s="10"/>
      <c r="K215" s="11"/>
    </row>
    <row r="216">
      <c r="A216" s="8" t="s">
        <v>34</v>
      </c>
      <c r="B216" s="9" t="s">
        <v>61</v>
      </c>
      <c r="C216" s="9" t="s">
        <v>62</v>
      </c>
      <c r="D216" s="10"/>
      <c r="E216" s="11" t="n">
        <f>11</f>
        <v>11.0</v>
      </c>
      <c r="F216" s="10"/>
      <c r="G216" s="11" t="n">
        <f>43304000</f>
        <v>4.3304E7</v>
      </c>
      <c r="H216" s="10"/>
      <c r="I216" s="11" t="str">
        <f>"－"</f>
        <v>－</v>
      </c>
      <c r="J216" s="10" t="s">
        <v>21</v>
      </c>
      <c r="K216" s="11" t="n">
        <f>318</f>
        <v>318.0</v>
      </c>
    </row>
    <row r="217">
      <c r="A217" s="8" t="s">
        <v>35</v>
      </c>
      <c r="B217" s="9" t="s">
        <v>61</v>
      </c>
      <c r="C217" s="9" t="s">
        <v>62</v>
      </c>
      <c r="D217" s="10"/>
      <c r="E217" s="11" t="n">
        <f>108</f>
        <v>108.0</v>
      </c>
      <c r="F217" s="10"/>
      <c r="G217" s="11" t="n">
        <f>416038500</f>
        <v>4.160385E8</v>
      </c>
      <c r="H217" s="10"/>
      <c r="I217" s="11" t="str">
        <f>"－"</f>
        <v>－</v>
      </c>
      <c r="J217" s="10" t="s">
        <v>19</v>
      </c>
      <c r="K217" s="11" t="n">
        <f>361</f>
        <v>361.0</v>
      </c>
    </row>
    <row r="218">
      <c r="A218" s="8" t="s">
        <v>36</v>
      </c>
      <c r="B218" s="9" t="s">
        <v>61</v>
      </c>
      <c r="C218" s="9" t="s">
        <v>62</v>
      </c>
      <c r="D218" s="10" t="s">
        <v>21</v>
      </c>
      <c r="E218" s="11" t="str">
        <f>"－"</f>
        <v>－</v>
      </c>
      <c r="F218" s="10" t="s">
        <v>21</v>
      </c>
      <c r="G218" s="11" t="str">
        <f>"－"</f>
        <v>－</v>
      </c>
      <c r="H218" s="10"/>
      <c r="I218" s="11" t="str">
        <f>"－"</f>
        <v>－</v>
      </c>
      <c r="J218" s="10"/>
      <c r="K218" s="11" t="n">
        <f>361</f>
        <v>361.0</v>
      </c>
    </row>
    <row r="219">
      <c r="A219" s="8" t="s">
        <v>37</v>
      </c>
      <c r="B219" s="9" t="s">
        <v>61</v>
      </c>
      <c r="C219" s="9" t="s">
        <v>62</v>
      </c>
      <c r="D219" s="10"/>
      <c r="E219" s="11" t="n">
        <f>2</f>
        <v>2.0</v>
      </c>
      <c r="F219" s="10"/>
      <c r="G219" s="11" t="n">
        <f>8200000</f>
        <v>8200000.0</v>
      </c>
      <c r="H219" s="10"/>
      <c r="I219" s="11" t="str">
        <f>"－"</f>
        <v>－</v>
      </c>
      <c r="J219" s="10"/>
      <c r="K219" s="11" t="n">
        <f>360</f>
        <v>360.0</v>
      </c>
    </row>
    <row r="220">
      <c r="A220" s="8" t="s">
        <v>38</v>
      </c>
      <c r="B220" s="9" t="s">
        <v>61</v>
      </c>
      <c r="C220" s="9" t="s">
        <v>62</v>
      </c>
      <c r="D220" s="10"/>
      <c r="E220" s="11" t="n">
        <f>1</f>
        <v>1.0</v>
      </c>
      <c r="F220" s="10"/>
      <c r="G220" s="11" t="n">
        <f>4100500</f>
        <v>4100500.0</v>
      </c>
      <c r="H220" s="10"/>
      <c r="I220" s="11" t="str">
        <f>"－"</f>
        <v>－</v>
      </c>
      <c r="J220" s="10"/>
      <c r="K220" s="11" t="n">
        <f>359</f>
        <v>359.0</v>
      </c>
    </row>
    <row r="221">
      <c r="A221" s="8" t="s">
        <v>39</v>
      </c>
      <c r="B221" s="9" t="s">
        <v>61</v>
      </c>
      <c r="C221" s="9" t="s">
        <v>62</v>
      </c>
      <c r="D221" s="10"/>
      <c r="E221" s="11"/>
      <c r="F221" s="10"/>
      <c r="G221" s="11"/>
      <c r="H221" s="10"/>
      <c r="I221" s="11"/>
      <c r="J221" s="10"/>
      <c r="K221" s="11"/>
    </row>
    <row r="222">
      <c r="A222" s="8" t="s">
        <v>40</v>
      </c>
      <c r="B222" s="9" t="s">
        <v>61</v>
      </c>
      <c r="C222" s="9" t="s">
        <v>62</v>
      </c>
      <c r="D222" s="10"/>
      <c r="E222" s="11"/>
      <c r="F222" s="10"/>
      <c r="G222" s="11"/>
      <c r="H222" s="10"/>
      <c r="I222" s="11"/>
      <c r="J222" s="10"/>
      <c r="K222" s="11"/>
    </row>
    <row r="223">
      <c r="A223" s="8" t="s">
        <v>41</v>
      </c>
      <c r="B223" s="9" t="s">
        <v>61</v>
      </c>
      <c r="C223" s="9" t="s">
        <v>62</v>
      </c>
      <c r="D223" s="10"/>
      <c r="E223" s="11" t="str">
        <f>"－"</f>
        <v>－</v>
      </c>
      <c r="F223" s="10"/>
      <c r="G223" s="11" t="str">
        <f>"－"</f>
        <v>－</v>
      </c>
      <c r="H223" s="10"/>
      <c r="I223" s="11" t="str">
        <f>"－"</f>
        <v>－</v>
      </c>
      <c r="J223" s="10"/>
      <c r="K223" s="11" t="n">
        <f>359</f>
        <v>359.0</v>
      </c>
    </row>
    <row r="224">
      <c r="A224" s="8" t="s">
        <v>42</v>
      </c>
      <c r="B224" s="9" t="s">
        <v>61</v>
      </c>
      <c r="C224" s="9" t="s">
        <v>62</v>
      </c>
      <c r="D224" s="10"/>
      <c r="E224" s="11"/>
      <c r="F224" s="10"/>
      <c r="G224" s="11"/>
      <c r="H224" s="10"/>
      <c r="I224" s="11"/>
      <c r="J224" s="10"/>
      <c r="K224" s="11"/>
    </row>
    <row r="225">
      <c r="A225" s="8" t="s">
        <v>43</v>
      </c>
      <c r="B225" s="9" t="s">
        <v>61</v>
      </c>
      <c r="C225" s="9" t="s">
        <v>62</v>
      </c>
      <c r="D225" s="10"/>
      <c r="E225" s="11" t="n">
        <f>2</f>
        <v>2.0</v>
      </c>
      <c r="F225" s="10"/>
      <c r="G225" s="11" t="n">
        <f>7935500</f>
        <v>7935500.0</v>
      </c>
      <c r="H225" s="10"/>
      <c r="I225" s="11" t="str">
        <f>"－"</f>
        <v>－</v>
      </c>
      <c r="J225" s="10"/>
      <c r="K225" s="11" t="n">
        <f>335</f>
        <v>335.0</v>
      </c>
    </row>
    <row r="226">
      <c r="A226" s="8" t="s">
        <v>44</v>
      </c>
      <c r="B226" s="9" t="s">
        <v>61</v>
      </c>
      <c r="C226" s="9" t="s">
        <v>62</v>
      </c>
      <c r="D226" s="10"/>
      <c r="E226" s="11" t="n">
        <f>12</f>
        <v>12.0</v>
      </c>
      <c r="F226" s="10"/>
      <c r="G226" s="11" t="n">
        <f>48804500</f>
        <v>4.88045E7</v>
      </c>
      <c r="H226" s="10"/>
      <c r="I226" s="11" t="str">
        <f>"－"</f>
        <v>－</v>
      </c>
      <c r="J226" s="10"/>
      <c r="K226" s="11" t="n">
        <f>338</f>
        <v>338.0</v>
      </c>
    </row>
    <row r="227">
      <c r="A227" s="8" t="s">
        <v>45</v>
      </c>
      <c r="B227" s="9" t="s">
        <v>61</v>
      </c>
      <c r="C227" s="9" t="s">
        <v>62</v>
      </c>
      <c r="D227" s="10"/>
      <c r="E227" s="11" t="n">
        <f>2</f>
        <v>2.0</v>
      </c>
      <c r="F227" s="10"/>
      <c r="G227" s="11" t="n">
        <f>8000500</f>
        <v>8000500.0</v>
      </c>
      <c r="H227" s="10"/>
      <c r="I227" s="11" t="str">
        <f>"－"</f>
        <v>－</v>
      </c>
      <c r="J227" s="10"/>
      <c r="K227" s="11" t="n">
        <f>337</f>
        <v>337.0</v>
      </c>
    </row>
    <row r="228">
      <c r="A228" s="8" t="s">
        <v>46</v>
      </c>
      <c r="B228" s="9" t="s">
        <v>61</v>
      </c>
      <c r="C228" s="9" t="s">
        <v>62</v>
      </c>
      <c r="D228" s="10"/>
      <c r="E228" s="11"/>
      <c r="F228" s="10"/>
      <c r="G228" s="11"/>
      <c r="H228" s="10"/>
      <c r="I228" s="11"/>
      <c r="J228" s="10"/>
      <c r="K228" s="11"/>
    </row>
    <row r="229">
      <c r="A229" s="8" t="s">
        <v>47</v>
      </c>
      <c r="B229" s="9" t="s">
        <v>61</v>
      </c>
      <c r="C229" s="9" t="s">
        <v>62</v>
      </c>
      <c r="D229" s="10"/>
      <c r="E229" s="11"/>
      <c r="F229" s="10"/>
      <c r="G229" s="11"/>
      <c r="H229" s="10"/>
      <c r="I229" s="11"/>
      <c r="J229" s="10"/>
      <c r="K229" s="11"/>
    </row>
    <row r="230">
      <c r="A230" s="8" t="s">
        <v>16</v>
      </c>
      <c r="B230" s="9" t="s">
        <v>63</v>
      </c>
      <c r="C230" s="9" t="s">
        <v>64</v>
      </c>
      <c r="D230" s="10"/>
      <c r="E230" s="11" t="n">
        <f>5348</f>
        <v>5348.0</v>
      </c>
      <c r="F230" s="10"/>
      <c r="G230" s="11" t="n">
        <f>6298467500</f>
        <v>6.2984675E9</v>
      </c>
      <c r="H230" s="10" t="s">
        <v>50</v>
      </c>
      <c r="I230" s="11" t="str">
        <f>"－"</f>
        <v>－</v>
      </c>
      <c r="J230" s="10"/>
      <c r="K230" s="11" t="n">
        <f>13437</f>
        <v>13437.0</v>
      </c>
    </row>
    <row r="231">
      <c r="A231" s="8" t="s">
        <v>20</v>
      </c>
      <c r="B231" s="9" t="s">
        <v>63</v>
      </c>
      <c r="C231" s="9" t="s">
        <v>64</v>
      </c>
      <c r="D231" s="10"/>
      <c r="E231" s="11" t="n">
        <f>3522</f>
        <v>3522.0</v>
      </c>
      <c r="F231" s="10"/>
      <c r="G231" s="11" t="n">
        <f>4156691000</f>
        <v>4.156691E9</v>
      </c>
      <c r="H231" s="10"/>
      <c r="I231" s="11" t="str">
        <f>"－"</f>
        <v>－</v>
      </c>
      <c r="J231" s="10"/>
      <c r="K231" s="11" t="n">
        <f>13288</f>
        <v>13288.0</v>
      </c>
    </row>
    <row r="232">
      <c r="A232" s="8" t="s">
        <v>22</v>
      </c>
      <c r="B232" s="9" t="s">
        <v>63</v>
      </c>
      <c r="C232" s="9" t="s">
        <v>64</v>
      </c>
      <c r="D232" s="10"/>
      <c r="E232" s="11" t="n">
        <f>2671</f>
        <v>2671.0</v>
      </c>
      <c r="F232" s="10"/>
      <c r="G232" s="11" t="n">
        <f>3101598000</f>
        <v>3.101598E9</v>
      </c>
      <c r="H232" s="10"/>
      <c r="I232" s="11" t="str">
        <f>"－"</f>
        <v>－</v>
      </c>
      <c r="J232" s="10"/>
      <c r="K232" s="11" t="n">
        <f>13187</f>
        <v>13187.0</v>
      </c>
    </row>
    <row r="233">
      <c r="A233" s="8" t="s">
        <v>23</v>
      </c>
      <c r="B233" s="9" t="s">
        <v>63</v>
      </c>
      <c r="C233" s="9" t="s">
        <v>64</v>
      </c>
      <c r="D233" s="10"/>
      <c r="E233" s="11" t="n">
        <f>2502</f>
        <v>2502.0</v>
      </c>
      <c r="F233" s="10"/>
      <c r="G233" s="11" t="n">
        <f>2912219500</f>
        <v>2.9122195E9</v>
      </c>
      <c r="H233" s="10"/>
      <c r="I233" s="11" t="str">
        <f>"－"</f>
        <v>－</v>
      </c>
      <c r="J233" s="10"/>
      <c r="K233" s="11" t="n">
        <f>12896</f>
        <v>12896.0</v>
      </c>
    </row>
    <row r="234">
      <c r="A234" s="8" t="s">
        <v>24</v>
      </c>
      <c r="B234" s="9" t="s">
        <v>63</v>
      </c>
      <c r="C234" s="9" t="s">
        <v>64</v>
      </c>
      <c r="D234" s="10"/>
      <c r="E234" s="11" t="n">
        <f>3007</f>
        <v>3007.0</v>
      </c>
      <c r="F234" s="10"/>
      <c r="G234" s="11" t="n">
        <f>3576180000</f>
        <v>3.57618E9</v>
      </c>
      <c r="H234" s="10"/>
      <c r="I234" s="11" t="str">
        <f>"－"</f>
        <v>－</v>
      </c>
      <c r="J234" s="10"/>
      <c r="K234" s="11" t="n">
        <f>12521</f>
        <v>12521.0</v>
      </c>
    </row>
    <row r="235">
      <c r="A235" s="8" t="s">
        <v>25</v>
      </c>
      <c r="B235" s="9" t="s">
        <v>63</v>
      </c>
      <c r="C235" s="9" t="s">
        <v>64</v>
      </c>
      <c r="D235" s="10"/>
      <c r="E235" s="11"/>
      <c r="F235" s="10"/>
      <c r="G235" s="11"/>
      <c r="H235" s="10"/>
      <c r="I235" s="11"/>
      <c r="J235" s="10"/>
      <c r="K235" s="11"/>
    </row>
    <row r="236">
      <c r="A236" s="8" t="s">
        <v>26</v>
      </c>
      <c r="B236" s="9" t="s">
        <v>63</v>
      </c>
      <c r="C236" s="9" t="s">
        <v>64</v>
      </c>
      <c r="D236" s="10"/>
      <c r="E236" s="11"/>
      <c r="F236" s="10"/>
      <c r="G236" s="11"/>
      <c r="H236" s="10"/>
      <c r="I236" s="11"/>
      <c r="J236" s="10"/>
      <c r="K236" s="11"/>
    </row>
    <row r="237">
      <c r="A237" s="8" t="s">
        <v>27</v>
      </c>
      <c r="B237" s="9" t="s">
        <v>63</v>
      </c>
      <c r="C237" s="9" t="s">
        <v>64</v>
      </c>
      <c r="D237" s="10"/>
      <c r="E237" s="11" t="n">
        <f>3124</f>
        <v>3124.0</v>
      </c>
      <c r="F237" s="10"/>
      <c r="G237" s="11" t="n">
        <f>3795718500</f>
        <v>3.7957185E9</v>
      </c>
      <c r="H237" s="10"/>
      <c r="I237" s="11" t="str">
        <f>"－"</f>
        <v>－</v>
      </c>
      <c r="J237" s="10"/>
      <c r="K237" s="11" t="n">
        <f>12562</f>
        <v>12562.0</v>
      </c>
    </row>
    <row r="238">
      <c r="A238" s="8" t="s">
        <v>28</v>
      </c>
      <c r="B238" s="9" t="s">
        <v>63</v>
      </c>
      <c r="C238" s="9" t="s">
        <v>64</v>
      </c>
      <c r="D238" s="10"/>
      <c r="E238" s="11" t="n">
        <f>3400</f>
        <v>3400.0</v>
      </c>
      <c r="F238" s="10"/>
      <c r="G238" s="11" t="n">
        <f>4165218500</f>
        <v>4.1652185E9</v>
      </c>
      <c r="H238" s="10"/>
      <c r="I238" s="11" t="str">
        <f>"－"</f>
        <v>－</v>
      </c>
      <c r="J238" s="10"/>
      <c r="K238" s="11" t="n">
        <f>12467</f>
        <v>12467.0</v>
      </c>
    </row>
    <row r="239">
      <c r="A239" s="8" t="s">
        <v>29</v>
      </c>
      <c r="B239" s="9" t="s">
        <v>63</v>
      </c>
      <c r="C239" s="9" t="s">
        <v>64</v>
      </c>
      <c r="D239" s="10"/>
      <c r="E239" s="11" t="n">
        <f>2379</f>
        <v>2379.0</v>
      </c>
      <c r="F239" s="10"/>
      <c r="G239" s="11" t="n">
        <f>2874814500</f>
        <v>2.8748145E9</v>
      </c>
      <c r="H239" s="10"/>
      <c r="I239" s="11" t="str">
        <f>"－"</f>
        <v>－</v>
      </c>
      <c r="J239" s="10"/>
      <c r="K239" s="11" t="n">
        <f>12440</f>
        <v>12440.0</v>
      </c>
    </row>
    <row r="240">
      <c r="A240" s="8" t="s">
        <v>30</v>
      </c>
      <c r="B240" s="9" t="s">
        <v>63</v>
      </c>
      <c r="C240" s="9" t="s">
        <v>64</v>
      </c>
      <c r="D240" s="10"/>
      <c r="E240" s="11"/>
      <c r="F240" s="10"/>
      <c r="G240" s="11"/>
      <c r="H240" s="10"/>
      <c r="I240" s="11"/>
      <c r="J240" s="10"/>
      <c r="K240" s="11"/>
    </row>
    <row r="241">
      <c r="A241" s="8" t="s">
        <v>31</v>
      </c>
      <c r="B241" s="9" t="s">
        <v>63</v>
      </c>
      <c r="C241" s="9" t="s">
        <v>64</v>
      </c>
      <c r="D241" s="10" t="s">
        <v>21</v>
      </c>
      <c r="E241" s="11" t="n">
        <f>1770</f>
        <v>1770.0</v>
      </c>
      <c r="F241" s="10" t="s">
        <v>21</v>
      </c>
      <c r="G241" s="11" t="n">
        <f>2122245500</f>
        <v>2.1222455E9</v>
      </c>
      <c r="H241" s="10"/>
      <c r="I241" s="11" t="str">
        <f>"－"</f>
        <v>－</v>
      </c>
      <c r="J241" s="10" t="s">
        <v>21</v>
      </c>
      <c r="K241" s="11" t="n">
        <f>12291</f>
        <v>12291.0</v>
      </c>
    </row>
    <row r="242">
      <c r="A242" s="8" t="s">
        <v>32</v>
      </c>
      <c r="B242" s="9" t="s">
        <v>63</v>
      </c>
      <c r="C242" s="9" t="s">
        <v>64</v>
      </c>
      <c r="D242" s="10"/>
      <c r="E242" s="11"/>
      <c r="F242" s="10"/>
      <c r="G242" s="11"/>
      <c r="H242" s="10"/>
      <c r="I242" s="11"/>
      <c r="J242" s="10"/>
      <c r="K242" s="11"/>
    </row>
    <row r="243">
      <c r="A243" s="8" t="s">
        <v>33</v>
      </c>
      <c r="B243" s="9" t="s">
        <v>63</v>
      </c>
      <c r="C243" s="9" t="s">
        <v>64</v>
      </c>
      <c r="D243" s="10"/>
      <c r="E243" s="11"/>
      <c r="F243" s="10"/>
      <c r="G243" s="11"/>
      <c r="H243" s="10"/>
      <c r="I243" s="11"/>
      <c r="J243" s="10"/>
      <c r="K243" s="11"/>
    </row>
    <row r="244">
      <c r="A244" s="8" t="s">
        <v>34</v>
      </c>
      <c r="B244" s="9" t="s">
        <v>63</v>
      </c>
      <c r="C244" s="9" t="s">
        <v>64</v>
      </c>
      <c r="D244" s="10"/>
      <c r="E244" s="11" t="n">
        <f>5221</f>
        <v>5221.0</v>
      </c>
      <c r="F244" s="10"/>
      <c r="G244" s="11" t="n">
        <f>6546222000</f>
        <v>6.546222E9</v>
      </c>
      <c r="H244" s="10"/>
      <c r="I244" s="11" t="str">
        <f>"－"</f>
        <v>－</v>
      </c>
      <c r="J244" s="10"/>
      <c r="K244" s="11" t="n">
        <f>12484</f>
        <v>12484.0</v>
      </c>
    </row>
    <row r="245">
      <c r="A245" s="8" t="s">
        <v>35</v>
      </c>
      <c r="B245" s="9" t="s">
        <v>63</v>
      </c>
      <c r="C245" s="9" t="s">
        <v>64</v>
      </c>
      <c r="D245" s="10"/>
      <c r="E245" s="11" t="n">
        <f>3096</f>
        <v>3096.0</v>
      </c>
      <c r="F245" s="10"/>
      <c r="G245" s="11" t="n">
        <f>3915382500</f>
        <v>3.9153825E9</v>
      </c>
      <c r="H245" s="10"/>
      <c r="I245" s="11" t="str">
        <f>"－"</f>
        <v>－</v>
      </c>
      <c r="J245" s="10"/>
      <c r="K245" s="11" t="n">
        <f>12418</f>
        <v>12418.0</v>
      </c>
    </row>
    <row r="246">
      <c r="A246" s="8" t="s">
        <v>36</v>
      </c>
      <c r="B246" s="9" t="s">
        <v>63</v>
      </c>
      <c r="C246" s="9" t="s">
        <v>64</v>
      </c>
      <c r="D246" s="10"/>
      <c r="E246" s="11" t="n">
        <f>3046</f>
        <v>3046.0</v>
      </c>
      <c r="F246" s="10"/>
      <c r="G246" s="11" t="n">
        <f>3913877500</f>
        <v>3.9138775E9</v>
      </c>
      <c r="H246" s="10"/>
      <c r="I246" s="11" t="str">
        <f>"－"</f>
        <v>－</v>
      </c>
      <c r="J246" s="10"/>
      <c r="K246" s="11" t="n">
        <f>12680</f>
        <v>12680.0</v>
      </c>
    </row>
    <row r="247">
      <c r="A247" s="8" t="s">
        <v>37</v>
      </c>
      <c r="B247" s="9" t="s">
        <v>63</v>
      </c>
      <c r="C247" s="9" t="s">
        <v>64</v>
      </c>
      <c r="D247" s="10"/>
      <c r="E247" s="11" t="n">
        <f>3452</f>
        <v>3452.0</v>
      </c>
      <c r="F247" s="10"/>
      <c r="G247" s="11" t="n">
        <f>4496087500</f>
        <v>4.4960875E9</v>
      </c>
      <c r="H247" s="10"/>
      <c r="I247" s="11" t="str">
        <f>"－"</f>
        <v>－</v>
      </c>
      <c r="J247" s="10"/>
      <c r="K247" s="11" t="n">
        <f>12707</f>
        <v>12707.0</v>
      </c>
    </row>
    <row r="248">
      <c r="A248" s="8" t="s">
        <v>38</v>
      </c>
      <c r="B248" s="9" t="s">
        <v>63</v>
      </c>
      <c r="C248" s="9" t="s">
        <v>64</v>
      </c>
      <c r="D248" s="10"/>
      <c r="E248" s="11" t="n">
        <f>3232</f>
        <v>3232.0</v>
      </c>
      <c r="F248" s="10"/>
      <c r="G248" s="11" t="n">
        <f>4179689000</f>
        <v>4.179689E9</v>
      </c>
      <c r="H248" s="10"/>
      <c r="I248" s="11" t="str">
        <f>"－"</f>
        <v>－</v>
      </c>
      <c r="J248" s="10"/>
      <c r="K248" s="11" t="n">
        <f>12625</f>
        <v>12625.0</v>
      </c>
    </row>
    <row r="249">
      <c r="A249" s="8" t="s">
        <v>39</v>
      </c>
      <c r="B249" s="9" t="s">
        <v>63</v>
      </c>
      <c r="C249" s="9" t="s">
        <v>64</v>
      </c>
      <c r="D249" s="10"/>
      <c r="E249" s="11"/>
      <c r="F249" s="10"/>
      <c r="G249" s="11"/>
      <c r="H249" s="10"/>
      <c r="I249" s="11"/>
      <c r="J249" s="10"/>
      <c r="K249" s="11"/>
    </row>
    <row r="250">
      <c r="A250" s="8" t="s">
        <v>40</v>
      </c>
      <c r="B250" s="9" t="s">
        <v>63</v>
      </c>
      <c r="C250" s="9" t="s">
        <v>64</v>
      </c>
      <c r="D250" s="10"/>
      <c r="E250" s="11"/>
      <c r="F250" s="10"/>
      <c r="G250" s="11"/>
      <c r="H250" s="10"/>
      <c r="I250" s="11"/>
      <c r="J250" s="10"/>
      <c r="K250" s="11"/>
    </row>
    <row r="251">
      <c r="A251" s="8" t="s">
        <v>41</v>
      </c>
      <c r="B251" s="9" t="s">
        <v>63</v>
      </c>
      <c r="C251" s="9" t="s">
        <v>64</v>
      </c>
      <c r="D251" s="10"/>
      <c r="E251" s="11" t="n">
        <f>7099</f>
        <v>7099.0</v>
      </c>
      <c r="F251" s="10"/>
      <c r="G251" s="11" t="n">
        <f>9619318500</f>
        <v>9.6193185E9</v>
      </c>
      <c r="H251" s="10"/>
      <c r="I251" s="11" t="str">
        <f>"－"</f>
        <v>－</v>
      </c>
      <c r="J251" s="10"/>
      <c r="K251" s="11" t="n">
        <f>13078</f>
        <v>13078.0</v>
      </c>
    </row>
    <row r="252">
      <c r="A252" s="8" t="s">
        <v>42</v>
      </c>
      <c r="B252" s="9" t="s">
        <v>63</v>
      </c>
      <c r="C252" s="9" t="s">
        <v>64</v>
      </c>
      <c r="D252" s="10"/>
      <c r="E252" s="11"/>
      <c r="F252" s="10"/>
      <c r="G252" s="11"/>
      <c r="H252" s="10"/>
      <c r="I252" s="11"/>
      <c r="J252" s="10"/>
      <c r="K252" s="11"/>
    </row>
    <row r="253">
      <c r="A253" s="8" t="s">
        <v>43</v>
      </c>
      <c r="B253" s="9" t="s">
        <v>63</v>
      </c>
      <c r="C253" s="9" t="s">
        <v>64</v>
      </c>
      <c r="D253" s="10"/>
      <c r="E253" s="11" t="n">
        <f>5017</f>
        <v>5017.0</v>
      </c>
      <c r="F253" s="10"/>
      <c r="G253" s="11" t="n">
        <f>6859542000</f>
        <v>6.859542E9</v>
      </c>
      <c r="H253" s="10"/>
      <c r="I253" s="11" t="str">
        <f>"－"</f>
        <v>－</v>
      </c>
      <c r="J253" s="10"/>
      <c r="K253" s="11" t="n">
        <f>13496</f>
        <v>13496.0</v>
      </c>
    </row>
    <row r="254">
      <c r="A254" s="8" t="s">
        <v>44</v>
      </c>
      <c r="B254" s="9" t="s">
        <v>63</v>
      </c>
      <c r="C254" s="9" t="s">
        <v>64</v>
      </c>
      <c r="D254" s="10" t="s">
        <v>19</v>
      </c>
      <c r="E254" s="11" t="n">
        <f>7528</f>
        <v>7528.0</v>
      </c>
      <c r="F254" s="10" t="s">
        <v>19</v>
      </c>
      <c r="G254" s="11" t="n">
        <f>10851077000</f>
        <v>1.0851077E10</v>
      </c>
      <c r="H254" s="10"/>
      <c r="I254" s="11" t="str">
        <f>"－"</f>
        <v>－</v>
      </c>
      <c r="J254" s="10" t="s">
        <v>19</v>
      </c>
      <c r="K254" s="11" t="n">
        <f>13560</f>
        <v>13560.0</v>
      </c>
    </row>
    <row r="255">
      <c r="A255" s="8" t="s">
        <v>45</v>
      </c>
      <c r="B255" s="9" t="s">
        <v>63</v>
      </c>
      <c r="C255" s="9" t="s">
        <v>64</v>
      </c>
      <c r="D255" s="10"/>
      <c r="E255" s="11" t="n">
        <f>7332</f>
        <v>7332.0</v>
      </c>
      <c r="F255" s="10"/>
      <c r="G255" s="11" t="n">
        <f>10184782500</f>
        <v>1.01847825E10</v>
      </c>
      <c r="H255" s="10"/>
      <c r="I255" s="11" t="str">
        <f>"－"</f>
        <v>－</v>
      </c>
      <c r="J255" s="10"/>
      <c r="K255" s="11" t="n">
        <f>13003</f>
        <v>13003.0</v>
      </c>
    </row>
    <row r="256">
      <c r="A256" s="8" t="s">
        <v>46</v>
      </c>
      <c r="B256" s="9" t="s">
        <v>63</v>
      </c>
      <c r="C256" s="9" t="s">
        <v>64</v>
      </c>
      <c r="D256" s="10"/>
      <c r="E256" s="11"/>
      <c r="F256" s="10"/>
      <c r="G256" s="11"/>
      <c r="H256" s="10"/>
      <c r="I256" s="11"/>
      <c r="J256" s="10"/>
      <c r="K256" s="11"/>
    </row>
    <row r="257">
      <c r="A257" s="8" t="s">
        <v>47</v>
      </c>
      <c r="B257" s="9" t="s">
        <v>63</v>
      </c>
      <c r="C257" s="9" t="s">
        <v>64</v>
      </c>
      <c r="D257" s="10"/>
      <c r="E257" s="11"/>
      <c r="F257" s="10"/>
      <c r="G257" s="11"/>
      <c r="H257" s="10"/>
      <c r="I257" s="11"/>
      <c r="J257" s="10"/>
      <c r="K257" s="11"/>
    </row>
    <row r="258">
      <c r="A258" s="8" t="s">
        <v>16</v>
      </c>
      <c r="B258" s="9" t="s">
        <v>65</v>
      </c>
      <c r="C258" s="9" t="s">
        <v>66</v>
      </c>
      <c r="D258" s="10" t="s">
        <v>21</v>
      </c>
      <c r="E258" s="11" t="str">
        <f>"－"</f>
        <v>－</v>
      </c>
      <c r="F258" s="10" t="s">
        <v>21</v>
      </c>
      <c r="G258" s="11" t="str">
        <f>"－"</f>
        <v>－</v>
      </c>
      <c r="H258" s="10" t="s">
        <v>50</v>
      </c>
      <c r="I258" s="11" t="str">
        <f>"－"</f>
        <v>－</v>
      </c>
      <c r="J258" s="10" t="s">
        <v>50</v>
      </c>
      <c r="K258" s="11" t="str">
        <f>"－"</f>
        <v>－</v>
      </c>
    </row>
    <row r="259">
      <c r="A259" s="8" t="s">
        <v>20</v>
      </c>
      <c r="B259" s="9" t="s">
        <v>65</v>
      </c>
      <c r="C259" s="9" t="s">
        <v>66</v>
      </c>
      <c r="D259" s="10"/>
      <c r="E259" s="11" t="str">
        <f>"－"</f>
        <v>－</v>
      </c>
      <c r="F259" s="10"/>
      <c r="G259" s="11" t="str">
        <f>"－"</f>
        <v>－</v>
      </c>
      <c r="H259" s="10"/>
      <c r="I259" s="11" t="str">
        <f>"－"</f>
        <v>－</v>
      </c>
      <c r="J259" s="10"/>
      <c r="K259" s="11" t="str">
        <f>"－"</f>
        <v>－</v>
      </c>
    </row>
    <row r="260">
      <c r="A260" s="8" t="s">
        <v>22</v>
      </c>
      <c r="B260" s="9" t="s">
        <v>65</v>
      </c>
      <c r="C260" s="9" t="s">
        <v>66</v>
      </c>
      <c r="D260" s="10"/>
      <c r="E260" s="11" t="str">
        <f>"－"</f>
        <v>－</v>
      </c>
      <c r="F260" s="10"/>
      <c r="G260" s="11" t="str">
        <f>"－"</f>
        <v>－</v>
      </c>
      <c r="H260" s="10"/>
      <c r="I260" s="11" t="str">
        <f>"－"</f>
        <v>－</v>
      </c>
      <c r="J260" s="10"/>
      <c r="K260" s="11" t="str">
        <f>"－"</f>
        <v>－</v>
      </c>
    </row>
    <row r="261">
      <c r="A261" s="8" t="s">
        <v>23</v>
      </c>
      <c r="B261" s="9" t="s">
        <v>65</v>
      </c>
      <c r="C261" s="9" t="s">
        <v>66</v>
      </c>
      <c r="D261" s="10"/>
      <c r="E261" s="11" t="str">
        <f>"－"</f>
        <v>－</v>
      </c>
      <c r="F261" s="10"/>
      <c r="G261" s="11" t="str">
        <f>"－"</f>
        <v>－</v>
      </c>
      <c r="H261" s="10"/>
      <c r="I261" s="11" t="str">
        <f>"－"</f>
        <v>－</v>
      </c>
      <c r="J261" s="10"/>
      <c r="K261" s="11" t="str">
        <f>"－"</f>
        <v>－</v>
      </c>
    </row>
    <row r="262">
      <c r="A262" s="8" t="s">
        <v>24</v>
      </c>
      <c r="B262" s="9" t="s">
        <v>65</v>
      </c>
      <c r="C262" s="9" t="s">
        <v>66</v>
      </c>
      <c r="D262" s="10"/>
      <c r="E262" s="11" t="str">
        <f>"－"</f>
        <v>－</v>
      </c>
      <c r="F262" s="10"/>
      <c r="G262" s="11" t="str">
        <f>"－"</f>
        <v>－</v>
      </c>
      <c r="H262" s="10"/>
      <c r="I262" s="11" t="str">
        <f>"－"</f>
        <v>－</v>
      </c>
      <c r="J262" s="10"/>
      <c r="K262" s="11" t="str">
        <f>"－"</f>
        <v>－</v>
      </c>
    </row>
    <row r="263">
      <c r="A263" s="8" t="s">
        <v>25</v>
      </c>
      <c r="B263" s="9" t="s">
        <v>65</v>
      </c>
      <c r="C263" s="9" t="s">
        <v>66</v>
      </c>
      <c r="D263" s="10"/>
      <c r="E263" s="11"/>
      <c r="F263" s="10"/>
      <c r="G263" s="11"/>
      <c r="H263" s="10"/>
      <c r="I263" s="11"/>
      <c r="J263" s="10"/>
      <c r="K263" s="11"/>
    </row>
    <row r="264">
      <c r="A264" s="8" t="s">
        <v>26</v>
      </c>
      <c r="B264" s="9" t="s">
        <v>65</v>
      </c>
      <c r="C264" s="9" t="s">
        <v>66</v>
      </c>
      <c r="D264" s="10"/>
      <c r="E264" s="11"/>
      <c r="F264" s="10"/>
      <c r="G264" s="11"/>
      <c r="H264" s="10"/>
      <c r="I264" s="11"/>
      <c r="J264" s="10"/>
      <c r="K264" s="11"/>
    </row>
    <row r="265">
      <c r="A265" s="8" t="s">
        <v>27</v>
      </c>
      <c r="B265" s="9" t="s">
        <v>65</v>
      </c>
      <c r="C265" s="9" t="s">
        <v>66</v>
      </c>
      <c r="D265" s="10"/>
      <c r="E265" s="11" t="str">
        <f>"－"</f>
        <v>－</v>
      </c>
      <c r="F265" s="10"/>
      <c r="G265" s="11" t="str">
        <f>"－"</f>
        <v>－</v>
      </c>
      <c r="H265" s="10"/>
      <c r="I265" s="11" t="str">
        <f>"－"</f>
        <v>－</v>
      </c>
      <c r="J265" s="10"/>
      <c r="K265" s="11" t="str">
        <f>"－"</f>
        <v>－</v>
      </c>
    </row>
    <row r="266">
      <c r="A266" s="8" t="s">
        <v>28</v>
      </c>
      <c r="B266" s="9" t="s">
        <v>65</v>
      </c>
      <c r="C266" s="9" t="s">
        <v>66</v>
      </c>
      <c r="D266" s="10" t="s">
        <v>19</v>
      </c>
      <c r="E266" s="11" t="n">
        <f>10</f>
        <v>10.0</v>
      </c>
      <c r="F266" s="10" t="s">
        <v>19</v>
      </c>
      <c r="G266" s="11" t="n">
        <f>8640000</f>
        <v>8640000.0</v>
      </c>
      <c r="H266" s="10"/>
      <c r="I266" s="11" t="str">
        <f>"－"</f>
        <v>－</v>
      </c>
      <c r="J266" s="10"/>
      <c r="K266" s="11" t="str">
        <f>"－"</f>
        <v>－</v>
      </c>
    </row>
    <row r="267">
      <c r="A267" s="8" t="s">
        <v>29</v>
      </c>
      <c r="B267" s="9" t="s">
        <v>65</v>
      </c>
      <c r="C267" s="9" t="s">
        <v>66</v>
      </c>
      <c r="D267" s="10"/>
      <c r="E267" s="11" t="str">
        <f>"－"</f>
        <v>－</v>
      </c>
      <c r="F267" s="10"/>
      <c r="G267" s="11" t="str">
        <f>"－"</f>
        <v>－</v>
      </c>
      <c r="H267" s="10"/>
      <c r="I267" s="11" t="str">
        <f>"－"</f>
        <v>－</v>
      </c>
      <c r="J267" s="10"/>
      <c r="K267" s="11" t="str">
        <f>"－"</f>
        <v>－</v>
      </c>
    </row>
    <row r="268">
      <c r="A268" s="8" t="s">
        <v>30</v>
      </c>
      <c r="B268" s="9" t="s">
        <v>65</v>
      </c>
      <c r="C268" s="9" t="s">
        <v>66</v>
      </c>
      <c r="D268" s="10"/>
      <c r="E268" s="11"/>
      <c r="F268" s="10"/>
      <c r="G268" s="11"/>
      <c r="H268" s="10"/>
      <c r="I268" s="11"/>
      <c r="J268" s="10"/>
      <c r="K268" s="11"/>
    </row>
    <row r="269">
      <c r="A269" s="8" t="s">
        <v>31</v>
      </c>
      <c r="B269" s="9" t="s">
        <v>65</v>
      </c>
      <c r="C269" s="9" t="s">
        <v>66</v>
      </c>
      <c r="D269" s="10"/>
      <c r="E269" s="11" t="str">
        <f>"－"</f>
        <v>－</v>
      </c>
      <c r="F269" s="10"/>
      <c r="G269" s="11" t="str">
        <f>"－"</f>
        <v>－</v>
      </c>
      <c r="H269" s="10"/>
      <c r="I269" s="11" t="str">
        <f>"－"</f>
        <v>－</v>
      </c>
      <c r="J269" s="10"/>
      <c r="K269" s="11" t="str">
        <f>"－"</f>
        <v>－</v>
      </c>
    </row>
    <row r="270">
      <c r="A270" s="8" t="s">
        <v>32</v>
      </c>
      <c r="B270" s="9" t="s">
        <v>65</v>
      </c>
      <c r="C270" s="9" t="s">
        <v>66</v>
      </c>
      <c r="D270" s="10"/>
      <c r="E270" s="11"/>
      <c r="F270" s="10"/>
      <c r="G270" s="11"/>
      <c r="H270" s="10"/>
      <c r="I270" s="11"/>
      <c r="J270" s="10"/>
      <c r="K270" s="11"/>
    </row>
    <row r="271">
      <c r="A271" s="8" t="s">
        <v>33</v>
      </c>
      <c r="B271" s="9" t="s">
        <v>65</v>
      </c>
      <c r="C271" s="9" t="s">
        <v>66</v>
      </c>
      <c r="D271" s="10"/>
      <c r="E271" s="11"/>
      <c r="F271" s="10"/>
      <c r="G271" s="11"/>
      <c r="H271" s="10"/>
      <c r="I271" s="11"/>
      <c r="J271" s="10"/>
      <c r="K271" s="11"/>
    </row>
    <row r="272">
      <c r="A272" s="8" t="s">
        <v>34</v>
      </c>
      <c r="B272" s="9" t="s">
        <v>65</v>
      </c>
      <c r="C272" s="9" t="s">
        <v>66</v>
      </c>
      <c r="D272" s="10"/>
      <c r="E272" s="11" t="str">
        <f>"－"</f>
        <v>－</v>
      </c>
      <c r="F272" s="10"/>
      <c r="G272" s="11" t="str">
        <f>"－"</f>
        <v>－</v>
      </c>
      <c r="H272" s="10"/>
      <c r="I272" s="11" t="str">
        <f>"－"</f>
        <v>－</v>
      </c>
      <c r="J272" s="10"/>
      <c r="K272" s="11" t="str">
        <f>"－"</f>
        <v>－</v>
      </c>
    </row>
    <row r="273">
      <c r="A273" s="8" t="s">
        <v>35</v>
      </c>
      <c r="B273" s="9" t="s">
        <v>65</v>
      </c>
      <c r="C273" s="9" t="s">
        <v>66</v>
      </c>
      <c r="D273" s="10"/>
      <c r="E273" s="11" t="str">
        <f>"－"</f>
        <v>－</v>
      </c>
      <c r="F273" s="10"/>
      <c r="G273" s="11" t="str">
        <f>"－"</f>
        <v>－</v>
      </c>
      <c r="H273" s="10"/>
      <c r="I273" s="11" t="str">
        <f>"－"</f>
        <v>－</v>
      </c>
      <c r="J273" s="10"/>
      <c r="K273" s="11" t="str">
        <f>"－"</f>
        <v>－</v>
      </c>
    </row>
    <row r="274">
      <c r="A274" s="8" t="s">
        <v>36</v>
      </c>
      <c r="B274" s="9" t="s">
        <v>65</v>
      </c>
      <c r="C274" s="9" t="s">
        <v>66</v>
      </c>
      <c r="D274" s="10"/>
      <c r="E274" s="11" t="str">
        <f>"－"</f>
        <v>－</v>
      </c>
      <c r="F274" s="10"/>
      <c r="G274" s="11" t="str">
        <f>"－"</f>
        <v>－</v>
      </c>
      <c r="H274" s="10"/>
      <c r="I274" s="11" t="str">
        <f>"－"</f>
        <v>－</v>
      </c>
      <c r="J274" s="10"/>
      <c r="K274" s="11" t="str">
        <f>"－"</f>
        <v>－</v>
      </c>
    </row>
    <row r="275">
      <c r="A275" s="8" t="s">
        <v>37</v>
      </c>
      <c r="B275" s="9" t="s">
        <v>65</v>
      </c>
      <c r="C275" s="9" t="s">
        <v>66</v>
      </c>
      <c r="D275" s="10"/>
      <c r="E275" s="11" t="str">
        <f>"－"</f>
        <v>－</v>
      </c>
      <c r="F275" s="10"/>
      <c r="G275" s="11" t="str">
        <f>"－"</f>
        <v>－</v>
      </c>
      <c r="H275" s="10"/>
      <c r="I275" s="11" t="str">
        <f>"－"</f>
        <v>－</v>
      </c>
      <c r="J275" s="10"/>
      <c r="K275" s="11" t="str">
        <f>"－"</f>
        <v>－</v>
      </c>
    </row>
    <row r="276">
      <c r="A276" s="8" t="s">
        <v>38</v>
      </c>
      <c r="B276" s="9" t="s">
        <v>65</v>
      </c>
      <c r="C276" s="9" t="s">
        <v>66</v>
      </c>
      <c r="D276" s="10"/>
      <c r="E276" s="11" t="str">
        <f>"－"</f>
        <v>－</v>
      </c>
      <c r="F276" s="10"/>
      <c r="G276" s="11" t="str">
        <f>"－"</f>
        <v>－</v>
      </c>
      <c r="H276" s="10"/>
      <c r="I276" s="11" t="str">
        <f>"－"</f>
        <v>－</v>
      </c>
      <c r="J276" s="10"/>
      <c r="K276" s="11" t="str">
        <f>"－"</f>
        <v>－</v>
      </c>
    </row>
    <row r="277">
      <c r="A277" s="8" t="s">
        <v>39</v>
      </c>
      <c r="B277" s="9" t="s">
        <v>65</v>
      </c>
      <c r="C277" s="9" t="s">
        <v>66</v>
      </c>
      <c r="D277" s="10"/>
      <c r="E277" s="11"/>
      <c r="F277" s="10"/>
      <c r="G277" s="11"/>
      <c r="H277" s="10"/>
      <c r="I277" s="11"/>
      <c r="J277" s="10"/>
      <c r="K277" s="11"/>
    </row>
    <row r="278">
      <c r="A278" s="8" t="s">
        <v>40</v>
      </c>
      <c r="B278" s="9" t="s">
        <v>65</v>
      </c>
      <c r="C278" s="9" t="s">
        <v>66</v>
      </c>
      <c r="D278" s="10"/>
      <c r="E278" s="11"/>
      <c r="F278" s="10"/>
      <c r="G278" s="11"/>
      <c r="H278" s="10"/>
      <c r="I278" s="11"/>
      <c r="J278" s="10"/>
      <c r="K278" s="11"/>
    </row>
    <row r="279">
      <c r="A279" s="8" t="s">
        <v>41</v>
      </c>
      <c r="B279" s="9" t="s">
        <v>65</v>
      </c>
      <c r="C279" s="9" t="s">
        <v>66</v>
      </c>
      <c r="D279" s="10"/>
      <c r="E279" s="11" t="str">
        <f>"－"</f>
        <v>－</v>
      </c>
      <c r="F279" s="10"/>
      <c r="G279" s="11" t="str">
        <f>"－"</f>
        <v>－</v>
      </c>
      <c r="H279" s="10"/>
      <c r="I279" s="11" t="str">
        <f>"－"</f>
        <v>－</v>
      </c>
      <c r="J279" s="10"/>
      <c r="K279" s="11" t="str">
        <f>"－"</f>
        <v>－</v>
      </c>
    </row>
    <row r="280">
      <c r="A280" s="8" t="s">
        <v>42</v>
      </c>
      <c r="B280" s="9" t="s">
        <v>65</v>
      </c>
      <c r="C280" s="9" t="s">
        <v>66</v>
      </c>
      <c r="D280" s="10"/>
      <c r="E280" s="11"/>
      <c r="F280" s="10"/>
      <c r="G280" s="11"/>
      <c r="H280" s="10"/>
      <c r="I280" s="11"/>
      <c r="J280" s="10"/>
      <c r="K280" s="11"/>
    </row>
    <row r="281">
      <c r="A281" s="8" t="s">
        <v>43</v>
      </c>
      <c r="B281" s="9" t="s">
        <v>65</v>
      </c>
      <c r="C281" s="9" t="s">
        <v>66</v>
      </c>
      <c r="D281" s="10"/>
      <c r="E281" s="11" t="str">
        <f>"－"</f>
        <v>－</v>
      </c>
      <c r="F281" s="10"/>
      <c r="G281" s="11" t="str">
        <f>"－"</f>
        <v>－</v>
      </c>
      <c r="H281" s="10"/>
      <c r="I281" s="11" t="str">
        <f>"－"</f>
        <v>－</v>
      </c>
      <c r="J281" s="10"/>
      <c r="K281" s="11" t="str">
        <f>"－"</f>
        <v>－</v>
      </c>
    </row>
    <row r="282">
      <c r="A282" s="8" t="s">
        <v>44</v>
      </c>
      <c r="B282" s="9" t="s">
        <v>65</v>
      </c>
      <c r="C282" s="9" t="s">
        <v>66</v>
      </c>
      <c r="D282" s="10"/>
      <c r="E282" s="11" t="str">
        <f>"－"</f>
        <v>－</v>
      </c>
      <c r="F282" s="10"/>
      <c r="G282" s="11" t="str">
        <f>"－"</f>
        <v>－</v>
      </c>
      <c r="H282" s="10"/>
      <c r="I282" s="11" t="str">
        <f>"－"</f>
        <v>－</v>
      </c>
      <c r="J282" s="10"/>
      <c r="K282" s="11" t="str">
        <f>"－"</f>
        <v>－</v>
      </c>
    </row>
    <row r="283">
      <c r="A283" s="8" t="s">
        <v>45</v>
      </c>
      <c r="B283" s="9" t="s">
        <v>65</v>
      </c>
      <c r="C283" s="9" t="s">
        <v>66</v>
      </c>
      <c r="D283" s="10"/>
      <c r="E283" s="11" t="str">
        <f>"－"</f>
        <v>－</v>
      </c>
      <c r="F283" s="10"/>
      <c r="G283" s="11" t="str">
        <f>"－"</f>
        <v>－</v>
      </c>
      <c r="H283" s="10"/>
      <c r="I283" s="11" t="str">
        <f>"－"</f>
        <v>－</v>
      </c>
      <c r="J283" s="10"/>
      <c r="K283" s="11" t="str">
        <f>"－"</f>
        <v>－</v>
      </c>
    </row>
    <row r="284">
      <c r="A284" s="8" t="s">
        <v>46</v>
      </c>
      <c r="B284" s="9" t="s">
        <v>65</v>
      </c>
      <c r="C284" s="9" t="s">
        <v>66</v>
      </c>
      <c r="D284" s="10"/>
      <c r="E284" s="11"/>
      <c r="F284" s="10"/>
      <c r="G284" s="11"/>
      <c r="H284" s="10"/>
      <c r="I284" s="11"/>
      <c r="J284" s="10"/>
      <c r="K284" s="11"/>
    </row>
    <row r="285">
      <c r="A285" s="8" t="s">
        <v>47</v>
      </c>
      <c r="B285" s="9" t="s">
        <v>65</v>
      </c>
      <c r="C285" s="9" t="s">
        <v>66</v>
      </c>
      <c r="D285" s="10"/>
      <c r="E285" s="11"/>
      <c r="F285" s="10"/>
      <c r="G285" s="11"/>
      <c r="H285" s="10"/>
      <c r="I285" s="11"/>
      <c r="J285" s="10"/>
      <c r="K285" s="11"/>
    </row>
    <row r="286">
      <c r="A286" s="8" t="s">
        <v>16</v>
      </c>
      <c r="B286" s="9" t="s">
        <v>67</v>
      </c>
      <c r="C286" s="9" t="s">
        <v>68</v>
      </c>
      <c r="D286" s="10"/>
      <c r="E286" s="11" t="n">
        <f>263</f>
        <v>263.0</v>
      </c>
      <c r="F286" s="10"/>
      <c r="G286" s="11" t="n">
        <f>364103500</f>
        <v>3.641035E8</v>
      </c>
      <c r="H286" s="10" t="s">
        <v>50</v>
      </c>
      <c r="I286" s="11" t="str">
        <f>"－"</f>
        <v>－</v>
      </c>
      <c r="J286" s="10"/>
      <c r="K286" s="11" t="n">
        <f>1673</f>
        <v>1673.0</v>
      </c>
    </row>
    <row r="287">
      <c r="A287" s="8" t="s">
        <v>20</v>
      </c>
      <c r="B287" s="9" t="s">
        <v>67</v>
      </c>
      <c r="C287" s="9" t="s">
        <v>68</v>
      </c>
      <c r="D287" s="10"/>
      <c r="E287" s="11" t="n">
        <f>272</f>
        <v>272.0</v>
      </c>
      <c r="F287" s="10"/>
      <c r="G287" s="11" t="n">
        <f>378079500</f>
        <v>3.780795E8</v>
      </c>
      <c r="H287" s="10"/>
      <c r="I287" s="11" t="str">
        <f>"－"</f>
        <v>－</v>
      </c>
      <c r="J287" s="10"/>
      <c r="K287" s="11" t="n">
        <f>1671</f>
        <v>1671.0</v>
      </c>
    </row>
    <row r="288">
      <c r="A288" s="8" t="s">
        <v>22</v>
      </c>
      <c r="B288" s="9" t="s">
        <v>67</v>
      </c>
      <c r="C288" s="9" t="s">
        <v>68</v>
      </c>
      <c r="D288" s="10" t="s">
        <v>21</v>
      </c>
      <c r="E288" s="11" t="n">
        <f>102</f>
        <v>102.0</v>
      </c>
      <c r="F288" s="10" t="s">
        <v>21</v>
      </c>
      <c r="G288" s="11" t="n">
        <f>140876500</f>
        <v>1.408765E8</v>
      </c>
      <c r="H288" s="10"/>
      <c r="I288" s="11" t="str">
        <f>"－"</f>
        <v>－</v>
      </c>
      <c r="J288" s="10"/>
      <c r="K288" s="11" t="n">
        <f>1688</f>
        <v>1688.0</v>
      </c>
    </row>
    <row r="289">
      <c r="A289" s="8" t="s">
        <v>23</v>
      </c>
      <c r="B289" s="9" t="s">
        <v>67</v>
      </c>
      <c r="C289" s="9" t="s">
        <v>68</v>
      </c>
      <c r="D289" s="10"/>
      <c r="E289" s="11" t="n">
        <f>119</f>
        <v>119.0</v>
      </c>
      <c r="F289" s="10"/>
      <c r="G289" s="11" t="n">
        <f>164831500</f>
        <v>1.648315E8</v>
      </c>
      <c r="H289" s="10"/>
      <c r="I289" s="11" t="str">
        <f>"－"</f>
        <v>－</v>
      </c>
      <c r="J289" s="10"/>
      <c r="K289" s="11" t="n">
        <f>1687</f>
        <v>1687.0</v>
      </c>
    </row>
    <row r="290">
      <c r="A290" s="8" t="s">
        <v>24</v>
      </c>
      <c r="B290" s="9" t="s">
        <v>67</v>
      </c>
      <c r="C290" s="9" t="s">
        <v>68</v>
      </c>
      <c r="D290" s="10"/>
      <c r="E290" s="11" t="n">
        <f>189</f>
        <v>189.0</v>
      </c>
      <c r="F290" s="10"/>
      <c r="G290" s="11" t="n">
        <f>263257000</f>
        <v>2.63257E8</v>
      </c>
      <c r="H290" s="10"/>
      <c r="I290" s="11" t="str">
        <f>"－"</f>
        <v>－</v>
      </c>
      <c r="J290" s="10"/>
      <c r="K290" s="11" t="n">
        <f>1681</f>
        <v>1681.0</v>
      </c>
    </row>
    <row r="291">
      <c r="A291" s="8" t="s">
        <v>25</v>
      </c>
      <c r="B291" s="9" t="s">
        <v>67</v>
      </c>
      <c r="C291" s="9" t="s">
        <v>68</v>
      </c>
      <c r="D291" s="10"/>
      <c r="E291" s="11"/>
      <c r="F291" s="10"/>
      <c r="G291" s="11"/>
      <c r="H291" s="10"/>
      <c r="I291" s="11"/>
      <c r="J291" s="10"/>
      <c r="K291" s="11"/>
    </row>
    <row r="292">
      <c r="A292" s="8" t="s">
        <v>26</v>
      </c>
      <c r="B292" s="9" t="s">
        <v>67</v>
      </c>
      <c r="C292" s="9" t="s">
        <v>68</v>
      </c>
      <c r="D292" s="10"/>
      <c r="E292" s="11"/>
      <c r="F292" s="10"/>
      <c r="G292" s="11"/>
      <c r="H292" s="10"/>
      <c r="I292" s="11"/>
      <c r="J292" s="10"/>
      <c r="K292" s="11"/>
    </row>
    <row r="293">
      <c r="A293" s="8" t="s">
        <v>27</v>
      </c>
      <c r="B293" s="9" t="s">
        <v>67</v>
      </c>
      <c r="C293" s="9" t="s">
        <v>68</v>
      </c>
      <c r="D293" s="10"/>
      <c r="E293" s="11" t="n">
        <f>113</f>
        <v>113.0</v>
      </c>
      <c r="F293" s="10"/>
      <c r="G293" s="11" t="n">
        <f>159329500</f>
        <v>1.593295E8</v>
      </c>
      <c r="H293" s="10"/>
      <c r="I293" s="11" t="str">
        <f>"－"</f>
        <v>－</v>
      </c>
      <c r="J293" s="10"/>
      <c r="K293" s="11" t="n">
        <f>1694</f>
        <v>1694.0</v>
      </c>
    </row>
    <row r="294">
      <c r="A294" s="8" t="s">
        <v>28</v>
      </c>
      <c r="B294" s="9" t="s">
        <v>67</v>
      </c>
      <c r="C294" s="9" t="s">
        <v>68</v>
      </c>
      <c r="D294" s="10"/>
      <c r="E294" s="11" t="n">
        <f>352</f>
        <v>352.0</v>
      </c>
      <c r="F294" s="10"/>
      <c r="G294" s="11" t="n">
        <f>504192500</f>
        <v>5.041925E8</v>
      </c>
      <c r="H294" s="10"/>
      <c r="I294" s="11" t="str">
        <f>"－"</f>
        <v>－</v>
      </c>
      <c r="J294" s="10"/>
      <c r="K294" s="11" t="n">
        <f>1693</f>
        <v>1693.0</v>
      </c>
    </row>
    <row r="295">
      <c r="A295" s="8" t="s">
        <v>29</v>
      </c>
      <c r="B295" s="9" t="s">
        <v>67</v>
      </c>
      <c r="C295" s="9" t="s">
        <v>68</v>
      </c>
      <c r="D295" s="10"/>
      <c r="E295" s="11" t="n">
        <f>398</f>
        <v>398.0</v>
      </c>
      <c r="F295" s="10"/>
      <c r="G295" s="11" t="n">
        <f>569860500</f>
        <v>5.698605E8</v>
      </c>
      <c r="H295" s="10"/>
      <c r="I295" s="11" t="str">
        <f>"－"</f>
        <v>－</v>
      </c>
      <c r="J295" s="10"/>
      <c r="K295" s="11" t="n">
        <f>1697</f>
        <v>1697.0</v>
      </c>
    </row>
    <row r="296">
      <c r="A296" s="8" t="s">
        <v>30</v>
      </c>
      <c r="B296" s="9" t="s">
        <v>67</v>
      </c>
      <c r="C296" s="9" t="s">
        <v>68</v>
      </c>
      <c r="D296" s="10"/>
      <c r="E296" s="11"/>
      <c r="F296" s="10"/>
      <c r="G296" s="11"/>
      <c r="H296" s="10"/>
      <c r="I296" s="11"/>
      <c r="J296" s="10"/>
      <c r="K296" s="11"/>
    </row>
    <row r="297">
      <c r="A297" s="8" t="s">
        <v>31</v>
      </c>
      <c r="B297" s="9" t="s">
        <v>67</v>
      </c>
      <c r="C297" s="9" t="s">
        <v>68</v>
      </c>
      <c r="D297" s="10"/>
      <c r="E297" s="11" t="n">
        <f>333</f>
        <v>333.0</v>
      </c>
      <c r="F297" s="10"/>
      <c r="G297" s="11" t="n">
        <f>466111000</f>
        <v>4.66111E8</v>
      </c>
      <c r="H297" s="10"/>
      <c r="I297" s="11" t="str">
        <f>"－"</f>
        <v>－</v>
      </c>
      <c r="J297" s="10" t="s">
        <v>19</v>
      </c>
      <c r="K297" s="11" t="n">
        <f>1764</f>
        <v>1764.0</v>
      </c>
    </row>
    <row r="298">
      <c r="A298" s="8" t="s">
        <v>32</v>
      </c>
      <c r="B298" s="9" t="s">
        <v>67</v>
      </c>
      <c r="C298" s="9" t="s">
        <v>68</v>
      </c>
      <c r="D298" s="10"/>
      <c r="E298" s="11"/>
      <c r="F298" s="10"/>
      <c r="G298" s="11"/>
      <c r="H298" s="10"/>
      <c r="I298" s="11"/>
      <c r="J298" s="10"/>
      <c r="K298" s="11"/>
    </row>
    <row r="299">
      <c r="A299" s="8" t="s">
        <v>33</v>
      </c>
      <c r="B299" s="9" t="s">
        <v>67</v>
      </c>
      <c r="C299" s="9" t="s">
        <v>68</v>
      </c>
      <c r="D299" s="10"/>
      <c r="E299" s="11"/>
      <c r="F299" s="10"/>
      <c r="G299" s="11"/>
      <c r="H299" s="10"/>
      <c r="I299" s="11"/>
      <c r="J299" s="10"/>
      <c r="K299" s="11"/>
    </row>
    <row r="300">
      <c r="A300" s="8" t="s">
        <v>34</v>
      </c>
      <c r="B300" s="9" t="s">
        <v>67</v>
      </c>
      <c r="C300" s="9" t="s">
        <v>68</v>
      </c>
      <c r="D300" s="10"/>
      <c r="E300" s="11" t="n">
        <f>322</f>
        <v>322.0</v>
      </c>
      <c r="F300" s="10"/>
      <c r="G300" s="11" t="n">
        <f>445415000</f>
        <v>4.45415E8</v>
      </c>
      <c r="H300" s="10"/>
      <c r="I300" s="11" t="str">
        <f>"－"</f>
        <v>－</v>
      </c>
      <c r="J300" s="10"/>
      <c r="K300" s="11" t="n">
        <f>1627</f>
        <v>1627.0</v>
      </c>
    </row>
    <row r="301">
      <c r="A301" s="8" t="s">
        <v>35</v>
      </c>
      <c r="B301" s="9" t="s">
        <v>67</v>
      </c>
      <c r="C301" s="9" t="s">
        <v>68</v>
      </c>
      <c r="D301" s="10"/>
      <c r="E301" s="11" t="n">
        <f>137</f>
        <v>137.0</v>
      </c>
      <c r="F301" s="10"/>
      <c r="G301" s="11" t="n">
        <f>195030000</f>
        <v>1.9503E8</v>
      </c>
      <c r="H301" s="10"/>
      <c r="I301" s="11" t="str">
        <f>"－"</f>
        <v>－</v>
      </c>
      <c r="J301" s="10" t="s">
        <v>21</v>
      </c>
      <c r="K301" s="11" t="n">
        <f>1580</f>
        <v>1580.0</v>
      </c>
    </row>
    <row r="302">
      <c r="A302" s="8" t="s">
        <v>36</v>
      </c>
      <c r="B302" s="9" t="s">
        <v>67</v>
      </c>
      <c r="C302" s="9" t="s">
        <v>68</v>
      </c>
      <c r="D302" s="10"/>
      <c r="E302" s="11" t="n">
        <f>188</f>
        <v>188.0</v>
      </c>
      <c r="F302" s="10"/>
      <c r="G302" s="11" t="n">
        <f>270270000</f>
        <v>2.7027E8</v>
      </c>
      <c r="H302" s="10"/>
      <c r="I302" s="11" t="str">
        <f>"－"</f>
        <v>－</v>
      </c>
      <c r="J302" s="10"/>
      <c r="K302" s="11" t="n">
        <f>1589</f>
        <v>1589.0</v>
      </c>
    </row>
    <row r="303">
      <c r="A303" s="8" t="s">
        <v>37</v>
      </c>
      <c r="B303" s="9" t="s">
        <v>67</v>
      </c>
      <c r="C303" s="9" t="s">
        <v>68</v>
      </c>
      <c r="D303" s="10"/>
      <c r="E303" s="11" t="n">
        <f>146</f>
        <v>146.0</v>
      </c>
      <c r="F303" s="10"/>
      <c r="G303" s="11" t="n">
        <f>211366500</f>
        <v>2.113665E8</v>
      </c>
      <c r="H303" s="10"/>
      <c r="I303" s="11" t="str">
        <f>"－"</f>
        <v>－</v>
      </c>
      <c r="J303" s="10"/>
      <c r="K303" s="11" t="n">
        <f>1595</f>
        <v>1595.0</v>
      </c>
    </row>
    <row r="304">
      <c r="A304" s="8" t="s">
        <v>38</v>
      </c>
      <c r="B304" s="9" t="s">
        <v>67</v>
      </c>
      <c r="C304" s="9" t="s">
        <v>68</v>
      </c>
      <c r="D304" s="10"/>
      <c r="E304" s="11" t="n">
        <f>138</f>
        <v>138.0</v>
      </c>
      <c r="F304" s="10"/>
      <c r="G304" s="11" t="n">
        <f>198902000</f>
        <v>1.98902E8</v>
      </c>
      <c r="H304" s="10"/>
      <c r="I304" s="11" t="str">
        <f>"－"</f>
        <v>－</v>
      </c>
      <c r="J304" s="10"/>
      <c r="K304" s="11" t="n">
        <f>1614</f>
        <v>1614.0</v>
      </c>
    </row>
    <row r="305">
      <c r="A305" s="8" t="s">
        <v>39</v>
      </c>
      <c r="B305" s="9" t="s">
        <v>67</v>
      </c>
      <c r="C305" s="9" t="s">
        <v>68</v>
      </c>
      <c r="D305" s="10"/>
      <c r="E305" s="11"/>
      <c r="F305" s="10"/>
      <c r="G305" s="11"/>
      <c r="H305" s="10"/>
      <c r="I305" s="11"/>
      <c r="J305" s="10"/>
      <c r="K305" s="11"/>
    </row>
    <row r="306">
      <c r="A306" s="8" t="s">
        <v>40</v>
      </c>
      <c r="B306" s="9" t="s">
        <v>67</v>
      </c>
      <c r="C306" s="9" t="s">
        <v>68</v>
      </c>
      <c r="D306" s="10"/>
      <c r="E306" s="11"/>
      <c r="F306" s="10"/>
      <c r="G306" s="11"/>
      <c r="H306" s="10"/>
      <c r="I306" s="11"/>
      <c r="J306" s="10"/>
      <c r="K306" s="11"/>
    </row>
    <row r="307">
      <c r="A307" s="8" t="s">
        <v>41</v>
      </c>
      <c r="B307" s="9" t="s">
        <v>67</v>
      </c>
      <c r="C307" s="9" t="s">
        <v>68</v>
      </c>
      <c r="D307" s="10"/>
      <c r="E307" s="11" t="n">
        <f>261</f>
        <v>261.0</v>
      </c>
      <c r="F307" s="10"/>
      <c r="G307" s="11" t="n">
        <f>377945500</f>
        <v>3.779455E8</v>
      </c>
      <c r="H307" s="10"/>
      <c r="I307" s="11" t="str">
        <f>"－"</f>
        <v>－</v>
      </c>
      <c r="J307" s="10"/>
      <c r="K307" s="11" t="n">
        <f>1599</f>
        <v>1599.0</v>
      </c>
    </row>
    <row r="308">
      <c r="A308" s="8" t="s">
        <v>42</v>
      </c>
      <c r="B308" s="9" t="s">
        <v>67</v>
      </c>
      <c r="C308" s="9" t="s">
        <v>68</v>
      </c>
      <c r="D308" s="10"/>
      <c r="E308" s="11"/>
      <c r="F308" s="10"/>
      <c r="G308" s="11"/>
      <c r="H308" s="10"/>
      <c r="I308" s="11"/>
      <c r="J308" s="10"/>
      <c r="K308" s="11"/>
    </row>
    <row r="309">
      <c r="A309" s="8" t="s">
        <v>43</v>
      </c>
      <c r="B309" s="9" t="s">
        <v>67</v>
      </c>
      <c r="C309" s="9" t="s">
        <v>68</v>
      </c>
      <c r="D309" s="10"/>
      <c r="E309" s="11" t="n">
        <f>279</f>
        <v>279.0</v>
      </c>
      <c r="F309" s="10"/>
      <c r="G309" s="11" t="n">
        <f>409740000</f>
        <v>4.0974E8</v>
      </c>
      <c r="H309" s="10"/>
      <c r="I309" s="11" t="str">
        <f>"－"</f>
        <v>－</v>
      </c>
      <c r="J309" s="10"/>
      <c r="K309" s="11" t="n">
        <f>1606</f>
        <v>1606.0</v>
      </c>
    </row>
    <row r="310">
      <c r="A310" s="8" t="s">
        <v>44</v>
      </c>
      <c r="B310" s="9" t="s">
        <v>67</v>
      </c>
      <c r="C310" s="9" t="s">
        <v>68</v>
      </c>
      <c r="D310" s="10"/>
      <c r="E310" s="11" t="n">
        <f>243</f>
        <v>243.0</v>
      </c>
      <c r="F310" s="10"/>
      <c r="G310" s="11" t="n">
        <f>361861000</f>
        <v>3.61861E8</v>
      </c>
      <c r="H310" s="10"/>
      <c r="I310" s="11" t="str">
        <f>"－"</f>
        <v>－</v>
      </c>
      <c r="J310" s="10"/>
      <c r="K310" s="11" t="n">
        <f>1622</f>
        <v>1622.0</v>
      </c>
    </row>
    <row r="311">
      <c r="A311" s="8" t="s">
        <v>45</v>
      </c>
      <c r="B311" s="9" t="s">
        <v>67</v>
      </c>
      <c r="C311" s="9" t="s">
        <v>68</v>
      </c>
      <c r="D311" s="10" t="s">
        <v>19</v>
      </c>
      <c r="E311" s="11" t="n">
        <f>707</f>
        <v>707.0</v>
      </c>
      <c r="F311" s="10" t="s">
        <v>19</v>
      </c>
      <c r="G311" s="11" t="n">
        <f>1041832000</f>
        <v>1.041832E9</v>
      </c>
      <c r="H311" s="10"/>
      <c r="I311" s="11" t="str">
        <f>"－"</f>
        <v>－</v>
      </c>
      <c r="J311" s="10"/>
      <c r="K311" s="11" t="n">
        <f>1618</f>
        <v>1618.0</v>
      </c>
    </row>
    <row r="312">
      <c r="A312" s="8" t="s">
        <v>46</v>
      </c>
      <c r="B312" s="9" t="s">
        <v>67</v>
      </c>
      <c r="C312" s="9" t="s">
        <v>68</v>
      </c>
      <c r="D312" s="10"/>
      <c r="E312" s="11"/>
      <c r="F312" s="10"/>
      <c r="G312" s="11"/>
      <c r="H312" s="10"/>
      <c r="I312" s="11"/>
      <c r="J312" s="10"/>
      <c r="K312" s="11"/>
    </row>
    <row r="313">
      <c r="A313" s="8" t="s">
        <v>47</v>
      </c>
      <c r="B313" s="9" t="s">
        <v>67</v>
      </c>
      <c r="C313" s="9" t="s">
        <v>68</v>
      </c>
      <c r="D313" s="10"/>
      <c r="E313" s="11"/>
      <c r="F313" s="10"/>
      <c r="G313" s="11"/>
      <c r="H313" s="10"/>
      <c r="I313" s="11"/>
      <c r="J313" s="10"/>
      <c r="K313" s="11"/>
    </row>
    <row r="314">
      <c r="A314" s="8" t="s">
        <v>16</v>
      </c>
      <c r="B314" s="9" t="s">
        <v>69</v>
      </c>
      <c r="C314" s="9" t="s">
        <v>70</v>
      </c>
      <c r="D314" s="10" t="s">
        <v>50</v>
      </c>
      <c r="E314" s="11" t="str">
        <f>"－"</f>
        <v>－</v>
      </c>
      <c r="F314" s="10" t="s">
        <v>50</v>
      </c>
      <c r="G314" s="11" t="str">
        <f>"－"</f>
        <v>－</v>
      </c>
      <c r="H314" s="10" t="s">
        <v>50</v>
      </c>
      <c r="I314" s="11" t="str">
        <f>"－"</f>
        <v>－</v>
      </c>
      <c r="J314" s="10" t="s">
        <v>50</v>
      </c>
      <c r="K314" s="11" t="str">
        <f>"－"</f>
        <v>－</v>
      </c>
    </row>
    <row r="315">
      <c r="A315" s="8" t="s">
        <v>20</v>
      </c>
      <c r="B315" s="9" t="s">
        <v>69</v>
      </c>
      <c r="C315" s="9" t="s">
        <v>70</v>
      </c>
      <c r="D315" s="10"/>
      <c r="E315" s="11" t="str">
        <f>"－"</f>
        <v>－</v>
      </c>
      <c r="F315" s="10"/>
      <c r="G315" s="11" t="str">
        <f>"－"</f>
        <v>－</v>
      </c>
      <c r="H315" s="10"/>
      <c r="I315" s="11" t="str">
        <f>"－"</f>
        <v>－</v>
      </c>
      <c r="J315" s="10"/>
      <c r="K315" s="11" t="str">
        <f>"－"</f>
        <v>－</v>
      </c>
    </row>
    <row r="316">
      <c r="A316" s="8" t="s">
        <v>22</v>
      </c>
      <c r="B316" s="9" t="s">
        <v>69</v>
      </c>
      <c r="C316" s="9" t="s">
        <v>70</v>
      </c>
      <c r="D316" s="10"/>
      <c r="E316" s="11" t="str">
        <f>"－"</f>
        <v>－</v>
      </c>
      <c r="F316" s="10"/>
      <c r="G316" s="11" t="str">
        <f>"－"</f>
        <v>－</v>
      </c>
      <c r="H316" s="10"/>
      <c r="I316" s="11" t="str">
        <f>"－"</f>
        <v>－</v>
      </c>
      <c r="J316" s="10"/>
      <c r="K316" s="11" t="str">
        <f>"－"</f>
        <v>－</v>
      </c>
    </row>
    <row r="317">
      <c r="A317" s="8" t="s">
        <v>23</v>
      </c>
      <c r="B317" s="9" t="s">
        <v>69</v>
      </c>
      <c r="C317" s="9" t="s">
        <v>70</v>
      </c>
      <c r="D317" s="10"/>
      <c r="E317" s="11" t="str">
        <f>"－"</f>
        <v>－</v>
      </c>
      <c r="F317" s="10"/>
      <c r="G317" s="11" t="str">
        <f>"－"</f>
        <v>－</v>
      </c>
      <c r="H317" s="10"/>
      <c r="I317" s="11" t="str">
        <f>"－"</f>
        <v>－</v>
      </c>
      <c r="J317" s="10"/>
      <c r="K317" s="11" t="str">
        <f>"－"</f>
        <v>－</v>
      </c>
    </row>
    <row r="318">
      <c r="A318" s="8" t="s">
        <v>24</v>
      </c>
      <c r="B318" s="9" t="s">
        <v>69</v>
      </c>
      <c r="C318" s="9" t="s">
        <v>70</v>
      </c>
      <c r="D318" s="10"/>
      <c r="E318" s="11" t="str">
        <f>"－"</f>
        <v>－</v>
      </c>
      <c r="F318" s="10"/>
      <c r="G318" s="11" t="str">
        <f>"－"</f>
        <v>－</v>
      </c>
      <c r="H318" s="10"/>
      <c r="I318" s="11" t="str">
        <f>"－"</f>
        <v>－</v>
      </c>
      <c r="J318" s="10"/>
      <c r="K318" s="11" t="str">
        <f>"－"</f>
        <v>－</v>
      </c>
    </row>
    <row r="319">
      <c r="A319" s="8" t="s">
        <v>25</v>
      </c>
      <c r="B319" s="9" t="s">
        <v>69</v>
      </c>
      <c r="C319" s="9" t="s">
        <v>70</v>
      </c>
      <c r="D319" s="10"/>
      <c r="E319" s="11"/>
      <c r="F319" s="10"/>
      <c r="G319" s="11"/>
      <c r="H319" s="10"/>
      <c r="I319" s="11"/>
      <c r="J319" s="10"/>
      <c r="K319" s="11"/>
    </row>
    <row r="320">
      <c r="A320" s="8" t="s">
        <v>26</v>
      </c>
      <c r="B320" s="9" t="s">
        <v>69</v>
      </c>
      <c r="C320" s="9" t="s">
        <v>70</v>
      </c>
      <c r="D320" s="10"/>
      <c r="E320" s="11"/>
      <c r="F320" s="10"/>
      <c r="G320" s="11"/>
      <c r="H320" s="10"/>
      <c r="I320" s="11"/>
      <c r="J320" s="10"/>
      <c r="K320" s="11"/>
    </row>
    <row r="321">
      <c r="A321" s="8" t="s">
        <v>27</v>
      </c>
      <c r="B321" s="9" t="s">
        <v>69</v>
      </c>
      <c r="C321" s="9" t="s">
        <v>70</v>
      </c>
      <c r="D321" s="10"/>
      <c r="E321" s="11" t="str">
        <f>"－"</f>
        <v>－</v>
      </c>
      <c r="F321" s="10"/>
      <c r="G321" s="11" t="str">
        <f>"－"</f>
        <v>－</v>
      </c>
      <c r="H321" s="10"/>
      <c r="I321" s="11" t="str">
        <f>"－"</f>
        <v>－</v>
      </c>
      <c r="J321" s="10"/>
      <c r="K321" s="11" t="str">
        <f>"－"</f>
        <v>－</v>
      </c>
    </row>
    <row r="322">
      <c r="A322" s="8" t="s">
        <v>28</v>
      </c>
      <c r="B322" s="9" t="s">
        <v>69</v>
      </c>
      <c r="C322" s="9" t="s">
        <v>70</v>
      </c>
      <c r="D322" s="10"/>
      <c r="E322" s="11" t="str">
        <f>"－"</f>
        <v>－</v>
      </c>
      <c r="F322" s="10"/>
      <c r="G322" s="11" t="str">
        <f>"－"</f>
        <v>－</v>
      </c>
      <c r="H322" s="10"/>
      <c r="I322" s="11" t="str">
        <f>"－"</f>
        <v>－</v>
      </c>
      <c r="J322" s="10"/>
      <c r="K322" s="11" t="str">
        <f>"－"</f>
        <v>－</v>
      </c>
    </row>
    <row r="323">
      <c r="A323" s="8" t="s">
        <v>29</v>
      </c>
      <c r="B323" s="9" t="s">
        <v>69</v>
      </c>
      <c r="C323" s="9" t="s">
        <v>70</v>
      </c>
      <c r="D323" s="10"/>
      <c r="E323" s="11" t="str">
        <f>"－"</f>
        <v>－</v>
      </c>
      <c r="F323" s="10"/>
      <c r="G323" s="11" t="str">
        <f>"－"</f>
        <v>－</v>
      </c>
      <c r="H323" s="10"/>
      <c r="I323" s="11" t="str">
        <f>"－"</f>
        <v>－</v>
      </c>
      <c r="J323" s="10"/>
      <c r="K323" s="11" t="str">
        <f>"－"</f>
        <v>－</v>
      </c>
    </row>
    <row r="324">
      <c r="A324" s="8" t="s">
        <v>30</v>
      </c>
      <c r="B324" s="9" t="s">
        <v>69</v>
      </c>
      <c r="C324" s="9" t="s">
        <v>70</v>
      </c>
      <c r="D324" s="10"/>
      <c r="E324" s="11"/>
      <c r="F324" s="10"/>
      <c r="G324" s="11"/>
      <c r="H324" s="10"/>
      <c r="I324" s="11"/>
      <c r="J324" s="10"/>
      <c r="K324" s="11"/>
    </row>
    <row r="325">
      <c r="A325" s="8" t="s">
        <v>31</v>
      </c>
      <c r="B325" s="9" t="s">
        <v>69</v>
      </c>
      <c r="C325" s="9" t="s">
        <v>70</v>
      </c>
      <c r="D325" s="10"/>
      <c r="E325" s="11" t="str">
        <f>"－"</f>
        <v>－</v>
      </c>
      <c r="F325" s="10"/>
      <c r="G325" s="11" t="str">
        <f>"－"</f>
        <v>－</v>
      </c>
      <c r="H325" s="10"/>
      <c r="I325" s="11" t="str">
        <f>"－"</f>
        <v>－</v>
      </c>
      <c r="J325" s="10"/>
      <c r="K325" s="11" t="str">
        <f>"－"</f>
        <v>－</v>
      </c>
    </row>
    <row r="326">
      <c r="A326" s="8" t="s">
        <v>32</v>
      </c>
      <c r="B326" s="9" t="s">
        <v>69</v>
      </c>
      <c r="C326" s="9" t="s">
        <v>70</v>
      </c>
      <c r="D326" s="10"/>
      <c r="E326" s="11"/>
      <c r="F326" s="10"/>
      <c r="G326" s="11"/>
      <c r="H326" s="10"/>
      <c r="I326" s="11"/>
      <c r="J326" s="10"/>
      <c r="K326" s="11"/>
    </row>
    <row r="327">
      <c r="A327" s="8" t="s">
        <v>33</v>
      </c>
      <c r="B327" s="9" t="s">
        <v>69</v>
      </c>
      <c r="C327" s="9" t="s">
        <v>70</v>
      </c>
      <c r="D327" s="10"/>
      <c r="E327" s="11"/>
      <c r="F327" s="10"/>
      <c r="G327" s="11"/>
      <c r="H327" s="10"/>
      <c r="I327" s="11"/>
      <c r="J327" s="10"/>
      <c r="K327" s="11"/>
    </row>
    <row r="328">
      <c r="A328" s="8" t="s">
        <v>34</v>
      </c>
      <c r="B328" s="9" t="s">
        <v>69</v>
      </c>
      <c r="C328" s="9" t="s">
        <v>70</v>
      </c>
      <c r="D328" s="10"/>
      <c r="E328" s="11" t="str">
        <f>"－"</f>
        <v>－</v>
      </c>
      <c r="F328" s="10"/>
      <c r="G328" s="11" t="str">
        <f>"－"</f>
        <v>－</v>
      </c>
      <c r="H328" s="10"/>
      <c r="I328" s="11" t="str">
        <f>"－"</f>
        <v>－</v>
      </c>
      <c r="J328" s="10"/>
      <c r="K328" s="11" t="str">
        <f>"－"</f>
        <v>－</v>
      </c>
    </row>
    <row r="329">
      <c r="A329" s="8" t="s">
        <v>35</v>
      </c>
      <c r="B329" s="9" t="s">
        <v>69</v>
      </c>
      <c r="C329" s="9" t="s">
        <v>70</v>
      </c>
      <c r="D329" s="10"/>
      <c r="E329" s="11" t="str">
        <f>"－"</f>
        <v>－</v>
      </c>
      <c r="F329" s="10"/>
      <c r="G329" s="11" t="str">
        <f>"－"</f>
        <v>－</v>
      </c>
      <c r="H329" s="10"/>
      <c r="I329" s="11" t="str">
        <f>"－"</f>
        <v>－</v>
      </c>
      <c r="J329" s="10"/>
      <c r="K329" s="11" t="str">
        <f>"－"</f>
        <v>－</v>
      </c>
    </row>
    <row r="330">
      <c r="A330" s="8" t="s">
        <v>36</v>
      </c>
      <c r="B330" s="9" t="s">
        <v>69</v>
      </c>
      <c r="C330" s="9" t="s">
        <v>70</v>
      </c>
      <c r="D330" s="10"/>
      <c r="E330" s="11" t="str">
        <f>"－"</f>
        <v>－</v>
      </c>
      <c r="F330" s="10"/>
      <c r="G330" s="11" t="str">
        <f>"－"</f>
        <v>－</v>
      </c>
      <c r="H330" s="10"/>
      <c r="I330" s="11" t="str">
        <f>"－"</f>
        <v>－</v>
      </c>
      <c r="J330" s="10"/>
      <c r="K330" s="11" t="str">
        <f>"－"</f>
        <v>－</v>
      </c>
    </row>
    <row r="331">
      <c r="A331" s="8" t="s">
        <v>37</v>
      </c>
      <c r="B331" s="9" t="s">
        <v>69</v>
      </c>
      <c r="C331" s="9" t="s">
        <v>70</v>
      </c>
      <c r="D331" s="10"/>
      <c r="E331" s="11" t="str">
        <f>"－"</f>
        <v>－</v>
      </c>
      <c r="F331" s="10"/>
      <c r="G331" s="11" t="str">
        <f>"－"</f>
        <v>－</v>
      </c>
      <c r="H331" s="10"/>
      <c r="I331" s="11" t="str">
        <f>"－"</f>
        <v>－</v>
      </c>
      <c r="J331" s="10"/>
      <c r="K331" s="11" t="str">
        <f>"－"</f>
        <v>－</v>
      </c>
    </row>
    <row r="332">
      <c r="A332" s="8" t="s">
        <v>38</v>
      </c>
      <c r="B332" s="9" t="s">
        <v>69</v>
      </c>
      <c r="C332" s="9" t="s">
        <v>70</v>
      </c>
      <c r="D332" s="10"/>
      <c r="E332" s="11" t="str">
        <f>"－"</f>
        <v>－</v>
      </c>
      <c r="F332" s="10"/>
      <c r="G332" s="11" t="str">
        <f>"－"</f>
        <v>－</v>
      </c>
      <c r="H332" s="10"/>
      <c r="I332" s="11" t="str">
        <f>"－"</f>
        <v>－</v>
      </c>
      <c r="J332" s="10"/>
      <c r="K332" s="11" t="str">
        <f>"－"</f>
        <v>－</v>
      </c>
    </row>
    <row r="333">
      <c r="A333" s="8" t="s">
        <v>39</v>
      </c>
      <c r="B333" s="9" t="s">
        <v>69</v>
      </c>
      <c r="C333" s="9" t="s">
        <v>70</v>
      </c>
      <c r="D333" s="10"/>
      <c r="E333" s="11"/>
      <c r="F333" s="10"/>
      <c r="G333" s="11"/>
      <c r="H333" s="10"/>
      <c r="I333" s="11"/>
      <c r="J333" s="10"/>
      <c r="K333" s="11"/>
    </row>
    <row r="334">
      <c r="A334" s="8" t="s">
        <v>40</v>
      </c>
      <c r="B334" s="9" t="s">
        <v>69</v>
      </c>
      <c r="C334" s="9" t="s">
        <v>70</v>
      </c>
      <c r="D334" s="10"/>
      <c r="E334" s="11"/>
      <c r="F334" s="10"/>
      <c r="G334" s="11"/>
      <c r="H334" s="10"/>
      <c r="I334" s="11"/>
      <c r="J334" s="10"/>
      <c r="K334" s="11"/>
    </row>
    <row r="335">
      <c r="A335" s="8" t="s">
        <v>41</v>
      </c>
      <c r="B335" s="9" t="s">
        <v>69</v>
      </c>
      <c r="C335" s="9" t="s">
        <v>70</v>
      </c>
      <c r="D335" s="10"/>
      <c r="E335" s="11" t="str">
        <f>"－"</f>
        <v>－</v>
      </c>
      <c r="F335" s="10"/>
      <c r="G335" s="11" t="str">
        <f>"－"</f>
        <v>－</v>
      </c>
      <c r="H335" s="10"/>
      <c r="I335" s="11" t="str">
        <f>"－"</f>
        <v>－</v>
      </c>
      <c r="J335" s="10"/>
      <c r="K335" s="11" t="str">
        <f>"－"</f>
        <v>－</v>
      </c>
    </row>
    <row r="336">
      <c r="A336" s="8" t="s">
        <v>42</v>
      </c>
      <c r="B336" s="9" t="s">
        <v>69</v>
      </c>
      <c r="C336" s="9" t="s">
        <v>70</v>
      </c>
      <c r="D336" s="10"/>
      <c r="E336" s="11"/>
      <c r="F336" s="10"/>
      <c r="G336" s="11"/>
      <c r="H336" s="10"/>
      <c r="I336" s="11"/>
      <c r="J336" s="10"/>
      <c r="K336" s="11"/>
    </row>
    <row r="337">
      <c r="A337" s="8" t="s">
        <v>43</v>
      </c>
      <c r="B337" s="9" t="s">
        <v>69</v>
      </c>
      <c r="C337" s="9" t="s">
        <v>70</v>
      </c>
      <c r="D337" s="10"/>
      <c r="E337" s="11" t="str">
        <f>"－"</f>
        <v>－</v>
      </c>
      <c r="F337" s="10"/>
      <c r="G337" s="11" t="str">
        <f>"－"</f>
        <v>－</v>
      </c>
      <c r="H337" s="10"/>
      <c r="I337" s="11" t="str">
        <f>"－"</f>
        <v>－</v>
      </c>
      <c r="J337" s="10"/>
      <c r="K337" s="11" t="str">
        <f>"－"</f>
        <v>－</v>
      </c>
    </row>
    <row r="338">
      <c r="A338" s="8" t="s">
        <v>44</v>
      </c>
      <c r="B338" s="9" t="s">
        <v>69</v>
      </c>
      <c r="C338" s="9" t="s">
        <v>70</v>
      </c>
      <c r="D338" s="10"/>
      <c r="E338" s="11" t="str">
        <f>"－"</f>
        <v>－</v>
      </c>
      <c r="F338" s="10"/>
      <c r="G338" s="11" t="str">
        <f>"－"</f>
        <v>－</v>
      </c>
      <c r="H338" s="10"/>
      <c r="I338" s="11" t="str">
        <f>"－"</f>
        <v>－</v>
      </c>
      <c r="J338" s="10"/>
      <c r="K338" s="11" t="str">
        <f>"－"</f>
        <v>－</v>
      </c>
    </row>
    <row r="339">
      <c r="A339" s="8" t="s">
        <v>45</v>
      </c>
      <c r="B339" s="9" t="s">
        <v>69</v>
      </c>
      <c r="C339" s="9" t="s">
        <v>70</v>
      </c>
      <c r="D339" s="10"/>
      <c r="E339" s="11" t="str">
        <f>"－"</f>
        <v>－</v>
      </c>
      <c r="F339" s="10"/>
      <c r="G339" s="11" t="str">
        <f>"－"</f>
        <v>－</v>
      </c>
      <c r="H339" s="10"/>
      <c r="I339" s="11" t="str">
        <f>"－"</f>
        <v>－</v>
      </c>
      <c r="J339" s="10"/>
      <c r="K339" s="11" t="str">
        <f>"－"</f>
        <v>－</v>
      </c>
    </row>
    <row r="340">
      <c r="A340" s="8" t="s">
        <v>46</v>
      </c>
      <c r="B340" s="9" t="s">
        <v>69</v>
      </c>
      <c r="C340" s="9" t="s">
        <v>70</v>
      </c>
      <c r="D340" s="10"/>
      <c r="E340" s="11"/>
      <c r="F340" s="10"/>
      <c r="G340" s="11"/>
      <c r="H340" s="10"/>
      <c r="I340" s="11"/>
      <c r="J340" s="10"/>
      <c r="K340" s="11"/>
    </row>
    <row r="341">
      <c r="A341" s="8" t="s">
        <v>47</v>
      </c>
      <c r="B341" s="9" t="s">
        <v>69</v>
      </c>
      <c r="C341" s="9" t="s">
        <v>70</v>
      </c>
      <c r="D341" s="10"/>
      <c r="E341" s="11"/>
      <c r="F341" s="10"/>
      <c r="G341" s="11"/>
      <c r="H341" s="10"/>
      <c r="I341" s="11"/>
      <c r="J341" s="10"/>
      <c r="K341" s="11"/>
    </row>
    <row r="342">
      <c r="A342" s="8" t="s">
        <v>16</v>
      </c>
      <c r="B342" s="9" t="s">
        <v>71</v>
      </c>
      <c r="C342" s="9" t="s">
        <v>72</v>
      </c>
      <c r="D342" s="10" t="s">
        <v>21</v>
      </c>
      <c r="E342" s="11" t="str">
        <f>"－"</f>
        <v>－</v>
      </c>
      <c r="F342" s="10" t="s">
        <v>21</v>
      </c>
      <c r="G342" s="11" t="str">
        <f>"－"</f>
        <v>－</v>
      </c>
      <c r="H342" s="10" t="s">
        <v>50</v>
      </c>
      <c r="I342" s="11" t="str">
        <f>"－"</f>
        <v>－</v>
      </c>
      <c r="J342" s="10" t="s">
        <v>21</v>
      </c>
      <c r="K342" s="11" t="str">
        <f>"－"</f>
        <v>－</v>
      </c>
    </row>
    <row r="343">
      <c r="A343" s="8" t="s">
        <v>20</v>
      </c>
      <c r="B343" s="9" t="s">
        <v>71</v>
      </c>
      <c r="C343" s="9" t="s">
        <v>72</v>
      </c>
      <c r="D343" s="10"/>
      <c r="E343" s="11" t="str">
        <f>"－"</f>
        <v>－</v>
      </c>
      <c r="F343" s="10"/>
      <c r="G343" s="11" t="str">
        <f>"－"</f>
        <v>－</v>
      </c>
      <c r="H343" s="10"/>
      <c r="I343" s="11" t="str">
        <f>"－"</f>
        <v>－</v>
      </c>
      <c r="J343" s="10"/>
      <c r="K343" s="11" t="str">
        <f>"－"</f>
        <v>－</v>
      </c>
    </row>
    <row r="344">
      <c r="A344" s="8" t="s">
        <v>22</v>
      </c>
      <c r="B344" s="9" t="s">
        <v>71</v>
      </c>
      <c r="C344" s="9" t="s">
        <v>72</v>
      </c>
      <c r="D344" s="10"/>
      <c r="E344" s="11" t="str">
        <f>"－"</f>
        <v>－</v>
      </c>
      <c r="F344" s="10"/>
      <c r="G344" s="11" t="str">
        <f>"－"</f>
        <v>－</v>
      </c>
      <c r="H344" s="10"/>
      <c r="I344" s="11" t="str">
        <f>"－"</f>
        <v>－</v>
      </c>
      <c r="J344" s="10"/>
      <c r="K344" s="11" t="str">
        <f>"－"</f>
        <v>－</v>
      </c>
    </row>
    <row r="345">
      <c r="A345" s="8" t="s">
        <v>23</v>
      </c>
      <c r="B345" s="9" t="s">
        <v>71</v>
      </c>
      <c r="C345" s="9" t="s">
        <v>72</v>
      </c>
      <c r="D345" s="10"/>
      <c r="E345" s="11" t="str">
        <f>"－"</f>
        <v>－</v>
      </c>
      <c r="F345" s="10"/>
      <c r="G345" s="11" t="str">
        <f>"－"</f>
        <v>－</v>
      </c>
      <c r="H345" s="10"/>
      <c r="I345" s="11" t="str">
        <f>"－"</f>
        <v>－</v>
      </c>
      <c r="J345" s="10"/>
      <c r="K345" s="11" t="str">
        <f>"－"</f>
        <v>－</v>
      </c>
    </row>
    <row r="346">
      <c r="A346" s="8" t="s">
        <v>24</v>
      </c>
      <c r="B346" s="9" t="s">
        <v>71</v>
      </c>
      <c r="C346" s="9" t="s">
        <v>72</v>
      </c>
      <c r="D346" s="10"/>
      <c r="E346" s="11" t="str">
        <f>"－"</f>
        <v>－</v>
      </c>
      <c r="F346" s="10"/>
      <c r="G346" s="11" t="str">
        <f>"－"</f>
        <v>－</v>
      </c>
      <c r="H346" s="10"/>
      <c r="I346" s="11" t="str">
        <f>"－"</f>
        <v>－</v>
      </c>
      <c r="J346" s="10"/>
      <c r="K346" s="11" t="str">
        <f>"－"</f>
        <v>－</v>
      </c>
    </row>
    <row r="347">
      <c r="A347" s="8" t="s">
        <v>25</v>
      </c>
      <c r="B347" s="9" t="s">
        <v>71</v>
      </c>
      <c r="C347" s="9" t="s">
        <v>72</v>
      </c>
      <c r="D347" s="10"/>
      <c r="E347" s="11"/>
      <c r="F347" s="10"/>
      <c r="G347" s="11"/>
      <c r="H347" s="10"/>
      <c r="I347" s="11"/>
      <c r="J347" s="10"/>
      <c r="K347" s="11"/>
    </row>
    <row r="348">
      <c r="A348" s="8" t="s">
        <v>26</v>
      </c>
      <c r="B348" s="9" t="s">
        <v>71</v>
      </c>
      <c r="C348" s="9" t="s">
        <v>72</v>
      </c>
      <c r="D348" s="10"/>
      <c r="E348" s="11"/>
      <c r="F348" s="10"/>
      <c r="G348" s="11"/>
      <c r="H348" s="10"/>
      <c r="I348" s="11"/>
      <c r="J348" s="10"/>
      <c r="K348" s="11"/>
    </row>
    <row r="349">
      <c r="A349" s="8" t="s">
        <v>27</v>
      </c>
      <c r="B349" s="9" t="s">
        <v>71</v>
      </c>
      <c r="C349" s="9" t="s">
        <v>72</v>
      </c>
      <c r="D349" s="10" t="s">
        <v>19</v>
      </c>
      <c r="E349" s="11" t="n">
        <f>3</f>
        <v>3.0</v>
      </c>
      <c r="F349" s="10" t="s">
        <v>19</v>
      </c>
      <c r="G349" s="11" t="n">
        <f>2952000</f>
        <v>2952000.0</v>
      </c>
      <c r="H349" s="10"/>
      <c r="I349" s="11" t="str">
        <f>"－"</f>
        <v>－</v>
      </c>
      <c r="J349" s="10" t="s">
        <v>19</v>
      </c>
      <c r="K349" s="11" t="n">
        <f>3</f>
        <v>3.0</v>
      </c>
    </row>
    <row r="350">
      <c r="A350" s="8" t="s">
        <v>28</v>
      </c>
      <c r="B350" s="9" t="s">
        <v>71</v>
      </c>
      <c r="C350" s="9" t="s">
        <v>72</v>
      </c>
      <c r="D350" s="10"/>
      <c r="E350" s="11" t="str">
        <f>"－"</f>
        <v>－</v>
      </c>
      <c r="F350" s="10"/>
      <c r="G350" s="11" t="str">
        <f>"－"</f>
        <v>－</v>
      </c>
      <c r="H350" s="10"/>
      <c r="I350" s="11" t="str">
        <f>"－"</f>
        <v>－</v>
      </c>
      <c r="J350" s="10"/>
      <c r="K350" s="11" t="n">
        <f>3</f>
        <v>3.0</v>
      </c>
    </row>
    <row r="351">
      <c r="A351" s="8" t="s">
        <v>29</v>
      </c>
      <c r="B351" s="9" t="s">
        <v>71</v>
      </c>
      <c r="C351" s="9" t="s">
        <v>72</v>
      </c>
      <c r="D351" s="10"/>
      <c r="E351" s="11" t="str">
        <f>"－"</f>
        <v>－</v>
      </c>
      <c r="F351" s="10"/>
      <c r="G351" s="11" t="str">
        <f>"－"</f>
        <v>－</v>
      </c>
      <c r="H351" s="10"/>
      <c r="I351" s="11" t="str">
        <f>"－"</f>
        <v>－</v>
      </c>
      <c r="J351" s="10"/>
      <c r="K351" s="11" t="n">
        <f>3</f>
        <v>3.0</v>
      </c>
    </row>
    <row r="352">
      <c r="A352" s="8" t="s">
        <v>30</v>
      </c>
      <c r="B352" s="9" t="s">
        <v>71</v>
      </c>
      <c r="C352" s="9" t="s">
        <v>72</v>
      </c>
      <c r="D352" s="10"/>
      <c r="E352" s="11"/>
      <c r="F352" s="10"/>
      <c r="G352" s="11"/>
      <c r="H352" s="10"/>
      <c r="I352" s="11"/>
      <c r="J352" s="10"/>
      <c r="K352" s="11"/>
    </row>
    <row r="353">
      <c r="A353" s="8" t="s">
        <v>31</v>
      </c>
      <c r="B353" s="9" t="s">
        <v>71</v>
      </c>
      <c r="C353" s="9" t="s">
        <v>72</v>
      </c>
      <c r="D353" s="10"/>
      <c r="E353" s="11" t="str">
        <f>"－"</f>
        <v>－</v>
      </c>
      <c r="F353" s="10"/>
      <c r="G353" s="11" t="str">
        <f>"－"</f>
        <v>－</v>
      </c>
      <c r="H353" s="10"/>
      <c r="I353" s="11" t="str">
        <f>"－"</f>
        <v>－</v>
      </c>
      <c r="J353" s="10"/>
      <c r="K353" s="11" t="n">
        <f>3</f>
        <v>3.0</v>
      </c>
    </row>
    <row r="354">
      <c r="A354" s="8" t="s">
        <v>32</v>
      </c>
      <c r="B354" s="9" t="s">
        <v>71</v>
      </c>
      <c r="C354" s="9" t="s">
        <v>72</v>
      </c>
      <c r="D354" s="10"/>
      <c r="E354" s="11"/>
      <c r="F354" s="10"/>
      <c r="G354" s="11"/>
      <c r="H354" s="10"/>
      <c r="I354" s="11"/>
      <c r="J354" s="10"/>
      <c r="K354" s="11"/>
    </row>
    <row r="355">
      <c r="A355" s="8" t="s">
        <v>33</v>
      </c>
      <c r="B355" s="9" t="s">
        <v>71</v>
      </c>
      <c r="C355" s="9" t="s">
        <v>72</v>
      </c>
      <c r="D355" s="10"/>
      <c r="E355" s="11"/>
      <c r="F355" s="10"/>
      <c r="G355" s="11"/>
      <c r="H355" s="10"/>
      <c r="I355" s="11"/>
      <c r="J355" s="10"/>
      <c r="K355" s="11"/>
    </row>
    <row r="356">
      <c r="A356" s="8" t="s">
        <v>34</v>
      </c>
      <c r="B356" s="9" t="s">
        <v>71</v>
      </c>
      <c r="C356" s="9" t="s">
        <v>72</v>
      </c>
      <c r="D356" s="10"/>
      <c r="E356" s="11" t="str">
        <f>"－"</f>
        <v>－</v>
      </c>
      <c r="F356" s="10"/>
      <c r="G356" s="11" t="str">
        <f>"－"</f>
        <v>－</v>
      </c>
      <c r="H356" s="10"/>
      <c r="I356" s="11" t="str">
        <f>"－"</f>
        <v>－</v>
      </c>
      <c r="J356" s="10"/>
      <c r="K356" s="11" t="n">
        <f>3</f>
        <v>3.0</v>
      </c>
    </row>
    <row r="357">
      <c r="A357" s="8" t="s">
        <v>35</v>
      </c>
      <c r="B357" s="9" t="s">
        <v>71</v>
      </c>
      <c r="C357" s="9" t="s">
        <v>72</v>
      </c>
      <c r="D357" s="10"/>
      <c r="E357" s="11" t="str">
        <f>"－"</f>
        <v>－</v>
      </c>
      <c r="F357" s="10"/>
      <c r="G357" s="11" t="str">
        <f>"－"</f>
        <v>－</v>
      </c>
      <c r="H357" s="10"/>
      <c r="I357" s="11" t="str">
        <f>"－"</f>
        <v>－</v>
      </c>
      <c r="J357" s="10"/>
      <c r="K357" s="11" t="n">
        <f>3</f>
        <v>3.0</v>
      </c>
    </row>
    <row r="358">
      <c r="A358" s="8" t="s">
        <v>36</v>
      </c>
      <c r="B358" s="9" t="s">
        <v>71</v>
      </c>
      <c r="C358" s="9" t="s">
        <v>72</v>
      </c>
      <c r="D358" s="10"/>
      <c r="E358" s="11" t="str">
        <f>"－"</f>
        <v>－</v>
      </c>
      <c r="F358" s="10"/>
      <c r="G358" s="11" t="str">
        <f>"－"</f>
        <v>－</v>
      </c>
      <c r="H358" s="10"/>
      <c r="I358" s="11" t="str">
        <f>"－"</f>
        <v>－</v>
      </c>
      <c r="J358" s="10"/>
      <c r="K358" s="11" t="n">
        <f>3</f>
        <v>3.0</v>
      </c>
    </row>
    <row r="359">
      <c r="A359" s="8" t="s">
        <v>37</v>
      </c>
      <c r="B359" s="9" t="s">
        <v>71</v>
      </c>
      <c r="C359" s="9" t="s">
        <v>72</v>
      </c>
      <c r="D359" s="10"/>
      <c r="E359" s="11" t="str">
        <f>"－"</f>
        <v>－</v>
      </c>
      <c r="F359" s="10"/>
      <c r="G359" s="11" t="str">
        <f>"－"</f>
        <v>－</v>
      </c>
      <c r="H359" s="10"/>
      <c r="I359" s="11" t="str">
        <f>"－"</f>
        <v>－</v>
      </c>
      <c r="J359" s="10"/>
      <c r="K359" s="11" t="n">
        <f>3</f>
        <v>3.0</v>
      </c>
    </row>
    <row r="360">
      <c r="A360" s="8" t="s">
        <v>38</v>
      </c>
      <c r="B360" s="9" t="s">
        <v>71</v>
      </c>
      <c r="C360" s="9" t="s">
        <v>72</v>
      </c>
      <c r="D360" s="10"/>
      <c r="E360" s="11" t="str">
        <f>"－"</f>
        <v>－</v>
      </c>
      <c r="F360" s="10"/>
      <c r="G360" s="11" t="str">
        <f>"－"</f>
        <v>－</v>
      </c>
      <c r="H360" s="10"/>
      <c r="I360" s="11" t="str">
        <f>"－"</f>
        <v>－</v>
      </c>
      <c r="J360" s="10"/>
      <c r="K360" s="11" t="n">
        <f>3</f>
        <v>3.0</v>
      </c>
    </row>
    <row r="361">
      <c r="A361" s="8" t="s">
        <v>39</v>
      </c>
      <c r="B361" s="9" t="s">
        <v>71</v>
      </c>
      <c r="C361" s="9" t="s">
        <v>72</v>
      </c>
      <c r="D361" s="10"/>
      <c r="E361" s="11"/>
      <c r="F361" s="10"/>
      <c r="G361" s="11"/>
      <c r="H361" s="10"/>
      <c r="I361" s="11"/>
      <c r="J361" s="10"/>
      <c r="K361" s="11"/>
    </row>
    <row r="362">
      <c r="A362" s="8" t="s">
        <v>40</v>
      </c>
      <c r="B362" s="9" t="s">
        <v>71</v>
      </c>
      <c r="C362" s="9" t="s">
        <v>72</v>
      </c>
      <c r="D362" s="10"/>
      <c r="E362" s="11"/>
      <c r="F362" s="10"/>
      <c r="G362" s="11"/>
      <c r="H362" s="10"/>
      <c r="I362" s="11"/>
      <c r="J362" s="10"/>
      <c r="K362" s="11"/>
    </row>
    <row r="363">
      <c r="A363" s="8" t="s">
        <v>41</v>
      </c>
      <c r="B363" s="9" t="s">
        <v>71</v>
      </c>
      <c r="C363" s="9" t="s">
        <v>72</v>
      </c>
      <c r="D363" s="10"/>
      <c r="E363" s="11" t="str">
        <f>"－"</f>
        <v>－</v>
      </c>
      <c r="F363" s="10"/>
      <c r="G363" s="11" t="str">
        <f>"－"</f>
        <v>－</v>
      </c>
      <c r="H363" s="10"/>
      <c r="I363" s="11" t="str">
        <f>"－"</f>
        <v>－</v>
      </c>
      <c r="J363" s="10"/>
      <c r="K363" s="11" t="n">
        <f>3</f>
        <v>3.0</v>
      </c>
    </row>
    <row r="364">
      <c r="A364" s="8" t="s">
        <v>42</v>
      </c>
      <c r="B364" s="9" t="s">
        <v>71</v>
      </c>
      <c r="C364" s="9" t="s">
        <v>72</v>
      </c>
      <c r="D364" s="10"/>
      <c r="E364" s="11"/>
      <c r="F364" s="10"/>
      <c r="G364" s="11"/>
      <c r="H364" s="10"/>
      <c r="I364" s="11"/>
      <c r="J364" s="10"/>
      <c r="K364" s="11"/>
    </row>
    <row r="365">
      <c r="A365" s="8" t="s">
        <v>43</v>
      </c>
      <c r="B365" s="9" t="s">
        <v>71</v>
      </c>
      <c r="C365" s="9" t="s">
        <v>72</v>
      </c>
      <c r="D365" s="10"/>
      <c r="E365" s="11" t="str">
        <f>"－"</f>
        <v>－</v>
      </c>
      <c r="F365" s="10"/>
      <c r="G365" s="11" t="str">
        <f>"－"</f>
        <v>－</v>
      </c>
      <c r="H365" s="10"/>
      <c r="I365" s="11" t="str">
        <f>"－"</f>
        <v>－</v>
      </c>
      <c r="J365" s="10"/>
      <c r="K365" s="11" t="n">
        <f>3</f>
        <v>3.0</v>
      </c>
    </row>
    <row r="366">
      <c r="A366" s="8" t="s">
        <v>44</v>
      </c>
      <c r="B366" s="9" t="s">
        <v>71</v>
      </c>
      <c r="C366" s="9" t="s">
        <v>72</v>
      </c>
      <c r="D366" s="10"/>
      <c r="E366" s="11" t="str">
        <f>"－"</f>
        <v>－</v>
      </c>
      <c r="F366" s="10"/>
      <c r="G366" s="11" t="str">
        <f>"－"</f>
        <v>－</v>
      </c>
      <c r="H366" s="10"/>
      <c r="I366" s="11" t="str">
        <f>"－"</f>
        <v>－</v>
      </c>
      <c r="J366" s="10"/>
      <c r="K366" s="11" t="n">
        <f>3</f>
        <v>3.0</v>
      </c>
    </row>
    <row r="367">
      <c r="A367" s="8" t="s">
        <v>45</v>
      </c>
      <c r="B367" s="9" t="s">
        <v>71</v>
      </c>
      <c r="C367" s="9" t="s">
        <v>72</v>
      </c>
      <c r="D367" s="10"/>
      <c r="E367" s="11" t="str">
        <f>"－"</f>
        <v>－</v>
      </c>
      <c r="F367" s="10"/>
      <c r="G367" s="11" t="str">
        <f>"－"</f>
        <v>－</v>
      </c>
      <c r="H367" s="10"/>
      <c r="I367" s="11" t="str">
        <f>"－"</f>
        <v>－</v>
      </c>
      <c r="J367" s="10"/>
      <c r="K367" s="11" t="n">
        <f>3</f>
        <v>3.0</v>
      </c>
    </row>
    <row r="368">
      <c r="A368" s="8" t="s">
        <v>46</v>
      </c>
      <c r="B368" s="9" t="s">
        <v>71</v>
      </c>
      <c r="C368" s="9" t="s">
        <v>72</v>
      </c>
      <c r="D368" s="10"/>
      <c r="E368" s="11"/>
      <c r="F368" s="10"/>
      <c r="G368" s="11"/>
      <c r="H368" s="10"/>
      <c r="I368" s="11"/>
      <c r="J368" s="10"/>
      <c r="K368" s="11"/>
    </row>
    <row r="369">
      <c r="A369" s="8" t="s">
        <v>47</v>
      </c>
      <c r="B369" s="9" t="s">
        <v>71</v>
      </c>
      <c r="C369" s="9" t="s">
        <v>72</v>
      </c>
      <c r="D369" s="10"/>
      <c r="E369" s="11"/>
      <c r="F369" s="10"/>
      <c r="G369" s="11"/>
      <c r="H369" s="10"/>
      <c r="I369" s="11"/>
      <c r="J369" s="10"/>
      <c r="K369" s="11"/>
    </row>
  </sheetData>
  <mergeCells count="12">
    <mergeCell ref="J4:K4"/>
    <mergeCell ref="D5:E5"/>
    <mergeCell ref="F5:G5"/>
    <mergeCell ref="H5:I5"/>
    <mergeCell ref="J5:K5"/>
    <mergeCell ref="A1:C1"/>
    <mergeCell ref="A2:C2"/>
    <mergeCell ref="D4:E4"/>
    <mergeCell ref="F4:G4"/>
    <mergeCell ref="H4:I4"/>
    <mergeCell ref="B4:B5"/>
    <mergeCell ref="C4:C5"/>
  </mergeCells>
  <phoneticPr fontId="5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66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BO_DM0035</vt:lpstr>
      <vt:lpstr>BO_DM0035!Print_Titles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2019-12-02T08:22:48Z</cp:lastPrinted>
  <dcterms:modified xsi:type="dcterms:W3CDTF">2020-09-04T01:53:44Z</dcterms:modified>
</cp:coreProperties>
</file>