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<sst xmlns="http://schemas.openxmlformats.org/spreadsheetml/2006/main" count="1561" uniqueCount="81">
  <si>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</si>
  <si>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</si>
  <si>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</si>
  <si>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</si>
  <si>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</si>
  <si>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</si>
  <si>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</si>
  <si>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</si>
  <si>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</si>
  <si>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</si>
  <si>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</si>
  <si>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</si>
  <si>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</si>
  <si>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</si>
  <si>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</si>
  <si>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</si>
  <si>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9.1</t>
  </si>
  <si>
    <t>日経225先物</t>
  </si>
  <si>
    <t>Nikkei 225 Futures</t>
  </si>
  <si>
    <t>2</t>
  </si>
  <si>
    <t>3</t>
  </si>
  <si>
    <t>4</t>
  </si>
  <si>
    <t>5</t>
  </si>
  <si>
    <t>6</t>
  </si>
  <si>
    <t>7</t>
  </si>
  <si>
    <t>◎</t>
  </si>
  <si>
    <t>8</t>
  </si>
  <si>
    <t>9</t>
  </si>
  <si>
    <t>10</t>
  </si>
  <si>
    <t>11</t>
  </si>
  <si>
    <t>12</t>
  </si>
  <si>
    <t>13</t>
  </si>
  <si>
    <t>●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</si>
  <si>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</si>
  <si>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</si>
  <si>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</si>
  <si>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</si>
  <si>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</si>
  <si>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</si>
  <si>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</si>
  <si>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</si>
  <si>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</si>
  <si>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</si>
  <si>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</si>
  <si>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</si>
  <si>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</si>
  <si>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</si>
  <si>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</si>
  <si>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</si>
  <si>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</si>
  <si>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</si>
  <si>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</si>
  <si>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</si>
  <si>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</si>
  <si>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</si>
  <si>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</si>
  <si>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</si>
  <si>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</si>
  <si>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</si>
  <si>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</si>
  <si>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</si>
  <si>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</si>
  <si>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</si>
  <si>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</si>
  <si>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</si>
  <si>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</si>
  <si>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</si>
  <si>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</si>
  <si>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</si>
  <si>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</si>
  <si>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</si>
  <si>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</si>
  <si>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</si>
  <si>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</si>
  <si>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50 Index Futures</t>
  </si>
  <si>
    <t>日経平均・配当指数先物</t>
  </si>
  <si>
    <t>Nikkei 225 Dividend Index Futures</t>
  </si>
  <si>
    <t>日経平均VI先物</t>
  </si>
  <si>
    <t>Nikkei 225 VI Futures</t>
  </si>
  <si>
    <t>日経平均トータルリターン・インデックス先物</t>
  </si>
  <si>
    <t>Nikkei 225 Total Return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</si>
</sst>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85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73263</f>
        <v>73263.0</v>
      </c>
      <c r="F6" s="10"/>
      <c r="G6" s="2" t="n">
        <f>2072321181140</f>
        <v>2.07232118114E12</v>
      </c>
      <c r="H6" s="10"/>
      <c r="I6" s="2" t="n">
        <f>13274</f>
        <v>13274.0</v>
      </c>
      <c r="J6" s="10"/>
      <c r="K6" s="2" t="n">
        <f>314828</f>
        <v>314828.0</v>
      </c>
    </row>
    <row r="7">
      <c r="A7" s="8" t="s">
        <v>19</v>
      </c>
      <c r="B7" s="9" t="s">
        <v>17</v>
      </c>
      <c r="C7" s="9" t="s">
        <v>18</v>
      </c>
      <c r="D7" s="10"/>
      <c r="E7" s="2" t="n">
        <f>69616</f>
        <v>69616.0</v>
      </c>
      <c r="F7" s="10"/>
      <c r="G7" s="2" t="n">
        <f>1982355726590</f>
        <v>1.98235572659E12</v>
      </c>
      <c r="H7" s="10"/>
      <c r="I7" s="2" t="n">
        <f>12377</f>
        <v>12377.0</v>
      </c>
      <c r="J7" s="10"/>
      <c r="K7" s="2" t="n">
        <f>319200</f>
        <v>319200.0</v>
      </c>
    </row>
    <row r="8">
      <c r="A8" s="8" t="s">
        <v>20</v>
      </c>
      <c r="B8" s="9" t="s">
        <v>17</v>
      </c>
      <c r="C8" s="9" t="s">
        <v>18</v>
      </c>
      <c r="D8" s="10"/>
      <c r="E8" s="2" t="n">
        <f>111403</f>
        <v>111403.0</v>
      </c>
      <c r="F8" s="10"/>
      <c r="G8" s="2" t="n">
        <f>3212710893878</f>
        <v>3.212710893878E12</v>
      </c>
      <c r="H8" s="10"/>
      <c r="I8" s="2" t="n">
        <f>19966</f>
        <v>19966.0</v>
      </c>
      <c r="J8" s="10"/>
      <c r="K8" s="2" t="n">
        <f>325996</f>
        <v>325996.0</v>
      </c>
    </row>
    <row r="9">
      <c r="A9" s="8" t="s">
        <v>21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22</v>
      </c>
      <c r="B10" s="9" t="s">
        <v>17</v>
      </c>
      <c r="C10" s="9" t="s">
        <v>18</v>
      </c>
      <c r="D10" s="10"/>
      <c r="E10" s="2"/>
      <c r="F10" s="10"/>
      <c r="G10" s="2"/>
      <c r="H10" s="10"/>
      <c r="I10" s="2"/>
      <c r="J10" s="10"/>
      <c r="K10" s="2"/>
    </row>
    <row r="11">
      <c r="A11" s="8" t="s">
        <v>23</v>
      </c>
      <c r="B11" s="9" t="s">
        <v>17</v>
      </c>
      <c r="C11" s="9" t="s">
        <v>18</v>
      </c>
      <c r="D11" s="10"/>
      <c r="E11" s="2" t="n">
        <f>207488</f>
        <v>207488.0</v>
      </c>
      <c r="F11" s="10"/>
      <c r="G11" s="2" t="n">
        <f>6126879249875</f>
        <v>6.126879249875E12</v>
      </c>
      <c r="H11" s="10"/>
      <c r="I11" s="2" t="n">
        <f>39048</f>
        <v>39048.0</v>
      </c>
      <c r="J11" s="10"/>
      <c r="K11" s="2" t="n">
        <f>365148</f>
        <v>365148.0</v>
      </c>
    </row>
    <row r="12">
      <c r="A12" s="8" t="s">
        <v>24</v>
      </c>
      <c r="B12" s="9" t="s">
        <v>17</v>
      </c>
      <c r="C12" s="9" t="s">
        <v>18</v>
      </c>
      <c r="D12" s="10" t="s">
        <v>25</v>
      </c>
      <c r="E12" s="2" t="n">
        <f>338989</f>
        <v>338989.0</v>
      </c>
      <c r="F12" s="10" t="s">
        <v>25</v>
      </c>
      <c r="G12" s="2" t="n">
        <f>10120066661710</f>
        <v>1.012006666171E13</v>
      </c>
      <c r="H12" s="10" t="s">
        <v>25</v>
      </c>
      <c r="I12" s="2" t="n">
        <f>57049</f>
        <v>57049.0</v>
      </c>
      <c r="J12" s="10" t="s">
        <v>25</v>
      </c>
      <c r="K12" s="2" t="n">
        <f>365763</f>
        <v>365763.0</v>
      </c>
    </row>
    <row r="13">
      <c r="A13" s="8" t="s">
        <v>26</v>
      </c>
      <c r="B13" s="9" t="s">
        <v>17</v>
      </c>
      <c r="C13" s="9" t="s">
        <v>18</v>
      </c>
      <c r="D13" s="10"/>
      <c r="E13" s="2" t="n">
        <f>258886</f>
        <v>258886.0</v>
      </c>
      <c r="F13" s="10"/>
      <c r="G13" s="2" t="n">
        <f>7744654857755</f>
        <v>7.744654857755E12</v>
      </c>
      <c r="H13" s="10"/>
      <c r="I13" s="2" t="n">
        <f>29257</f>
        <v>29257.0</v>
      </c>
      <c r="J13" s="10"/>
      <c r="K13" s="2" t="n">
        <f>359873</f>
        <v>359873.0</v>
      </c>
    </row>
    <row r="14">
      <c r="A14" s="8" t="s">
        <v>27</v>
      </c>
      <c r="B14" s="9" t="s">
        <v>17</v>
      </c>
      <c r="C14" s="9" t="s">
        <v>18</v>
      </c>
      <c r="D14" s="10"/>
      <c r="E14" s="2" t="n">
        <f>154161</f>
        <v>154161.0</v>
      </c>
      <c r="F14" s="10"/>
      <c r="G14" s="2" t="n">
        <f>4611765927038</f>
        <v>4.611765927038E12</v>
      </c>
      <c r="H14" s="10"/>
      <c r="I14" s="2" t="n">
        <f>18751</f>
        <v>18751.0</v>
      </c>
      <c r="J14" s="10"/>
      <c r="K14" s="2" t="n">
        <f>353781</f>
        <v>353781.0</v>
      </c>
    </row>
    <row r="15">
      <c r="A15" s="8" t="s">
        <v>28</v>
      </c>
      <c r="B15" s="9" t="s">
        <v>17</v>
      </c>
      <c r="C15" s="9" t="s">
        <v>18</v>
      </c>
      <c r="D15" s="10"/>
      <c r="E15" s="2" t="n">
        <f>83499</f>
        <v>83499.0</v>
      </c>
      <c r="F15" s="10"/>
      <c r="G15" s="2" t="n">
        <f>2507785562890</f>
        <v>2.50778556289E12</v>
      </c>
      <c r="H15" s="10"/>
      <c r="I15" s="2" t="n">
        <f>11788</f>
        <v>11788.0</v>
      </c>
      <c r="J15" s="10"/>
      <c r="K15" s="2" t="n">
        <f>358685</f>
        <v>358685.0</v>
      </c>
    </row>
    <row r="16">
      <c r="A16" s="8" t="s">
        <v>29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30</v>
      </c>
      <c r="B17" s="9" t="s">
        <v>17</v>
      </c>
      <c r="C17" s="9" t="s">
        <v>18</v>
      </c>
      <c r="D17" s="10"/>
      <c r="E17" s="2"/>
      <c r="F17" s="10"/>
      <c r="G17" s="2"/>
      <c r="H17" s="10"/>
      <c r="I17" s="2"/>
      <c r="J17" s="10"/>
      <c r="K17" s="2"/>
    </row>
    <row r="18">
      <c r="A18" s="8" t="s">
        <v>31</v>
      </c>
      <c r="B18" s="9" t="s">
        <v>17</v>
      </c>
      <c r="C18" s="9" t="s">
        <v>18</v>
      </c>
      <c r="D18" s="10"/>
      <c r="E18" s="2" t="n">
        <f>60540</f>
        <v>60540.0</v>
      </c>
      <c r="F18" s="10"/>
      <c r="G18" s="2" t="n">
        <f>1827029314940</f>
        <v>1.82702931494E12</v>
      </c>
      <c r="H18" s="10"/>
      <c r="I18" s="2" t="n">
        <f>9248</f>
        <v>9248.0</v>
      </c>
      <c r="J18" s="10" t="s">
        <v>32</v>
      </c>
      <c r="K18" s="2" t="n">
        <f>275428</f>
        <v>275428.0</v>
      </c>
    </row>
    <row r="19">
      <c r="A19" s="8" t="s">
        <v>33</v>
      </c>
      <c r="B19" s="9" t="s">
        <v>17</v>
      </c>
      <c r="C19" s="9" t="s">
        <v>18</v>
      </c>
      <c r="D19" s="10"/>
      <c r="E19" s="2" t="n">
        <f>78587</f>
        <v>78587.0</v>
      </c>
      <c r="F19" s="10"/>
      <c r="G19" s="2" t="n">
        <f>2391410104960</f>
        <v>2.39141010496E12</v>
      </c>
      <c r="H19" s="10"/>
      <c r="I19" s="2" t="n">
        <f>10919</f>
        <v>10919.0</v>
      </c>
      <c r="J19" s="10"/>
      <c r="K19" s="2" t="n">
        <f>280479</f>
        <v>280479.0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63961</f>
        <v>63961.0</v>
      </c>
      <c r="F20" s="10"/>
      <c r="G20" s="2" t="n">
        <f>1936750238277</f>
        <v>1.936750238277E12</v>
      </c>
      <c r="H20" s="10"/>
      <c r="I20" s="2" t="n">
        <f>10316</f>
        <v>10316.0</v>
      </c>
      <c r="J20" s="10"/>
      <c r="K20" s="2" t="n">
        <f>283306</f>
        <v>283306.0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63395</f>
        <v>63395.0</v>
      </c>
      <c r="F21" s="10"/>
      <c r="G21" s="2" t="n">
        <f>1916442430184</f>
        <v>1.916442430184E12</v>
      </c>
      <c r="H21" s="10"/>
      <c r="I21" s="2" t="n">
        <f>8273</f>
        <v>8273.0</v>
      </c>
      <c r="J21" s="10"/>
      <c r="K21" s="2" t="n">
        <f>284902</f>
        <v>284902.0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51061</f>
        <v>51061.0</v>
      </c>
      <c r="F22" s="10"/>
      <c r="G22" s="2" t="n">
        <f>1545306136690</f>
        <v>1.54530613669E12</v>
      </c>
      <c r="H22" s="10" t="s">
        <v>32</v>
      </c>
      <c r="I22" s="2" t="n">
        <f>7517</f>
        <v>7517.0</v>
      </c>
      <c r="J22" s="10"/>
      <c r="K22" s="2" t="n">
        <f>285145</f>
        <v>285145.0</v>
      </c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/>
      <c r="F24" s="10"/>
      <c r="G24" s="2"/>
      <c r="H24" s="10"/>
      <c r="I24" s="2"/>
      <c r="J24" s="10"/>
      <c r="K24" s="2"/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 t="s">
        <v>32</v>
      </c>
      <c r="E26" s="2" t="n">
        <f>48672</f>
        <v>48672.0</v>
      </c>
      <c r="F26" s="10" t="s">
        <v>32</v>
      </c>
      <c r="G26" s="2" t="n">
        <f>1448306422606</f>
        <v>1.448306422606E12</v>
      </c>
      <c r="H26" s="10"/>
      <c r="I26" s="2" t="n">
        <f>9740</f>
        <v>9740.0</v>
      </c>
      <c r="J26" s="10"/>
      <c r="K26" s="2" t="n">
        <f>289127</f>
        <v>289127.0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75763</f>
        <v>75763.0</v>
      </c>
      <c r="F27" s="10"/>
      <c r="G27" s="2" t="n">
        <f>2245451570950</f>
        <v>2.24545157095E12</v>
      </c>
      <c r="H27" s="10"/>
      <c r="I27" s="2" t="n">
        <f>13141</f>
        <v>13141.0</v>
      </c>
      <c r="J27" s="10"/>
      <c r="K27" s="2" t="n">
        <f>288258</f>
        <v>288258.0</v>
      </c>
    </row>
    <row r="28">
      <c r="A28" s="8" t="s">
        <v>42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43</v>
      </c>
      <c r="B29" s="9" t="s">
        <v>17</v>
      </c>
      <c r="C29" s="9" t="s">
        <v>18</v>
      </c>
      <c r="D29" s="10"/>
      <c r="E29" s="2" t="n">
        <f>67931</f>
        <v>67931.0</v>
      </c>
      <c r="F29" s="10"/>
      <c r="G29" s="2" t="n">
        <f>2035172545730</f>
        <v>2.03517254573E12</v>
      </c>
      <c r="H29" s="10"/>
      <c r="I29" s="2" t="n">
        <f>10954</f>
        <v>10954.0</v>
      </c>
      <c r="J29" s="10"/>
      <c r="K29" s="2" t="n">
        <f>283626</f>
        <v>283626.0</v>
      </c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/>
      <c r="E31" s="2"/>
      <c r="F31" s="10"/>
      <c r="G31" s="2"/>
      <c r="H31" s="10"/>
      <c r="I31" s="2"/>
      <c r="J31" s="10"/>
      <c r="K31" s="2"/>
    </row>
    <row r="32">
      <c r="A32" s="8" t="s">
        <v>46</v>
      </c>
      <c r="B32" s="9" t="s">
        <v>17</v>
      </c>
      <c r="C32" s="9" t="s">
        <v>18</v>
      </c>
      <c r="D32" s="10"/>
      <c r="E32" s="2" t="n">
        <f>50657</f>
        <v>50657.0</v>
      </c>
      <c r="F32" s="10"/>
      <c r="G32" s="2" t="n">
        <f>1522805631885</f>
        <v>1.522805631885E12</v>
      </c>
      <c r="H32" s="10"/>
      <c r="I32" s="2" t="n">
        <f>8845</f>
        <v>8845.0</v>
      </c>
      <c r="J32" s="10"/>
      <c r="K32" s="2" t="n">
        <f>284525</f>
        <v>284525.0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62008</f>
        <v>62008.0</v>
      </c>
      <c r="F33" s="10"/>
      <c r="G33" s="2" t="n">
        <f>1857708444470</f>
        <v>1.85770844447E12</v>
      </c>
      <c r="H33" s="10"/>
      <c r="I33" s="2" t="n">
        <f>10066</f>
        <v>10066.0</v>
      </c>
      <c r="J33" s="10"/>
      <c r="K33" s="2" t="n">
        <f>289014</f>
        <v>289014.0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110612</f>
        <v>110612.0</v>
      </c>
      <c r="F34" s="10"/>
      <c r="G34" s="2" t="n">
        <f>3267768362170</f>
        <v>3.26776836217E12</v>
      </c>
      <c r="H34" s="10"/>
      <c r="I34" s="2" t="n">
        <f>17392</f>
        <v>17392.0</v>
      </c>
      <c r="J34" s="10"/>
      <c r="K34" s="2" t="n">
        <f>299038</f>
        <v>299038.0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94287</f>
        <v>94287.0</v>
      </c>
      <c r="F35" s="10"/>
      <c r="G35" s="2" t="n">
        <f>2786951824090</f>
        <v>2.78695182409E12</v>
      </c>
      <c r="H35" s="10"/>
      <c r="I35" s="2" t="n">
        <f>12483</f>
        <v>12483.0</v>
      </c>
      <c r="J35" s="10"/>
      <c r="K35" s="2" t="n">
        <f>299761</f>
        <v>299761.0</v>
      </c>
    </row>
    <row r="36">
      <c r="A36" s="8" t="s">
        <v>16</v>
      </c>
      <c r="B36" s="9" t="s">
        <v>50</v>
      </c>
      <c r="C36" s="9" t="s">
        <v>51</v>
      </c>
      <c r="D36" s="10"/>
      <c r="E36" s="2" t="n">
        <f>952273</f>
        <v>952273.0</v>
      </c>
      <c r="F36" s="10"/>
      <c r="G36" s="2" t="n">
        <f>2689842261102</f>
        <v>2.689842261102E12</v>
      </c>
      <c r="H36" s="10"/>
      <c r="I36" s="2" t="n">
        <f>133217</f>
        <v>133217.0</v>
      </c>
      <c r="J36" s="10"/>
      <c r="K36" s="2" t="n">
        <f>349882</f>
        <v>349882.0</v>
      </c>
    </row>
    <row r="37">
      <c r="A37" s="8" t="s">
        <v>19</v>
      </c>
      <c r="B37" s="9" t="s">
        <v>50</v>
      </c>
      <c r="C37" s="9" t="s">
        <v>51</v>
      </c>
      <c r="D37" s="10"/>
      <c r="E37" s="2" t="n">
        <f>789367</f>
        <v>789367.0</v>
      </c>
      <c r="F37" s="10"/>
      <c r="G37" s="2" t="n">
        <f>2249938653446</f>
        <v>2.249938653446E12</v>
      </c>
      <c r="H37" s="10"/>
      <c r="I37" s="2" t="n">
        <f>102324</f>
        <v>102324.0</v>
      </c>
      <c r="J37" s="10"/>
      <c r="K37" s="2" t="n">
        <f>353013</f>
        <v>353013.0</v>
      </c>
    </row>
    <row r="38">
      <c r="A38" s="8" t="s">
        <v>20</v>
      </c>
      <c r="B38" s="9" t="s">
        <v>50</v>
      </c>
      <c r="C38" s="9" t="s">
        <v>51</v>
      </c>
      <c r="D38" s="10"/>
      <c r="E38" s="2" t="n">
        <f>1129412</f>
        <v>1129412.0</v>
      </c>
      <c r="F38" s="10"/>
      <c r="G38" s="2" t="n">
        <f>3254863610430</f>
        <v>3.25486361043E12</v>
      </c>
      <c r="H38" s="10"/>
      <c r="I38" s="2" t="n">
        <f>158898</f>
        <v>158898.0</v>
      </c>
      <c r="J38" s="10"/>
      <c r="K38" s="2" t="n">
        <f>361076</f>
        <v>361076.0</v>
      </c>
    </row>
    <row r="39">
      <c r="A39" s="8" t="s">
        <v>21</v>
      </c>
      <c r="B39" s="9" t="s">
        <v>50</v>
      </c>
      <c r="C39" s="9" t="s">
        <v>51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22</v>
      </c>
      <c r="B40" s="9" t="s">
        <v>50</v>
      </c>
      <c r="C40" s="9" t="s">
        <v>51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23</v>
      </c>
      <c r="B41" s="9" t="s">
        <v>50</v>
      </c>
      <c r="C41" s="9" t="s">
        <v>51</v>
      </c>
      <c r="D41" s="10"/>
      <c r="E41" s="2" t="n">
        <f>1411691</f>
        <v>1411691.0</v>
      </c>
      <c r="F41" s="10"/>
      <c r="G41" s="2" t="n">
        <f>4157870273975</f>
        <v>4.157870273975E12</v>
      </c>
      <c r="H41" s="10"/>
      <c r="I41" s="2" t="n">
        <f>201000</f>
        <v>201000.0</v>
      </c>
      <c r="J41" s="10"/>
      <c r="K41" s="2" t="n">
        <f>385313</f>
        <v>385313.0</v>
      </c>
    </row>
    <row r="42">
      <c r="A42" s="8" t="s">
        <v>24</v>
      </c>
      <c r="B42" s="9" t="s">
        <v>50</v>
      </c>
      <c r="C42" s="9" t="s">
        <v>51</v>
      </c>
      <c r="D42" s="10"/>
      <c r="E42" s="2" t="n">
        <f>1068014</f>
        <v>1068014.0</v>
      </c>
      <c r="F42" s="10"/>
      <c r="G42" s="2" t="n">
        <f>3196676467145</f>
        <v>3.196676467145E12</v>
      </c>
      <c r="H42" s="10" t="s">
        <v>25</v>
      </c>
      <c r="I42" s="2" t="n">
        <f>226740</f>
        <v>226740.0</v>
      </c>
      <c r="J42" s="10"/>
      <c r="K42" s="2" t="n">
        <f>419622</f>
        <v>419622.0</v>
      </c>
    </row>
    <row r="43">
      <c r="A43" s="8" t="s">
        <v>26</v>
      </c>
      <c r="B43" s="9" t="s">
        <v>50</v>
      </c>
      <c r="C43" s="9" t="s">
        <v>51</v>
      </c>
      <c r="D43" s="10"/>
      <c r="E43" s="2" t="n">
        <f>1147674</f>
        <v>1147674.0</v>
      </c>
      <c r="F43" s="10"/>
      <c r="G43" s="2" t="n">
        <f>3431094532892</f>
        <v>3.431094532892E12</v>
      </c>
      <c r="H43" s="10"/>
      <c r="I43" s="2" t="n">
        <f>196846</f>
        <v>196846.0</v>
      </c>
      <c r="J43" s="10"/>
      <c r="K43" s="2" t="n">
        <f>412238</f>
        <v>412238.0</v>
      </c>
    </row>
    <row r="44">
      <c r="A44" s="8" t="s">
        <v>27</v>
      </c>
      <c r="B44" s="9" t="s">
        <v>50</v>
      </c>
      <c r="C44" s="9" t="s">
        <v>51</v>
      </c>
      <c r="D44" s="10"/>
      <c r="E44" s="2" t="n">
        <f>1141029</f>
        <v>1141029.0</v>
      </c>
      <c r="F44" s="10"/>
      <c r="G44" s="2" t="n">
        <f>3418228359317</f>
        <v>3.418228359317E12</v>
      </c>
      <c r="H44" s="10"/>
      <c r="I44" s="2" t="n">
        <f>161701</f>
        <v>161701.0</v>
      </c>
      <c r="J44" s="10"/>
      <c r="K44" s="2" t="n">
        <f>413217</f>
        <v>413217.0</v>
      </c>
    </row>
    <row r="45">
      <c r="A45" s="8" t="s">
        <v>28</v>
      </c>
      <c r="B45" s="9" t="s">
        <v>50</v>
      </c>
      <c r="C45" s="9" t="s">
        <v>51</v>
      </c>
      <c r="D45" s="10"/>
      <c r="E45" s="2" t="n">
        <f>1048580</f>
        <v>1048580.0</v>
      </c>
      <c r="F45" s="10"/>
      <c r="G45" s="2" t="n">
        <f>3146202592600</f>
        <v>3.1462025926E12</v>
      </c>
      <c r="H45" s="10"/>
      <c r="I45" s="2" t="n">
        <f>145963</f>
        <v>145963.0</v>
      </c>
      <c r="J45" s="10" t="s">
        <v>25</v>
      </c>
      <c r="K45" s="2" t="n">
        <f>445858</f>
        <v>445858.0</v>
      </c>
    </row>
    <row r="46">
      <c r="A46" s="8" t="s">
        <v>29</v>
      </c>
      <c r="B46" s="9" t="s">
        <v>50</v>
      </c>
      <c r="C46" s="9" t="s">
        <v>51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30</v>
      </c>
      <c r="B47" s="9" t="s">
        <v>50</v>
      </c>
      <c r="C47" s="9" t="s">
        <v>51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31</v>
      </c>
      <c r="B48" s="9" t="s">
        <v>50</v>
      </c>
      <c r="C48" s="9" t="s">
        <v>51</v>
      </c>
      <c r="D48" s="10"/>
      <c r="E48" s="2" t="n">
        <f>961518</f>
        <v>961518.0</v>
      </c>
      <c r="F48" s="10"/>
      <c r="G48" s="2" t="n">
        <f>2901514370560</f>
        <v>2.90151437056E12</v>
      </c>
      <c r="H48" s="10"/>
      <c r="I48" s="2" t="n">
        <f>123491</f>
        <v>123491.0</v>
      </c>
      <c r="J48" s="10"/>
      <c r="K48" s="2" t="n">
        <f>287633</f>
        <v>287633.0</v>
      </c>
    </row>
    <row r="49">
      <c r="A49" s="8" t="s">
        <v>33</v>
      </c>
      <c r="B49" s="9" t="s">
        <v>50</v>
      </c>
      <c r="C49" s="9" t="s">
        <v>51</v>
      </c>
      <c r="D49" s="10"/>
      <c r="E49" s="2" t="n">
        <f>1021646</f>
        <v>1021646.0</v>
      </c>
      <c r="F49" s="10"/>
      <c r="G49" s="2" t="n">
        <f>3106856783850</f>
        <v>3.10685678385E12</v>
      </c>
      <c r="H49" s="10"/>
      <c r="I49" s="2" t="n">
        <f>108685</f>
        <v>108685.0</v>
      </c>
      <c r="J49" s="10" t="s">
        <v>32</v>
      </c>
      <c r="K49" s="2" t="n">
        <f>260394</f>
        <v>260394.0</v>
      </c>
    </row>
    <row r="50">
      <c r="A50" s="8" t="s">
        <v>34</v>
      </c>
      <c r="B50" s="9" t="s">
        <v>50</v>
      </c>
      <c r="C50" s="9" t="s">
        <v>51</v>
      </c>
      <c r="D50" s="10"/>
      <c r="E50" s="2" t="n">
        <f>932503</f>
        <v>932503.0</v>
      </c>
      <c r="F50" s="10"/>
      <c r="G50" s="2" t="n">
        <f>2823495062007</f>
        <v>2.823495062007E12</v>
      </c>
      <c r="H50" s="10"/>
      <c r="I50" s="2" t="n">
        <f>147550</f>
        <v>147550.0</v>
      </c>
      <c r="J50" s="10"/>
      <c r="K50" s="2" t="n">
        <f>278889</f>
        <v>278889.0</v>
      </c>
    </row>
    <row r="51">
      <c r="A51" s="8" t="s">
        <v>35</v>
      </c>
      <c r="B51" s="9" t="s">
        <v>50</v>
      </c>
      <c r="C51" s="9" t="s">
        <v>51</v>
      </c>
      <c r="D51" s="10"/>
      <c r="E51" s="2" t="n">
        <f>933386</f>
        <v>933386.0</v>
      </c>
      <c r="F51" s="10"/>
      <c r="G51" s="2" t="n">
        <f>2822931125164</f>
        <v>2.822931125164E12</v>
      </c>
      <c r="H51" s="10"/>
      <c r="I51" s="2" t="n">
        <f>147644</f>
        <v>147644.0</v>
      </c>
      <c r="J51" s="10"/>
      <c r="K51" s="2" t="n">
        <f>284951</f>
        <v>284951.0</v>
      </c>
    </row>
    <row r="52">
      <c r="A52" s="8" t="s">
        <v>36</v>
      </c>
      <c r="B52" s="9" t="s">
        <v>50</v>
      </c>
      <c r="C52" s="9" t="s">
        <v>51</v>
      </c>
      <c r="D52" s="10"/>
      <c r="E52" s="2" t="n">
        <f>746829</f>
        <v>746829.0</v>
      </c>
      <c r="F52" s="10"/>
      <c r="G52" s="2" t="n">
        <f>2259219564472</f>
        <v>2.259219564472E12</v>
      </c>
      <c r="H52" s="10"/>
      <c r="I52" s="2" t="n">
        <f>105754</f>
        <v>105754.0</v>
      </c>
      <c r="J52" s="10"/>
      <c r="K52" s="2" t="n">
        <f>287171</f>
        <v>287171.0</v>
      </c>
    </row>
    <row r="53">
      <c r="A53" s="8" t="s">
        <v>37</v>
      </c>
      <c r="B53" s="9" t="s">
        <v>50</v>
      </c>
      <c r="C53" s="9" t="s">
        <v>51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38</v>
      </c>
      <c r="B54" s="9" t="s">
        <v>50</v>
      </c>
      <c r="C54" s="9" t="s">
        <v>51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39</v>
      </c>
      <c r="B55" s="9" t="s">
        <v>50</v>
      </c>
      <c r="C55" s="9" t="s">
        <v>51</v>
      </c>
      <c r="D55" s="10"/>
      <c r="E55" s="2"/>
      <c r="F55" s="10"/>
      <c r="G55" s="2"/>
      <c r="H55" s="10"/>
      <c r="I55" s="2"/>
      <c r="J55" s="10"/>
      <c r="K55" s="2"/>
    </row>
    <row r="56">
      <c r="A56" s="8" t="s">
        <v>40</v>
      </c>
      <c r="B56" s="9" t="s">
        <v>50</v>
      </c>
      <c r="C56" s="9" t="s">
        <v>51</v>
      </c>
      <c r="D56" s="10" t="s">
        <v>32</v>
      </c>
      <c r="E56" s="2" t="n">
        <f>506384</f>
        <v>506384.0</v>
      </c>
      <c r="F56" s="10" t="s">
        <v>32</v>
      </c>
      <c r="G56" s="2" t="n">
        <f>1505759337118</f>
        <v>1.505759337118E12</v>
      </c>
      <c r="H56" s="10" t="s">
        <v>32</v>
      </c>
      <c r="I56" s="2" t="n">
        <f>91004</f>
        <v>91004.0</v>
      </c>
      <c r="J56" s="10"/>
      <c r="K56" s="2" t="n">
        <f>300232</f>
        <v>300232.0</v>
      </c>
    </row>
    <row r="57">
      <c r="A57" s="8" t="s">
        <v>41</v>
      </c>
      <c r="B57" s="9" t="s">
        <v>50</v>
      </c>
      <c r="C57" s="9" t="s">
        <v>51</v>
      </c>
      <c r="D57" s="10"/>
      <c r="E57" s="2" t="n">
        <f>1164003</f>
        <v>1164003.0</v>
      </c>
      <c r="F57" s="10"/>
      <c r="G57" s="2" t="n">
        <f>3456868224410</f>
        <v>3.45686822441E12</v>
      </c>
      <c r="H57" s="10"/>
      <c r="I57" s="2" t="n">
        <f>200006</f>
        <v>200006.0</v>
      </c>
      <c r="J57" s="10"/>
      <c r="K57" s="2" t="n">
        <f>349411</f>
        <v>349411.0</v>
      </c>
    </row>
    <row r="58">
      <c r="A58" s="8" t="s">
        <v>42</v>
      </c>
      <c r="B58" s="9" t="s">
        <v>50</v>
      </c>
      <c r="C58" s="9" t="s">
        <v>51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43</v>
      </c>
      <c r="B59" s="9" t="s">
        <v>50</v>
      </c>
      <c r="C59" s="9" t="s">
        <v>51</v>
      </c>
      <c r="D59" s="10"/>
      <c r="E59" s="2" t="n">
        <f>872882</f>
        <v>872882.0</v>
      </c>
      <c r="F59" s="10"/>
      <c r="G59" s="2" t="n">
        <f>2609339784148</f>
        <v>2.609339784148E12</v>
      </c>
      <c r="H59" s="10"/>
      <c r="I59" s="2" t="n">
        <f>135018</f>
        <v>135018.0</v>
      </c>
      <c r="J59" s="10"/>
      <c r="K59" s="2" t="n">
        <f>342993</f>
        <v>342993.0</v>
      </c>
    </row>
    <row r="60">
      <c r="A60" s="8" t="s">
        <v>44</v>
      </c>
      <c r="B60" s="9" t="s">
        <v>50</v>
      </c>
      <c r="C60" s="9" t="s">
        <v>51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45</v>
      </c>
      <c r="B61" s="9" t="s">
        <v>50</v>
      </c>
      <c r="C61" s="9" t="s">
        <v>51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46</v>
      </c>
      <c r="B62" s="9" t="s">
        <v>50</v>
      </c>
      <c r="C62" s="9" t="s">
        <v>51</v>
      </c>
      <c r="D62" s="10"/>
      <c r="E62" s="2" t="n">
        <f>742531</f>
        <v>742531.0</v>
      </c>
      <c r="F62" s="10"/>
      <c r="G62" s="2" t="n">
        <f>2231589465234</f>
        <v>2.231589465234E12</v>
      </c>
      <c r="H62" s="10"/>
      <c r="I62" s="2" t="n">
        <f>122021</f>
        <v>122021.0</v>
      </c>
      <c r="J62" s="10"/>
      <c r="K62" s="2" t="n">
        <f>338424</f>
        <v>338424.0</v>
      </c>
    </row>
    <row r="63">
      <c r="A63" s="8" t="s">
        <v>47</v>
      </c>
      <c r="B63" s="9" t="s">
        <v>50</v>
      </c>
      <c r="C63" s="9" t="s">
        <v>51</v>
      </c>
      <c r="D63" s="10"/>
      <c r="E63" s="2" t="n">
        <f>727381</f>
        <v>727381.0</v>
      </c>
      <c r="F63" s="10"/>
      <c r="G63" s="2" t="n">
        <f>2180162075900</f>
        <v>2.1801620759E12</v>
      </c>
      <c r="H63" s="10"/>
      <c r="I63" s="2" t="n">
        <f>118916</f>
        <v>118916.0</v>
      </c>
      <c r="J63" s="10"/>
      <c r="K63" s="2" t="n">
        <f>337223</f>
        <v>337223.0</v>
      </c>
    </row>
    <row r="64">
      <c r="A64" s="8" t="s">
        <v>48</v>
      </c>
      <c r="B64" s="9" t="s">
        <v>50</v>
      </c>
      <c r="C64" s="9" t="s">
        <v>51</v>
      </c>
      <c r="D64" s="10" t="s">
        <v>25</v>
      </c>
      <c r="E64" s="2" t="n">
        <f>1482617</f>
        <v>1482617.0</v>
      </c>
      <c r="F64" s="10" t="s">
        <v>25</v>
      </c>
      <c r="G64" s="2" t="n">
        <f>4382869398600</f>
        <v>4.3828693986E12</v>
      </c>
      <c r="H64" s="10"/>
      <c r="I64" s="2" t="n">
        <f>214063</f>
        <v>214063.0</v>
      </c>
      <c r="J64" s="10"/>
      <c r="K64" s="2" t="n">
        <f>367628</f>
        <v>367628.0</v>
      </c>
    </row>
    <row r="65">
      <c r="A65" s="8" t="s">
        <v>49</v>
      </c>
      <c r="B65" s="9" t="s">
        <v>50</v>
      </c>
      <c r="C65" s="9" t="s">
        <v>51</v>
      </c>
      <c r="D65" s="10"/>
      <c r="E65" s="2" t="n">
        <f>1269644</f>
        <v>1269644.0</v>
      </c>
      <c r="F65" s="10"/>
      <c r="G65" s="2" t="n">
        <f>3758884814986</f>
        <v>3.758884814986E12</v>
      </c>
      <c r="H65" s="10"/>
      <c r="I65" s="2" t="n">
        <f>176729</f>
        <v>176729.0</v>
      </c>
      <c r="J65" s="10"/>
      <c r="K65" s="2" t="n">
        <f>374771</f>
        <v>374771.0</v>
      </c>
    </row>
    <row r="66">
      <c r="A66" s="8" t="s">
        <v>16</v>
      </c>
      <c r="B66" s="9" t="s">
        <v>52</v>
      </c>
      <c r="C66" s="9" t="s">
        <v>53</v>
      </c>
      <c r="D66" s="10"/>
      <c r="E66" s="2" t="n">
        <f>77541</f>
        <v>77541.0</v>
      </c>
      <c r="F66" s="10"/>
      <c r="G66" s="2" t="n">
        <f>1528703221850</f>
        <v>1.52870322185E12</v>
      </c>
      <c r="H66" s="10"/>
      <c r="I66" s="2" t="n">
        <f>17051</f>
        <v>17051.0</v>
      </c>
      <c r="J66" s="10"/>
      <c r="K66" s="2" t="n">
        <f>464933</f>
        <v>464933.0</v>
      </c>
    </row>
    <row r="67">
      <c r="A67" s="8" t="s">
        <v>19</v>
      </c>
      <c r="B67" s="9" t="s">
        <v>52</v>
      </c>
      <c r="C67" s="9" t="s">
        <v>53</v>
      </c>
      <c r="D67" s="10"/>
      <c r="E67" s="2" t="n">
        <f>96900</f>
        <v>96900.0</v>
      </c>
      <c r="F67" s="10"/>
      <c r="G67" s="2" t="n">
        <f>1915328785350</f>
        <v>1.91532878535E12</v>
      </c>
      <c r="H67" s="10"/>
      <c r="I67" s="2" t="n">
        <f>15510</f>
        <v>15510.0</v>
      </c>
      <c r="J67" s="10"/>
      <c r="K67" s="2" t="n">
        <f>481931</f>
        <v>481931.0</v>
      </c>
    </row>
    <row r="68">
      <c r="A68" s="8" t="s">
        <v>20</v>
      </c>
      <c r="B68" s="9" t="s">
        <v>52</v>
      </c>
      <c r="C68" s="9" t="s">
        <v>53</v>
      </c>
      <c r="D68" s="10"/>
      <c r="E68" s="2" t="n">
        <f>160208</f>
        <v>160208.0</v>
      </c>
      <c r="F68" s="10"/>
      <c r="G68" s="2" t="n">
        <f>3203630198558</f>
        <v>3.203630198558E12</v>
      </c>
      <c r="H68" s="10"/>
      <c r="I68" s="2" t="n">
        <f>30699</f>
        <v>30699.0</v>
      </c>
      <c r="J68" s="10"/>
      <c r="K68" s="2" t="n">
        <f>485977</f>
        <v>485977.0</v>
      </c>
    </row>
    <row r="69">
      <c r="A69" s="8" t="s">
        <v>21</v>
      </c>
      <c r="B69" s="9" t="s">
        <v>52</v>
      </c>
      <c r="C69" s="9" t="s">
        <v>53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22</v>
      </c>
      <c r="B70" s="9" t="s">
        <v>52</v>
      </c>
      <c r="C70" s="9" t="s">
        <v>53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23</v>
      </c>
      <c r="B71" s="9" t="s">
        <v>52</v>
      </c>
      <c r="C71" s="9" t="s">
        <v>53</v>
      </c>
      <c r="D71" s="10"/>
      <c r="E71" s="2" t="n">
        <f>503184</f>
        <v>503184.0</v>
      </c>
      <c r="F71" s="10"/>
      <c r="G71" s="2" t="n">
        <f>10219841321888</f>
        <v>1.0219841321888E13</v>
      </c>
      <c r="H71" s="10"/>
      <c r="I71" s="2" t="n">
        <f>145416</f>
        <v>145416.0</v>
      </c>
      <c r="J71" s="10"/>
      <c r="K71" s="2" t="n">
        <f>565884</f>
        <v>565884.0</v>
      </c>
    </row>
    <row r="72">
      <c r="A72" s="8" t="s">
        <v>24</v>
      </c>
      <c r="B72" s="9" t="s">
        <v>52</v>
      </c>
      <c r="C72" s="9" t="s">
        <v>53</v>
      </c>
      <c r="D72" s="10" t="s">
        <v>25</v>
      </c>
      <c r="E72" s="2" t="n">
        <f>841006</f>
        <v>841006.0</v>
      </c>
      <c r="F72" s="10" t="s">
        <v>25</v>
      </c>
      <c r="G72" s="2" t="n">
        <f>17282855598656</f>
        <v>1.7282855598656E13</v>
      </c>
      <c r="H72" s="10" t="s">
        <v>25</v>
      </c>
      <c r="I72" s="2" t="n">
        <f>204001</f>
        <v>204001.0</v>
      </c>
      <c r="J72" s="10" t="s">
        <v>25</v>
      </c>
      <c r="K72" s="2" t="n">
        <f>587347</f>
        <v>587347.0</v>
      </c>
    </row>
    <row r="73">
      <c r="A73" s="8" t="s">
        <v>26</v>
      </c>
      <c r="B73" s="9" t="s">
        <v>52</v>
      </c>
      <c r="C73" s="9" t="s">
        <v>53</v>
      </c>
      <c r="D73" s="10"/>
      <c r="E73" s="2" t="n">
        <f>416550</f>
        <v>416550.0</v>
      </c>
      <c r="F73" s="10"/>
      <c r="G73" s="2" t="n">
        <f>8588727543518</f>
        <v>8.588727543518E12</v>
      </c>
      <c r="H73" s="10"/>
      <c r="I73" s="2" t="n">
        <f>96391</f>
        <v>96391.0</v>
      </c>
      <c r="J73" s="10"/>
      <c r="K73" s="2" t="n">
        <f>532234</f>
        <v>532234.0</v>
      </c>
    </row>
    <row r="74">
      <c r="A74" s="8" t="s">
        <v>27</v>
      </c>
      <c r="B74" s="9" t="s">
        <v>52</v>
      </c>
      <c r="C74" s="9" t="s">
        <v>53</v>
      </c>
      <c r="D74" s="10"/>
      <c r="E74" s="2" t="n">
        <f>168595</f>
        <v>168595.0</v>
      </c>
      <c r="F74" s="10"/>
      <c r="G74" s="2" t="n">
        <f>3471087860518</f>
        <v>3.471087860518E12</v>
      </c>
      <c r="H74" s="10"/>
      <c r="I74" s="2" t="n">
        <f>15347</f>
        <v>15347.0</v>
      </c>
      <c r="J74" s="10"/>
      <c r="K74" s="2" t="n">
        <f>494203</f>
        <v>494203.0</v>
      </c>
    </row>
    <row r="75">
      <c r="A75" s="8" t="s">
        <v>28</v>
      </c>
      <c r="B75" s="9" t="s">
        <v>52</v>
      </c>
      <c r="C75" s="9" t="s">
        <v>53</v>
      </c>
      <c r="D75" s="10"/>
      <c r="E75" s="2" t="n">
        <f>106418</f>
        <v>106418.0</v>
      </c>
      <c r="F75" s="10"/>
      <c r="G75" s="2" t="n">
        <f>2195820048100</f>
        <v>2.1958200481E12</v>
      </c>
      <c r="H75" s="10"/>
      <c r="I75" s="2" t="n">
        <f>14946</f>
        <v>14946.0</v>
      </c>
      <c r="J75" s="10"/>
      <c r="K75" s="2" t="n">
        <f>514273</f>
        <v>514273.0</v>
      </c>
    </row>
    <row r="76">
      <c r="A76" s="8" t="s">
        <v>29</v>
      </c>
      <c r="B76" s="9" t="s">
        <v>52</v>
      </c>
      <c r="C76" s="9" t="s">
        <v>53</v>
      </c>
      <c r="D76" s="10"/>
      <c r="E76" s="2"/>
      <c r="F76" s="10"/>
      <c r="G76" s="2"/>
      <c r="H76" s="10"/>
      <c r="I76" s="2"/>
      <c r="J76" s="10"/>
      <c r="K76" s="2"/>
    </row>
    <row r="77">
      <c r="A77" s="8" t="s">
        <v>30</v>
      </c>
      <c r="B77" s="9" t="s">
        <v>52</v>
      </c>
      <c r="C77" s="9" t="s">
        <v>53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31</v>
      </c>
      <c r="B78" s="9" t="s">
        <v>52</v>
      </c>
      <c r="C78" s="9" t="s">
        <v>53</v>
      </c>
      <c r="D78" s="10"/>
      <c r="E78" s="2" t="n">
        <f>70199</f>
        <v>70199.0</v>
      </c>
      <c r="F78" s="10"/>
      <c r="G78" s="2" t="n">
        <f>1456926397000</f>
        <v>1.456926397E12</v>
      </c>
      <c r="H78" s="10"/>
      <c r="I78" s="2" t="n">
        <f>13973</f>
        <v>13973.0</v>
      </c>
      <c r="J78" s="10" t="s">
        <v>32</v>
      </c>
      <c r="K78" s="2" t="n">
        <f>445090</f>
        <v>445090.0</v>
      </c>
    </row>
    <row r="79">
      <c r="A79" s="8" t="s">
        <v>33</v>
      </c>
      <c r="B79" s="9" t="s">
        <v>52</v>
      </c>
      <c r="C79" s="9" t="s">
        <v>53</v>
      </c>
      <c r="D79" s="10"/>
      <c r="E79" s="2" t="n">
        <f>93401</f>
        <v>93401.0</v>
      </c>
      <c r="F79" s="10"/>
      <c r="G79" s="2" t="n">
        <f>1958000640160</f>
        <v>1.95800064016E12</v>
      </c>
      <c r="H79" s="10"/>
      <c r="I79" s="2" t="n">
        <f>17149</f>
        <v>17149.0</v>
      </c>
      <c r="J79" s="10"/>
      <c r="K79" s="2" t="n">
        <f>454222</f>
        <v>454222.0</v>
      </c>
    </row>
    <row r="80">
      <c r="A80" s="8" t="s">
        <v>34</v>
      </c>
      <c r="B80" s="9" t="s">
        <v>52</v>
      </c>
      <c r="C80" s="9" t="s">
        <v>53</v>
      </c>
      <c r="D80" s="10"/>
      <c r="E80" s="2" t="n">
        <f>78568</f>
        <v>78568.0</v>
      </c>
      <c r="F80" s="10"/>
      <c r="G80" s="2" t="n">
        <f>1635642905000</f>
        <v>1.635642905E12</v>
      </c>
      <c r="H80" s="10"/>
      <c r="I80" s="2" t="n">
        <f>15592</f>
        <v>15592.0</v>
      </c>
      <c r="J80" s="10"/>
      <c r="K80" s="2" t="n">
        <f>452939</f>
        <v>452939.0</v>
      </c>
    </row>
    <row r="81">
      <c r="A81" s="8" t="s">
        <v>35</v>
      </c>
      <c r="B81" s="9" t="s">
        <v>52</v>
      </c>
      <c r="C81" s="9" t="s">
        <v>53</v>
      </c>
      <c r="D81" s="10"/>
      <c r="E81" s="2" t="n">
        <f>83144</f>
        <v>83144.0</v>
      </c>
      <c r="F81" s="10"/>
      <c r="G81" s="2" t="n">
        <f>1725593856140</f>
        <v>1.72559385614E12</v>
      </c>
      <c r="H81" s="10"/>
      <c r="I81" s="2" t="n">
        <f>17461</f>
        <v>17461.0</v>
      </c>
      <c r="J81" s="10"/>
      <c r="K81" s="2" t="n">
        <f>452748</f>
        <v>452748.0</v>
      </c>
    </row>
    <row r="82">
      <c r="A82" s="8" t="s">
        <v>36</v>
      </c>
      <c r="B82" s="9" t="s">
        <v>52</v>
      </c>
      <c r="C82" s="9" t="s">
        <v>53</v>
      </c>
      <c r="D82" s="10"/>
      <c r="E82" s="2" t="n">
        <f>103887</f>
        <v>103887.0</v>
      </c>
      <c r="F82" s="10"/>
      <c r="G82" s="2" t="n">
        <f>2162449583598</f>
        <v>2.162449583598E12</v>
      </c>
      <c r="H82" s="10"/>
      <c r="I82" s="2" t="n">
        <f>19559</f>
        <v>19559.0</v>
      </c>
      <c r="J82" s="10"/>
      <c r="K82" s="2" t="n">
        <f>459714</f>
        <v>459714.0</v>
      </c>
    </row>
    <row r="83">
      <c r="A83" s="8" t="s">
        <v>37</v>
      </c>
      <c r="B83" s="9" t="s">
        <v>52</v>
      </c>
      <c r="C83" s="9" t="s">
        <v>53</v>
      </c>
      <c r="D83" s="10"/>
      <c r="E83" s="2"/>
      <c r="F83" s="10"/>
      <c r="G83" s="2"/>
      <c r="H83" s="10"/>
      <c r="I83" s="2"/>
      <c r="J83" s="10"/>
      <c r="K83" s="2"/>
    </row>
    <row r="84">
      <c r="A84" s="8" t="s">
        <v>38</v>
      </c>
      <c r="B84" s="9" t="s">
        <v>52</v>
      </c>
      <c r="C84" s="9" t="s">
        <v>53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39</v>
      </c>
      <c r="B85" s="9" t="s">
        <v>52</v>
      </c>
      <c r="C85" s="9" t="s">
        <v>53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40</v>
      </c>
      <c r="B86" s="9" t="s">
        <v>52</v>
      </c>
      <c r="C86" s="9" t="s">
        <v>53</v>
      </c>
      <c r="D86" s="10" t="s">
        <v>32</v>
      </c>
      <c r="E86" s="2" t="n">
        <f>60376</f>
        <v>60376.0</v>
      </c>
      <c r="F86" s="10" t="s">
        <v>32</v>
      </c>
      <c r="G86" s="2" t="n">
        <f>1237345022820</f>
        <v>1.23734502282E12</v>
      </c>
      <c r="H86" s="10"/>
      <c r="I86" s="2" t="n">
        <f>13804</f>
        <v>13804.0</v>
      </c>
      <c r="J86" s="10"/>
      <c r="K86" s="2" t="n">
        <f>461378</f>
        <v>461378.0</v>
      </c>
    </row>
    <row r="87">
      <c r="A87" s="8" t="s">
        <v>41</v>
      </c>
      <c r="B87" s="9" t="s">
        <v>52</v>
      </c>
      <c r="C87" s="9" t="s">
        <v>53</v>
      </c>
      <c r="D87" s="10"/>
      <c r="E87" s="2" t="n">
        <f>67573</f>
        <v>67573.0</v>
      </c>
      <c r="F87" s="10"/>
      <c r="G87" s="2" t="n">
        <f>1379879526064</f>
        <v>1.379879526064E12</v>
      </c>
      <c r="H87" s="10"/>
      <c r="I87" s="2" t="n">
        <f>17282</f>
        <v>17282.0</v>
      </c>
      <c r="J87" s="10"/>
      <c r="K87" s="2" t="n">
        <f>461621</f>
        <v>461621.0</v>
      </c>
    </row>
    <row r="88">
      <c r="A88" s="8" t="s">
        <v>42</v>
      </c>
      <c r="B88" s="9" t="s">
        <v>52</v>
      </c>
      <c r="C88" s="9" t="s">
        <v>53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43</v>
      </c>
      <c r="B89" s="9" t="s">
        <v>52</v>
      </c>
      <c r="C89" s="9" t="s">
        <v>53</v>
      </c>
      <c r="D89" s="10"/>
      <c r="E89" s="2" t="n">
        <f>93665</f>
        <v>93665.0</v>
      </c>
      <c r="F89" s="10"/>
      <c r="G89" s="2" t="n">
        <f>1936430673485</f>
        <v>1.936430673485E12</v>
      </c>
      <c r="H89" s="10"/>
      <c r="I89" s="2" t="n">
        <f>19259</f>
        <v>19259.0</v>
      </c>
      <c r="J89" s="10"/>
      <c r="K89" s="2" t="n">
        <f>469708</f>
        <v>469708.0</v>
      </c>
    </row>
    <row r="90">
      <c r="A90" s="8" t="s">
        <v>44</v>
      </c>
      <c r="B90" s="9" t="s">
        <v>52</v>
      </c>
      <c r="C90" s="9" t="s">
        <v>53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45</v>
      </c>
      <c r="B91" s="9" t="s">
        <v>52</v>
      </c>
      <c r="C91" s="9" t="s">
        <v>53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46</v>
      </c>
      <c r="B92" s="9" t="s">
        <v>52</v>
      </c>
      <c r="C92" s="9" t="s">
        <v>53</v>
      </c>
      <c r="D92" s="10"/>
      <c r="E92" s="2" t="n">
        <f>70452</f>
        <v>70452.0</v>
      </c>
      <c r="F92" s="10"/>
      <c r="G92" s="2" t="n">
        <f>1462729425700</f>
        <v>1.4627294257E12</v>
      </c>
      <c r="H92" s="10" t="s">
        <v>32</v>
      </c>
      <c r="I92" s="2" t="n">
        <f>13622</f>
        <v>13622.0</v>
      </c>
      <c r="J92" s="10"/>
      <c r="K92" s="2" t="n">
        <f>473076</f>
        <v>473076.0</v>
      </c>
    </row>
    <row r="93">
      <c r="A93" s="8" t="s">
        <v>47</v>
      </c>
      <c r="B93" s="9" t="s">
        <v>52</v>
      </c>
      <c r="C93" s="9" t="s">
        <v>53</v>
      </c>
      <c r="D93" s="10"/>
      <c r="E93" s="2" t="n">
        <f>102943</f>
        <v>102943.0</v>
      </c>
      <c r="F93" s="10"/>
      <c r="G93" s="2" t="n">
        <f>2123613738800</f>
        <v>2.1236137388E12</v>
      </c>
      <c r="H93" s="10"/>
      <c r="I93" s="2" t="n">
        <f>28484</f>
        <v>28484.0</v>
      </c>
      <c r="J93" s="10"/>
      <c r="K93" s="2" t="n">
        <f>481107</f>
        <v>481107.0</v>
      </c>
    </row>
    <row r="94">
      <c r="A94" s="8" t="s">
        <v>48</v>
      </c>
      <c r="B94" s="9" t="s">
        <v>52</v>
      </c>
      <c r="C94" s="9" t="s">
        <v>53</v>
      </c>
      <c r="D94" s="10"/>
      <c r="E94" s="2" t="n">
        <f>148177</f>
        <v>148177.0</v>
      </c>
      <c r="F94" s="10"/>
      <c r="G94" s="2" t="n">
        <f>3018274965811</f>
        <v>3.018274965811E12</v>
      </c>
      <c r="H94" s="10"/>
      <c r="I94" s="2" t="n">
        <f>28709</f>
        <v>28709.0</v>
      </c>
      <c r="J94" s="10"/>
      <c r="K94" s="2" t="n">
        <f>480448</f>
        <v>480448.0</v>
      </c>
    </row>
    <row r="95">
      <c r="A95" s="8" t="s">
        <v>49</v>
      </c>
      <c r="B95" s="9" t="s">
        <v>52</v>
      </c>
      <c r="C95" s="9" t="s">
        <v>53</v>
      </c>
      <c r="D95" s="10"/>
      <c r="E95" s="2" t="n">
        <f>106412</f>
        <v>106412.0</v>
      </c>
      <c r="F95" s="10"/>
      <c r="G95" s="2" t="n">
        <f>2165941165830</f>
        <v>2.16594116583E12</v>
      </c>
      <c r="H95" s="10"/>
      <c r="I95" s="2" t="n">
        <f>22398</f>
        <v>22398.0</v>
      </c>
      <c r="J95" s="10"/>
      <c r="K95" s="2" t="n">
        <f>475080</f>
        <v>475080.0</v>
      </c>
    </row>
    <row r="96">
      <c r="A96" s="8" t="s">
        <v>16</v>
      </c>
      <c r="B96" s="9" t="s">
        <v>54</v>
      </c>
      <c r="C96" s="9" t="s">
        <v>55</v>
      </c>
      <c r="D96" s="10"/>
      <c r="E96" s="2" t="n">
        <f>43175</f>
        <v>43175.0</v>
      </c>
      <c r="F96" s="10"/>
      <c r="G96" s="2" t="n">
        <f>85213701000</f>
        <v>8.5213701E10</v>
      </c>
      <c r="H96" s="10"/>
      <c r="I96" s="2" t="n">
        <f>3803</f>
        <v>3803.0</v>
      </c>
      <c r="J96" s="10"/>
      <c r="K96" s="2" t="n">
        <f>47351</f>
        <v>47351.0</v>
      </c>
    </row>
    <row r="97">
      <c r="A97" s="8" t="s">
        <v>19</v>
      </c>
      <c r="B97" s="9" t="s">
        <v>54</v>
      </c>
      <c r="C97" s="9" t="s">
        <v>55</v>
      </c>
      <c r="D97" s="10"/>
      <c r="E97" s="2" t="n">
        <f>37156</f>
        <v>37156.0</v>
      </c>
      <c r="F97" s="10"/>
      <c r="G97" s="2" t="n">
        <f>73564939530</f>
        <v>7.356493953E10</v>
      </c>
      <c r="H97" s="10"/>
      <c r="I97" s="2" t="n">
        <f>4157</f>
        <v>4157.0</v>
      </c>
      <c r="J97" s="10"/>
      <c r="K97" s="2" t="n">
        <f>48283</f>
        <v>48283.0</v>
      </c>
    </row>
    <row r="98">
      <c r="A98" s="8" t="s">
        <v>20</v>
      </c>
      <c r="B98" s="9" t="s">
        <v>54</v>
      </c>
      <c r="C98" s="9" t="s">
        <v>55</v>
      </c>
      <c r="D98" s="10"/>
      <c r="E98" s="2" t="n">
        <f>64942</f>
        <v>64942.0</v>
      </c>
      <c r="F98" s="10"/>
      <c r="G98" s="2" t="n">
        <f>130261773675</f>
        <v>1.30261773675E11</v>
      </c>
      <c r="H98" s="10"/>
      <c r="I98" s="2" t="n">
        <f>8884</f>
        <v>8884.0</v>
      </c>
      <c r="J98" s="10"/>
      <c r="K98" s="2" t="n">
        <f>42710</f>
        <v>42710.0</v>
      </c>
    </row>
    <row r="99">
      <c r="A99" s="8" t="s">
        <v>21</v>
      </c>
      <c r="B99" s="9" t="s">
        <v>54</v>
      </c>
      <c r="C99" s="9" t="s">
        <v>55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22</v>
      </c>
      <c r="B100" s="9" t="s">
        <v>54</v>
      </c>
      <c r="C100" s="9" t="s">
        <v>55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23</v>
      </c>
      <c r="B101" s="9" t="s">
        <v>54</v>
      </c>
      <c r="C101" s="9" t="s">
        <v>55</v>
      </c>
      <c r="D101" s="10"/>
      <c r="E101" s="2" t="n">
        <f>60458</f>
        <v>60458.0</v>
      </c>
      <c r="F101" s="10"/>
      <c r="G101" s="2" t="n">
        <f>123000794675</f>
        <v>1.23000794675E11</v>
      </c>
      <c r="H101" s="10" t="s">
        <v>25</v>
      </c>
      <c r="I101" s="2" t="n">
        <f>11634</f>
        <v>11634.0</v>
      </c>
      <c r="J101" s="10"/>
      <c r="K101" s="2" t="n">
        <f>45108</f>
        <v>45108.0</v>
      </c>
    </row>
    <row r="102">
      <c r="A102" s="8" t="s">
        <v>24</v>
      </c>
      <c r="B102" s="9" t="s">
        <v>54</v>
      </c>
      <c r="C102" s="9" t="s">
        <v>55</v>
      </c>
      <c r="D102" s="10" t="s">
        <v>25</v>
      </c>
      <c r="E102" s="2" t="n">
        <f>76166</f>
        <v>76166.0</v>
      </c>
      <c r="F102" s="10" t="s">
        <v>25</v>
      </c>
      <c r="G102" s="2" t="n">
        <f>157018449761</f>
        <v>1.57018449761E11</v>
      </c>
      <c r="H102" s="10"/>
      <c r="I102" s="2" t="n">
        <f>10167</f>
        <v>10167.0</v>
      </c>
      <c r="J102" s="10"/>
      <c r="K102" s="2" t="n">
        <f>55188</f>
        <v>55188.0</v>
      </c>
    </row>
    <row r="103">
      <c r="A103" s="8" t="s">
        <v>26</v>
      </c>
      <c r="B103" s="9" t="s">
        <v>54</v>
      </c>
      <c r="C103" s="9" t="s">
        <v>55</v>
      </c>
      <c r="D103" s="10"/>
      <c r="E103" s="2" t="n">
        <f>62381</f>
        <v>62381.0</v>
      </c>
      <c r="F103" s="10"/>
      <c r="G103" s="2" t="n">
        <f>128845477788</f>
        <v>1.28845477788E11</v>
      </c>
      <c r="H103" s="10"/>
      <c r="I103" s="2" t="n">
        <f>5066</f>
        <v>5066.0</v>
      </c>
      <c r="J103" s="10"/>
      <c r="K103" s="2" t="n">
        <f>60674</f>
        <v>60674.0</v>
      </c>
    </row>
    <row r="104">
      <c r="A104" s="8" t="s">
        <v>27</v>
      </c>
      <c r="B104" s="9" t="s">
        <v>54</v>
      </c>
      <c r="C104" s="9" t="s">
        <v>55</v>
      </c>
      <c r="D104" s="10"/>
      <c r="E104" s="2" t="n">
        <f>47096</f>
        <v>47096.0</v>
      </c>
      <c r="F104" s="10"/>
      <c r="G104" s="2" t="n">
        <f>96880615750</f>
        <v>9.688061575E10</v>
      </c>
      <c r="H104" s="10"/>
      <c r="I104" s="2" t="n">
        <f>2570</f>
        <v>2570.0</v>
      </c>
      <c r="J104" s="10"/>
      <c r="K104" s="2" t="n">
        <f>59112</f>
        <v>59112.0</v>
      </c>
    </row>
    <row r="105">
      <c r="A105" s="8" t="s">
        <v>28</v>
      </c>
      <c r="B105" s="9" t="s">
        <v>54</v>
      </c>
      <c r="C105" s="9" t="s">
        <v>55</v>
      </c>
      <c r="D105" s="10"/>
      <c r="E105" s="2" t="n">
        <f>54090</f>
        <v>54090.0</v>
      </c>
      <c r="F105" s="10"/>
      <c r="G105" s="2" t="n">
        <f>111631850600</f>
        <v>1.116318506E11</v>
      </c>
      <c r="H105" s="10"/>
      <c r="I105" s="2" t="n">
        <f>3800</f>
        <v>3800.0</v>
      </c>
      <c r="J105" s="10"/>
      <c r="K105" s="2" t="n">
        <f>64995</f>
        <v>64995.0</v>
      </c>
    </row>
    <row r="106">
      <c r="A106" s="8" t="s">
        <v>29</v>
      </c>
      <c r="B106" s="9" t="s">
        <v>54</v>
      </c>
      <c r="C106" s="9" t="s">
        <v>55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30</v>
      </c>
      <c r="B107" s="9" t="s">
        <v>54</v>
      </c>
      <c r="C107" s="9" t="s">
        <v>55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31</v>
      </c>
      <c r="B108" s="9" t="s">
        <v>54</v>
      </c>
      <c r="C108" s="9" t="s">
        <v>55</v>
      </c>
      <c r="D108" s="10"/>
      <c r="E108" s="2" t="n">
        <f>45303</f>
        <v>45303.0</v>
      </c>
      <c r="F108" s="10"/>
      <c r="G108" s="2" t="n">
        <f>93938825750</f>
        <v>9.393882575E10</v>
      </c>
      <c r="H108" s="10"/>
      <c r="I108" s="2" t="n">
        <f>3623</f>
        <v>3623.0</v>
      </c>
      <c r="J108" s="10" t="s">
        <v>32</v>
      </c>
      <c r="K108" s="2" t="n">
        <f>39545</f>
        <v>39545.0</v>
      </c>
    </row>
    <row r="109">
      <c r="A109" s="8" t="s">
        <v>33</v>
      </c>
      <c r="B109" s="9" t="s">
        <v>54</v>
      </c>
      <c r="C109" s="9" t="s">
        <v>55</v>
      </c>
      <c r="D109" s="10"/>
      <c r="E109" s="2" t="n">
        <f>59147</f>
        <v>59147.0</v>
      </c>
      <c r="F109" s="10"/>
      <c r="G109" s="2" t="n">
        <f>123909919650</f>
        <v>1.2390991965E11</v>
      </c>
      <c r="H109" s="10"/>
      <c r="I109" s="2" t="n">
        <f>4245</f>
        <v>4245.0</v>
      </c>
      <c r="J109" s="10"/>
      <c r="K109" s="2" t="n">
        <f>49016</f>
        <v>49016.0</v>
      </c>
    </row>
    <row r="110">
      <c r="A110" s="8" t="s">
        <v>34</v>
      </c>
      <c r="B110" s="9" t="s">
        <v>54</v>
      </c>
      <c r="C110" s="9" t="s">
        <v>55</v>
      </c>
      <c r="D110" s="10"/>
      <c r="E110" s="2" t="n">
        <f>33123</f>
        <v>33123.0</v>
      </c>
      <c r="F110" s="10"/>
      <c r="G110" s="2" t="n">
        <f>68987556540</f>
        <v>6.898755654E10</v>
      </c>
      <c r="H110" s="10"/>
      <c r="I110" s="2" t="n">
        <f>3239</f>
        <v>3239.0</v>
      </c>
      <c r="J110" s="10"/>
      <c r="K110" s="2" t="n">
        <f>48854</f>
        <v>48854.0</v>
      </c>
    </row>
    <row r="111">
      <c r="A111" s="8" t="s">
        <v>35</v>
      </c>
      <c r="B111" s="9" t="s">
        <v>54</v>
      </c>
      <c r="C111" s="9" t="s">
        <v>55</v>
      </c>
      <c r="D111" s="10"/>
      <c r="E111" s="2" t="n">
        <f>35085</f>
        <v>35085.0</v>
      </c>
      <c r="F111" s="10"/>
      <c r="G111" s="2" t="n">
        <f>72807680630</f>
        <v>7.280768063E10</v>
      </c>
      <c r="H111" s="10"/>
      <c r="I111" s="2" t="n">
        <f>3590</f>
        <v>3590.0</v>
      </c>
      <c r="J111" s="10"/>
      <c r="K111" s="2" t="n">
        <f>54330</f>
        <v>54330.0</v>
      </c>
    </row>
    <row r="112">
      <c r="A112" s="8" t="s">
        <v>36</v>
      </c>
      <c r="B112" s="9" t="s">
        <v>54</v>
      </c>
      <c r="C112" s="9" t="s">
        <v>55</v>
      </c>
      <c r="D112" s="10"/>
      <c r="E112" s="2" t="n">
        <f>36134</f>
        <v>36134.0</v>
      </c>
      <c r="F112" s="10"/>
      <c r="G112" s="2" t="n">
        <f>75163184050</f>
        <v>7.516318405E10</v>
      </c>
      <c r="H112" s="10"/>
      <c r="I112" s="2" t="n">
        <f>3124</f>
        <v>3124.0</v>
      </c>
      <c r="J112" s="10"/>
      <c r="K112" s="2" t="n">
        <f>59599</f>
        <v>59599.0</v>
      </c>
    </row>
    <row r="113">
      <c r="A113" s="8" t="s">
        <v>37</v>
      </c>
      <c r="B113" s="9" t="s">
        <v>54</v>
      </c>
      <c r="C113" s="9" t="s">
        <v>55</v>
      </c>
      <c r="D113" s="10"/>
      <c r="E113" s="2"/>
      <c r="F113" s="10"/>
      <c r="G113" s="2"/>
      <c r="H113" s="10"/>
      <c r="I113" s="2"/>
      <c r="J113" s="10"/>
      <c r="K113" s="2"/>
    </row>
    <row r="114">
      <c r="A114" s="8" t="s">
        <v>38</v>
      </c>
      <c r="B114" s="9" t="s">
        <v>54</v>
      </c>
      <c r="C114" s="9" t="s">
        <v>55</v>
      </c>
      <c r="D114" s="10"/>
      <c r="E114" s="2"/>
      <c r="F114" s="10"/>
      <c r="G114" s="2"/>
      <c r="H114" s="10"/>
      <c r="I114" s="2"/>
      <c r="J114" s="10"/>
      <c r="K114" s="2"/>
    </row>
    <row r="115">
      <c r="A115" s="8" t="s">
        <v>39</v>
      </c>
      <c r="B115" s="9" t="s">
        <v>54</v>
      </c>
      <c r="C115" s="9" t="s">
        <v>55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40</v>
      </c>
      <c r="B116" s="9" t="s">
        <v>54</v>
      </c>
      <c r="C116" s="9" t="s">
        <v>55</v>
      </c>
      <c r="D116" s="10" t="s">
        <v>32</v>
      </c>
      <c r="E116" s="2" t="n">
        <f>18587</f>
        <v>18587.0</v>
      </c>
      <c r="F116" s="10" t="s">
        <v>32</v>
      </c>
      <c r="G116" s="2" t="n">
        <f>38085982580</f>
        <v>3.808598258E10</v>
      </c>
      <c r="H116" s="10"/>
      <c r="I116" s="2" t="n">
        <f>3156</f>
        <v>3156.0</v>
      </c>
      <c r="J116" s="10"/>
      <c r="K116" s="2" t="n">
        <f>59924</f>
        <v>59924.0</v>
      </c>
    </row>
    <row r="117">
      <c r="A117" s="8" t="s">
        <v>41</v>
      </c>
      <c r="B117" s="9" t="s">
        <v>54</v>
      </c>
      <c r="C117" s="9" t="s">
        <v>55</v>
      </c>
      <c r="D117" s="10"/>
      <c r="E117" s="2" t="n">
        <f>29082</f>
        <v>29082.0</v>
      </c>
      <c r="F117" s="10"/>
      <c r="G117" s="2" t="n">
        <f>59458639400</f>
        <v>5.94586394E10</v>
      </c>
      <c r="H117" s="10"/>
      <c r="I117" s="2" t="n">
        <f>3990</f>
        <v>3990.0</v>
      </c>
      <c r="J117" s="10"/>
      <c r="K117" s="2" t="n">
        <f>60304</f>
        <v>60304.0</v>
      </c>
    </row>
    <row r="118">
      <c r="A118" s="8" t="s">
        <v>42</v>
      </c>
      <c r="B118" s="9" t="s">
        <v>54</v>
      </c>
      <c r="C118" s="9" t="s">
        <v>55</v>
      </c>
      <c r="D118" s="10"/>
      <c r="E118" s="2"/>
      <c r="F118" s="10"/>
      <c r="G118" s="2"/>
      <c r="H118" s="10"/>
      <c r="I118" s="2"/>
      <c r="J118" s="10"/>
      <c r="K118" s="2"/>
    </row>
    <row r="119">
      <c r="A119" s="8" t="s">
        <v>43</v>
      </c>
      <c r="B119" s="9" t="s">
        <v>54</v>
      </c>
      <c r="C119" s="9" t="s">
        <v>55</v>
      </c>
      <c r="D119" s="10"/>
      <c r="E119" s="2" t="n">
        <f>26724</f>
        <v>26724.0</v>
      </c>
      <c r="F119" s="10"/>
      <c r="G119" s="2" t="n">
        <f>55118033500</f>
        <v>5.51180335E10</v>
      </c>
      <c r="H119" s="10" t="s">
        <v>32</v>
      </c>
      <c r="I119" s="2" t="n">
        <f>2447</f>
        <v>2447.0</v>
      </c>
      <c r="J119" s="10"/>
      <c r="K119" s="2" t="n">
        <f>64499</f>
        <v>64499.0</v>
      </c>
    </row>
    <row r="120">
      <c r="A120" s="8" t="s">
        <v>44</v>
      </c>
      <c r="B120" s="9" t="s">
        <v>54</v>
      </c>
      <c r="C120" s="9" t="s">
        <v>55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45</v>
      </c>
      <c r="B121" s="9" t="s">
        <v>54</v>
      </c>
      <c r="C121" s="9" t="s">
        <v>55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46</v>
      </c>
      <c r="B122" s="9" t="s">
        <v>54</v>
      </c>
      <c r="C122" s="9" t="s">
        <v>55</v>
      </c>
      <c r="D122" s="10"/>
      <c r="E122" s="2" t="n">
        <f>25578</f>
        <v>25578.0</v>
      </c>
      <c r="F122" s="10"/>
      <c r="G122" s="2" t="n">
        <f>53101220000</f>
        <v>5.310122E10</v>
      </c>
      <c r="H122" s="10"/>
      <c r="I122" s="2" t="n">
        <f>3128</f>
        <v>3128.0</v>
      </c>
      <c r="J122" s="10" t="s">
        <v>25</v>
      </c>
      <c r="K122" s="2" t="n">
        <f>65192</f>
        <v>65192.0</v>
      </c>
    </row>
    <row r="123">
      <c r="A123" s="8" t="s">
        <v>47</v>
      </c>
      <c r="B123" s="9" t="s">
        <v>54</v>
      </c>
      <c r="C123" s="9" t="s">
        <v>55</v>
      </c>
      <c r="D123" s="10"/>
      <c r="E123" s="2" t="n">
        <f>42244</f>
        <v>42244.0</v>
      </c>
      <c r="F123" s="10"/>
      <c r="G123" s="2" t="n">
        <f>87095076530</f>
        <v>8.709507653E10</v>
      </c>
      <c r="H123" s="10"/>
      <c r="I123" s="2" t="n">
        <f>5448</f>
        <v>5448.0</v>
      </c>
      <c r="J123" s="10"/>
      <c r="K123" s="2" t="n">
        <f>64450</f>
        <v>64450.0</v>
      </c>
    </row>
    <row r="124">
      <c r="A124" s="8" t="s">
        <v>48</v>
      </c>
      <c r="B124" s="9" t="s">
        <v>54</v>
      </c>
      <c r="C124" s="9" t="s">
        <v>55</v>
      </c>
      <c r="D124" s="10"/>
      <c r="E124" s="2" t="n">
        <f>68126</f>
        <v>68126.0</v>
      </c>
      <c r="F124" s="10"/>
      <c r="G124" s="2" t="n">
        <f>138616554770</f>
        <v>1.3861655477E11</v>
      </c>
      <c r="H124" s="10"/>
      <c r="I124" s="2" t="n">
        <f>8255</f>
        <v>8255.0</v>
      </c>
      <c r="J124" s="10"/>
      <c r="K124" s="2" t="n">
        <f>59225</f>
        <v>59225.0</v>
      </c>
    </row>
    <row r="125">
      <c r="A125" s="8" t="s">
        <v>49</v>
      </c>
      <c r="B125" s="9" t="s">
        <v>54</v>
      </c>
      <c r="C125" s="9" t="s">
        <v>55</v>
      </c>
      <c r="D125" s="10"/>
      <c r="E125" s="2" t="n">
        <f>44300</f>
        <v>44300.0</v>
      </c>
      <c r="F125" s="10"/>
      <c r="G125" s="2" t="n">
        <f>90250852000</f>
        <v>9.0250852E10</v>
      </c>
      <c r="H125" s="10"/>
      <c r="I125" s="2" t="n">
        <f>6091</f>
        <v>6091.0</v>
      </c>
      <c r="J125" s="10"/>
      <c r="K125" s="2" t="n">
        <f>56693</f>
        <v>56693.0</v>
      </c>
    </row>
    <row r="126">
      <c r="A126" s="8" t="s">
        <v>16</v>
      </c>
      <c r="B126" s="9" t="s">
        <v>56</v>
      </c>
      <c r="C126" s="9" t="s">
        <v>57</v>
      </c>
      <c r="D126" s="10"/>
      <c r="E126" s="2" t="n">
        <f>14468</f>
        <v>14468.0</v>
      </c>
      <c r="F126" s="10"/>
      <c r="G126" s="2" t="n">
        <f>25742601308</f>
        <v>2.5742601308E10</v>
      </c>
      <c r="H126" s="10"/>
      <c r="I126" s="2" t="n">
        <f>818</f>
        <v>818.0</v>
      </c>
      <c r="J126" s="10"/>
      <c r="K126" s="2" t="n">
        <f>81154</f>
        <v>81154.0</v>
      </c>
    </row>
    <row r="127">
      <c r="A127" s="8" t="s">
        <v>19</v>
      </c>
      <c r="B127" s="9" t="s">
        <v>56</v>
      </c>
      <c r="C127" s="9" t="s">
        <v>57</v>
      </c>
      <c r="D127" s="10"/>
      <c r="E127" s="2" t="n">
        <f>13099</f>
        <v>13099.0</v>
      </c>
      <c r="F127" s="10"/>
      <c r="G127" s="2" t="n">
        <f>23434872186</f>
        <v>2.3434872186E10</v>
      </c>
      <c r="H127" s="10" t="s">
        <v>25</v>
      </c>
      <c r="I127" s="2" t="n">
        <f>2428</f>
        <v>2428.0</v>
      </c>
      <c r="J127" s="10"/>
      <c r="K127" s="2" t="n">
        <f>80477</f>
        <v>80477.0</v>
      </c>
    </row>
    <row r="128">
      <c r="A128" s="8" t="s">
        <v>20</v>
      </c>
      <c r="B128" s="9" t="s">
        <v>56</v>
      </c>
      <c r="C128" s="9" t="s">
        <v>57</v>
      </c>
      <c r="D128" s="10"/>
      <c r="E128" s="2" t="n">
        <f>13374</f>
        <v>13374.0</v>
      </c>
      <c r="F128" s="10"/>
      <c r="G128" s="2" t="n">
        <f>24223865900</f>
        <v>2.42238659E10</v>
      </c>
      <c r="H128" s="10"/>
      <c r="I128" s="2" t="n">
        <f>690</f>
        <v>690.0</v>
      </c>
      <c r="J128" s="10"/>
      <c r="K128" s="2" t="n">
        <f>79960</f>
        <v>79960.0</v>
      </c>
    </row>
    <row r="129">
      <c r="A129" s="8" t="s">
        <v>21</v>
      </c>
      <c r="B129" s="9" t="s">
        <v>56</v>
      </c>
      <c r="C129" s="9" t="s">
        <v>57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22</v>
      </c>
      <c r="B130" s="9" t="s">
        <v>56</v>
      </c>
      <c r="C130" s="9" t="s">
        <v>57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23</v>
      </c>
      <c r="B131" s="9" t="s">
        <v>56</v>
      </c>
      <c r="C131" s="9" t="s">
        <v>57</v>
      </c>
      <c r="D131" s="10"/>
      <c r="E131" s="2" t="n">
        <f>16836</f>
        <v>16836.0</v>
      </c>
      <c r="F131" s="10"/>
      <c r="G131" s="2" t="n">
        <f>30994293300</f>
        <v>3.09942933E10</v>
      </c>
      <c r="H131" s="10"/>
      <c r="I131" s="2" t="n">
        <f>767</f>
        <v>767.0</v>
      </c>
      <c r="J131" s="10"/>
      <c r="K131" s="2" t="n">
        <f>83706</f>
        <v>83706.0</v>
      </c>
    </row>
    <row r="132">
      <c r="A132" s="8" t="s">
        <v>24</v>
      </c>
      <c r="B132" s="9" t="s">
        <v>56</v>
      </c>
      <c r="C132" s="9" t="s">
        <v>57</v>
      </c>
      <c r="D132" s="10"/>
      <c r="E132" s="2" t="n">
        <f>54350</f>
        <v>54350.0</v>
      </c>
      <c r="F132" s="10"/>
      <c r="G132" s="2" t="n">
        <f>101349897178</f>
        <v>1.01349897178E11</v>
      </c>
      <c r="H132" s="10"/>
      <c r="I132" s="2" t="n">
        <f>463</f>
        <v>463.0</v>
      </c>
      <c r="J132" s="10"/>
      <c r="K132" s="2" t="n">
        <f>85149</f>
        <v>85149.0</v>
      </c>
    </row>
    <row r="133">
      <c r="A133" s="8" t="s">
        <v>26</v>
      </c>
      <c r="B133" s="9" t="s">
        <v>56</v>
      </c>
      <c r="C133" s="9" t="s">
        <v>57</v>
      </c>
      <c r="D133" s="10" t="s">
        <v>25</v>
      </c>
      <c r="E133" s="2" t="n">
        <f>58362</f>
        <v>58362.0</v>
      </c>
      <c r="F133" s="10" t="s">
        <v>25</v>
      </c>
      <c r="G133" s="2" t="n">
        <f>108823084630</f>
        <v>1.0882308463E11</v>
      </c>
      <c r="H133" s="10"/>
      <c r="I133" s="2" t="n">
        <f>1627</f>
        <v>1627.0</v>
      </c>
      <c r="J133" s="10"/>
      <c r="K133" s="2" t="n">
        <f>87231</f>
        <v>87231.0</v>
      </c>
    </row>
    <row r="134">
      <c r="A134" s="8" t="s">
        <v>27</v>
      </c>
      <c r="B134" s="9" t="s">
        <v>56</v>
      </c>
      <c r="C134" s="9" t="s">
        <v>57</v>
      </c>
      <c r="D134" s="10"/>
      <c r="E134" s="2" t="n">
        <f>23200</f>
        <v>23200.0</v>
      </c>
      <c r="F134" s="10"/>
      <c r="G134" s="2" t="n">
        <f>43317952950</f>
        <v>4.331795295E10</v>
      </c>
      <c r="H134" s="10"/>
      <c r="I134" s="2" t="n">
        <f>376</f>
        <v>376.0</v>
      </c>
      <c r="J134" s="10"/>
      <c r="K134" s="2" t="n">
        <f>88569</f>
        <v>88569.0</v>
      </c>
    </row>
    <row r="135">
      <c r="A135" s="8" t="s">
        <v>28</v>
      </c>
      <c r="B135" s="9" t="s">
        <v>56</v>
      </c>
      <c r="C135" s="9" t="s">
        <v>57</v>
      </c>
      <c r="D135" s="10"/>
      <c r="E135" s="2" t="n">
        <f>11548</f>
        <v>11548.0</v>
      </c>
      <c r="F135" s="10"/>
      <c r="G135" s="2" t="n">
        <f>21523405000</f>
        <v>2.1523405E10</v>
      </c>
      <c r="H135" s="10"/>
      <c r="I135" s="2" t="n">
        <f>510</f>
        <v>510.0</v>
      </c>
      <c r="J135" s="10" t="s">
        <v>25</v>
      </c>
      <c r="K135" s="2" t="n">
        <f>89049</f>
        <v>89049.0</v>
      </c>
    </row>
    <row r="136">
      <c r="A136" s="8" t="s">
        <v>29</v>
      </c>
      <c r="B136" s="9" t="s">
        <v>56</v>
      </c>
      <c r="C136" s="9" t="s">
        <v>57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30</v>
      </c>
      <c r="B137" s="9" t="s">
        <v>56</v>
      </c>
      <c r="C137" s="9" t="s">
        <v>57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31</v>
      </c>
      <c r="B138" s="9" t="s">
        <v>56</v>
      </c>
      <c r="C138" s="9" t="s">
        <v>57</v>
      </c>
      <c r="D138" s="10"/>
      <c r="E138" s="2" t="n">
        <f>13046</f>
        <v>13046.0</v>
      </c>
      <c r="F138" s="10"/>
      <c r="G138" s="2" t="n">
        <f>24483032900</f>
        <v>2.44830329E10</v>
      </c>
      <c r="H138" s="10"/>
      <c r="I138" s="2" t="n">
        <f>798</f>
        <v>798.0</v>
      </c>
      <c r="J138" s="10" t="s">
        <v>32</v>
      </c>
      <c r="K138" s="2" t="n">
        <f>40920</f>
        <v>40920.0</v>
      </c>
    </row>
    <row r="139">
      <c r="A139" s="8" t="s">
        <v>33</v>
      </c>
      <c r="B139" s="9" t="s">
        <v>56</v>
      </c>
      <c r="C139" s="9" t="s">
        <v>57</v>
      </c>
      <c r="D139" s="10"/>
      <c r="E139" s="2" t="n">
        <f>13067</f>
        <v>13067.0</v>
      </c>
      <c r="F139" s="10"/>
      <c r="G139" s="2" t="n">
        <f>24744338500</f>
        <v>2.47443385E10</v>
      </c>
      <c r="H139" s="10"/>
      <c r="I139" s="2" t="n">
        <f>461</f>
        <v>461.0</v>
      </c>
      <c r="J139" s="10"/>
      <c r="K139" s="2" t="n">
        <f>41372</f>
        <v>41372.0</v>
      </c>
    </row>
    <row r="140">
      <c r="A140" s="8" t="s">
        <v>34</v>
      </c>
      <c r="B140" s="9" t="s">
        <v>56</v>
      </c>
      <c r="C140" s="9" t="s">
        <v>57</v>
      </c>
      <c r="D140" s="10"/>
      <c r="E140" s="2" t="n">
        <f>9140</f>
        <v>9140.0</v>
      </c>
      <c r="F140" s="10"/>
      <c r="G140" s="2" t="n">
        <f>17216628500</f>
        <v>1.72166285E10</v>
      </c>
      <c r="H140" s="10"/>
      <c r="I140" s="2" t="n">
        <f>923</f>
        <v>923.0</v>
      </c>
      <c r="J140" s="10"/>
      <c r="K140" s="2" t="n">
        <f>41809</f>
        <v>41809.0</v>
      </c>
    </row>
    <row r="141">
      <c r="A141" s="8" t="s">
        <v>35</v>
      </c>
      <c r="B141" s="9" t="s">
        <v>56</v>
      </c>
      <c r="C141" s="9" t="s">
        <v>57</v>
      </c>
      <c r="D141" s="10"/>
      <c r="E141" s="2" t="n">
        <f>8261</f>
        <v>8261.0</v>
      </c>
      <c r="F141" s="10"/>
      <c r="G141" s="2" t="n">
        <f>15529488465</f>
        <v>1.5529488465E10</v>
      </c>
      <c r="H141" s="10"/>
      <c r="I141" s="2" t="n">
        <f>303</f>
        <v>303.0</v>
      </c>
      <c r="J141" s="10"/>
      <c r="K141" s="2" t="n">
        <f>41653</f>
        <v>41653.0</v>
      </c>
    </row>
    <row r="142">
      <c r="A142" s="8" t="s">
        <v>36</v>
      </c>
      <c r="B142" s="9" t="s">
        <v>56</v>
      </c>
      <c r="C142" s="9" t="s">
        <v>57</v>
      </c>
      <c r="D142" s="10"/>
      <c r="E142" s="2" t="n">
        <f>8119</f>
        <v>8119.0</v>
      </c>
      <c r="F142" s="10"/>
      <c r="G142" s="2" t="n">
        <f>15289637500</f>
        <v>1.52896375E10</v>
      </c>
      <c r="H142" s="10"/>
      <c r="I142" s="2" t="n">
        <f>751</f>
        <v>751.0</v>
      </c>
      <c r="J142" s="10"/>
      <c r="K142" s="2" t="n">
        <f>42008</f>
        <v>42008.0</v>
      </c>
    </row>
    <row r="143">
      <c r="A143" s="8" t="s">
        <v>37</v>
      </c>
      <c r="B143" s="9" t="s">
        <v>56</v>
      </c>
      <c r="C143" s="9" t="s">
        <v>57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38</v>
      </c>
      <c r="B144" s="9" t="s">
        <v>56</v>
      </c>
      <c r="C144" s="9" t="s">
        <v>57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39</v>
      </c>
      <c r="B145" s="9" t="s">
        <v>56</v>
      </c>
      <c r="C145" s="9" t="s">
        <v>57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40</v>
      </c>
      <c r="B146" s="9" t="s">
        <v>56</v>
      </c>
      <c r="C146" s="9" t="s">
        <v>57</v>
      </c>
      <c r="D146" s="10"/>
      <c r="E146" s="2" t="n">
        <f>9702</f>
        <v>9702.0</v>
      </c>
      <c r="F146" s="10"/>
      <c r="G146" s="2" t="n">
        <f>17985152746</f>
        <v>1.7985152746E10</v>
      </c>
      <c r="H146" s="10"/>
      <c r="I146" s="2" t="n">
        <f>429</f>
        <v>429.0</v>
      </c>
      <c r="J146" s="10"/>
      <c r="K146" s="2" t="n">
        <f>42452</f>
        <v>42452.0</v>
      </c>
    </row>
    <row r="147">
      <c r="A147" s="8" t="s">
        <v>41</v>
      </c>
      <c r="B147" s="9" t="s">
        <v>56</v>
      </c>
      <c r="C147" s="9" t="s">
        <v>57</v>
      </c>
      <c r="D147" s="10"/>
      <c r="E147" s="2" t="n">
        <f>14119</f>
        <v>14119.0</v>
      </c>
      <c r="F147" s="10"/>
      <c r="G147" s="2" t="n">
        <f>26097249727</f>
        <v>2.6097249727E10</v>
      </c>
      <c r="H147" s="10"/>
      <c r="I147" s="2" t="n">
        <f>2042</f>
        <v>2042.0</v>
      </c>
      <c r="J147" s="10"/>
      <c r="K147" s="2" t="n">
        <f>42877</f>
        <v>42877.0</v>
      </c>
    </row>
    <row r="148">
      <c r="A148" s="8" t="s">
        <v>42</v>
      </c>
      <c r="B148" s="9" t="s">
        <v>56</v>
      </c>
      <c r="C148" s="9" t="s">
        <v>57</v>
      </c>
      <c r="D148" s="10"/>
      <c r="E148" s="2"/>
      <c r="F148" s="10"/>
      <c r="G148" s="2"/>
      <c r="H148" s="10"/>
      <c r="I148" s="2"/>
      <c r="J148" s="10"/>
      <c r="K148" s="2"/>
    </row>
    <row r="149">
      <c r="A149" s="8" t="s">
        <v>43</v>
      </c>
      <c r="B149" s="9" t="s">
        <v>56</v>
      </c>
      <c r="C149" s="9" t="s">
        <v>57</v>
      </c>
      <c r="D149" s="10"/>
      <c r="E149" s="2" t="n">
        <f>11136</f>
        <v>11136.0</v>
      </c>
      <c r="F149" s="10"/>
      <c r="G149" s="2" t="n">
        <f>20732206741</f>
        <v>2.0732206741E10</v>
      </c>
      <c r="H149" s="10" t="s">
        <v>32</v>
      </c>
      <c r="I149" s="2" t="n">
        <f>229</f>
        <v>229.0</v>
      </c>
      <c r="J149" s="10"/>
      <c r="K149" s="2" t="n">
        <f>44734</f>
        <v>44734.0</v>
      </c>
    </row>
    <row r="150">
      <c r="A150" s="8" t="s">
        <v>44</v>
      </c>
      <c r="B150" s="9" t="s">
        <v>56</v>
      </c>
      <c r="C150" s="9" t="s">
        <v>57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45</v>
      </c>
      <c r="B151" s="9" t="s">
        <v>56</v>
      </c>
      <c r="C151" s="9" t="s">
        <v>57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46</v>
      </c>
      <c r="B152" s="9" t="s">
        <v>56</v>
      </c>
      <c r="C152" s="9" t="s">
        <v>57</v>
      </c>
      <c r="D152" s="10" t="s">
        <v>32</v>
      </c>
      <c r="E152" s="2" t="n">
        <f>8045</f>
        <v>8045.0</v>
      </c>
      <c r="F152" s="10" t="s">
        <v>32</v>
      </c>
      <c r="G152" s="2" t="n">
        <f>15071675184</f>
        <v>1.5071675184E10</v>
      </c>
      <c r="H152" s="10"/>
      <c r="I152" s="2" t="n">
        <f>410</f>
        <v>410.0</v>
      </c>
      <c r="J152" s="10"/>
      <c r="K152" s="2" t="n">
        <f>44633</f>
        <v>44633.0</v>
      </c>
    </row>
    <row r="153">
      <c r="A153" s="8" t="s">
        <v>47</v>
      </c>
      <c r="B153" s="9" t="s">
        <v>56</v>
      </c>
      <c r="C153" s="9" t="s">
        <v>57</v>
      </c>
      <c r="D153" s="10"/>
      <c r="E153" s="2" t="n">
        <f>17440</f>
        <v>17440.0</v>
      </c>
      <c r="F153" s="10"/>
      <c r="G153" s="2" t="n">
        <f>32459951302</f>
        <v>3.2459951302E10</v>
      </c>
      <c r="H153" s="10"/>
      <c r="I153" s="2" t="n">
        <f>666</f>
        <v>666.0</v>
      </c>
      <c r="J153" s="10"/>
      <c r="K153" s="2" t="n">
        <f>47743</f>
        <v>47743.0</v>
      </c>
    </row>
    <row r="154">
      <c r="A154" s="8" t="s">
        <v>48</v>
      </c>
      <c r="B154" s="9" t="s">
        <v>56</v>
      </c>
      <c r="C154" s="9" t="s">
        <v>57</v>
      </c>
      <c r="D154" s="10"/>
      <c r="E154" s="2" t="n">
        <f>34913</f>
        <v>34913.0</v>
      </c>
      <c r="F154" s="10"/>
      <c r="G154" s="2" t="n">
        <f>64335059548</f>
        <v>6.4335059548E10</v>
      </c>
      <c r="H154" s="10"/>
      <c r="I154" s="2" t="n">
        <f>1582</f>
        <v>1582.0</v>
      </c>
      <c r="J154" s="10"/>
      <c r="K154" s="2" t="n">
        <f>56508</f>
        <v>56508.0</v>
      </c>
    </row>
    <row r="155">
      <c r="A155" s="8" t="s">
        <v>49</v>
      </c>
      <c r="B155" s="9" t="s">
        <v>56</v>
      </c>
      <c r="C155" s="9" t="s">
        <v>57</v>
      </c>
      <c r="D155" s="10"/>
      <c r="E155" s="2" t="n">
        <f>17534</f>
        <v>17534.0</v>
      </c>
      <c r="F155" s="10"/>
      <c r="G155" s="2" t="n">
        <f>32161176300</f>
        <v>3.21611763E10</v>
      </c>
      <c r="H155" s="10"/>
      <c r="I155" s="2" t="n">
        <f>628</f>
        <v>628.0</v>
      </c>
      <c r="J155" s="10"/>
      <c r="K155" s="2" t="n">
        <f>56645</f>
        <v>56645.0</v>
      </c>
    </row>
    <row r="156">
      <c r="A156" s="8" t="s">
        <v>16</v>
      </c>
      <c r="B156" s="9" t="s">
        <v>58</v>
      </c>
      <c r="C156" s="9" t="s">
        <v>59</v>
      </c>
      <c r="D156" s="10" t="s">
        <v>32</v>
      </c>
      <c r="E156" s="2" t="str">
        <f>"－"</f>
        <v>－</v>
      </c>
      <c r="F156" s="10" t="s">
        <v>32</v>
      </c>
      <c r="G156" s="2" t="str">
        <f>"－"</f>
        <v>－</v>
      </c>
      <c r="H156" s="10" t="s">
        <v>60</v>
      </c>
      <c r="I156" s="2" t="str">
        <f>"－"</f>
        <v>－</v>
      </c>
      <c r="J156" s="10" t="s">
        <v>32</v>
      </c>
      <c r="K156" s="2" t="n">
        <f>36</f>
        <v>36.0</v>
      </c>
    </row>
    <row r="157">
      <c r="A157" s="8" t="s">
        <v>19</v>
      </c>
      <c r="B157" s="9" t="s">
        <v>58</v>
      </c>
      <c r="C157" s="9" t="s">
        <v>59</v>
      </c>
      <c r="D157" s="10"/>
      <c r="E157" s="2" t="str">
        <f>"－"</f>
        <v>－</v>
      </c>
      <c r="F157" s="10"/>
      <c r="G157" s="2" t="str">
        <f>"－"</f>
        <v>－</v>
      </c>
      <c r="H157" s="10"/>
      <c r="I157" s="2" t="str">
        <f>"－"</f>
        <v>－</v>
      </c>
      <c r="J157" s="10"/>
      <c r="K157" s="2" t="n">
        <f>36</f>
        <v>36.0</v>
      </c>
    </row>
    <row r="158">
      <c r="A158" s="8" t="s">
        <v>20</v>
      </c>
      <c r="B158" s="9" t="s">
        <v>58</v>
      </c>
      <c r="C158" s="9" t="s">
        <v>59</v>
      </c>
      <c r="D158" s="10"/>
      <c r="E158" s="2" t="n">
        <f>32</f>
        <v>32.0</v>
      </c>
      <c r="F158" s="10"/>
      <c r="G158" s="2" t="n">
        <f>29905600</f>
        <v>2.99056E7</v>
      </c>
      <c r="H158" s="10"/>
      <c r="I158" s="2" t="str">
        <f>"－"</f>
        <v>－</v>
      </c>
      <c r="J158" s="10"/>
      <c r="K158" s="2" t="n">
        <f>36</f>
        <v>36.0</v>
      </c>
    </row>
    <row r="159">
      <c r="A159" s="8" t="s">
        <v>21</v>
      </c>
      <c r="B159" s="9" t="s">
        <v>58</v>
      </c>
      <c r="C159" s="9" t="s">
        <v>59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22</v>
      </c>
      <c r="B160" s="9" t="s">
        <v>58</v>
      </c>
      <c r="C160" s="9" t="s">
        <v>59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23</v>
      </c>
      <c r="B161" s="9" t="s">
        <v>58</v>
      </c>
      <c r="C161" s="9" t="s">
        <v>59</v>
      </c>
      <c r="D161" s="10"/>
      <c r="E161" s="2" t="str">
        <f>"－"</f>
        <v>－</v>
      </c>
      <c r="F161" s="10"/>
      <c r="G161" s="2" t="str">
        <f>"－"</f>
        <v>－</v>
      </c>
      <c r="H161" s="10"/>
      <c r="I161" s="2" t="str">
        <f>"－"</f>
        <v>－</v>
      </c>
      <c r="J161" s="10"/>
      <c r="K161" s="2" t="n">
        <f>36</f>
        <v>36.0</v>
      </c>
    </row>
    <row r="162">
      <c r="A162" s="8" t="s">
        <v>24</v>
      </c>
      <c r="B162" s="9" t="s">
        <v>58</v>
      </c>
      <c r="C162" s="9" t="s">
        <v>59</v>
      </c>
      <c r="D162" s="10" t="s">
        <v>25</v>
      </c>
      <c r="E162" s="2" t="n">
        <f>40</f>
        <v>40.0</v>
      </c>
      <c r="F162" s="10" t="s">
        <v>25</v>
      </c>
      <c r="G162" s="2" t="n">
        <f>38960000</f>
        <v>3.896E7</v>
      </c>
      <c r="H162" s="10"/>
      <c r="I162" s="2" t="str">
        <f>"－"</f>
        <v>－</v>
      </c>
      <c r="J162" s="10"/>
      <c r="K162" s="2" t="n">
        <f>36</f>
        <v>36.0</v>
      </c>
    </row>
    <row r="163">
      <c r="A163" s="8" t="s">
        <v>26</v>
      </c>
      <c r="B163" s="9" t="s">
        <v>58</v>
      </c>
      <c r="C163" s="9" t="s">
        <v>59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36</f>
        <v>36.0</v>
      </c>
    </row>
    <row r="164">
      <c r="A164" s="8" t="s">
        <v>27</v>
      </c>
      <c r="B164" s="9" t="s">
        <v>58</v>
      </c>
      <c r="C164" s="9" t="s">
        <v>59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36</f>
        <v>36.0</v>
      </c>
    </row>
    <row r="165">
      <c r="A165" s="8" t="s">
        <v>28</v>
      </c>
      <c r="B165" s="9" t="s">
        <v>58</v>
      </c>
      <c r="C165" s="9" t="s">
        <v>59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36</f>
        <v>36.0</v>
      </c>
    </row>
    <row r="166">
      <c r="A166" s="8" t="s">
        <v>29</v>
      </c>
      <c r="B166" s="9" t="s">
        <v>58</v>
      </c>
      <c r="C166" s="9" t="s">
        <v>59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30</v>
      </c>
      <c r="B167" s="9" t="s">
        <v>58</v>
      </c>
      <c r="C167" s="9" t="s">
        <v>59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31</v>
      </c>
      <c r="B168" s="9" t="s">
        <v>58</v>
      </c>
      <c r="C168" s="9" t="s">
        <v>59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36</f>
        <v>36.0</v>
      </c>
    </row>
    <row r="169">
      <c r="A169" s="8" t="s">
        <v>33</v>
      </c>
      <c r="B169" s="9" t="s">
        <v>58</v>
      </c>
      <c r="C169" s="9" t="s">
        <v>59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36</f>
        <v>36.0</v>
      </c>
    </row>
    <row r="170">
      <c r="A170" s="8" t="s">
        <v>34</v>
      </c>
      <c r="B170" s="9" t="s">
        <v>58</v>
      </c>
      <c r="C170" s="9" t="s">
        <v>59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36</f>
        <v>36.0</v>
      </c>
    </row>
    <row r="171">
      <c r="A171" s="8" t="s">
        <v>35</v>
      </c>
      <c r="B171" s="9" t="s">
        <v>58</v>
      </c>
      <c r="C171" s="9" t="s">
        <v>59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36</f>
        <v>36.0</v>
      </c>
    </row>
    <row r="172">
      <c r="A172" s="8" t="s">
        <v>36</v>
      </c>
      <c r="B172" s="9" t="s">
        <v>58</v>
      </c>
      <c r="C172" s="9" t="s">
        <v>59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36</f>
        <v>36.0</v>
      </c>
    </row>
    <row r="173">
      <c r="A173" s="8" t="s">
        <v>37</v>
      </c>
      <c r="B173" s="9" t="s">
        <v>58</v>
      </c>
      <c r="C173" s="9" t="s">
        <v>59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38</v>
      </c>
      <c r="B174" s="9" t="s">
        <v>58</v>
      </c>
      <c r="C174" s="9" t="s">
        <v>59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39</v>
      </c>
      <c r="B175" s="9" t="s">
        <v>58</v>
      </c>
      <c r="C175" s="9" t="s">
        <v>59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40</v>
      </c>
      <c r="B176" s="9" t="s">
        <v>58</v>
      </c>
      <c r="C176" s="9" t="s">
        <v>59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36</f>
        <v>36.0</v>
      </c>
    </row>
    <row r="177">
      <c r="A177" s="8" t="s">
        <v>41</v>
      </c>
      <c r="B177" s="9" t="s">
        <v>58</v>
      </c>
      <c r="C177" s="9" t="s">
        <v>59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36</f>
        <v>36.0</v>
      </c>
    </row>
    <row r="178">
      <c r="A178" s="8" t="s">
        <v>42</v>
      </c>
      <c r="B178" s="9" t="s">
        <v>58</v>
      </c>
      <c r="C178" s="9" t="s">
        <v>59</v>
      </c>
      <c r="D178" s="10"/>
      <c r="E178" s="2"/>
      <c r="F178" s="10"/>
      <c r="G178" s="2"/>
      <c r="H178" s="10"/>
      <c r="I178" s="2"/>
      <c r="J178" s="10"/>
      <c r="K178" s="2"/>
    </row>
    <row r="179">
      <c r="A179" s="8" t="s">
        <v>43</v>
      </c>
      <c r="B179" s="9" t="s">
        <v>58</v>
      </c>
      <c r="C179" s="9" t="s">
        <v>59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36</f>
        <v>36.0</v>
      </c>
    </row>
    <row r="180">
      <c r="A180" s="8" t="s">
        <v>44</v>
      </c>
      <c r="B180" s="9" t="s">
        <v>58</v>
      </c>
      <c r="C180" s="9" t="s">
        <v>59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45</v>
      </c>
      <c r="B181" s="9" t="s">
        <v>58</v>
      </c>
      <c r="C181" s="9" t="s">
        <v>59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46</v>
      </c>
      <c r="B182" s="9" t="s">
        <v>58</v>
      </c>
      <c r="C182" s="9" t="s">
        <v>59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36</f>
        <v>36.0</v>
      </c>
    </row>
    <row r="183">
      <c r="A183" s="8" t="s">
        <v>47</v>
      </c>
      <c r="B183" s="9" t="s">
        <v>58</v>
      </c>
      <c r="C183" s="9" t="s">
        <v>59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36</f>
        <v>36.0</v>
      </c>
    </row>
    <row r="184">
      <c r="A184" s="8" t="s">
        <v>48</v>
      </c>
      <c r="B184" s="9" t="s">
        <v>58</v>
      </c>
      <c r="C184" s="9" t="s">
        <v>59</v>
      </c>
      <c r="D184" s="10"/>
      <c r="E184" s="2" t="n">
        <f>29</f>
        <v>29.0</v>
      </c>
      <c r="F184" s="10"/>
      <c r="G184" s="2" t="n">
        <f>28058150</f>
        <v>2.805815E7</v>
      </c>
      <c r="H184" s="10"/>
      <c r="I184" s="2" t="str">
        <f>"－"</f>
        <v>－</v>
      </c>
      <c r="J184" s="10" t="s">
        <v>25</v>
      </c>
      <c r="K184" s="2" t="n">
        <f>65</f>
        <v>65.0</v>
      </c>
    </row>
    <row r="185">
      <c r="A185" s="8" t="s">
        <v>49</v>
      </c>
      <c r="B185" s="9" t="s">
        <v>58</v>
      </c>
      <c r="C185" s="9" t="s">
        <v>59</v>
      </c>
      <c r="D185" s="10"/>
      <c r="E185" s="2" t="n">
        <f>20</f>
        <v>20.0</v>
      </c>
      <c r="F185" s="10"/>
      <c r="G185" s="2" t="n">
        <f>19322000</f>
        <v>1.9322E7</v>
      </c>
      <c r="H185" s="10"/>
      <c r="I185" s="2" t="str">
        <f>"－"</f>
        <v>－</v>
      </c>
      <c r="J185" s="10"/>
      <c r="K185" s="2" t="n">
        <f>65</f>
        <v>65.0</v>
      </c>
    </row>
    <row r="186">
      <c r="A186" s="8" t="s">
        <v>16</v>
      </c>
      <c r="B186" s="9" t="s">
        <v>61</v>
      </c>
      <c r="C186" s="9" t="s">
        <v>62</v>
      </c>
      <c r="D186" s="10" t="s">
        <v>32</v>
      </c>
      <c r="E186" s="2" t="str">
        <f>"－"</f>
        <v>－</v>
      </c>
      <c r="F186" s="10" t="s">
        <v>32</v>
      </c>
      <c r="G186" s="2" t="str">
        <f>"－"</f>
        <v>－</v>
      </c>
      <c r="H186" s="10" t="s">
        <v>32</v>
      </c>
      <c r="I186" s="2" t="str">
        <f>"－"</f>
        <v>－</v>
      </c>
      <c r="J186" s="10"/>
      <c r="K186" s="2" t="n">
        <f>48934</f>
        <v>48934.0</v>
      </c>
    </row>
    <row r="187">
      <c r="A187" s="8" t="s">
        <v>19</v>
      </c>
      <c r="B187" s="9" t="s">
        <v>61</v>
      </c>
      <c r="C187" s="9" t="s">
        <v>62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48934</f>
        <v>48934.0</v>
      </c>
    </row>
    <row r="188">
      <c r="A188" s="8" t="s">
        <v>20</v>
      </c>
      <c r="B188" s="9" t="s">
        <v>61</v>
      </c>
      <c r="C188" s="9" t="s">
        <v>62</v>
      </c>
      <c r="D188" s="10"/>
      <c r="E188" s="2" t="n">
        <f>13404</f>
        <v>13404.0</v>
      </c>
      <c r="F188" s="10"/>
      <c r="G188" s="2" t="n">
        <f>19097099000</f>
        <v>1.9097099E10</v>
      </c>
      <c r="H188" s="10"/>
      <c r="I188" s="2" t="str">
        <f>"－"</f>
        <v>－</v>
      </c>
      <c r="J188" s="10"/>
      <c r="K188" s="2" t="n">
        <f>50434</f>
        <v>50434.0</v>
      </c>
    </row>
    <row r="189">
      <c r="A189" s="8" t="s">
        <v>21</v>
      </c>
      <c r="B189" s="9" t="s">
        <v>61</v>
      </c>
      <c r="C189" s="9" t="s">
        <v>62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22</v>
      </c>
      <c r="B190" s="9" t="s">
        <v>61</v>
      </c>
      <c r="C190" s="9" t="s">
        <v>62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23</v>
      </c>
      <c r="B191" s="9" t="s">
        <v>61</v>
      </c>
      <c r="C191" s="9" t="s">
        <v>62</v>
      </c>
      <c r="D191" s="10" t="s">
        <v>25</v>
      </c>
      <c r="E191" s="2" t="n">
        <f>45024</f>
        <v>45024.0</v>
      </c>
      <c r="F191" s="10" t="s">
        <v>25</v>
      </c>
      <c r="G191" s="2" t="n">
        <f>64943304000</f>
        <v>6.4943304E10</v>
      </c>
      <c r="H191" s="10"/>
      <c r="I191" s="2" t="str">
        <f>"－"</f>
        <v>－</v>
      </c>
      <c r="J191" s="10" t="s">
        <v>25</v>
      </c>
      <c r="K191" s="2" t="n">
        <f>60946</f>
        <v>60946.0</v>
      </c>
    </row>
    <row r="192">
      <c r="A192" s="8" t="s">
        <v>24</v>
      </c>
      <c r="B192" s="9" t="s">
        <v>61</v>
      </c>
      <c r="C192" s="9" t="s">
        <v>62</v>
      </c>
      <c r="D192" s="10"/>
      <c r="E192" s="2" t="str">
        <f>"－"</f>
        <v>－</v>
      </c>
      <c r="F192" s="10"/>
      <c r="G192" s="2" t="str">
        <f>"－"</f>
        <v>－</v>
      </c>
      <c r="H192" s="10"/>
      <c r="I192" s="2" t="str">
        <f>"－"</f>
        <v>－</v>
      </c>
      <c r="J192" s="10"/>
      <c r="K192" s="2" t="n">
        <f>50946</f>
        <v>50946.0</v>
      </c>
    </row>
    <row r="193">
      <c r="A193" s="8" t="s">
        <v>26</v>
      </c>
      <c r="B193" s="9" t="s">
        <v>61</v>
      </c>
      <c r="C193" s="9" t="s">
        <v>62</v>
      </c>
      <c r="D193" s="10"/>
      <c r="E193" s="2" t="n">
        <f>13500</f>
        <v>13500.0</v>
      </c>
      <c r="F193" s="10"/>
      <c r="G193" s="2" t="n">
        <f>19666452250</f>
        <v>1.966645225E10</v>
      </c>
      <c r="H193" s="10" t="s">
        <v>25</v>
      </c>
      <c r="I193" s="2" t="n">
        <f>1406</f>
        <v>1406.0</v>
      </c>
      <c r="J193" s="10"/>
      <c r="K193" s="2" t="n">
        <f>51187</f>
        <v>51187.0</v>
      </c>
    </row>
    <row r="194">
      <c r="A194" s="8" t="s">
        <v>27</v>
      </c>
      <c r="B194" s="9" t="s">
        <v>61</v>
      </c>
      <c r="C194" s="9" t="s">
        <v>62</v>
      </c>
      <c r="D194" s="10"/>
      <c r="E194" s="2" t="n">
        <f>22000</f>
        <v>22000.0</v>
      </c>
      <c r="F194" s="10"/>
      <c r="G194" s="2" t="n">
        <f>32159650000</f>
        <v>3.215965E10</v>
      </c>
      <c r="H194" s="10"/>
      <c r="I194" s="2" t="str">
        <f>"－"</f>
        <v>－</v>
      </c>
      <c r="J194" s="10"/>
      <c r="K194" s="2" t="n">
        <f>49614</f>
        <v>49614.0</v>
      </c>
    </row>
    <row r="195">
      <c r="A195" s="8" t="s">
        <v>28</v>
      </c>
      <c r="B195" s="9" t="s">
        <v>61</v>
      </c>
      <c r="C195" s="9" t="s">
        <v>62</v>
      </c>
      <c r="D195" s="10"/>
      <c r="E195" s="2" t="n">
        <f>5136</f>
        <v>5136.0</v>
      </c>
      <c r="F195" s="10"/>
      <c r="G195" s="2" t="n">
        <f>7386081600</f>
        <v>7.3860816E9</v>
      </c>
      <c r="H195" s="10"/>
      <c r="I195" s="2" t="str">
        <f>"－"</f>
        <v>－</v>
      </c>
      <c r="J195" s="10"/>
      <c r="K195" s="2" t="n">
        <f>54750</f>
        <v>54750.0</v>
      </c>
    </row>
    <row r="196">
      <c r="A196" s="8" t="s">
        <v>29</v>
      </c>
      <c r="B196" s="9" t="s">
        <v>61</v>
      </c>
      <c r="C196" s="9" t="s">
        <v>62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30</v>
      </c>
      <c r="B197" s="9" t="s">
        <v>61</v>
      </c>
      <c r="C197" s="9" t="s">
        <v>62</v>
      </c>
      <c r="D197" s="10"/>
      <c r="E197" s="2"/>
      <c r="F197" s="10"/>
      <c r="G197" s="2"/>
      <c r="H197" s="10"/>
      <c r="I197" s="2"/>
      <c r="J197" s="10"/>
      <c r="K197" s="2"/>
    </row>
    <row r="198">
      <c r="A198" s="8" t="s">
        <v>31</v>
      </c>
      <c r="B198" s="9" t="s">
        <v>61</v>
      </c>
      <c r="C198" s="9" t="s">
        <v>62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 t="s">
        <v>32</v>
      </c>
      <c r="K198" s="2" t="n">
        <f>46079</f>
        <v>46079.0</v>
      </c>
    </row>
    <row r="199">
      <c r="A199" s="8" t="s">
        <v>33</v>
      </c>
      <c r="B199" s="9" t="s">
        <v>61</v>
      </c>
      <c r="C199" s="9" t="s">
        <v>62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46079</f>
        <v>46079.0</v>
      </c>
    </row>
    <row r="200">
      <c r="A200" s="8" t="s">
        <v>34</v>
      </c>
      <c r="B200" s="9" t="s">
        <v>61</v>
      </c>
      <c r="C200" s="9" t="s">
        <v>62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46079</f>
        <v>46079.0</v>
      </c>
    </row>
    <row r="201">
      <c r="A201" s="8" t="s">
        <v>35</v>
      </c>
      <c r="B201" s="9" t="s">
        <v>61</v>
      </c>
      <c r="C201" s="9" t="s">
        <v>62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46079</f>
        <v>46079.0</v>
      </c>
    </row>
    <row r="202">
      <c r="A202" s="8" t="s">
        <v>36</v>
      </c>
      <c r="B202" s="9" t="s">
        <v>61</v>
      </c>
      <c r="C202" s="9" t="s">
        <v>62</v>
      </c>
      <c r="D202" s="10"/>
      <c r="E202" s="2" t="str">
        <f>"－"</f>
        <v>－</v>
      </c>
      <c r="F202" s="10"/>
      <c r="G202" s="2" t="str">
        <f>"－"</f>
        <v>－</v>
      </c>
      <c r="H202" s="10"/>
      <c r="I202" s="2" t="str">
        <f>"－"</f>
        <v>－</v>
      </c>
      <c r="J202" s="10"/>
      <c r="K202" s="2" t="n">
        <f>46079</f>
        <v>46079.0</v>
      </c>
    </row>
    <row r="203">
      <c r="A203" s="8" t="s">
        <v>37</v>
      </c>
      <c r="B203" s="9" t="s">
        <v>61</v>
      </c>
      <c r="C203" s="9" t="s">
        <v>62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38</v>
      </c>
      <c r="B204" s="9" t="s">
        <v>61</v>
      </c>
      <c r="C204" s="9" t="s">
        <v>62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39</v>
      </c>
      <c r="B205" s="9" t="s">
        <v>61</v>
      </c>
      <c r="C205" s="9" t="s">
        <v>62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40</v>
      </c>
      <c r="B206" s="9" t="s">
        <v>61</v>
      </c>
      <c r="C206" s="9" t="s">
        <v>62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46079</f>
        <v>46079.0</v>
      </c>
    </row>
    <row r="207">
      <c r="A207" s="8" t="s">
        <v>41</v>
      </c>
      <c r="B207" s="9" t="s">
        <v>61</v>
      </c>
      <c r="C207" s="9" t="s">
        <v>62</v>
      </c>
      <c r="D207" s="10"/>
      <c r="E207" s="2" t="n">
        <f>10</f>
        <v>10.0</v>
      </c>
      <c r="F207" s="10"/>
      <c r="G207" s="2" t="n">
        <f>14520000</f>
        <v>1.452E7</v>
      </c>
      <c r="H207" s="10"/>
      <c r="I207" s="2" t="str">
        <f>"－"</f>
        <v>－</v>
      </c>
      <c r="J207" s="10"/>
      <c r="K207" s="2" t="n">
        <f>46089</f>
        <v>46089.0</v>
      </c>
    </row>
    <row r="208">
      <c r="A208" s="8" t="s">
        <v>42</v>
      </c>
      <c r="B208" s="9" t="s">
        <v>61</v>
      </c>
      <c r="C208" s="9" t="s">
        <v>62</v>
      </c>
      <c r="D208" s="10"/>
      <c r="E208" s="2"/>
      <c r="F208" s="10"/>
      <c r="G208" s="2"/>
      <c r="H208" s="10"/>
      <c r="I208" s="2"/>
      <c r="J208" s="10"/>
      <c r="K208" s="2"/>
    </row>
    <row r="209">
      <c r="A209" s="8" t="s">
        <v>43</v>
      </c>
      <c r="B209" s="9" t="s">
        <v>61</v>
      </c>
      <c r="C209" s="9" t="s">
        <v>62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46089</f>
        <v>46089.0</v>
      </c>
    </row>
    <row r="210">
      <c r="A210" s="8" t="s">
        <v>44</v>
      </c>
      <c r="B210" s="9" t="s">
        <v>61</v>
      </c>
      <c r="C210" s="9" t="s">
        <v>62</v>
      </c>
      <c r="D210" s="10"/>
      <c r="E210" s="2"/>
      <c r="F210" s="10"/>
      <c r="G210" s="2"/>
      <c r="H210" s="10"/>
      <c r="I210" s="2"/>
      <c r="J210" s="10"/>
      <c r="K210" s="2"/>
    </row>
    <row r="211">
      <c r="A211" s="8" t="s">
        <v>45</v>
      </c>
      <c r="B211" s="9" t="s">
        <v>61</v>
      </c>
      <c r="C211" s="9" t="s">
        <v>62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46</v>
      </c>
      <c r="B212" s="9" t="s">
        <v>61</v>
      </c>
      <c r="C212" s="9" t="s">
        <v>62</v>
      </c>
      <c r="D212" s="10"/>
      <c r="E212" s="2" t="n">
        <f>107</f>
        <v>107.0</v>
      </c>
      <c r="F212" s="10"/>
      <c r="G212" s="2" t="n">
        <f>162472224</f>
        <v>1.62472224E8</v>
      </c>
      <c r="H212" s="10"/>
      <c r="I212" s="2" t="n">
        <f>107</f>
        <v>107.0</v>
      </c>
      <c r="J212" s="10"/>
      <c r="K212" s="2" t="n">
        <f>46196</f>
        <v>46196.0</v>
      </c>
    </row>
    <row r="213">
      <c r="A213" s="8" t="s">
        <v>47</v>
      </c>
      <c r="B213" s="9" t="s">
        <v>61</v>
      </c>
      <c r="C213" s="9" t="s">
        <v>62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46196</f>
        <v>46196.0</v>
      </c>
    </row>
    <row r="214">
      <c r="A214" s="8" t="s">
        <v>48</v>
      </c>
      <c r="B214" s="9" t="s">
        <v>61</v>
      </c>
      <c r="C214" s="9" t="s">
        <v>62</v>
      </c>
      <c r="D214" s="10"/>
      <c r="E214" s="2" t="n">
        <f>20</f>
        <v>20.0</v>
      </c>
      <c r="F214" s="10"/>
      <c r="G214" s="2" t="n">
        <f>30280000</f>
        <v>3.028E7</v>
      </c>
      <c r="H214" s="10"/>
      <c r="I214" s="2" t="str">
        <f>"－"</f>
        <v>－</v>
      </c>
      <c r="J214" s="10"/>
      <c r="K214" s="2" t="n">
        <f>46216</f>
        <v>46216.0</v>
      </c>
    </row>
    <row r="215">
      <c r="A215" s="8" t="s">
        <v>49</v>
      </c>
      <c r="B215" s="9" t="s">
        <v>61</v>
      </c>
      <c r="C215" s="9" t="s">
        <v>62</v>
      </c>
      <c r="D215" s="10"/>
      <c r="E215" s="2" t="n">
        <f>181</f>
        <v>181.0</v>
      </c>
      <c r="F215" s="10"/>
      <c r="G215" s="2" t="n">
        <f>276922398</f>
        <v>2.76922398E8</v>
      </c>
      <c r="H215" s="10"/>
      <c r="I215" s="2" t="n">
        <f>181</f>
        <v>181.0</v>
      </c>
      <c r="J215" s="10"/>
      <c r="K215" s="2" t="n">
        <f>46397</f>
        <v>46397.0</v>
      </c>
    </row>
    <row r="216">
      <c r="A216" s="8" t="s">
        <v>16</v>
      </c>
      <c r="B216" s="9" t="s">
        <v>63</v>
      </c>
      <c r="C216" s="9" t="s">
        <v>64</v>
      </c>
      <c r="D216" s="10"/>
      <c r="E216" s="2" t="n">
        <f>2262</f>
        <v>2262.0</v>
      </c>
      <c r="F216" s="10"/>
      <c r="G216" s="2" t="n">
        <f>4831624780</f>
        <v>4.83162478E9</v>
      </c>
      <c r="H216" s="10"/>
      <c r="I216" s="2" t="n">
        <f>32</f>
        <v>32.0</v>
      </c>
      <c r="J216" s="10"/>
      <c r="K216" s="2" t="n">
        <f>69942</f>
        <v>69942.0</v>
      </c>
    </row>
    <row r="217">
      <c r="A217" s="8" t="s">
        <v>19</v>
      </c>
      <c r="B217" s="9" t="s">
        <v>63</v>
      </c>
      <c r="C217" s="9" t="s">
        <v>64</v>
      </c>
      <c r="D217" s="10" t="s">
        <v>32</v>
      </c>
      <c r="E217" s="2" t="n">
        <f>210</f>
        <v>210.0</v>
      </c>
      <c r="F217" s="10" t="s">
        <v>32</v>
      </c>
      <c r="G217" s="2" t="n">
        <f>450561000</f>
        <v>4.50561E8</v>
      </c>
      <c r="H217" s="10"/>
      <c r="I217" s="2" t="n">
        <f>10</f>
        <v>10.0</v>
      </c>
      <c r="J217" s="10"/>
      <c r="K217" s="2" t="n">
        <f>69828</f>
        <v>69828.0</v>
      </c>
    </row>
    <row r="218">
      <c r="A218" s="8" t="s">
        <v>20</v>
      </c>
      <c r="B218" s="9" t="s">
        <v>63</v>
      </c>
      <c r="C218" s="9" t="s">
        <v>64</v>
      </c>
      <c r="D218" s="10"/>
      <c r="E218" s="2" t="n">
        <f>14221</f>
        <v>14221.0</v>
      </c>
      <c r="F218" s="10"/>
      <c r="G218" s="2" t="n">
        <f>30398679440</f>
        <v>3.039867944E10</v>
      </c>
      <c r="H218" s="10"/>
      <c r="I218" s="2" t="n">
        <f>1</f>
        <v>1.0</v>
      </c>
      <c r="J218" s="10"/>
      <c r="K218" s="2" t="n">
        <f>72466</f>
        <v>72466.0</v>
      </c>
    </row>
    <row r="219">
      <c r="A219" s="8" t="s">
        <v>21</v>
      </c>
      <c r="B219" s="9" t="s">
        <v>63</v>
      </c>
      <c r="C219" s="9" t="s">
        <v>64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22</v>
      </c>
      <c r="B220" s="9" t="s">
        <v>63</v>
      </c>
      <c r="C220" s="9" t="s">
        <v>64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23</v>
      </c>
      <c r="B221" s="9" t="s">
        <v>63</v>
      </c>
      <c r="C221" s="9" t="s">
        <v>64</v>
      </c>
      <c r="D221" s="10"/>
      <c r="E221" s="2" t="n">
        <f>47076</f>
        <v>47076.0</v>
      </c>
      <c r="F221" s="10"/>
      <c r="G221" s="2" t="n">
        <f>101369276530</f>
        <v>1.0136927653E11</v>
      </c>
      <c r="H221" s="10"/>
      <c r="I221" s="2" t="n">
        <f>8</f>
        <v>8.0</v>
      </c>
      <c r="J221" s="10"/>
      <c r="K221" s="2" t="n">
        <f>72951</f>
        <v>72951.0</v>
      </c>
    </row>
    <row r="222">
      <c r="A222" s="8" t="s">
        <v>24</v>
      </c>
      <c r="B222" s="9" t="s">
        <v>63</v>
      </c>
      <c r="C222" s="9" t="s">
        <v>64</v>
      </c>
      <c r="D222" s="10" t="s">
        <v>25</v>
      </c>
      <c r="E222" s="2" t="n">
        <f>51044</f>
        <v>51044.0</v>
      </c>
      <c r="F222" s="10" t="s">
        <v>25</v>
      </c>
      <c r="G222" s="2" t="n">
        <f>109517767870</f>
        <v>1.0951776787E11</v>
      </c>
      <c r="H222" s="10"/>
      <c r="I222" s="2" t="n">
        <f>214</f>
        <v>214.0</v>
      </c>
      <c r="J222" s="10"/>
      <c r="K222" s="2" t="n">
        <f>72411</f>
        <v>72411.0</v>
      </c>
    </row>
    <row r="223">
      <c r="A223" s="8" t="s">
        <v>26</v>
      </c>
      <c r="B223" s="9" t="s">
        <v>63</v>
      </c>
      <c r="C223" s="9" t="s">
        <v>64</v>
      </c>
      <c r="D223" s="10"/>
      <c r="E223" s="2" t="n">
        <f>33657</f>
        <v>33657.0</v>
      </c>
      <c r="F223" s="10"/>
      <c r="G223" s="2" t="n">
        <f>71945328210</f>
        <v>7.194532821E10</v>
      </c>
      <c r="H223" s="10" t="s">
        <v>25</v>
      </c>
      <c r="I223" s="2" t="n">
        <f>726</f>
        <v>726.0</v>
      </c>
      <c r="J223" s="10" t="s">
        <v>25</v>
      </c>
      <c r="K223" s="2" t="n">
        <f>75424</f>
        <v>75424.0</v>
      </c>
    </row>
    <row r="224">
      <c r="A224" s="8" t="s">
        <v>27</v>
      </c>
      <c r="B224" s="9" t="s">
        <v>63</v>
      </c>
      <c r="C224" s="9" t="s">
        <v>64</v>
      </c>
      <c r="D224" s="10"/>
      <c r="E224" s="2" t="n">
        <f>1742</f>
        <v>1742.0</v>
      </c>
      <c r="F224" s="10"/>
      <c r="G224" s="2" t="n">
        <f>3712345450</f>
        <v>3.71234545E9</v>
      </c>
      <c r="H224" s="10"/>
      <c r="I224" s="2" t="n">
        <f>3</f>
        <v>3.0</v>
      </c>
      <c r="J224" s="10"/>
      <c r="K224" s="2" t="n">
        <f>75334</f>
        <v>75334.0</v>
      </c>
    </row>
    <row r="225">
      <c r="A225" s="8" t="s">
        <v>28</v>
      </c>
      <c r="B225" s="9" t="s">
        <v>63</v>
      </c>
      <c r="C225" s="9" t="s">
        <v>64</v>
      </c>
      <c r="D225" s="10"/>
      <c r="E225" s="2" t="n">
        <f>361</f>
        <v>361.0</v>
      </c>
      <c r="F225" s="10"/>
      <c r="G225" s="2" t="n">
        <f>765162000</f>
        <v>7.65162E8</v>
      </c>
      <c r="H225" s="10"/>
      <c r="I225" s="2" t="n">
        <f>6</f>
        <v>6.0</v>
      </c>
      <c r="J225" s="10"/>
      <c r="K225" s="2" t="n">
        <f>75284</f>
        <v>75284.0</v>
      </c>
    </row>
    <row r="226">
      <c r="A226" s="8" t="s">
        <v>29</v>
      </c>
      <c r="B226" s="9" t="s">
        <v>63</v>
      </c>
      <c r="C226" s="9" t="s">
        <v>64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30</v>
      </c>
      <c r="B227" s="9" t="s">
        <v>63</v>
      </c>
      <c r="C227" s="9" t="s">
        <v>64</v>
      </c>
      <c r="D227" s="10"/>
      <c r="E227" s="2"/>
      <c r="F227" s="10"/>
      <c r="G227" s="2"/>
      <c r="H227" s="10"/>
      <c r="I227" s="2"/>
      <c r="J227" s="10"/>
      <c r="K227" s="2"/>
    </row>
    <row r="228">
      <c r="A228" s="8" t="s">
        <v>31</v>
      </c>
      <c r="B228" s="9" t="s">
        <v>63</v>
      </c>
      <c r="C228" s="9" t="s">
        <v>64</v>
      </c>
      <c r="D228" s="10"/>
      <c r="E228" s="2" t="n">
        <f>338</f>
        <v>338.0</v>
      </c>
      <c r="F228" s="10"/>
      <c r="G228" s="2" t="n">
        <f>712755000</f>
        <v>7.12755E8</v>
      </c>
      <c r="H228" s="10"/>
      <c r="I228" s="2" t="n">
        <f>13</f>
        <v>13.0</v>
      </c>
      <c r="J228" s="10"/>
      <c r="K228" s="2" t="n">
        <f>64560</f>
        <v>64560.0</v>
      </c>
    </row>
    <row r="229">
      <c r="A229" s="8" t="s">
        <v>33</v>
      </c>
      <c r="B229" s="9" t="s">
        <v>63</v>
      </c>
      <c r="C229" s="9" t="s">
        <v>64</v>
      </c>
      <c r="D229" s="10"/>
      <c r="E229" s="2" t="n">
        <f>327</f>
        <v>327.0</v>
      </c>
      <c r="F229" s="10"/>
      <c r="G229" s="2" t="n">
        <f>694675000</f>
        <v>6.94675E8</v>
      </c>
      <c r="H229" s="10" t="s">
        <v>32</v>
      </c>
      <c r="I229" s="2" t="str">
        <f>"－"</f>
        <v>－</v>
      </c>
      <c r="J229" s="10" t="s">
        <v>32</v>
      </c>
      <c r="K229" s="2" t="n">
        <f>64534</f>
        <v>64534.0</v>
      </c>
    </row>
    <row r="230">
      <c r="A230" s="8" t="s">
        <v>34</v>
      </c>
      <c r="B230" s="9" t="s">
        <v>63</v>
      </c>
      <c r="C230" s="9" t="s">
        <v>64</v>
      </c>
      <c r="D230" s="10"/>
      <c r="E230" s="2" t="n">
        <f>782</f>
        <v>782.0</v>
      </c>
      <c r="F230" s="10"/>
      <c r="G230" s="2" t="n">
        <f>1650684160</f>
        <v>1.65068416E9</v>
      </c>
      <c r="H230" s="10"/>
      <c r="I230" s="2" t="str">
        <f>"－"</f>
        <v>－</v>
      </c>
      <c r="J230" s="10"/>
      <c r="K230" s="2" t="n">
        <f>64594</f>
        <v>64594.0</v>
      </c>
    </row>
    <row r="231">
      <c r="A231" s="8" t="s">
        <v>35</v>
      </c>
      <c r="B231" s="9" t="s">
        <v>63</v>
      </c>
      <c r="C231" s="9" t="s">
        <v>64</v>
      </c>
      <c r="D231" s="10"/>
      <c r="E231" s="2" t="n">
        <f>444</f>
        <v>444.0</v>
      </c>
      <c r="F231" s="10"/>
      <c r="G231" s="2" t="n">
        <f>934766140</f>
        <v>9.3476614E8</v>
      </c>
      <c r="H231" s="10"/>
      <c r="I231" s="2" t="str">
        <f>"－"</f>
        <v>－</v>
      </c>
      <c r="J231" s="10"/>
      <c r="K231" s="2" t="n">
        <f>64693</f>
        <v>64693.0</v>
      </c>
    </row>
    <row r="232">
      <c r="A232" s="8" t="s">
        <v>36</v>
      </c>
      <c r="B232" s="9" t="s">
        <v>63</v>
      </c>
      <c r="C232" s="9" t="s">
        <v>64</v>
      </c>
      <c r="D232" s="10"/>
      <c r="E232" s="2" t="n">
        <f>258</f>
        <v>258.0</v>
      </c>
      <c r="F232" s="10"/>
      <c r="G232" s="2" t="n">
        <f>543538430</f>
        <v>5.4353843E8</v>
      </c>
      <c r="H232" s="10"/>
      <c r="I232" s="2" t="n">
        <f>133</f>
        <v>133.0</v>
      </c>
      <c r="J232" s="10"/>
      <c r="K232" s="2" t="n">
        <f>64757</f>
        <v>64757.0</v>
      </c>
    </row>
    <row r="233">
      <c r="A233" s="8" t="s">
        <v>37</v>
      </c>
      <c r="B233" s="9" t="s">
        <v>63</v>
      </c>
      <c r="C233" s="9" t="s">
        <v>64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38</v>
      </c>
      <c r="B234" s="9" t="s">
        <v>63</v>
      </c>
      <c r="C234" s="9" t="s">
        <v>64</v>
      </c>
      <c r="D234" s="10"/>
      <c r="E234" s="2"/>
      <c r="F234" s="10"/>
      <c r="G234" s="2"/>
      <c r="H234" s="10"/>
      <c r="I234" s="2"/>
      <c r="J234" s="10"/>
      <c r="K234" s="2"/>
    </row>
    <row r="235">
      <c r="A235" s="8" t="s">
        <v>39</v>
      </c>
      <c r="B235" s="9" t="s">
        <v>63</v>
      </c>
      <c r="C235" s="9" t="s">
        <v>64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40</v>
      </c>
      <c r="B236" s="9" t="s">
        <v>63</v>
      </c>
      <c r="C236" s="9" t="s">
        <v>64</v>
      </c>
      <c r="D236" s="10"/>
      <c r="E236" s="2" t="n">
        <f>392</f>
        <v>392.0</v>
      </c>
      <c r="F236" s="10"/>
      <c r="G236" s="2" t="n">
        <f>821769800</f>
        <v>8.217698E8</v>
      </c>
      <c r="H236" s="10"/>
      <c r="I236" s="2" t="n">
        <f>4</f>
        <v>4.0</v>
      </c>
      <c r="J236" s="10"/>
      <c r="K236" s="2" t="n">
        <f>64613</f>
        <v>64613.0</v>
      </c>
    </row>
    <row r="237">
      <c r="A237" s="8" t="s">
        <v>41</v>
      </c>
      <c r="B237" s="9" t="s">
        <v>63</v>
      </c>
      <c r="C237" s="9" t="s">
        <v>64</v>
      </c>
      <c r="D237" s="10"/>
      <c r="E237" s="2" t="n">
        <f>990</f>
        <v>990.0</v>
      </c>
      <c r="F237" s="10"/>
      <c r="G237" s="2" t="n">
        <f>2063417690</f>
        <v>2.06341769E9</v>
      </c>
      <c r="H237" s="10"/>
      <c r="I237" s="2" t="n">
        <f>22</f>
        <v>22.0</v>
      </c>
      <c r="J237" s="10"/>
      <c r="K237" s="2" t="n">
        <f>64656</f>
        <v>64656.0</v>
      </c>
    </row>
    <row r="238">
      <c r="A238" s="8" t="s">
        <v>42</v>
      </c>
      <c r="B238" s="9" t="s">
        <v>63</v>
      </c>
      <c r="C238" s="9" t="s">
        <v>64</v>
      </c>
      <c r="D238" s="10"/>
      <c r="E238" s="2"/>
      <c r="F238" s="10"/>
      <c r="G238" s="2"/>
      <c r="H238" s="10"/>
      <c r="I238" s="2"/>
      <c r="J238" s="10"/>
      <c r="K238" s="2"/>
    </row>
    <row r="239">
      <c r="A239" s="8" t="s">
        <v>43</v>
      </c>
      <c r="B239" s="9" t="s">
        <v>63</v>
      </c>
      <c r="C239" s="9" t="s">
        <v>64</v>
      </c>
      <c r="D239" s="10"/>
      <c r="E239" s="2" t="n">
        <f>775</f>
        <v>775.0</v>
      </c>
      <c r="F239" s="10"/>
      <c r="G239" s="2" t="n">
        <f>1610927740</f>
        <v>1.61092774E9</v>
      </c>
      <c r="H239" s="10"/>
      <c r="I239" s="2" t="n">
        <f>18</f>
        <v>18.0</v>
      </c>
      <c r="J239" s="10"/>
      <c r="K239" s="2" t="n">
        <f>64892</f>
        <v>64892.0</v>
      </c>
    </row>
    <row r="240">
      <c r="A240" s="8" t="s">
        <v>44</v>
      </c>
      <c r="B240" s="9" t="s">
        <v>63</v>
      </c>
      <c r="C240" s="9" t="s">
        <v>64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45</v>
      </c>
      <c r="B241" s="9" t="s">
        <v>63</v>
      </c>
      <c r="C241" s="9" t="s">
        <v>64</v>
      </c>
      <c r="D241" s="10"/>
      <c r="E241" s="2"/>
      <c r="F241" s="10"/>
      <c r="G241" s="2"/>
      <c r="H241" s="10"/>
      <c r="I241" s="2"/>
      <c r="J241" s="10"/>
      <c r="K241" s="2"/>
    </row>
    <row r="242">
      <c r="A242" s="8" t="s">
        <v>46</v>
      </c>
      <c r="B242" s="9" t="s">
        <v>63</v>
      </c>
      <c r="C242" s="9" t="s">
        <v>64</v>
      </c>
      <c r="D242" s="10"/>
      <c r="E242" s="2" t="n">
        <f>653</f>
        <v>653.0</v>
      </c>
      <c r="F242" s="10"/>
      <c r="G242" s="2" t="n">
        <f>1366358740</f>
        <v>1.36635874E9</v>
      </c>
      <c r="H242" s="10"/>
      <c r="I242" s="2" t="n">
        <f>40</f>
        <v>40.0</v>
      </c>
      <c r="J242" s="10"/>
      <c r="K242" s="2" t="n">
        <f>65025</f>
        <v>65025.0</v>
      </c>
    </row>
    <row r="243">
      <c r="A243" s="8" t="s">
        <v>47</v>
      </c>
      <c r="B243" s="9" t="s">
        <v>63</v>
      </c>
      <c r="C243" s="9" t="s">
        <v>64</v>
      </c>
      <c r="D243" s="10"/>
      <c r="E243" s="2" t="n">
        <f>939</f>
        <v>939.0</v>
      </c>
      <c r="F243" s="10"/>
      <c r="G243" s="2" t="n">
        <f>1967381410</f>
        <v>1.96738141E9</v>
      </c>
      <c r="H243" s="10"/>
      <c r="I243" s="2" t="n">
        <f>18</f>
        <v>18.0</v>
      </c>
      <c r="J243" s="10"/>
      <c r="K243" s="2" t="n">
        <f>65249</f>
        <v>65249.0</v>
      </c>
    </row>
    <row r="244">
      <c r="A244" s="8" t="s">
        <v>48</v>
      </c>
      <c r="B244" s="9" t="s">
        <v>63</v>
      </c>
      <c r="C244" s="9" t="s">
        <v>64</v>
      </c>
      <c r="D244" s="10"/>
      <c r="E244" s="2" t="n">
        <f>1548</f>
        <v>1548.0</v>
      </c>
      <c r="F244" s="10"/>
      <c r="G244" s="2" t="n">
        <f>3241691750</f>
        <v>3.24169175E9</v>
      </c>
      <c r="H244" s="10"/>
      <c r="I244" s="2" t="str">
        <f>"－"</f>
        <v>－</v>
      </c>
      <c r="J244" s="10"/>
      <c r="K244" s="2" t="n">
        <f>66295</f>
        <v>66295.0</v>
      </c>
    </row>
    <row r="245">
      <c r="A245" s="8" t="s">
        <v>49</v>
      </c>
      <c r="B245" s="9" t="s">
        <v>63</v>
      </c>
      <c r="C245" s="9" t="s">
        <v>64</v>
      </c>
      <c r="D245" s="10"/>
      <c r="E245" s="2" t="n">
        <f>295</f>
        <v>295.0</v>
      </c>
      <c r="F245" s="10"/>
      <c r="G245" s="2" t="n">
        <f>613656780</f>
        <v>6.1365678E8</v>
      </c>
      <c r="H245" s="10"/>
      <c r="I245" s="2" t="str">
        <f>"－"</f>
        <v>－</v>
      </c>
      <c r="J245" s="10"/>
      <c r="K245" s="2" t="n">
        <f>66284</f>
        <v>66284.0</v>
      </c>
    </row>
    <row r="246">
      <c r="A246" s="8" t="s">
        <v>16</v>
      </c>
      <c r="B246" s="9" t="s">
        <v>65</v>
      </c>
      <c r="C246" s="9" t="s">
        <v>66</v>
      </c>
      <c r="D246" s="10" t="s">
        <v>60</v>
      </c>
      <c r="E246" s="2" t="str">
        <f>"－"</f>
        <v>－</v>
      </c>
      <c r="F246" s="10" t="s">
        <v>60</v>
      </c>
      <c r="G246" s="2" t="str">
        <f>"－"</f>
        <v>－</v>
      </c>
      <c r="H246" s="10" t="s">
        <v>60</v>
      </c>
      <c r="I246" s="2" t="str">
        <f>"－"</f>
        <v>－</v>
      </c>
      <c r="J246" s="10" t="s">
        <v>60</v>
      </c>
      <c r="K246" s="2" t="str">
        <f>"－"</f>
        <v>－</v>
      </c>
    </row>
    <row r="247">
      <c r="A247" s="8" t="s">
        <v>19</v>
      </c>
      <c r="B247" s="9" t="s">
        <v>65</v>
      </c>
      <c r="C247" s="9" t="s">
        <v>66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20</v>
      </c>
      <c r="B248" s="9" t="s">
        <v>65</v>
      </c>
      <c r="C248" s="9" t="s">
        <v>66</v>
      </c>
      <c r="D248" s="10"/>
      <c r="E248" s="2" t="str">
        <f>"－"</f>
        <v>－</v>
      </c>
      <c r="F248" s="10"/>
      <c r="G248" s="2" t="str">
        <f>"－"</f>
        <v>－</v>
      </c>
      <c r="H248" s="10"/>
      <c r="I248" s="2" t="str">
        <f>"－"</f>
        <v>－</v>
      </c>
      <c r="J248" s="10"/>
      <c r="K248" s="2" t="str">
        <f>"－"</f>
        <v>－</v>
      </c>
    </row>
    <row r="249">
      <c r="A249" s="8" t="s">
        <v>21</v>
      </c>
      <c r="B249" s="9" t="s">
        <v>65</v>
      </c>
      <c r="C249" s="9" t="s">
        <v>66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22</v>
      </c>
      <c r="B250" s="9" t="s">
        <v>65</v>
      </c>
      <c r="C250" s="9" t="s">
        <v>66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23</v>
      </c>
      <c r="B251" s="9" t="s">
        <v>65</v>
      </c>
      <c r="C251" s="9" t="s">
        <v>66</v>
      </c>
      <c r="D251" s="10"/>
      <c r="E251" s="2" t="str">
        <f>"－"</f>
        <v>－</v>
      </c>
      <c r="F251" s="10"/>
      <c r="G251" s="2" t="str">
        <f>"－"</f>
        <v>－</v>
      </c>
      <c r="H251" s="10"/>
      <c r="I251" s="2" t="str">
        <f>"－"</f>
        <v>－</v>
      </c>
      <c r="J251" s="10"/>
      <c r="K251" s="2" t="str">
        <f>"－"</f>
        <v>－</v>
      </c>
    </row>
    <row r="252">
      <c r="A252" s="8" t="s">
        <v>24</v>
      </c>
      <c r="B252" s="9" t="s">
        <v>65</v>
      </c>
      <c r="C252" s="9" t="s">
        <v>66</v>
      </c>
      <c r="D252" s="10"/>
      <c r="E252" s="2" t="str">
        <f>"－"</f>
        <v>－</v>
      </c>
      <c r="F252" s="10"/>
      <c r="G252" s="2" t="str">
        <f>"－"</f>
        <v>－</v>
      </c>
      <c r="H252" s="10"/>
      <c r="I252" s="2" t="str">
        <f>"－"</f>
        <v>－</v>
      </c>
      <c r="J252" s="10"/>
      <c r="K252" s="2" t="str">
        <f>"－"</f>
        <v>－</v>
      </c>
    </row>
    <row r="253">
      <c r="A253" s="8" t="s">
        <v>26</v>
      </c>
      <c r="B253" s="9" t="s">
        <v>65</v>
      </c>
      <c r="C253" s="9" t="s">
        <v>66</v>
      </c>
      <c r="D253" s="10"/>
      <c r="E253" s="2" t="str">
        <f>"－"</f>
        <v>－</v>
      </c>
      <c r="F253" s="10"/>
      <c r="G253" s="2" t="str">
        <f>"－"</f>
        <v>－</v>
      </c>
      <c r="H253" s="10"/>
      <c r="I253" s="2" t="str">
        <f>"－"</f>
        <v>－</v>
      </c>
      <c r="J253" s="10"/>
      <c r="K253" s="2" t="str">
        <f>"－"</f>
        <v>－</v>
      </c>
    </row>
    <row r="254">
      <c r="A254" s="8" t="s">
        <v>27</v>
      </c>
      <c r="B254" s="9" t="s">
        <v>65</v>
      </c>
      <c r="C254" s="9" t="s">
        <v>66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28</v>
      </c>
      <c r="B255" s="9" t="s">
        <v>65</v>
      </c>
      <c r="C255" s="9" t="s">
        <v>66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29</v>
      </c>
      <c r="B256" s="9" t="s">
        <v>65</v>
      </c>
      <c r="C256" s="9" t="s">
        <v>66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30</v>
      </c>
      <c r="B257" s="9" t="s">
        <v>65</v>
      </c>
      <c r="C257" s="9" t="s">
        <v>66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31</v>
      </c>
      <c r="B258" s="9" t="s">
        <v>65</v>
      </c>
      <c r="C258" s="9" t="s">
        <v>66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33</v>
      </c>
      <c r="B259" s="9" t="s">
        <v>65</v>
      </c>
      <c r="C259" s="9" t="s">
        <v>66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34</v>
      </c>
      <c r="B260" s="9" t="s">
        <v>65</v>
      </c>
      <c r="C260" s="9" t="s">
        <v>66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35</v>
      </c>
      <c r="B261" s="9" t="s">
        <v>65</v>
      </c>
      <c r="C261" s="9" t="s">
        <v>66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36</v>
      </c>
      <c r="B262" s="9" t="s">
        <v>65</v>
      </c>
      <c r="C262" s="9" t="s">
        <v>66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37</v>
      </c>
      <c r="B263" s="9" t="s">
        <v>65</v>
      </c>
      <c r="C263" s="9" t="s">
        <v>66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38</v>
      </c>
      <c r="B264" s="9" t="s">
        <v>65</v>
      </c>
      <c r="C264" s="9" t="s">
        <v>66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39</v>
      </c>
      <c r="B265" s="9" t="s">
        <v>65</v>
      </c>
      <c r="C265" s="9" t="s">
        <v>66</v>
      </c>
      <c r="D265" s="10"/>
      <c r="E265" s="2"/>
      <c r="F265" s="10"/>
      <c r="G265" s="2"/>
      <c r="H265" s="10"/>
      <c r="I265" s="2"/>
      <c r="J265" s="10"/>
      <c r="K265" s="2"/>
    </row>
    <row r="266">
      <c r="A266" s="8" t="s">
        <v>40</v>
      </c>
      <c r="B266" s="9" t="s">
        <v>65</v>
      </c>
      <c r="C266" s="9" t="s">
        <v>66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41</v>
      </c>
      <c r="B267" s="9" t="s">
        <v>65</v>
      </c>
      <c r="C267" s="9" t="s">
        <v>66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42</v>
      </c>
      <c r="B268" s="9" t="s">
        <v>65</v>
      </c>
      <c r="C268" s="9" t="s">
        <v>66</v>
      </c>
      <c r="D268" s="10"/>
      <c r="E268" s="2"/>
      <c r="F268" s="10"/>
      <c r="G268" s="2"/>
      <c r="H268" s="10"/>
      <c r="I268" s="2"/>
      <c r="J268" s="10"/>
      <c r="K268" s="2"/>
    </row>
    <row r="269">
      <c r="A269" s="8" t="s">
        <v>43</v>
      </c>
      <c r="B269" s="9" t="s">
        <v>65</v>
      </c>
      <c r="C269" s="9" t="s">
        <v>66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44</v>
      </c>
      <c r="B270" s="9" t="s">
        <v>65</v>
      </c>
      <c r="C270" s="9" t="s">
        <v>66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45</v>
      </c>
      <c r="B271" s="9" t="s">
        <v>65</v>
      </c>
      <c r="C271" s="9" t="s">
        <v>66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46</v>
      </c>
      <c r="B272" s="9" t="s">
        <v>65</v>
      </c>
      <c r="C272" s="9" t="s">
        <v>66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47</v>
      </c>
      <c r="B273" s="9" t="s">
        <v>65</v>
      </c>
      <c r="C273" s="9" t="s">
        <v>66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48</v>
      </c>
      <c r="B274" s="9" t="s">
        <v>65</v>
      </c>
      <c r="C274" s="9" t="s">
        <v>66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49</v>
      </c>
      <c r="B275" s="9" t="s">
        <v>65</v>
      </c>
      <c r="C275" s="9" t="s">
        <v>66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16</v>
      </c>
      <c r="B276" s="9" t="s">
        <v>67</v>
      </c>
      <c r="C276" s="9" t="s">
        <v>68</v>
      </c>
      <c r="D276" s="10"/>
      <c r="E276" s="2" t="n">
        <f>5358</f>
        <v>5358.0</v>
      </c>
      <c r="F276" s="10"/>
      <c r="G276" s="2" t="n">
        <f>6017567640</f>
        <v>6.01756764E9</v>
      </c>
      <c r="H276" s="10"/>
      <c r="I276" s="2" t="n">
        <f>291</f>
        <v>291.0</v>
      </c>
      <c r="J276" s="10"/>
      <c r="K276" s="2" t="n">
        <f>23214</f>
        <v>23214.0</v>
      </c>
    </row>
    <row r="277">
      <c r="A277" s="8" t="s">
        <v>19</v>
      </c>
      <c r="B277" s="9" t="s">
        <v>67</v>
      </c>
      <c r="C277" s="9" t="s">
        <v>68</v>
      </c>
      <c r="D277" s="10"/>
      <c r="E277" s="2" t="n">
        <f>5049</f>
        <v>5049.0</v>
      </c>
      <c r="F277" s="10"/>
      <c r="G277" s="2" t="n">
        <f>5649530680</f>
        <v>5.64953068E9</v>
      </c>
      <c r="H277" s="10"/>
      <c r="I277" s="2" t="n">
        <f>242</f>
        <v>242.0</v>
      </c>
      <c r="J277" s="10"/>
      <c r="K277" s="2" t="n">
        <f>23546</f>
        <v>23546.0</v>
      </c>
    </row>
    <row r="278">
      <c r="A278" s="8" t="s">
        <v>20</v>
      </c>
      <c r="B278" s="9" t="s">
        <v>67</v>
      </c>
      <c r="C278" s="9" t="s">
        <v>68</v>
      </c>
      <c r="D278" s="10"/>
      <c r="E278" s="2" t="n">
        <f>18251</f>
        <v>18251.0</v>
      </c>
      <c r="F278" s="10"/>
      <c r="G278" s="2" t="n">
        <f>20309986040</f>
        <v>2.030998604E10</v>
      </c>
      <c r="H278" s="10"/>
      <c r="I278" s="2" t="n">
        <f>374</f>
        <v>374.0</v>
      </c>
      <c r="J278" s="10" t="s">
        <v>25</v>
      </c>
      <c r="K278" s="2" t="n">
        <f>29802</f>
        <v>29802.0</v>
      </c>
    </row>
    <row r="279">
      <c r="A279" s="8" t="s">
        <v>21</v>
      </c>
      <c r="B279" s="9" t="s">
        <v>67</v>
      </c>
      <c r="C279" s="9" t="s">
        <v>68</v>
      </c>
      <c r="D279" s="10"/>
      <c r="E279" s="2"/>
      <c r="F279" s="10"/>
      <c r="G279" s="2"/>
      <c r="H279" s="10"/>
      <c r="I279" s="2"/>
      <c r="J279" s="10"/>
      <c r="K279" s="2"/>
    </row>
    <row r="280">
      <c r="A280" s="8" t="s">
        <v>22</v>
      </c>
      <c r="B280" s="9" t="s">
        <v>67</v>
      </c>
      <c r="C280" s="9" t="s">
        <v>68</v>
      </c>
      <c r="D280" s="10"/>
      <c r="E280" s="2"/>
      <c r="F280" s="10"/>
      <c r="G280" s="2"/>
      <c r="H280" s="10"/>
      <c r="I280" s="2"/>
      <c r="J280" s="10"/>
      <c r="K280" s="2"/>
    </row>
    <row r="281">
      <c r="A281" s="8" t="s">
        <v>23</v>
      </c>
      <c r="B281" s="9" t="s">
        <v>67</v>
      </c>
      <c r="C281" s="9" t="s">
        <v>68</v>
      </c>
      <c r="D281" s="10"/>
      <c r="E281" s="2" t="n">
        <f>7354</f>
        <v>7354.0</v>
      </c>
      <c r="F281" s="10"/>
      <c r="G281" s="2" t="n">
        <f>8258499360</f>
        <v>8.25849936E9</v>
      </c>
      <c r="H281" s="10"/>
      <c r="I281" s="2" t="n">
        <f>360</f>
        <v>360.0</v>
      </c>
      <c r="J281" s="10"/>
      <c r="K281" s="2" t="n">
        <f>29029</f>
        <v>29029.0</v>
      </c>
    </row>
    <row r="282">
      <c r="A282" s="8" t="s">
        <v>24</v>
      </c>
      <c r="B282" s="9" t="s">
        <v>67</v>
      </c>
      <c r="C282" s="9" t="s">
        <v>68</v>
      </c>
      <c r="D282" s="10" t="s">
        <v>25</v>
      </c>
      <c r="E282" s="2" t="n">
        <f>38220</f>
        <v>38220.0</v>
      </c>
      <c r="F282" s="10" t="s">
        <v>25</v>
      </c>
      <c r="G282" s="2" t="n">
        <f>43501368500</f>
        <v>4.35013685E10</v>
      </c>
      <c r="H282" s="10"/>
      <c r="I282" s="2" t="n">
        <f>329</f>
        <v>329.0</v>
      </c>
      <c r="J282" s="10"/>
      <c r="K282" s="2" t="n">
        <f>29571</f>
        <v>29571.0</v>
      </c>
    </row>
    <row r="283">
      <c r="A283" s="8" t="s">
        <v>26</v>
      </c>
      <c r="B283" s="9" t="s">
        <v>67</v>
      </c>
      <c r="C283" s="9" t="s">
        <v>68</v>
      </c>
      <c r="D283" s="10"/>
      <c r="E283" s="2" t="n">
        <f>11174</f>
        <v>11174.0</v>
      </c>
      <c r="F283" s="10"/>
      <c r="G283" s="2" t="n">
        <f>12770314860</f>
        <v>1.277031486E10</v>
      </c>
      <c r="H283" s="10"/>
      <c r="I283" s="2" t="n">
        <f>159</f>
        <v>159.0</v>
      </c>
      <c r="J283" s="10"/>
      <c r="K283" s="2" t="n">
        <f>24388</f>
        <v>24388.0</v>
      </c>
    </row>
    <row r="284">
      <c r="A284" s="8" t="s">
        <v>27</v>
      </c>
      <c r="B284" s="9" t="s">
        <v>67</v>
      </c>
      <c r="C284" s="9" t="s">
        <v>68</v>
      </c>
      <c r="D284" s="10"/>
      <c r="E284" s="2" t="n">
        <f>6810</f>
        <v>6810.0</v>
      </c>
      <c r="F284" s="10"/>
      <c r="G284" s="2" t="n">
        <f>7750146380</f>
        <v>7.75014638E9</v>
      </c>
      <c r="H284" s="10"/>
      <c r="I284" s="2" t="n">
        <f>120</f>
        <v>120.0</v>
      </c>
      <c r="J284" s="10"/>
      <c r="K284" s="2" t="n">
        <f>24024</f>
        <v>24024.0</v>
      </c>
    </row>
    <row r="285">
      <c r="A285" s="8" t="s">
        <v>28</v>
      </c>
      <c r="B285" s="9" t="s">
        <v>67</v>
      </c>
      <c r="C285" s="9" t="s">
        <v>68</v>
      </c>
      <c r="D285" s="10"/>
      <c r="E285" s="2" t="n">
        <f>4117</f>
        <v>4117.0</v>
      </c>
      <c r="F285" s="10"/>
      <c r="G285" s="2" t="n">
        <f>4702406820</f>
        <v>4.70240682E9</v>
      </c>
      <c r="H285" s="10"/>
      <c r="I285" s="2" t="n">
        <f>176</f>
        <v>176.0</v>
      </c>
      <c r="J285" s="10"/>
      <c r="K285" s="2" t="n">
        <f>24507</f>
        <v>24507.0</v>
      </c>
    </row>
    <row r="286">
      <c r="A286" s="8" t="s">
        <v>29</v>
      </c>
      <c r="B286" s="9" t="s">
        <v>67</v>
      </c>
      <c r="C286" s="9" t="s">
        <v>68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30</v>
      </c>
      <c r="B287" s="9" t="s">
        <v>67</v>
      </c>
      <c r="C287" s="9" t="s">
        <v>68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31</v>
      </c>
      <c r="B288" s="9" t="s">
        <v>67</v>
      </c>
      <c r="C288" s="9" t="s">
        <v>68</v>
      </c>
      <c r="D288" s="10"/>
      <c r="E288" s="2" t="n">
        <f>4031</f>
        <v>4031.0</v>
      </c>
      <c r="F288" s="10"/>
      <c r="G288" s="2" t="n">
        <f>4658510960</f>
        <v>4.65851096E9</v>
      </c>
      <c r="H288" s="10"/>
      <c r="I288" s="2" t="n">
        <f>217</f>
        <v>217.0</v>
      </c>
      <c r="J288" s="10"/>
      <c r="K288" s="2" t="n">
        <f>20827</f>
        <v>20827.0</v>
      </c>
    </row>
    <row r="289">
      <c r="A289" s="8" t="s">
        <v>33</v>
      </c>
      <c r="B289" s="9" t="s">
        <v>67</v>
      </c>
      <c r="C289" s="9" t="s">
        <v>68</v>
      </c>
      <c r="D289" s="10"/>
      <c r="E289" s="2" t="n">
        <f>4461</f>
        <v>4461.0</v>
      </c>
      <c r="F289" s="10"/>
      <c r="G289" s="2" t="n">
        <f>5207546700</f>
        <v>5.2075467E9</v>
      </c>
      <c r="H289" s="10"/>
      <c r="I289" s="2" t="n">
        <f>198</f>
        <v>198.0</v>
      </c>
      <c r="J289" s="10"/>
      <c r="K289" s="2" t="n">
        <f>20553</f>
        <v>20553.0</v>
      </c>
    </row>
    <row r="290">
      <c r="A290" s="8" t="s">
        <v>34</v>
      </c>
      <c r="B290" s="9" t="s">
        <v>67</v>
      </c>
      <c r="C290" s="9" t="s">
        <v>68</v>
      </c>
      <c r="D290" s="10"/>
      <c r="E290" s="2" t="n">
        <f>3999</f>
        <v>3999.0</v>
      </c>
      <c r="F290" s="10"/>
      <c r="G290" s="2" t="n">
        <f>4650381010</f>
        <v>4.65038101E9</v>
      </c>
      <c r="H290" s="10"/>
      <c r="I290" s="2" t="n">
        <f>178</f>
        <v>178.0</v>
      </c>
      <c r="J290" s="10"/>
      <c r="K290" s="2" t="n">
        <f>20556</f>
        <v>20556.0</v>
      </c>
    </row>
    <row r="291">
      <c r="A291" s="8" t="s">
        <v>35</v>
      </c>
      <c r="B291" s="9" t="s">
        <v>67</v>
      </c>
      <c r="C291" s="9" t="s">
        <v>68</v>
      </c>
      <c r="D291" s="10"/>
      <c r="E291" s="2" t="n">
        <f>6324</f>
        <v>6324.0</v>
      </c>
      <c r="F291" s="10"/>
      <c r="G291" s="2" t="n">
        <f>7151423320</f>
        <v>7.15142332E9</v>
      </c>
      <c r="H291" s="10" t="s">
        <v>25</v>
      </c>
      <c r="I291" s="2" t="n">
        <f>478</f>
        <v>478.0</v>
      </c>
      <c r="J291" s="10"/>
      <c r="K291" s="2" t="n">
        <f>20861</f>
        <v>20861.0</v>
      </c>
    </row>
    <row r="292">
      <c r="A292" s="8" t="s">
        <v>36</v>
      </c>
      <c r="B292" s="9" t="s">
        <v>67</v>
      </c>
      <c r="C292" s="9" t="s">
        <v>68</v>
      </c>
      <c r="D292" s="10"/>
      <c r="E292" s="2" t="n">
        <f>5221</f>
        <v>5221.0</v>
      </c>
      <c r="F292" s="10"/>
      <c r="G292" s="2" t="n">
        <f>5879805500</f>
        <v>5.8798055E9</v>
      </c>
      <c r="H292" s="10"/>
      <c r="I292" s="2" t="n">
        <f>254</f>
        <v>254.0</v>
      </c>
      <c r="J292" s="10" t="s">
        <v>32</v>
      </c>
      <c r="K292" s="2" t="n">
        <f>20338</f>
        <v>20338.0</v>
      </c>
    </row>
    <row r="293">
      <c r="A293" s="8" t="s">
        <v>37</v>
      </c>
      <c r="B293" s="9" t="s">
        <v>67</v>
      </c>
      <c r="C293" s="9" t="s">
        <v>68</v>
      </c>
      <c r="D293" s="10"/>
      <c r="E293" s="2"/>
      <c r="F293" s="10"/>
      <c r="G293" s="2"/>
      <c r="H293" s="10"/>
      <c r="I293" s="2"/>
      <c r="J293" s="10"/>
      <c r="K293" s="2"/>
    </row>
    <row r="294">
      <c r="A294" s="8" t="s">
        <v>38</v>
      </c>
      <c r="B294" s="9" t="s">
        <v>67</v>
      </c>
      <c r="C294" s="9" t="s">
        <v>68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39</v>
      </c>
      <c r="B295" s="9" t="s">
        <v>67</v>
      </c>
      <c r="C295" s="9" t="s">
        <v>68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40</v>
      </c>
      <c r="B296" s="9" t="s">
        <v>67</v>
      </c>
      <c r="C296" s="9" t="s">
        <v>68</v>
      </c>
      <c r="D296" s="10"/>
      <c r="E296" s="2" t="n">
        <f>2727</f>
        <v>2727.0</v>
      </c>
      <c r="F296" s="10"/>
      <c r="G296" s="2" t="n">
        <f>3034551120</f>
        <v>3.03455112E9</v>
      </c>
      <c r="H296" s="10"/>
      <c r="I296" s="2" t="n">
        <f>275</f>
        <v>275.0</v>
      </c>
      <c r="J296" s="10"/>
      <c r="K296" s="2" t="n">
        <f>20544</f>
        <v>20544.0</v>
      </c>
    </row>
    <row r="297">
      <c r="A297" s="8" t="s">
        <v>41</v>
      </c>
      <c r="B297" s="9" t="s">
        <v>67</v>
      </c>
      <c r="C297" s="9" t="s">
        <v>68</v>
      </c>
      <c r="D297" s="10"/>
      <c r="E297" s="2" t="n">
        <f>5252</f>
        <v>5252.0</v>
      </c>
      <c r="F297" s="10"/>
      <c r="G297" s="2" t="n">
        <f>5831891260</f>
        <v>5.83189126E9</v>
      </c>
      <c r="H297" s="10"/>
      <c r="I297" s="2" t="n">
        <f>293</f>
        <v>293.0</v>
      </c>
      <c r="J297" s="10"/>
      <c r="K297" s="2" t="n">
        <f>20626</f>
        <v>20626.0</v>
      </c>
    </row>
    <row r="298">
      <c r="A298" s="8" t="s">
        <v>42</v>
      </c>
      <c r="B298" s="9" t="s">
        <v>67</v>
      </c>
      <c r="C298" s="9" t="s">
        <v>68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43</v>
      </c>
      <c r="B299" s="9" t="s">
        <v>67</v>
      </c>
      <c r="C299" s="9" t="s">
        <v>68</v>
      </c>
      <c r="D299" s="10"/>
      <c r="E299" s="2" t="n">
        <f>3354</f>
        <v>3354.0</v>
      </c>
      <c r="F299" s="10"/>
      <c r="G299" s="2" t="n">
        <f>3800747450</f>
        <v>3.80074745E9</v>
      </c>
      <c r="H299" s="10" t="s">
        <v>32</v>
      </c>
      <c r="I299" s="2" t="n">
        <f>109</f>
        <v>109.0</v>
      </c>
      <c r="J299" s="10"/>
      <c r="K299" s="2" t="n">
        <f>20520</f>
        <v>20520.0</v>
      </c>
    </row>
    <row r="300">
      <c r="A300" s="8" t="s">
        <v>44</v>
      </c>
      <c r="B300" s="9" t="s">
        <v>67</v>
      </c>
      <c r="C300" s="9" t="s">
        <v>68</v>
      </c>
      <c r="D300" s="10"/>
      <c r="E300" s="2"/>
      <c r="F300" s="10"/>
      <c r="G300" s="2"/>
      <c r="H300" s="10"/>
      <c r="I300" s="2"/>
      <c r="J300" s="10"/>
      <c r="K300" s="2"/>
    </row>
    <row r="301">
      <c r="A301" s="8" t="s">
        <v>45</v>
      </c>
      <c r="B301" s="9" t="s">
        <v>67</v>
      </c>
      <c r="C301" s="9" t="s">
        <v>68</v>
      </c>
      <c r="D301" s="10"/>
      <c r="E301" s="2"/>
      <c r="F301" s="10"/>
      <c r="G301" s="2"/>
      <c r="H301" s="10"/>
      <c r="I301" s="2"/>
      <c r="J301" s="10"/>
      <c r="K301" s="2"/>
    </row>
    <row r="302">
      <c r="A302" s="8" t="s">
        <v>46</v>
      </c>
      <c r="B302" s="9" t="s">
        <v>67</v>
      </c>
      <c r="C302" s="9" t="s">
        <v>68</v>
      </c>
      <c r="D302" s="10" t="s">
        <v>32</v>
      </c>
      <c r="E302" s="2" t="n">
        <f>2404</f>
        <v>2404.0</v>
      </c>
      <c r="F302" s="10" t="s">
        <v>32</v>
      </c>
      <c r="G302" s="2" t="n">
        <f>2741921820</f>
        <v>2.74192182E9</v>
      </c>
      <c r="H302" s="10"/>
      <c r="I302" s="2" t="n">
        <f>126</f>
        <v>126.0</v>
      </c>
      <c r="J302" s="10"/>
      <c r="K302" s="2" t="n">
        <f>20583</f>
        <v>20583.0</v>
      </c>
    </row>
    <row r="303">
      <c r="A303" s="8" t="s">
        <v>47</v>
      </c>
      <c r="B303" s="9" t="s">
        <v>67</v>
      </c>
      <c r="C303" s="9" t="s">
        <v>68</v>
      </c>
      <c r="D303" s="10"/>
      <c r="E303" s="2" t="n">
        <f>4154</f>
        <v>4154.0</v>
      </c>
      <c r="F303" s="10"/>
      <c r="G303" s="2" t="n">
        <f>4638784690</f>
        <v>4.63878469E9</v>
      </c>
      <c r="H303" s="10"/>
      <c r="I303" s="2" t="n">
        <f>314</f>
        <v>314.0</v>
      </c>
      <c r="J303" s="10"/>
      <c r="K303" s="2" t="n">
        <f>20721</f>
        <v>20721.0</v>
      </c>
    </row>
    <row r="304">
      <c r="A304" s="8" t="s">
        <v>48</v>
      </c>
      <c r="B304" s="9" t="s">
        <v>67</v>
      </c>
      <c r="C304" s="9" t="s">
        <v>68</v>
      </c>
      <c r="D304" s="10"/>
      <c r="E304" s="2" t="n">
        <f>5030</f>
        <v>5030.0</v>
      </c>
      <c r="F304" s="10"/>
      <c r="G304" s="2" t="n">
        <f>5498611160</f>
        <v>5.49861116E9</v>
      </c>
      <c r="H304" s="10"/>
      <c r="I304" s="2" t="n">
        <f>471</f>
        <v>471.0</v>
      </c>
      <c r="J304" s="10"/>
      <c r="K304" s="2" t="n">
        <f>20743</f>
        <v>20743.0</v>
      </c>
    </row>
    <row r="305">
      <c r="A305" s="8" t="s">
        <v>49</v>
      </c>
      <c r="B305" s="9" t="s">
        <v>67</v>
      </c>
      <c r="C305" s="9" t="s">
        <v>68</v>
      </c>
      <c r="D305" s="10"/>
      <c r="E305" s="2" t="n">
        <f>4253</f>
        <v>4253.0</v>
      </c>
      <c r="F305" s="10"/>
      <c r="G305" s="2" t="n">
        <f>4702854070</f>
        <v>4.70285407E9</v>
      </c>
      <c r="H305" s="10"/>
      <c r="I305" s="2" t="n">
        <f>462</f>
        <v>462.0</v>
      </c>
      <c r="J305" s="10"/>
      <c r="K305" s="2" t="n">
        <f>20842</f>
        <v>20842.0</v>
      </c>
    </row>
    <row r="306">
      <c r="A306" s="8" t="s">
        <v>16</v>
      </c>
      <c r="B306" s="9" t="s">
        <v>69</v>
      </c>
      <c r="C306" s="9" t="s">
        <v>70</v>
      </c>
      <c r="D306" s="10"/>
      <c r="E306" s="2" t="n">
        <f>1262</f>
        <v>1262.0</v>
      </c>
      <c r="F306" s="10"/>
      <c r="G306" s="2" t="n">
        <f>4461150500</f>
        <v>4.4611505E9</v>
      </c>
      <c r="H306" s="10"/>
      <c r="I306" s="2" t="n">
        <f>306</f>
        <v>306.0</v>
      </c>
      <c r="J306" s="10"/>
      <c r="K306" s="2" t="n">
        <f>2293</f>
        <v>2293.0</v>
      </c>
    </row>
    <row r="307">
      <c r="A307" s="8" t="s">
        <v>19</v>
      </c>
      <c r="B307" s="9" t="s">
        <v>69</v>
      </c>
      <c r="C307" s="9" t="s">
        <v>70</v>
      </c>
      <c r="D307" s="10"/>
      <c r="E307" s="2" t="n">
        <f>2127</f>
        <v>2127.0</v>
      </c>
      <c r="F307" s="10"/>
      <c r="G307" s="2" t="n">
        <f>7505581100</f>
        <v>7.5055811E9</v>
      </c>
      <c r="H307" s="10"/>
      <c r="I307" s="2" t="n">
        <f>234</f>
        <v>234.0</v>
      </c>
      <c r="J307" s="10"/>
      <c r="K307" s="2" t="n">
        <f>2953</f>
        <v>2953.0</v>
      </c>
    </row>
    <row r="308">
      <c r="A308" s="8" t="s">
        <v>20</v>
      </c>
      <c r="B308" s="9" t="s">
        <v>69</v>
      </c>
      <c r="C308" s="9" t="s">
        <v>70</v>
      </c>
      <c r="D308" s="10"/>
      <c r="E308" s="2" t="n">
        <f>1967</f>
        <v>1967.0</v>
      </c>
      <c r="F308" s="10"/>
      <c r="G308" s="2" t="n">
        <f>6974618900</f>
        <v>6.9746189E9</v>
      </c>
      <c r="H308" s="10"/>
      <c r="I308" s="2" t="n">
        <f>207</f>
        <v>207.0</v>
      </c>
      <c r="J308" s="10" t="s">
        <v>32</v>
      </c>
      <c r="K308" s="2" t="n">
        <f>2090</f>
        <v>2090.0</v>
      </c>
    </row>
    <row r="309">
      <c r="A309" s="8" t="s">
        <v>21</v>
      </c>
      <c r="B309" s="9" t="s">
        <v>69</v>
      </c>
      <c r="C309" s="9" t="s">
        <v>70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22</v>
      </c>
      <c r="B310" s="9" t="s">
        <v>69</v>
      </c>
      <c r="C310" s="9" t="s">
        <v>70</v>
      </c>
      <c r="D310" s="10"/>
      <c r="E310" s="2"/>
      <c r="F310" s="10"/>
      <c r="G310" s="2"/>
      <c r="H310" s="10"/>
      <c r="I310" s="2"/>
      <c r="J310" s="10"/>
      <c r="K310" s="2"/>
    </row>
    <row r="311">
      <c r="A311" s="8" t="s">
        <v>23</v>
      </c>
      <c r="B311" s="9" t="s">
        <v>69</v>
      </c>
      <c r="C311" s="9" t="s">
        <v>70</v>
      </c>
      <c r="D311" s="10"/>
      <c r="E311" s="2" t="n">
        <f>2985</f>
        <v>2985.0</v>
      </c>
      <c r="F311" s="10"/>
      <c r="G311" s="2" t="n">
        <f>10552886400</f>
        <v>1.05528864E10</v>
      </c>
      <c r="H311" s="10"/>
      <c r="I311" s="2" t="n">
        <f>633</f>
        <v>633.0</v>
      </c>
      <c r="J311" s="10"/>
      <c r="K311" s="2" t="n">
        <f>2209</f>
        <v>2209.0</v>
      </c>
    </row>
    <row r="312">
      <c r="A312" s="8" t="s">
        <v>24</v>
      </c>
      <c r="B312" s="9" t="s">
        <v>69</v>
      </c>
      <c r="C312" s="9" t="s">
        <v>70</v>
      </c>
      <c r="D312" s="10" t="s">
        <v>32</v>
      </c>
      <c r="E312" s="2" t="n">
        <f>309</f>
        <v>309.0</v>
      </c>
      <c r="F312" s="10" t="s">
        <v>32</v>
      </c>
      <c r="G312" s="2" t="n">
        <f>1093886800</f>
        <v>1.0938868E9</v>
      </c>
      <c r="H312" s="10"/>
      <c r="I312" s="2" t="n">
        <f>84</f>
        <v>84.0</v>
      </c>
      <c r="J312" s="10"/>
      <c r="K312" s="2" t="n">
        <f>2182</f>
        <v>2182.0</v>
      </c>
    </row>
    <row r="313">
      <c r="A313" s="8" t="s">
        <v>26</v>
      </c>
      <c r="B313" s="9" t="s">
        <v>69</v>
      </c>
      <c r="C313" s="9" t="s">
        <v>70</v>
      </c>
      <c r="D313" s="10"/>
      <c r="E313" s="2" t="n">
        <f>2364</f>
        <v>2364.0</v>
      </c>
      <c r="F313" s="10"/>
      <c r="G313" s="2" t="n">
        <f>8311371200</f>
        <v>8.3113712E9</v>
      </c>
      <c r="H313" s="10"/>
      <c r="I313" s="2" t="n">
        <f>289</f>
        <v>289.0</v>
      </c>
      <c r="J313" s="10"/>
      <c r="K313" s="2" t="n">
        <f>2918</f>
        <v>2918.0</v>
      </c>
    </row>
    <row r="314">
      <c r="A314" s="8" t="s">
        <v>27</v>
      </c>
      <c r="B314" s="9" t="s">
        <v>69</v>
      </c>
      <c r="C314" s="9" t="s">
        <v>70</v>
      </c>
      <c r="D314" s="10"/>
      <c r="E314" s="2" t="n">
        <f>1152</f>
        <v>1152.0</v>
      </c>
      <c r="F314" s="10"/>
      <c r="G314" s="2" t="n">
        <f>4029542800</f>
        <v>4.0295428E9</v>
      </c>
      <c r="H314" s="10"/>
      <c r="I314" s="2" t="n">
        <f>266</f>
        <v>266.0</v>
      </c>
      <c r="J314" s="10"/>
      <c r="K314" s="2" t="n">
        <f>2897</f>
        <v>2897.0</v>
      </c>
    </row>
    <row r="315">
      <c r="A315" s="8" t="s">
        <v>28</v>
      </c>
      <c r="B315" s="9" t="s">
        <v>69</v>
      </c>
      <c r="C315" s="9" t="s">
        <v>70</v>
      </c>
      <c r="D315" s="10"/>
      <c r="E315" s="2" t="n">
        <f>1193</f>
        <v>1193.0</v>
      </c>
      <c r="F315" s="10"/>
      <c r="G315" s="2" t="n">
        <f>4171758800</f>
        <v>4.1717588E9</v>
      </c>
      <c r="H315" s="10"/>
      <c r="I315" s="2" t="n">
        <f>269</f>
        <v>269.0</v>
      </c>
      <c r="J315" s="10"/>
      <c r="K315" s="2" t="n">
        <f>2952</f>
        <v>2952.0</v>
      </c>
    </row>
    <row r="316">
      <c r="A316" s="8" t="s">
        <v>29</v>
      </c>
      <c r="B316" s="9" t="s">
        <v>69</v>
      </c>
      <c r="C316" s="9" t="s">
        <v>70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30</v>
      </c>
      <c r="B317" s="9" t="s">
        <v>69</v>
      </c>
      <c r="C317" s="9" t="s">
        <v>70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31</v>
      </c>
      <c r="B318" s="9" t="s">
        <v>69</v>
      </c>
      <c r="C318" s="9" t="s">
        <v>70</v>
      </c>
      <c r="D318" s="10"/>
      <c r="E318" s="2" t="n">
        <f>3546</f>
        <v>3546.0</v>
      </c>
      <c r="F318" s="10"/>
      <c r="G318" s="2" t="n">
        <f>12333985800</f>
        <v>1.23339858E10</v>
      </c>
      <c r="H318" s="10"/>
      <c r="I318" s="2" t="n">
        <f>433</f>
        <v>433.0</v>
      </c>
      <c r="J318" s="10"/>
      <c r="K318" s="2" t="n">
        <f>4696</f>
        <v>4696.0</v>
      </c>
    </row>
    <row r="319">
      <c r="A319" s="8" t="s">
        <v>33</v>
      </c>
      <c r="B319" s="9" t="s">
        <v>69</v>
      </c>
      <c r="C319" s="9" t="s">
        <v>70</v>
      </c>
      <c r="D319" s="10"/>
      <c r="E319" s="2" t="n">
        <f>2932</f>
        <v>2932.0</v>
      </c>
      <c r="F319" s="10"/>
      <c r="G319" s="2" t="n">
        <f>10219517700</f>
        <v>1.02195177E10</v>
      </c>
      <c r="H319" s="10"/>
      <c r="I319" s="2" t="n">
        <f>206</f>
        <v>206.0</v>
      </c>
      <c r="J319" s="10"/>
      <c r="K319" s="2" t="n">
        <f>3172</f>
        <v>3172.0</v>
      </c>
    </row>
    <row r="320">
      <c r="A320" s="8" t="s">
        <v>34</v>
      </c>
      <c r="B320" s="9" t="s">
        <v>69</v>
      </c>
      <c r="C320" s="9" t="s">
        <v>70</v>
      </c>
      <c r="D320" s="10"/>
      <c r="E320" s="2" t="n">
        <f>2734</f>
        <v>2734.0</v>
      </c>
      <c r="F320" s="10"/>
      <c r="G320" s="2" t="n">
        <f>9470460000</f>
        <v>9.47046E9</v>
      </c>
      <c r="H320" s="10"/>
      <c r="I320" s="2" t="n">
        <f>228</f>
        <v>228.0</v>
      </c>
      <c r="J320" s="10"/>
      <c r="K320" s="2" t="n">
        <f>4308</f>
        <v>4308.0</v>
      </c>
    </row>
    <row r="321">
      <c r="A321" s="8" t="s">
        <v>35</v>
      </c>
      <c r="B321" s="9" t="s">
        <v>69</v>
      </c>
      <c r="C321" s="9" t="s">
        <v>70</v>
      </c>
      <c r="D321" s="10"/>
      <c r="E321" s="2" t="n">
        <f>3221</f>
        <v>3221.0</v>
      </c>
      <c r="F321" s="10"/>
      <c r="G321" s="2" t="n">
        <f>11182576500</f>
        <v>1.11825765E10</v>
      </c>
      <c r="H321" s="10"/>
      <c r="I321" s="2" t="n">
        <f>167</f>
        <v>167.0</v>
      </c>
      <c r="J321" s="10"/>
      <c r="K321" s="2" t="n">
        <f>2767</f>
        <v>2767.0</v>
      </c>
    </row>
    <row r="322">
      <c r="A322" s="8" t="s">
        <v>36</v>
      </c>
      <c r="B322" s="9" t="s">
        <v>69</v>
      </c>
      <c r="C322" s="9" t="s">
        <v>70</v>
      </c>
      <c r="D322" s="10"/>
      <c r="E322" s="2" t="n">
        <f>1648</f>
        <v>1648.0</v>
      </c>
      <c r="F322" s="10"/>
      <c r="G322" s="2" t="n">
        <f>5718168800</f>
        <v>5.7181688E9</v>
      </c>
      <c r="H322" s="10"/>
      <c r="I322" s="2" t="n">
        <f>265</f>
        <v>265.0</v>
      </c>
      <c r="J322" s="10"/>
      <c r="K322" s="2" t="n">
        <f>2665</f>
        <v>2665.0</v>
      </c>
    </row>
    <row r="323">
      <c r="A323" s="8" t="s">
        <v>37</v>
      </c>
      <c r="B323" s="9" t="s">
        <v>69</v>
      </c>
      <c r="C323" s="9" t="s">
        <v>70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38</v>
      </c>
      <c r="B324" s="9" t="s">
        <v>69</v>
      </c>
      <c r="C324" s="9" t="s">
        <v>70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39</v>
      </c>
      <c r="B325" s="9" t="s">
        <v>69</v>
      </c>
      <c r="C325" s="9" t="s">
        <v>70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40</v>
      </c>
      <c r="B326" s="9" t="s">
        <v>69</v>
      </c>
      <c r="C326" s="9" t="s">
        <v>70</v>
      </c>
      <c r="D326" s="10" t="s">
        <v>25</v>
      </c>
      <c r="E326" s="2" t="n">
        <f>4362</f>
        <v>4362.0</v>
      </c>
      <c r="F326" s="10" t="s">
        <v>25</v>
      </c>
      <c r="G326" s="2" t="n">
        <f>14826305500</f>
        <v>1.48263055E10</v>
      </c>
      <c r="H326" s="10" t="s">
        <v>32</v>
      </c>
      <c r="I326" s="2" t="n">
        <f>54</f>
        <v>54.0</v>
      </c>
      <c r="J326" s="10" t="s">
        <v>25</v>
      </c>
      <c r="K326" s="2" t="n">
        <f>6402</f>
        <v>6402.0</v>
      </c>
    </row>
    <row r="327">
      <c r="A327" s="8" t="s">
        <v>41</v>
      </c>
      <c r="B327" s="9" t="s">
        <v>69</v>
      </c>
      <c r="C327" s="9" t="s">
        <v>70</v>
      </c>
      <c r="D327" s="10"/>
      <c r="E327" s="2" t="n">
        <f>1490</f>
        <v>1490.0</v>
      </c>
      <c r="F327" s="10"/>
      <c r="G327" s="2" t="n">
        <f>5053126600</f>
        <v>5.0531266E9</v>
      </c>
      <c r="H327" s="10"/>
      <c r="I327" s="2" t="n">
        <f>416</f>
        <v>416.0</v>
      </c>
      <c r="J327" s="10"/>
      <c r="K327" s="2" t="n">
        <f>4658</f>
        <v>4658.0</v>
      </c>
    </row>
    <row r="328">
      <c r="A328" s="8" t="s">
        <v>42</v>
      </c>
      <c r="B328" s="9" t="s">
        <v>69</v>
      </c>
      <c r="C328" s="9" t="s">
        <v>70</v>
      </c>
      <c r="D328" s="10"/>
      <c r="E328" s="2"/>
      <c r="F328" s="10"/>
      <c r="G328" s="2"/>
      <c r="H328" s="10"/>
      <c r="I328" s="2"/>
      <c r="J328" s="10"/>
      <c r="K328" s="2"/>
    </row>
    <row r="329">
      <c r="A329" s="8" t="s">
        <v>43</v>
      </c>
      <c r="B329" s="9" t="s">
        <v>69</v>
      </c>
      <c r="C329" s="9" t="s">
        <v>70</v>
      </c>
      <c r="D329" s="10"/>
      <c r="E329" s="2" t="n">
        <f>2618</f>
        <v>2618.0</v>
      </c>
      <c r="F329" s="10"/>
      <c r="G329" s="2" t="n">
        <f>8981293600</f>
        <v>8.9812936E9</v>
      </c>
      <c r="H329" s="10"/>
      <c r="I329" s="2" t="n">
        <f>652</f>
        <v>652.0</v>
      </c>
      <c r="J329" s="10"/>
      <c r="K329" s="2" t="n">
        <f>4057</f>
        <v>4057.0</v>
      </c>
    </row>
    <row r="330">
      <c r="A330" s="8" t="s">
        <v>44</v>
      </c>
      <c r="B330" s="9" t="s">
        <v>69</v>
      </c>
      <c r="C330" s="9" t="s">
        <v>70</v>
      </c>
      <c r="D330" s="10"/>
      <c r="E330" s="2"/>
      <c r="F330" s="10"/>
      <c r="G330" s="2"/>
      <c r="H330" s="10"/>
      <c r="I330" s="2"/>
      <c r="J330" s="10"/>
      <c r="K330" s="2"/>
    </row>
    <row r="331">
      <c r="A331" s="8" t="s">
        <v>45</v>
      </c>
      <c r="B331" s="9" t="s">
        <v>69</v>
      </c>
      <c r="C331" s="9" t="s">
        <v>70</v>
      </c>
      <c r="D331" s="10"/>
      <c r="E331" s="2"/>
      <c r="F331" s="10"/>
      <c r="G331" s="2"/>
      <c r="H331" s="10"/>
      <c r="I331" s="2"/>
      <c r="J331" s="10"/>
      <c r="K331" s="2"/>
    </row>
    <row r="332">
      <c r="A332" s="8" t="s">
        <v>46</v>
      </c>
      <c r="B332" s="9" t="s">
        <v>69</v>
      </c>
      <c r="C332" s="9" t="s">
        <v>70</v>
      </c>
      <c r="D332" s="10"/>
      <c r="E332" s="2" t="n">
        <f>1139</f>
        <v>1139.0</v>
      </c>
      <c r="F332" s="10"/>
      <c r="G332" s="2" t="n">
        <f>3939782200</f>
        <v>3.9397822E9</v>
      </c>
      <c r="H332" s="10"/>
      <c r="I332" s="2" t="n">
        <f>202</f>
        <v>202.0</v>
      </c>
      <c r="J332" s="10"/>
      <c r="K332" s="2" t="n">
        <f>4089</f>
        <v>4089.0</v>
      </c>
    </row>
    <row r="333">
      <c r="A333" s="8" t="s">
        <v>47</v>
      </c>
      <c r="B333" s="9" t="s">
        <v>69</v>
      </c>
      <c r="C333" s="9" t="s">
        <v>70</v>
      </c>
      <c r="D333" s="10"/>
      <c r="E333" s="2" t="n">
        <f>2060</f>
        <v>2060.0</v>
      </c>
      <c r="F333" s="10"/>
      <c r="G333" s="2" t="n">
        <f>7156741800</f>
        <v>7.1567418E9</v>
      </c>
      <c r="H333" s="10"/>
      <c r="I333" s="2" t="n">
        <f>448</f>
        <v>448.0</v>
      </c>
      <c r="J333" s="10"/>
      <c r="K333" s="2" t="n">
        <f>3443</f>
        <v>3443.0</v>
      </c>
    </row>
    <row r="334">
      <c r="A334" s="8" t="s">
        <v>48</v>
      </c>
      <c r="B334" s="9" t="s">
        <v>69</v>
      </c>
      <c r="C334" s="9" t="s">
        <v>70</v>
      </c>
      <c r="D334" s="10"/>
      <c r="E334" s="2" t="n">
        <f>2282</f>
        <v>2282.0</v>
      </c>
      <c r="F334" s="10"/>
      <c r="G334" s="2" t="n">
        <f>7834621100</f>
        <v>7.8346211E9</v>
      </c>
      <c r="H334" s="10" t="s">
        <v>25</v>
      </c>
      <c r="I334" s="2" t="n">
        <f>883</f>
        <v>883.0</v>
      </c>
      <c r="J334" s="10"/>
      <c r="K334" s="2" t="n">
        <f>3509</f>
        <v>3509.0</v>
      </c>
    </row>
    <row r="335">
      <c r="A335" s="8" t="s">
        <v>49</v>
      </c>
      <c r="B335" s="9" t="s">
        <v>69</v>
      </c>
      <c r="C335" s="9" t="s">
        <v>70</v>
      </c>
      <c r="D335" s="10"/>
      <c r="E335" s="2" t="n">
        <f>1689</f>
        <v>1689.0</v>
      </c>
      <c r="F335" s="10"/>
      <c r="G335" s="2" t="n">
        <f>5793155300</f>
        <v>5.7931553E9</v>
      </c>
      <c r="H335" s="10"/>
      <c r="I335" s="2" t="n">
        <f>699</f>
        <v>699.0</v>
      </c>
      <c r="J335" s="10"/>
      <c r="K335" s="2" t="n">
        <f>3497</f>
        <v>3497.0</v>
      </c>
    </row>
    <row r="336">
      <c r="A336" s="8" t="s">
        <v>16</v>
      </c>
      <c r="B336" s="9" t="s">
        <v>71</v>
      </c>
      <c r="C336" s="9" t="s">
        <v>72</v>
      </c>
      <c r="D336" s="10" t="s">
        <v>60</v>
      </c>
      <c r="E336" s="2" t="str">
        <f>"－"</f>
        <v>－</v>
      </c>
      <c r="F336" s="10" t="s">
        <v>60</v>
      </c>
      <c r="G336" s="2" t="str">
        <f>"－"</f>
        <v>－</v>
      </c>
      <c r="H336" s="10" t="s">
        <v>60</v>
      </c>
      <c r="I336" s="2" t="str">
        <f>"－"</f>
        <v>－</v>
      </c>
      <c r="J336" s="10" t="s">
        <v>60</v>
      </c>
      <c r="K336" s="2" t="str">
        <f>"－"</f>
        <v>－</v>
      </c>
    </row>
    <row r="337">
      <c r="A337" s="8" t="s">
        <v>19</v>
      </c>
      <c r="B337" s="9" t="s">
        <v>71</v>
      </c>
      <c r="C337" s="9" t="s">
        <v>72</v>
      </c>
      <c r="D337" s="10"/>
      <c r="E337" s="2" t="str">
        <f>"－"</f>
        <v>－</v>
      </c>
      <c r="F337" s="10"/>
      <c r="G337" s="2" t="str">
        <f>"－"</f>
        <v>－</v>
      </c>
      <c r="H337" s="10"/>
      <c r="I337" s="2" t="str">
        <f>"－"</f>
        <v>－</v>
      </c>
      <c r="J337" s="10"/>
      <c r="K337" s="2" t="str">
        <f>"－"</f>
        <v>－</v>
      </c>
    </row>
    <row r="338">
      <c r="A338" s="8" t="s">
        <v>20</v>
      </c>
      <c r="B338" s="9" t="s">
        <v>71</v>
      </c>
      <c r="C338" s="9" t="s">
        <v>72</v>
      </c>
      <c r="D338" s="10"/>
      <c r="E338" s="2" t="str">
        <f>"－"</f>
        <v>－</v>
      </c>
      <c r="F338" s="10"/>
      <c r="G338" s="2" t="str">
        <f>"－"</f>
        <v>－</v>
      </c>
      <c r="H338" s="10"/>
      <c r="I338" s="2" t="str">
        <f>"－"</f>
        <v>－</v>
      </c>
      <c r="J338" s="10"/>
      <c r="K338" s="2" t="str">
        <f>"－"</f>
        <v>－</v>
      </c>
    </row>
    <row r="339">
      <c r="A339" s="8" t="s">
        <v>21</v>
      </c>
      <c r="B339" s="9" t="s">
        <v>71</v>
      </c>
      <c r="C339" s="9" t="s">
        <v>72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22</v>
      </c>
      <c r="B340" s="9" t="s">
        <v>71</v>
      </c>
      <c r="C340" s="9" t="s">
        <v>72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23</v>
      </c>
      <c r="B341" s="9" t="s">
        <v>71</v>
      </c>
      <c r="C341" s="9" t="s">
        <v>72</v>
      </c>
      <c r="D341" s="10"/>
      <c r="E341" s="2" t="str">
        <f>"－"</f>
        <v>－</v>
      </c>
      <c r="F341" s="10"/>
      <c r="G341" s="2" t="str">
        <f>"－"</f>
        <v>－</v>
      </c>
      <c r="H341" s="10"/>
      <c r="I341" s="2" t="str">
        <f>"－"</f>
        <v>－</v>
      </c>
      <c r="J341" s="10"/>
      <c r="K341" s="2" t="str">
        <f>"－"</f>
        <v>－</v>
      </c>
    </row>
    <row r="342">
      <c r="A342" s="8" t="s">
        <v>24</v>
      </c>
      <c r="B342" s="9" t="s">
        <v>71</v>
      </c>
      <c r="C342" s="9" t="s">
        <v>72</v>
      </c>
      <c r="D342" s="10"/>
      <c r="E342" s="2" t="str">
        <f>"－"</f>
        <v>－</v>
      </c>
      <c r="F342" s="10"/>
      <c r="G342" s="2" t="str">
        <f>"－"</f>
        <v>－</v>
      </c>
      <c r="H342" s="10"/>
      <c r="I342" s="2" t="str">
        <f>"－"</f>
        <v>－</v>
      </c>
      <c r="J342" s="10"/>
      <c r="K342" s="2" t="str">
        <f>"－"</f>
        <v>－</v>
      </c>
    </row>
    <row r="343">
      <c r="A343" s="8" t="s">
        <v>26</v>
      </c>
      <c r="B343" s="9" t="s">
        <v>71</v>
      </c>
      <c r="C343" s="9" t="s">
        <v>72</v>
      </c>
      <c r="D343" s="10"/>
      <c r="E343" s="2" t="str">
        <f>"－"</f>
        <v>－</v>
      </c>
      <c r="F343" s="10"/>
      <c r="G343" s="2" t="str">
        <f>"－"</f>
        <v>－</v>
      </c>
      <c r="H343" s="10"/>
      <c r="I343" s="2" t="str">
        <f>"－"</f>
        <v>－</v>
      </c>
      <c r="J343" s="10"/>
      <c r="K343" s="2" t="str">
        <f>"－"</f>
        <v>－</v>
      </c>
    </row>
    <row r="344">
      <c r="A344" s="8" t="s">
        <v>27</v>
      </c>
      <c r="B344" s="9" t="s">
        <v>71</v>
      </c>
      <c r="C344" s="9" t="s">
        <v>72</v>
      </c>
      <c r="D344" s="10"/>
      <c r="E344" s="2" t="str">
        <f>"－"</f>
        <v>－</v>
      </c>
      <c r="F344" s="10"/>
      <c r="G344" s="2" t="str">
        <f>"－"</f>
        <v>－</v>
      </c>
      <c r="H344" s="10"/>
      <c r="I344" s="2" t="str">
        <f>"－"</f>
        <v>－</v>
      </c>
      <c r="J344" s="10"/>
      <c r="K344" s="2" t="str">
        <f>"－"</f>
        <v>－</v>
      </c>
    </row>
    <row r="345">
      <c r="A345" s="8" t="s">
        <v>28</v>
      </c>
      <c r="B345" s="9" t="s">
        <v>71</v>
      </c>
      <c r="C345" s="9" t="s">
        <v>72</v>
      </c>
      <c r="D345" s="10"/>
      <c r="E345" s="2" t="str">
        <f>"－"</f>
        <v>－</v>
      </c>
      <c r="F345" s="10"/>
      <c r="G345" s="2" t="str">
        <f>"－"</f>
        <v>－</v>
      </c>
      <c r="H345" s="10"/>
      <c r="I345" s="2" t="str">
        <f>"－"</f>
        <v>－</v>
      </c>
      <c r="J345" s="10"/>
      <c r="K345" s="2" t="str">
        <f>"－"</f>
        <v>－</v>
      </c>
    </row>
    <row r="346">
      <c r="A346" s="8" t="s">
        <v>29</v>
      </c>
      <c r="B346" s="9" t="s">
        <v>71</v>
      </c>
      <c r="C346" s="9" t="s">
        <v>72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30</v>
      </c>
      <c r="B347" s="9" t="s">
        <v>71</v>
      </c>
      <c r="C347" s="9" t="s">
        <v>72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31</v>
      </c>
      <c r="B348" s="9" t="s">
        <v>71</v>
      </c>
      <c r="C348" s="9" t="s">
        <v>72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33</v>
      </c>
      <c r="B349" s="9" t="s">
        <v>71</v>
      </c>
      <c r="C349" s="9" t="s">
        <v>72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34</v>
      </c>
      <c r="B350" s="9" t="s">
        <v>71</v>
      </c>
      <c r="C350" s="9" t="s">
        <v>72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str">
        <f>"－"</f>
        <v>－</v>
      </c>
    </row>
    <row r="351">
      <c r="A351" s="8" t="s">
        <v>35</v>
      </c>
      <c r="B351" s="9" t="s">
        <v>71</v>
      </c>
      <c r="C351" s="9" t="s">
        <v>72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36</v>
      </c>
      <c r="B352" s="9" t="s">
        <v>71</v>
      </c>
      <c r="C352" s="9" t="s">
        <v>72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37</v>
      </c>
      <c r="B353" s="9" t="s">
        <v>71</v>
      </c>
      <c r="C353" s="9" t="s">
        <v>72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38</v>
      </c>
      <c r="B354" s="9" t="s">
        <v>71</v>
      </c>
      <c r="C354" s="9" t="s">
        <v>72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39</v>
      </c>
      <c r="B355" s="9" t="s">
        <v>71</v>
      </c>
      <c r="C355" s="9" t="s">
        <v>72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40</v>
      </c>
      <c r="B356" s="9" t="s">
        <v>71</v>
      </c>
      <c r="C356" s="9" t="s">
        <v>72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str">
        <f>"－"</f>
        <v>－</v>
      </c>
    </row>
    <row r="357">
      <c r="A357" s="8" t="s">
        <v>41</v>
      </c>
      <c r="B357" s="9" t="s">
        <v>71</v>
      </c>
      <c r="C357" s="9" t="s">
        <v>72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42</v>
      </c>
      <c r="B358" s="9" t="s">
        <v>71</v>
      </c>
      <c r="C358" s="9" t="s">
        <v>72</v>
      </c>
      <c r="D358" s="10"/>
      <c r="E358" s="2"/>
      <c r="F358" s="10"/>
      <c r="G358" s="2"/>
      <c r="H358" s="10"/>
      <c r="I358" s="2"/>
      <c r="J358" s="10"/>
      <c r="K358" s="2"/>
    </row>
    <row r="359">
      <c r="A359" s="8" t="s">
        <v>43</v>
      </c>
      <c r="B359" s="9" t="s">
        <v>71</v>
      </c>
      <c r="C359" s="9" t="s">
        <v>72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44</v>
      </c>
      <c r="B360" s="9" t="s">
        <v>71</v>
      </c>
      <c r="C360" s="9" t="s">
        <v>72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45</v>
      </c>
      <c r="B361" s="9" t="s">
        <v>71</v>
      </c>
      <c r="C361" s="9" t="s">
        <v>72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46</v>
      </c>
      <c r="B362" s="9" t="s">
        <v>71</v>
      </c>
      <c r="C362" s="9" t="s">
        <v>72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47</v>
      </c>
      <c r="B363" s="9" t="s">
        <v>71</v>
      </c>
      <c r="C363" s="9" t="s">
        <v>72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48</v>
      </c>
      <c r="B364" s="9" t="s">
        <v>71</v>
      </c>
      <c r="C364" s="9" t="s">
        <v>72</v>
      </c>
      <c r="D364" s="10"/>
      <c r="E364" s="2" t="str">
        <f>"－"</f>
        <v>－</v>
      </c>
      <c r="F364" s="10"/>
      <c r="G364" s="2" t="str">
        <f>"－"</f>
        <v>－</v>
      </c>
      <c r="H364" s="10"/>
      <c r="I364" s="2" t="str">
        <f>"－"</f>
        <v>－</v>
      </c>
      <c r="J364" s="10"/>
      <c r="K364" s="2" t="str">
        <f>"－"</f>
        <v>－</v>
      </c>
    </row>
    <row r="365">
      <c r="A365" s="8" t="s">
        <v>49</v>
      </c>
      <c r="B365" s="9" t="s">
        <v>71</v>
      </c>
      <c r="C365" s="9" t="s">
        <v>72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60</v>
      </c>
      <c r="E366" s="2" t="str">
        <f>"－"</f>
        <v>－</v>
      </c>
      <c r="F366" s="10" t="s">
        <v>60</v>
      </c>
      <c r="G366" s="2" t="str">
        <f>"－"</f>
        <v>－</v>
      </c>
      <c r="H366" s="10" t="s">
        <v>60</v>
      </c>
      <c r="I366" s="2" t="str">
        <f>"－"</f>
        <v>－</v>
      </c>
      <c r="J366" s="10" t="s">
        <v>60</v>
      </c>
      <c r="K366" s="2" t="str">
        <f>"－"</f>
        <v>－</v>
      </c>
    </row>
    <row r="367">
      <c r="A367" s="8" t="s">
        <v>19</v>
      </c>
      <c r="B367" s="9" t="s">
        <v>73</v>
      </c>
      <c r="C367" s="9" t="s">
        <v>74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20</v>
      </c>
      <c r="B368" s="9" t="s">
        <v>73</v>
      </c>
      <c r="C368" s="9" t="s">
        <v>74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21</v>
      </c>
      <c r="B369" s="9" t="s">
        <v>73</v>
      </c>
      <c r="C369" s="9" t="s">
        <v>74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22</v>
      </c>
      <c r="B370" s="9" t="s">
        <v>73</v>
      </c>
      <c r="C370" s="9" t="s">
        <v>74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23</v>
      </c>
      <c r="B371" s="9" t="s">
        <v>73</v>
      </c>
      <c r="C371" s="9" t="s">
        <v>74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str">
        <f>"－"</f>
        <v>－</v>
      </c>
    </row>
    <row r="372">
      <c r="A372" s="8" t="s">
        <v>24</v>
      </c>
      <c r="B372" s="9" t="s">
        <v>73</v>
      </c>
      <c r="C372" s="9" t="s">
        <v>74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26</v>
      </c>
      <c r="B373" s="9" t="s">
        <v>73</v>
      </c>
      <c r="C373" s="9" t="s">
        <v>74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27</v>
      </c>
      <c r="B374" s="9" t="s">
        <v>73</v>
      </c>
      <c r="C374" s="9" t="s">
        <v>74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28</v>
      </c>
      <c r="B375" s="9" t="s">
        <v>73</v>
      </c>
      <c r="C375" s="9" t="s">
        <v>74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29</v>
      </c>
      <c r="B376" s="9" t="s">
        <v>73</v>
      </c>
      <c r="C376" s="9" t="s">
        <v>74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30</v>
      </c>
      <c r="B377" s="9" t="s">
        <v>73</v>
      </c>
      <c r="C377" s="9" t="s">
        <v>74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31</v>
      </c>
      <c r="B378" s="9" t="s">
        <v>73</v>
      </c>
      <c r="C378" s="9" t="s">
        <v>74</v>
      </c>
      <c r="D378" s="10"/>
      <c r="E378" s="2" t="str">
        <f>"－"</f>
        <v>－</v>
      </c>
      <c r="F378" s="10"/>
      <c r="G378" s="2" t="str">
        <f>"－"</f>
        <v>－</v>
      </c>
      <c r="H378" s="10"/>
      <c r="I378" s="2" t="str">
        <f>"－"</f>
        <v>－</v>
      </c>
      <c r="J378" s="10"/>
      <c r="K378" s="2" t="str">
        <f>"－"</f>
        <v>－</v>
      </c>
    </row>
    <row r="379">
      <c r="A379" s="8" t="s">
        <v>33</v>
      </c>
      <c r="B379" s="9" t="s">
        <v>73</v>
      </c>
      <c r="C379" s="9" t="s">
        <v>74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34</v>
      </c>
      <c r="B380" s="9" t="s">
        <v>73</v>
      </c>
      <c r="C380" s="9" t="s">
        <v>74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35</v>
      </c>
      <c r="B381" s="9" t="s">
        <v>73</v>
      </c>
      <c r="C381" s="9" t="s">
        <v>74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36</v>
      </c>
      <c r="B382" s="9" t="s">
        <v>73</v>
      </c>
      <c r="C382" s="9" t="s">
        <v>74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37</v>
      </c>
      <c r="B383" s="9" t="s">
        <v>73</v>
      </c>
      <c r="C383" s="9" t="s">
        <v>74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38</v>
      </c>
      <c r="B384" s="9" t="s">
        <v>73</v>
      </c>
      <c r="C384" s="9" t="s">
        <v>74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39</v>
      </c>
      <c r="B385" s="9" t="s">
        <v>73</v>
      </c>
      <c r="C385" s="9" t="s">
        <v>74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40</v>
      </c>
      <c r="B386" s="9" t="s">
        <v>73</v>
      </c>
      <c r="C386" s="9" t="s">
        <v>74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41</v>
      </c>
      <c r="B387" s="9" t="s">
        <v>73</v>
      </c>
      <c r="C387" s="9" t="s">
        <v>74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42</v>
      </c>
      <c r="B388" s="9" t="s">
        <v>73</v>
      </c>
      <c r="C388" s="9" t="s">
        <v>74</v>
      </c>
      <c r="D388" s="10"/>
      <c r="E388" s="2"/>
      <c r="F388" s="10"/>
      <c r="G388" s="2"/>
      <c r="H388" s="10"/>
      <c r="I388" s="2"/>
      <c r="J388" s="10"/>
      <c r="K388" s="2"/>
    </row>
    <row r="389">
      <c r="A389" s="8" t="s">
        <v>43</v>
      </c>
      <c r="B389" s="9" t="s">
        <v>73</v>
      </c>
      <c r="C389" s="9" t="s">
        <v>74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44</v>
      </c>
      <c r="B390" s="9" t="s">
        <v>73</v>
      </c>
      <c r="C390" s="9" t="s">
        <v>74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45</v>
      </c>
      <c r="B391" s="9" t="s">
        <v>73</v>
      </c>
      <c r="C391" s="9" t="s">
        <v>74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46</v>
      </c>
      <c r="B392" s="9" t="s">
        <v>73</v>
      </c>
      <c r="C392" s="9" t="s">
        <v>74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47</v>
      </c>
      <c r="B393" s="9" t="s">
        <v>73</v>
      </c>
      <c r="C393" s="9" t="s">
        <v>74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48</v>
      </c>
      <c r="B394" s="9" t="s">
        <v>73</v>
      </c>
      <c r="C394" s="9" t="s">
        <v>74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49</v>
      </c>
      <c r="B395" s="9" t="s">
        <v>73</v>
      </c>
      <c r="C395" s="9" t="s">
        <v>74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16</v>
      </c>
      <c r="B396" s="9" t="s">
        <v>75</v>
      </c>
      <c r="C396" s="9" t="s">
        <v>76</v>
      </c>
      <c r="D396" s="10"/>
      <c r="E396" s="2" t="n">
        <f>13</f>
        <v>13.0</v>
      </c>
      <c r="F396" s="10"/>
      <c r="G396" s="2" t="n">
        <f>6833800</f>
        <v>6833800.0</v>
      </c>
      <c r="H396" s="10" t="s">
        <v>60</v>
      </c>
      <c r="I396" s="2" t="str">
        <f>"－"</f>
        <v>－</v>
      </c>
      <c r="J396" s="10" t="s">
        <v>25</v>
      </c>
      <c r="K396" s="2" t="n">
        <f>36220</f>
        <v>36220.0</v>
      </c>
    </row>
    <row r="397">
      <c r="A397" s="8" t="s">
        <v>19</v>
      </c>
      <c r="B397" s="9" t="s">
        <v>75</v>
      </c>
      <c r="C397" s="9" t="s">
        <v>76</v>
      </c>
      <c r="D397" s="10" t="s">
        <v>32</v>
      </c>
      <c r="E397" s="2" t="str">
        <f>"－"</f>
        <v>－</v>
      </c>
      <c r="F397" s="10" t="s">
        <v>32</v>
      </c>
      <c r="G397" s="2" t="str">
        <f>"－"</f>
        <v>－</v>
      </c>
      <c r="H397" s="10"/>
      <c r="I397" s="2" t="str">
        <f>"－"</f>
        <v>－</v>
      </c>
      <c r="J397" s="10"/>
      <c r="K397" s="2" t="n">
        <f>36220</f>
        <v>36220.0</v>
      </c>
    </row>
    <row r="398">
      <c r="A398" s="8" t="s">
        <v>20</v>
      </c>
      <c r="B398" s="9" t="s">
        <v>75</v>
      </c>
      <c r="C398" s="9" t="s">
        <v>76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n">
        <f>36220</f>
        <v>36220.0</v>
      </c>
    </row>
    <row r="399">
      <c r="A399" s="8" t="s">
        <v>21</v>
      </c>
      <c r="B399" s="9" t="s">
        <v>75</v>
      </c>
      <c r="C399" s="9" t="s">
        <v>76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22</v>
      </c>
      <c r="B400" s="9" t="s">
        <v>75</v>
      </c>
      <c r="C400" s="9" t="s">
        <v>76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23</v>
      </c>
      <c r="B401" s="9" t="s">
        <v>75</v>
      </c>
      <c r="C401" s="9" t="s">
        <v>76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n">
        <f>36220</f>
        <v>36220.0</v>
      </c>
    </row>
    <row r="402">
      <c r="A402" s="8" t="s">
        <v>24</v>
      </c>
      <c r="B402" s="9" t="s">
        <v>75</v>
      </c>
      <c r="C402" s="9" t="s">
        <v>76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n">
        <f>36220</f>
        <v>36220.0</v>
      </c>
    </row>
    <row r="403">
      <c r="A403" s="8" t="s">
        <v>26</v>
      </c>
      <c r="B403" s="9" t="s">
        <v>75</v>
      </c>
      <c r="C403" s="9" t="s">
        <v>76</v>
      </c>
      <c r="D403" s="10" t="s">
        <v>25</v>
      </c>
      <c r="E403" s="2" t="n">
        <f>617</f>
        <v>617.0</v>
      </c>
      <c r="F403" s="10" t="s">
        <v>25</v>
      </c>
      <c r="G403" s="2" t="n">
        <f>299923700</f>
        <v>2.999237E8</v>
      </c>
      <c r="H403" s="10"/>
      <c r="I403" s="2" t="str">
        <f>"－"</f>
        <v>－</v>
      </c>
      <c r="J403" s="10"/>
      <c r="K403" s="2" t="n">
        <f>35603</f>
        <v>35603.0</v>
      </c>
    </row>
    <row r="404">
      <c r="A404" s="8" t="s">
        <v>27</v>
      </c>
      <c r="B404" s="9" t="s">
        <v>75</v>
      </c>
      <c r="C404" s="9" t="s">
        <v>76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n">
        <f>35603</f>
        <v>35603.0</v>
      </c>
    </row>
    <row r="405">
      <c r="A405" s="8" t="s">
        <v>28</v>
      </c>
      <c r="B405" s="9" t="s">
        <v>75</v>
      </c>
      <c r="C405" s="9" t="s">
        <v>76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n">
        <f>35603</f>
        <v>35603.0</v>
      </c>
    </row>
    <row r="406">
      <c r="A406" s="8" t="s">
        <v>29</v>
      </c>
      <c r="B406" s="9" t="s">
        <v>75</v>
      </c>
      <c r="C406" s="9" t="s">
        <v>76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30</v>
      </c>
      <c r="B407" s="9" t="s">
        <v>75</v>
      </c>
      <c r="C407" s="9" t="s">
        <v>76</v>
      </c>
      <c r="D407" s="10"/>
      <c r="E407" s="2"/>
      <c r="F407" s="10"/>
      <c r="G407" s="2"/>
      <c r="H407" s="10"/>
      <c r="I407" s="2"/>
      <c r="J407" s="10"/>
      <c r="K407" s="2"/>
    </row>
    <row r="408">
      <c r="A408" s="8" t="s">
        <v>31</v>
      </c>
      <c r="B408" s="9" t="s">
        <v>75</v>
      </c>
      <c r="C408" s="9" t="s">
        <v>76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n">
        <f>35603</f>
        <v>35603.0</v>
      </c>
    </row>
    <row r="409">
      <c r="A409" s="8" t="s">
        <v>33</v>
      </c>
      <c r="B409" s="9" t="s">
        <v>75</v>
      </c>
      <c r="C409" s="9" t="s">
        <v>76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n">
        <f>35603</f>
        <v>35603.0</v>
      </c>
    </row>
    <row r="410">
      <c r="A410" s="8" t="s">
        <v>34</v>
      </c>
      <c r="B410" s="9" t="s">
        <v>75</v>
      </c>
      <c r="C410" s="9" t="s">
        <v>76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35603</f>
        <v>35603.0</v>
      </c>
    </row>
    <row r="411">
      <c r="A411" s="8" t="s">
        <v>35</v>
      </c>
      <c r="B411" s="9" t="s">
        <v>75</v>
      </c>
      <c r="C411" s="9" t="s">
        <v>76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35603</f>
        <v>35603.0</v>
      </c>
    </row>
    <row r="412">
      <c r="A412" s="8" t="s">
        <v>36</v>
      </c>
      <c r="B412" s="9" t="s">
        <v>75</v>
      </c>
      <c r="C412" s="9" t="s">
        <v>76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35603</f>
        <v>35603.0</v>
      </c>
    </row>
    <row r="413">
      <c r="A413" s="8" t="s">
        <v>37</v>
      </c>
      <c r="B413" s="9" t="s">
        <v>75</v>
      </c>
      <c r="C413" s="9" t="s">
        <v>76</v>
      </c>
      <c r="D413" s="10"/>
      <c r="E413" s="2"/>
      <c r="F413" s="10"/>
      <c r="G413" s="2"/>
      <c r="H413" s="10"/>
      <c r="I413" s="2"/>
      <c r="J413" s="10"/>
      <c r="K413" s="2"/>
    </row>
    <row r="414">
      <c r="A414" s="8" t="s">
        <v>38</v>
      </c>
      <c r="B414" s="9" t="s">
        <v>75</v>
      </c>
      <c r="C414" s="9" t="s">
        <v>76</v>
      </c>
      <c r="D414" s="10"/>
      <c r="E414" s="2"/>
      <c r="F414" s="10"/>
      <c r="G414" s="2"/>
      <c r="H414" s="10"/>
      <c r="I414" s="2"/>
      <c r="J414" s="10"/>
      <c r="K414" s="2"/>
    </row>
    <row r="415">
      <c r="A415" s="8" t="s">
        <v>39</v>
      </c>
      <c r="B415" s="9" t="s">
        <v>75</v>
      </c>
      <c r="C415" s="9" t="s">
        <v>76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40</v>
      </c>
      <c r="B416" s="9" t="s">
        <v>75</v>
      </c>
      <c r="C416" s="9" t="s">
        <v>76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35603</f>
        <v>35603.0</v>
      </c>
    </row>
    <row r="417">
      <c r="A417" s="8" t="s">
        <v>41</v>
      </c>
      <c r="B417" s="9" t="s">
        <v>75</v>
      </c>
      <c r="C417" s="9" t="s">
        <v>76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35603</f>
        <v>35603.0</v>
      </c>
    </row>
    <row r="418">
      <c r="A418" s="8" t="s">
        <v>42</v>
      </c>
      <c r="B418" s="9" t="s">
        <v>75</v>
      </c>
      <c r="C418" s="9" t="s">
        <v>76</v>
      </c>
      <c r="D418" s="10"/>
      <c r="E418" s="2"/>
      <c r="F418" s="10"/>
      <c r="G418" s="2"/>
      <c r="H418" s="10"/>
      <c r="I418" s="2"/>
      <c r="J418" s="10"/>
      <c r="K418" s="2"/>
    </row>
    <row r="419">
      <c r="A419" s="8" t="s">
        <v>43</v>
      </c>
      <c r="B419" s="9" t="s">
        <v>75</v>
      </c>
      <c r="C419" s="9" t="s">
        <v>76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35603</f>
        <v>35603.0</v>
      </c>
    </row>
    <row r="420">
      <c r="A420" s="8" t="s">
        <v>44</v>
      </c>
      <c r="B420" s="9" t="s">
        <v>75</v>
      </c>
      <c r="C420" s="9" t="s">
        <v>76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45</v>
      </c>
      <c r="B421" s="9" t="s">
        <v>75</v>
      </c>
      <c r="C421" s="9" t="s">
        <v>76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46</v>
      </c>
      <c r="B422" s="9" t="s">
        <v>75</v>
      </c>
      <c r="C422" s="9" t="s">
        <v>76</v>
      </c>
      <c r="D422" s="10"/>
      <c r="E422" s="2" t="n">
        <f>12</f>
        <v>12.0</v>
      </c>
      <c r="F422" s="10"/>
      <c r="G422" s="2" t="n">
        <f>5772000</f>
        <v>5772000.0</v>
      </c>
      <c r="H422" s="10"/>
      <c r="I422" s="2" t="str">
        <f>"－"</f>
        <v>－</v>
      </c>
      <c r="J422" s="10" t="s">
        <v>32</v>
      </c>
      <c r="K422" s="2" t="n">
        <f>35591</f>
        <v>35591.0</v>
      </c>
    </row>
    <row r="423">
      <c r="A423" s="8" t="s">
        <v>47</v>
      </c>
      <c r="B423" s="9" t="s">
        <v>75</v>
      </c>
      <c r="C423" s="9" t="s">
        <v>76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35591</f>
        <v>35591.0</v>
      </c>
    </row>
    <row r="424">
      <c r="A424" s="8" t="s">
        <v>48</v>
      </c>
      <c r="B424" s="9" t="s">
        <v>75</v>
      </c>
      <c r="C424" s="9" t="s">
        <v>76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35591</f>
        <v>35591.0</v>
      </c>
    </row>
    <row r="425">
      <c r="A425" s="8" t="s">
        <v>49</v>
      </c>
      <c r="B425" s="9" t="s">
        <v>75</v>
      </c>
      <c r="C425" s="9" t="s">
        <v>76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35591</f>
        <v>35591.0</v>
      </c>
    </row>
    <row r="426">
      <c r="A426" s="8" t="s">
        <v>16</v>
      </c>
      <c r="B426" s="9" t="s">
        <v>77</v>
      </c>
      <c r="C426" s="9" t="s">
        <v>78</v>
      </c>
      <c r="D426" s="10" t="s">
        <v>25</v>
      </c>
      <c r="E426" s="2" t="n">
        <f>787</f>
        <v>787.0</v>
      </c>
      <c r="F426" s="10" t="s">
        <v>25</v>
      </c>
      <c r="G426" s="2" t="n">
        <f>145446000</f>
        <v>1.45446E8</v>
      </c>
      <c r="H426" s="10" t="s">
        <v>60</v>
      </c>
      <c r="I426" s="2" t="str">
        <f>"－"</f>
        <v>－</v>
      </c>
      <c r="J426" s="10"/>
      <c r="K426" s="2" t="n">
        <f>2005</f>
        <v>2005.0</v>
      </c>
    </row>
    <row r="427">
      <c r="A427" s="8" t="s">
        <v>19</v>
      </c>
      <c r="B427" s="9" t="s">
        <v>77</v>
      </c>
      <c r="C427" s="9" t="s">
        <v>78</v>
      </c>
      <c r="D427" s="10"/>
      <c r="E427" s="2" t="n">
        <f>252</f>
        <v>252.0</v>
      </c>
      <c r="F427" s="10"/>
      <c r="G427" s="2" t="n">
        <f>43137000</f>
        <v>4.3137E7</v>
      </c>
      <c r="H427" s="10"/>
      <c r="I427" s="2" t="str">
        <f>"－"</f>
        <v>－</v>
      </c>
      <c r="J427" s="10"/>
      <c r="K427" s="2" t="n">
        <f>2102</f>
        <v>2102.0</v>
      </c>
    </row>
    <row r="428">
      <c r="A428" s="8" t="s">
        <v>20</v>
      </c>
      <c r="B428" s="9" t="s">
        <v>77</v>
      </c>
      <c r="C428" s="9" t="s">
        <v>78</v>
      </c>
      <c r="D428" s="10"/>
      <c r="E428" s="2" t="n">
        <f>512</f>
        <v>512.0</v>
      </c>
      <c r="F428" s="10"/>
      <c r="G428" s="2" t="n">
        <f>98278000</f>
        <v>9.8278E7</v>
      </c>
      <c r="H428" s="10"/>
      <c r="I428" s="2" t="str">
        <f>"－"</f>
        <v>－</v>
      </c>
      <c r="J428" s="10"/>
      <c r="K428" s="2" t="n">
        <f>2516</f>
        <v>2516.0</v>
      </c>
    </row>
    <row r="429">
      <c r="A429" s="8" t="s">
        <v>21</v>
      </c>
      <c r="B429" s="9" t="s">
        <v>77</v>
      </c>
      <c r="C429" s="9" t="s">
        <v>78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22</v>
      </c>
      <c r="B430" s="9" t="s">
        <v>77</v>
      </c>
      <c r="C430" s="9" t="s">
        <v>78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23</v>
      </c>
      <c r="B431" s="9" t="s">
        <v>77</v>
      </c>
      <c r="C431" s="9" t="s">
        <v>78</v>
      </c>
      <c r="D431" s="10"/>
      <c r="E431" s="2" t="n">
        <f>371</f>
        <v>371.0</v>
      </c>
      <c r="F431" s="10"/>
      <c r="G431" s="2" t="n">
        <f>73335000</f>
        <v>7.3335E7</v>
      </c>
      <c r="H431" s="10"/>
      <c r="I431" s="2" t="str">
        <f>"－"</f>
        <v>－</v>
      </c>
      <c r="J431" s="10" t="s">
        <v>25</v>
      </c>
      <c r="K431" s="2" t="n">
        <f>2704</f>
        <v>2704.0</v>
      </c>
    </row>
    <row r="432">
      <c r="A432" s="8" t="s">
        <v>24</v>
      </c>
      <c r="B432" s="9" t="s">
        <v>77</v>
      </c>
      <c r="C432" s="9" t="s">
        <v>78</v>
      </c>
      <c r="D432" s="10"/>
      <c r="E432" s="2" t="n">
        <f>77</f>
        <v>77.0</v>
      </c>
      <c r="F432" s="10"/>
      <c r="G432" s="2" t="n">
        <f>15716000</f>
        <v>1.5716E7</v>
      </c>
      <c r="H432" s="10"/>
      <c r="I432" s="2" t="str">
        <f>"－"</f>
        <v>－</v>
      </c>
      <c r="J432" s="10"/>
      <c r="K432" s="2" t="n">
        <f>2701</f>
        <v>2701.0</v>
      </c>
    </row>
    <row r="433">
      <c r="A433" s="8" t="s">
        <v>26</v>
      </c>
      <c r="B433" s="9" t="s">
        <v>77</v>
      </c>
      <c r="C433" s="9" t="s">
        <v>78</v>
      </c>
      <c r="D433" s="10"/>
      <c r="E433" s="2" t="n">
        <f>273</f>
        <v>273.0</v>
      </c>
      <c r="F433" s="10"/>
      <c r="G433" s="2" t="n">
        <f>58279500</f>
        <v>5.82795E7</v>
      </c>
      <c r="H433" s="10"/>
      <c r="I433" s="2" t="str">
        <f>"－"</f>
        <v>－</v>
      </c>
      <c r="J433" s="10"/>
      <c r="K433" s="2" t="n">
        <f>2550</f>
        <v>2550.0</v>
      </c>
    </row>
    <row r="434">
      <c r="A434" s="8" t="s">
        <v>27</v>
      </c>
      <c r="B434" s="9" t="s">
        <v>77</v>
      </c>
      <c r="C434" s="9" t="s">
        <v>78</v>
      </c>
      <c r="D434" s="10"/>
      <c r="E434" s="2" t="n">
        <f>407</f>
        <v>407.0</v>
      </c>
      <c r="F434" s="10"/>
      <c r="G434" s="2" t="n">
        <f>86396500</f>
        <v>8.63965E7</v>
      </c>
      <c r="H434" s="10"/>
      <c r="I434" s="2" t="str">
        <f>"－"</f>
        <v>－</v>
      </c>
      <c r="J434" s="10"/>
      <c r="K434" s="2" t="n">
        <f>792</f>
        <v>792.0</v>
      </c>
    </row>
    <row r="435">
      <c r="A435" s="8" t="s">
        <v>28</v>
      </c>
      <c r="B435" s="9" t="s">
        <v>77</v>
      </c>
      <c r="C435" s="9" t="s">
        <v>78</v>
      </c>
      <c r="D435" s="10"/>
      <c r="E435" s="2" t="n">
        <f>142</f>
        <v>142.0</v>
      </c>
      <c r="F435" s="10"/>
      <c r="G435" s="2" t="n">
        <f>29740000</f>
        <v>2.974E7</v>
      </c>
      <c r="H435" s="10"/>
      <c r="I435" s="2" t="str">
        <f>"－"</f>
        <v>－</v>
      </c>
      <c r="J435" s="10"/>
      <c r="K435" s="2" t="n">
        <f>883</f>
        <v>883.0</v>
      </c>
    </row>
    <row r="436">
      <c r="A436" s="8" t="s">
        <v>29</v>
      </c>
      <c r="B436" s="9" t="s">
        <v>77</v>
      </c>
      <c r="C436" s="9" t="s">
        <v>78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30</v>
      </c>
      <c r="B437" s="9" t="s">
        <v>77</v>
      </c>
      <c r="C437" s="9" t="s">
        <v>78</v>
      </c>
      <c r="D437" s="10"/>
      <c r="E437" s="2"/>
      <c r="F437" s="10"/>
      <c r="G437" s="2"/>
      <c r="H437" s="10"/>
      <c r="I437" s="2"/>
      <c r="J437" s="10"/>
      <c r="K437" s="2"/>
    </row>
    <row r="438">
      <c r="A438" s="8" t="s">
        <v>31</v>
      </c>
      <c r="B438" s="9" t="s">
        <v>77</v>
      </c>
      <c r="C438" s="9" t="s">
        <v>78</v>
      </c>
      <c r="D438" s="10"/>
      <c r="E438" s="2" t="n">
        <f>16</f>
        <v>16.0</v>
      </c>
      <c r="F438" s="10"/>
      <c r="G438" s="2" t="n">
        <f>3396500</f>
        <v>3396500.0</v>
      </c>
      <c r="H438" s="10"/>
      <c r="I438" s="2" t="str">
        <f>"－"</f>
        <v>－</v>
      </c>
      <c r="J438" s="10"/>
      <c r="K438" s="2" t="n">
        <f>890</f>
        <v>890.0</v>
      </c>
    </row>
    <row r="439">
      <c r="A439" s="8" t="s">
        <v>33</v>
      </c>
      <c r="B439" s="9" t="s">
        <v>77</v>
      </c>
      <c r="C439" s="9" t="s">
        <v>78</v>
      </c>
      <c r="D439" s="10"/>
      <c r="E439" s="2" t="n">
        <f>24</f>
        <v>24.0</v>
      </c>
      <c r="F439" s="10"/>
      <c r="G439" s="2" t="n">
        <f>5353000</f>
        <v>5353000.0</v>
      </c>
      <c r="H439" s="10"/>
      <c r="I439" s="2" t="str">
        <f>"－"</f>
        <v>－</v>
      </c>
      <c r="J439" s="10"/>
      <c r="K439" s="2" t="n">
        <f>908</f>
        <v>908.0</v>
      </c>
    </row>
    <row r="440">
      <c r="A440" s="8" t="s">
        <v>34</v>
      </c>
      <c r="B440" s="9" t="s">
        <v>77</v>
      </c>
      <c r="C440" s="9" t="s">
        <v>78</v>
      </c>
      <c r="D440" s="10"/>
      <c r="E440" s="2" t="n">
        <f>113</f>
        <v>113.0</v>
      </c>
      <c r="F440" s="10"/>
      <c r="G440" s="2" t="n">
        <f>24987500</f>
        <v>2.49875E7</v>
      </c>
      <c r="H440" s="10"/>
      <c r="I440" s="2" t="str">
        <f>"－"</f>
        <v>－</v>
      </c>
      <c r="J440" s="10"/>
      <c r="K440" s="2" t="n">
        <f>958</f>
        <v>958.0</v>
      </c>
    </row>
    <row r="441">
      <c r="A441" s="8" t="s">
        <v>35</v>
      </c>
      <c r="B441" s="9" t="s">
        <v>77</v>
      </c>
      <c r="C441" s="9" t="s">
        <v>78</v>
      </c>
      <c r="D441" s="10"/>
      <c r="E441" s="2" t="n">
        <f>266</f>
        <v>266.0</v>
      </c>
      <c r="F441" s="10"/>
      <c r="G441" s="2" t="n">
        <f>56794500</f>
        <v>5.67945E7</v>
      </c>
      <c r="H441" s="10"/>
      <c r="I441" s="2" t="str">
        <f>"－"</f>
        <v>－</v>
      </c>
      <c r="J441" s="10"/>
      <c r="K441" s="2" t="n">
        <f>958</f>
        <v>958.0</v>
      </c>
    </row>
    <row r="442">
      <c r="A442" s="8" t="s">
        <v>36</v>
      </c>
      <c r="B442" s="9" t="s">
        <v>77</v>
      </c>
      <c r="C442" s="9" t="s">
        <v>78</v>
      </c>
      <c r="D442" s="10" t="s">
        <v>32</v>
      </c>
      <c r="E442" s="2" t="n">
        <f>15</f>
        <v>15.0</v>
      </c>
      <c r="F442" s="10" t="s">
        <v>32</v>
      </c>
      <c r="G442" s="2" t="n">
        <f>3254500</f>
        <v>3254500.0</v>
      </c>
      <c r="H442" s="10"/>
      <c r="I442" s="2" t="str">
        <f>"－"</f>
        <v>－</v>
      </c>
      <c r="J442" s="10"/>
      <c r="K442" s="2" t="n">
        <f>967</f>
        <v>967.0</v>
      </c>
    </row>
    <row r="443">
      <c r="A443" s="8" t="s">
        <v>37</v>
      </c>
      <c r="B443" s="9" t="s">
        <v>77</v>
      </c>
      <c r="C443" s="9" t="s">
        <v>78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38</v>
      </c>
      <c r="B444" s="9" t="s">
        <v>77</v>
      </c>
      <c r="C444" s="9" t="s">
        <v>78</v>
      </c>
      <c r="D444" s="10"/>
      <c r="E444" s="2"/>
      <c r="F444" s="10"/>
      <c r="G444" s="2"/>
      <c r="H444" s="10"/>
      <c r="I444" s="2"/>
      <c r="J444" s="10"/>
      <c r="K444" s="2"/>
    </row>
    <row r="445">
      <c r="A445" s="8" t="s">
        <v>39</v>
      </c>
      <c r="B445" s="9" t="s">
        <v>77</v>
      </c>
      <c r="C445" s="9" t="s">
        <v>78</v>
      </c>
      <c r="D445" s="10"/>
      <c r="E445" s="2"/>
      <c r="F445" s="10"/>
      <c r="G445" s="2"/>
      <c r="H445" s="10"/>
      <c r="I445" s="2"/>
      <c r="J445" s="10"/>
      <c r="K445" s="2"/>
    </row>
    <row r="446">
      <c r="A446" s="8" t="s">
        <v>40</v>
      </c>
      <c r="B446" s="9" t="s">
        <v>77</v>
      </c>
      <c r="C446" s="9" t="s">
        <v>78</v>
      </c>
      <c r="D446" s="10"/>
      <c r="E446" s="2" t="n">
        <f>234</f>
        <v>234.0</v>
      </c>
      <c r="F446" s="10"/>
      <c r="G446" s="2" t="n">
        <f>52438000</f>
        <v>5.2438E7</v>
      </c>
      <c r="H446" s="10"/>
      <c r="I446" s="2" t="str">
        <f>"－"</f>
        <v>－</v>
      </c>
      <c r="J446" s="10"/>
      <c r="K446" s="2" t="n">
        <f>938</f>
        <v>938.0</v>
      </c>
    </row>
    <row r="447">
      <c r="A447" s="8" t="s">
        <v>41</v>
      </c>
      <c r="B447" s="9" t="s">
        <v>77</v>
      </c>
      <c r="C447" s="9" t="s">
        <v>78</v>
      </c>
      <c r="D447" s="10"/>
      <c r="E447" s="2" t="n">
        <f>181</f>
        <v>181.0</v>
      </c>
      <c r="F447" s="10"/>
      <c r="G447" s="2" t="n">
        <f>41670500</f>
        <v>4.16705E7</v>
      </c>
      <c r="H447" s="10"/>
      <c r="I447" s="2" t="str">
        <f>"－"</f>
        <v>－</v>
      </c>
      <c r="J447" s="10"/>
      <c r="K447" s="2" t="n">
        <f>881</f>
        <v>881.0</v>
      </c>
    </row>
    <row r="448">
      <c r="A448" s="8" t="s">
        <v>42</v>
      </c>
      <c r="B448" s="9" t="s">
        <v>77</v>
      </c>
      <c r="C448" s="9" t="s">
        <v>78</v>
      </c>
      <c r="D448" s="10"/>
      <c r="E448" s="2"/>
      <c r="F448" s="10"/>
      <c r="G448" s="2"/>
      <c r="H448" s="10"/>
      <c r="I448" s="2"/>
      <c r="J448" s="10"/>
      <c r="K448" s="2"/>
    </row>
    <row r="449">
      <c r="A449" s="8" t="s">
        <v>43</v>
      </c>
      <c r="B449" s="9" t="s">
        <v>77</v>
      </c>
      <c r="C449" s="9" t="s">
        <v>78</v>
      </c>
      <c r="D449" s="10"/>
      <c r="E449" s="2" t="n">
        <f>99</f>
        <v>99.0</v>
      </c>
      <c r="F449" s="10"/>
      <c r="G449" s="2" t="n">
        <f>21024000</f>
        <v>2.1024E7</v>
      </c>
      <c r="H449" s="10"/>
      <c r="I449" s="2" t="str">
        <f>"－"</f>
        <v>－</v>
      </c>
      <c r="J449" s="10"/>
      <c r="K449" s="2" t="n">
        <f>893</f>
        <v>893.0</v>
      </c>
    </row>
    <row r="450">
      <c r="A450" s="8" t="s">
        <v>44</v>
      </c>
      <c r="B450" s="9" t="s">
        <v>77</v>
      </c>
      <c r="C450" s="9" t="s">
        <v>78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45</v>
      </c>
      <c r="B451" s="9" t="s">
        <v>77</v>
      </c>
      <c r="C451" s="9" t="s">
        <v>78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46</v>
      </c>
      <c r="B452" s="9" t="s">
        <v>77</v>
      </c>
      <c r="C452" s="9" t="s">
        <v>78</v>
      </c>
      <c r="D452" s="10"/>
      <c r="E452" s="2" t="n">
        <f>251</f>
        <v>251.0</v>
      </c>
      <c r="F452" s="10"/>
      <c r="G452" s="2" t="n">
        <f>54975500</f>
        <v>5.49755E7</v>
      </c>
      <c r="H452" s="10"/>
      <c r="I452" s="2" t="str">
        <f>"－"</f>
        <v>－</v>
      </c>
      <c r="J452" s="10"/>
      <c r="K452" s="2" t="n">
        <f>821</f>
        <v>821.0</v>
      </c>
    </row>
    <row r="453">
      <c r="A453" s="8" t="s">
        <v>47</v>
      </c>
      <c r="B453" s="9" t="s">
        <v>77</v>
      </c>
      <c r="C453" s="9" t="s">
        <v>78</v>
      </c>
      <c r="D453" s="10"/>
      <c r="E453" s="2" t="n">
        <f>82</f>
        <v>82.0</v>
      </c>
      <c r="F453" s="10"/>
      <c r="G453" s="2" t="n">
        <f>16900000</f>
        <v>1.69E7</v>
      </c>
      <c r="H453" s="10"/>
      <c r="I453" s="2" t="str">
        <f>"－"</f>
        <v>－</v>
      </c>
      <c r="J453" s="10"/>
      <c r="K453" s="2" t="n">
        <f>765</f>
        <v>765.0</v>
      </c>
    </row>
    <row r="454">
      <c r="A454" s="8" t="s">
        <v>48</v>
      </c>
      <c r="B454" s="9" t="s">
        <v>77</v>
      </c>
      <c r="C454" s="9" t="s">
        <v>78</v>
      </c>
      <c r="D454" s="10"/>
      <c r="E454" s="2" t="n">
        <f>92</f>
        <v>92.0</v>
      </c>
      <c r="F454" s="10"/>
      <c r="G454" s="2" t="n">
        <f>19895500</f>
        <v>1.98955E7</v>
      </c>
      <c r="H454" s="10"/>
      <c r="I454" s="2" t="str">
        <f>"－"</f>
        <v>－</v>
      </c>
      <c r="J454" s="10" t="s">
        <v>32</v>
      </c>
      <c r="K454" s="2" t="n">
        <f>725</f>
        <v>725.0</v>
      </c>
    </row>
    <row r="455">
      <c r="A455" s="8" t="s">
        <v>49</v>
      </c>
      <c r="B455" s="9" t="s">
        <v>77</v>
      </c>
      <c r="C455" s="9" t="s">
        <v>78</v>
      </c>
      <c r="D455" s="10"/>
      <c r="E455" s="2" t="n">
        <f>211</f>
        <v>211.0</v>
      </c>
      <c r="F455" s="10"/>
      <c r="G455" s="2" t="n">
        <f>49703500</f>
        <v>4.97035E7</v>
      </c>
      <c r="H455" s="10"/>
      <c r="I455" s="2" t="str">
        <f>"－"</f>
        <v>－</v>
      </c>
      <c r="J455" s="10"/>
      <c r="K455" s="2" t="n">
        <f>880</f>
        <v>880.0</v>
      </c>
    </row>
    <row r="456">
      <c r="A456" s="8" t="s">
        <v>16</v>
      </c>
      <c r="B456" s="9" t="s">
        <v>79</v>
      </c>
      <c r="C456" s="9" t="s">
        <v>80</v>
      </c>
      <c r="D456" s="10"/>
      <c r="E456" s="2"/>
      <c r="F456" s="10"/>
      <c r="G456" s="2"/>
      <c r="H456" s="10"/>
      <c r="I456" s="2"/>
      <c r="J456" s="10"/>
      <c r="K456" s="2"/>
    </row>
    <row r="457">
      <c r="A457" s="8" t="s">
        <v>19</v>
      </c>
      <c r="B457" s="9" t="s">
        <v>79</v>
      </c>
      <c r="C457" s="9" t="s">
        <v>80</v>
      </c>
      <c r="D457" s="10"/>
      <c r="E457" s="2"/>
      <c r="F457" s="10"/>
      <c r="G457" s="2"/>
      <c r="H457" s="10"/>
      <c r="I457" s="2"/>
      <c r="J457" s="10"/>
      <c r="K457" s="2"/>
    </row>
    <row r="458">
      <c r="A458" s="8" t="s">
        <v>20</v>
      </c>
      <c r="B458" s="9" t="s">
        <v>79</v>
      </c>
      <c r="C458" s="9" t="s">
        <v>80</v>
      </c>
      <c r="D458" s="10"/>
      <c r="E458" s="2"/>
      <c r="F458" s="10"/>
      <c r="G458" s="2"/>
      <c r="H458" s="10"/>
      <c r="I458" s="2"/>
      <c r="J458" s="10"/>
      <c r="K458" s="2"/>
    </row>
    <row r="459">
      <c r="A459" s="8" t="s">
        <v>21</v>
      </c>
      <c r="B459" s="9" t="s">
        <v>79</v>
      </c>
      <c r="C459" s="9" t="s">
        <v>80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22</v>
      </c>
      <c r="B460" s="9" t="s">
        <v>79</v>
      </c>
      <c r="C460" s="9" t="s">
        <v>80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23</v>
      </c>
      <c r="B461" s="9" t="s">
        <v>79</v>
      </c>
      <c r="C461" s="9" t="s">
        <v>80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24</v>
      </c>
      <c r="B462" s="9" t="s">
        <v>79</v>
      </c>
      <c r="C462" s="9" t="s">
        <v>80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26</v>
      </c>
      <c r="B463" s="9" t="s">
        <v>79</v>
      </c>
      <c r="C463" s="9" t="s">
        <v>80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27</v>
      </c>
      <c r="B464" s="9" t="s">
        <v>79</v>
      </c>
      <c r="C464" s="9" t="s">
        <v>80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28</v>
      </c>
      <c r="B465" s="9" t="s">
        <v>79</v>
      </c>
      <c r="C465" s="9" t="s">
        <v>80</v>
      </c>
      <c r="D465" s="10"/>
      <c r="E465" s="2"/>
      <c r="F465" s="10"/>
      <c r="G465" s="2"/>
      <c r="H465" s="10"/>
      <c r="I465" s="2"/>
      <c r="J465" s="10"/>
      <c r="K465" s="2"/>
    </row>
    <row r="466">
      <c r="A466" s="8" t="s">
        <v>29</v>
      </c>
      <c r="B466" s="9" t="s">
        <v>79</v>
      </c>
      <c r="C466" s="9" t="s">
        <v>80</v>
      </c>
      <c r="D466" s="10"/>
      <c r="E466" s="2"/>
      <c r="F466" s="10"/>
      <c r="G466" s="2"/>
      <c r="H466" s="10"/>
      <c r="I466" s="2"/>
      <c r="J466" s="10"/>
      <c r="K466" s="2"/>
    </row>
    <row r="467">
      <c r="A467" s="8" t="s">
        <v>30</v>
      </c>
      <c r="B467" s="9" t="s">
        <v>79</v>
      </c>
      <c r="C467" s="9" t="s">
        <v>80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31</v>
      </c>
      <c r="B468" s="9" t="s">
        <v>79</v>
      </c>
      <c r="C468" s="9" t="s">
        <v>80</v>
      </c>
      <c r="D468" s="10"/>
      <c r="E468" s="2"/>
      <c r="F468" s="10"/>
      <c r="G468" s="2"/>
      <c r="H468" s="10"/>
      <c r="I468" s="2"/>
      <c r="J468" s="10"/>
      <c r="K468" s="2"/>
    </row>
    <row r="469">
      <c r="A469" s="8" t="s">
        <v>33</v>
      </c>
      <c r="B469" s="9" t="s">
        <v>79</v>
      </c>
      <c r="C469" s="9" t="s">
        <v>80</v>
      </c>
      <c r="D469" s="10"/>
      <c r="E469" s="2"/>
      <c r="F469" s="10"/>
      <c r="G469" s="2"/>
      <c r="H469" s="10"/>
      <c r="I469" s="2"/>
      <c r="J469" s="10"/>
      <c r="K469" s="2"/>
    </row>
    <row r="470">
      <c r="A470" s="8" t="s">
        <v>34</v>
      </c>
      <c r="B470" s="9" t="s">
        <v>79</v>
      </c>
      <c r="C470" s="9" t="s">
        <v>80</v>
      </c>
      <c r="D470" s="10"/>
      <c r="E470" s="2"/>
      <c r="F470" s="10"/>
      <c r="G470" s="2"/>
      <c r="H470" s="10"/>
      <c r="I470" s="2"/>
      <c r="J470" s="10"/>
      <c r="K470" s="2"/>
    </row>
    <row r="471">
      <c r="A471" s="8" t="s">
        <v>35</v>
      </c>
      <c r="B471" s="9" t="s">
        <v>79</v>
      </c>
      <c r="C471" s="9" t="s">
        <v>80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36</v>
      </c>
      <c r="B472" s="9" t="s">
        <v>79</v>
      </c>
      <c r="C472" s="9" t="s">
        <v>80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37</v>
      </c>
      <c r="B473" s="9" t="s">
        <v>79</v>
      </c>
      <c r="C473" s="9" t="s">
        <v>80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38</v>
      </c>
      <c r="B474" s="9" t="s">
        <v>79</v>
      </c>
      <c r="C474" s="9" t="s">
        <v>80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39</v>
      </c>
      <c r="B475" s="9" t="s">
        <v>79</v>
      </c>
      <c r="C475" s="9" t="s">
        <v>80</v>
      </c>
      <c r="D475" s="10"/>
      <c r="E475" s="2"/>
      <c r="F475" s="10"/>
      <c r="G475" s="2"/>
      <c r="H475" s="10"/>
      <c r="I475" s="2"/>
      <c r="J475" s="10"/>
      <c r="K475" s="2"/>
    </row>
    <row r="476">
      <c r="A476" s="8" t="s">
        <v>40</v>
      </c>
      <c r="B476" s="9" t="s">
        <v>79</v>
      </c>
      <c r="C476" s="9" t="s">
        <v>80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41</v>
      </c>
      <c r="B477" s="9" t="s">
        <v>79</v>
      </c>
      <c r="C477" s="9" t="s">
        <v>80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42</v>
      </c>
      <c r="B478" s="9" t="s">
        <v>79</v>
      </c>
      <c r="C478" s="9" t="s">
        <v>80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43</v>
      </c>
      <c r="B479" s="9" t="s">
        <v>79</v>
      </c>
      <c r="C479" s="9" t="s">
        <v>80</v>
      </c>
      <c r="D479" s="10"/>
      <c r="E479" s="2"/>
      <c r="F479" s="10"/>
      <c r="G479" s="2"/>
      <c r="H479" s="10"/>
      <c r="I479" s="2"/>
      <c r="J479" s="10"/>
      <c r="K479" s="2"/>
    </row>
    <row r="480">
      <c r="A480" s="8" t="s">
        <v>44</v>
      </c>
      <c r="B480" s="9" t="s">
        <v>79</v>
      </c>
      <c r="C480" s="9" t="s">
        <v>80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45</v>
      </c>
      <c r="B481" s="9" t="s">
        <v>79</v>
      </c>
      <c r="C481" s="9" t="s">
        <v>80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46</v>
      </c>
      <c r="B482" s="9" t="s">
        <v>79</v>
      </c>
      <c r="C482" s="9" t="s">
        <v>80</v>
      </c>
      <c r="D482" s="10"/>
      <c r="E482" s="2"/>
      <c r="F482" s="10"/>
      <c r="G482" s="2"/>
      <c r="H482" s="10"/>
      <c r="I482" s="2"/>
      <c r="J482" s="10"/>
      <c r="K482" s="2"/>
    </row>
    <row r="483">
      <c r="A483" s="8" t="s">
        <v>47</v>
      </c>
      <c r="B483" s="9" t="s">
        <v>79</v>
      </c>
      <c r="C483" s="9" t="s">
        <v>80</v>
      </c>
      <c r="D483" s="10"/>
      <c r="E483" s="2"/>
      <c r="F483" s="10"/>
      <c r="G483" s="2"/>
      <c r="H483" s="10"/>
      <c r="I483" s="2"/>
      <c r="J483" s="10"/>
      <c r="K483" s="2"/>
    </row>
    <row r="484">
      <c r="A484" s="8" t="s">
        <v>48</v>
      </c>
      <c r="B484" s="9" t="s">
        <v>79</v>
      </c>
      <c r="C484" s="9" t="s">
        <v>80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49</v>
      </c>
      <c r="B485" s="9" t="s">
        <v>79</v>
      </c>
      <c r="C485" s="9" t="s">
        <v>80</v>
      </c>
      <c r="D485" s="10"/>
      <c r="E485" s="2"/>
      <c r="F485" s="10"/>
      <c r="G485" s="2"/>
      <c r="H485" s="10"/>
      <c r="I485" s="2"/>
      <c r="J485" s="10"/>
      <c r="K485" s="2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