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<sst xmlns="http://schemas.openxmlformats.org/spreadsheetml/2006/main" count="680" uniqueCount="71">
  <si>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</si>
  <si>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</si>
  <si>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</si>
  <si>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</si>
  <si>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</si>
  <si>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</si>
  <si>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</si>
  <si>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</si>
  <si>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</si>
  <si>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</si>
  <si>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</si>
  <si>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</si>
  <si>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</si>
  <si>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</si>
  <si>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</si>
  <si>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</si>
  <si>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</si>
  <si>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</si>
  <si>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</si>
  <si>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</si>
  <si>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</si>
  <si>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</si>
  <si>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</si>
  <si>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</si>
  <si>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</si>
  <si>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</si>
  <si>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4.1</t>
  </si>
  <si>
    <t>日経225オプション</t>
  </si>
  <si>
    <t>Nikkei 225 Options</t>
  </si>
  <si>
    <t>2</t>
  </si>
  <si>
    <t>3</t>
  </si>
  <si>
    <t>4</t>
  </si>
  <si>
    <t>5</t>
  </si>
  <si>
    <t>6</t>
  </si>
  <si>
    <t>◎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</si>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</sst>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8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61319</f>
        <v>61319.0</v>
      </c>
      <c r="F10" s="23"/>
      <c r="G10" s="25" t="n">
        <f>37207</f>
        <v>37207.0</v>
      </c>
      <c r="H10" s="23"/>
      <c r="I10" s="26" t="n">
        <f>98526</f>
        <v>98526.0</v>
      </c>
      <c r="J10" s="24"/>
      <c r="K10" s="25" t="n">
        <f>14867394380</f>
        <v>1.486739438E10</v>
      </c>
      <c r="L10" s="23"/>
      <c r="M10" s="25" t="n">
        <f>6377679200</f>
        <v>6.3776792E9</v>
      </c>
      <c r="N10" s="23"/>
      <c r="O10" s="26" t="n">
        <f>21245073580</f>
        <v>2.124507358E10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10335</f>
        <v>10335.0</v>
      </c>
      <c r="U10" s="23"/>
      <c r="V10" s="25" t="n">
        <f>7914</f>
        <v>7914.0</v>
      </c>
      <c r="W10" s="23"/>
      <c r="X10" s="26" t="n">
        <f>18249</f>
        <v>18249.0</v>
      </c>
      <c r="Y10" s="24"/>
      <c r="Z10" s="25" t="n">
        <f>871484</f>
        <v>871484.0</v>
      </c>
      <c r="AA10" s="23"/>
      <c r="AB10" s="25" t="n">
        <f>489500</f>
        <v>489500.0</v>
      </c>
      <c r="AC10" s="23"/>
      <c r="AD10" s="26" t="n">
        <f>1360984</f>
        <v>1360984.0</v>
      </c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 t="n">
        <f>57264</f>
        <v>57264.0</v>
      </c>
      <c r="F13" s="23"/>
      <c r="G13" s="25" t="n">
        <f>28980</f>
        <v>28980.0</v>
      </c>
      <c r="H13" s="23"/>
      <c r="I13" s="26" t="n">
        <f>86244</f>
        <v>86244.0</v>
      </c>
      <c r="J13" s="24"/>
      <c r="K13" s="25" t="n">
        <f>14346223630</f>
        <v>1.434622363E10</v>
      </c>
      <c r="L13" s="23"/>
      <c r="M13" s="25" t="n">
        <f>7273436300</f>
        <v>7.2734363E9</v>
      </c>
      <c r="N13" s="23"/>
      <c r="O13" s="26" t="n">
        <f>21619659930</f>
        <v>2.161965993E10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20763</f>
        <v>20763.0</v>
      </c>
      <c r="U13" s="23"/>
      <c r="V13" s="25" t="n">
        <f>7661</f>
        <v>7661.0</v>
      </c>
      <c r="W13" s="23"/>
      <c r="X13" s="26" t="n">
        <f>28424</f>
        <v>28424.0</v>
      </c>
      <c r="Y13" s="24"/>
      <c r="Z13" s="25" t="n">
        <f>886772</f>
        <v>886772.0</v>
      </c>
      <c r="AA13" s="23"/>
      <c r="AB13" s="25" t="n">
        <f>496934</f>
        <v>496934.0</v>
      </c>
      <c r="AC13" s="23"/>
      <c r="AD13" s="26" t="n">
        <f>1383706</f>
        <v>1383706.0</v>
      </c>
    </row>
    <row r="14">
      <c r="A14" s="30" t="s">
        <v>32</v>
      </c>
      <c r="B14" s="22" t="s">
        <v>27</v>
      </c>
      <c r="C14" s="22" t="s">
        <v>28</v>
      </c>
      <c r="D14" s="24"/>
      <c r="E14" s="25" t="n">
        <f>44172</f>
        <v>44172.0</v>
      </c>
      <c r="F14" s="23"/>
      <c r="G14" s="25" t="n">
        <f>29938</f>
        <v>29938.0</v>
      </c>
      <c r="H14" s="23"/>
      <c r="I14" s="26" t="n">
        <f>74110</f>
        <v>74110.0</v>
      </c>
      <c r="J14" s="24"/>
      <c r="K14" s="25" t="n">
        <f>9220879250</f>
        <v>9.22087925E9</v>
      </c>
      <c r="L14" s="23"/>
      <c r="M14" s="25" t="n">
        <f>5875802140</f>
        <v>5.87580214E9</v>
      </c>
      <c r="N14" s="23"/>
      <c r="O14" s="26" t="n">
        <f>15096681390</f>
        <v>1.509668139E10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8392</f>
        <v>8392.0</v>
      </c>
      <c r="U14" s="23"/>
      <c r="V14" s="25" t="n">
        <f>4545</f>
        <v>4545.0</v>
      </c>
      <c r="W14" s="23"/>
      <c r="X14" s="26" t="n">
        <f>12937</f>
        <v>12937.0</v>
      </c>
      <c r="Y14" s="24"/>
      <c r="Z14" s="25" t="n">
        <f>894548</f>
        <v>894548.0</v>
      </c>
      <c r="AA14" s="23"/>
      <c r="AB14" s="25" t="n">
        <f>496920</f>
        <v>496920.0</v>
      </c>
      <c r="AC14" s="23"/>
      <c r="AD14" s="26" t="n">
        <f>1391468</f>
        <v>1391468.0</v>
      </c>
    </row>
    <row r="15">
      <c r="A15" s="30" t="s">
        <v>33</v>
      </c>
      <c r="B15" s="22" t="s">
        <v>27</v>
      </c>
      <c r="C15" s="22" t="s">
        <v>28</v>
      </c>
      <c r="D15" s="24"/>
      <c r="E15" s="25" t="n">
        <f>57030</f>
        <v>57030.0</v>
      </c>
      <c r="F15" s="23"/>
      <c r="G15" s="25" t="n">
        <f>41205</f>
        <v>41205.0</v>
      </c>
      <c r="H15" s="23"/>
      <c r="I15" s="26" t="n">
        <f>98235</f>
        <v>98235.0</v>
      </c>
      <c r="J15" s="24"/>
      <c r="K15" s="25" t="n">
        <f>9905780882</f>
        <v>9.905780882E9</v>
      </c>
      <c r="L15" s="23"/>
      <c r="M15" s="25" t="n">
        <f>8666660030</f>
        <v>8.66666003E9</v>
      </c>
      <c r="N15" s="23"/>
      <c r="O15" s="26" t="n">
        <f>18572440912</f>
        <v>1.8572440912E10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9462</f>
        <v>9462.0</v>
      </c>
      <c r="U15" s="23" t="s">
        <v>34</v>
      </c>
      <c r="V15" s="25" t="n">
        <f>10051</f>
        <v>10051.0</v>
      </c>
      <c r="W15" s="23"/>
      <c r="X15" s="26" t="n">
        <f>19513</f>
        <v>19513.0</v>
      </c>
      <c r="Y15" s="24"/>
      <c r="Z15" s="25" t="n">
        <f>905789</f>
        <v>905789.0</v>
      </c>
      <c r="AA15" s="23"/>
      <c r="AB15" s="25" t="n">
        <f>502601</f>
        <v>502601.0</v>
      </c>
      <c r="AC15" s="23"/>
      <c r="AD15" s="26" t="n">
        <f>1408390</f>
        <v>1408390.0</v>
      </c>
    </row>
    <row r="16">
      <c r="A16" s="30" t="s">
        <v>35</v>
      </c>
      <c r="B16" s="22" t="s">
        <v>27</v>
      </c>
      <c r="C16" s="22" t="s">
        <v>28</v>
      </c>
      <c r="D16" s="24" t="s">
        <v>34</v>
      </c>
      <c r="E16" s="25" t="n">
        <f>85501</f>
        <v>85501.0</v>
      </c>
      <c r="F16" s="23" t="s">
        <v>34</v>
      </c>
      <c r="G16" s="25" t="n">
        <f>51532</f>
        <v>51532.0</v>
      </c>
      <c r="H16" s="23" t="s">
        <v>34</v>
      </c>
      <c r="I16" s="26" t="n">
        <f>137033</f>
        <v>137033.0</v>
      </c>
      <c r="J16" s="24"/>
      <c r="K16" s="25" t="n">
        <f>15979177738</f>
        <v>1.5979177738E10</v>
      </c>
      <c r="L16" s="23"/>
      <c r="M16" s="25" t="n">
        <f>8579247738</f>
        <v>8.579247738E9</v>
      </c>
      <c r="N16" s="23"/>
      <c r="O16" s="26" t="n">
        <f>24558425476</f>
        <v>2.4558425476E10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 t="s">
        <v>34</v>
      </c>
      <c r="T16" s="25" t="n">
        <f>25886</f>
        <v>25886.0</v>
      </c>
      <c r="U16" s="23"/>
      <c r="V16" s="25" t="n">
        <f>8188</f>
        <v>8188.0</v>
      </c>
      <c r="W16" s="23" t="s">
        <v>34</v>
      </c>
      <c r="X16" s="26" t="n">
        <f>34074</f>
        <v>34074.0</v>
      </c>
      <c r="Y16" s="24" t="s">
        <v>34</v>
      </c>
      <c r="Z16" s="25" t="n">
        <f>914260</f>
        <v>914260.0</v>
      </c>
      <c r="AA16" s="23" t="s">
        <v>34</v>
      </c>
      <c r="AB16" s="25" t="n">
        <f>517927</f>
        <v>517927.0</v>
      </c>
      <c r="AC16" s="23" t="s">
        <v>34</v>
      </c>
      <c r="AD16" s="26" t="n">
        <f>1432187</f>
        <v>1432187.0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32603</f>
        <v>32603.0</v>
      </c>
      <c r="F17" s="23"/>
      <c r="G17" s="25" t="n">
        <f>22980</f>
        <v>22980.0</v>
      </c>
      <c r="H17" s="23"/>
      <c r="I17" s="26" t="n">
        <f>55583</f>
        <v>55583.0</v>
      </c>
      <c r="J17" s="24"/>
      <c r="K17" s="25" t="n">
        <f>9748895004</f>
        <v>9.748895004E9</v>
      </c>
      <c r="L17" s="23"/>
      <c r="M17" s="25" t="n">
        <f>5825542920</f>
        <v>5.82554292E9</v>
      </c>
      <c r="N17" s="23"/>
      <c r="O17" s="26" t="n">
        <f>15574437924</f>
        <v>1.5574437924E10</v>
      </c>
      <c r="P17" s="27" t="n">
        <f>16042</f>
        <v>16042.0</v>
      </c>
      <c r="Q17" s="28" t="n">
        <f>32521</f>
        <v>32521.0</v>
      </c>
      <c r="R17" s="29" t="n">
        <f>48563</f>
        <v>48563.0</v>
      </c>
      <c r="S17" s="24"/>
      <c r="T17" s="25" t="n">
        <f>10039</f>
        <v>10039.0</v>
      </c>
      <c r="U17" s="23"/>
      <c r="V17" s="25" t="n">
        <f>3527</f>
        <v>3527.0</v>
      </c>
      <c r="W17" s="23"/>
      <c r="X17" s="26" t="n">
        <f>13566</f>
        <v>13566.0</v>
      </c>
      <c r="Y17" s="24" t="s">
        <v>37</v>
      </c>
      <c r="Z17" s="25" t="n">
        <f>759614</f>
        <v>759614.0</v>
      </c>
      <c r="AA17" s="23" t="s">
        <v>37</v>
      </c>
      <c r="AB17" s="25" t="n">
        <f>425154</f>
        <v>425154.0</v>
      </c>
      <c r="AC17" s="23" t="s">
        <v>37</v>
      </c>
      <c r="AD17" s="26" t="n">
        <f>1184768</f>
        <v>1184768.0</v>
      </c>
    </row>
    <row r="18">
      <c r="A18" s="30" t="s">
        <v>38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 t="n">
        <f>46928</f>
        <v>46928.0</v>
      </c>
      <c r="F20" s="23"/>
      <c r="G20" s="25" t="n">
        <f>28241</f>
        <v>28241.0</v>
      </c>
      <c r="H20" s="23"/>
      <c r="I20" s="26" t="n">
        <f>75169</f>
        <v>75169.0</v>
      </c>
      <c r="J20" s="24"/>
      <c r="K20" s="25" t="n">
        <f>12721036800</f>
        <v>1.27210368E10</v>
      </c>
      <c r="L20" s="23"/>
      <c r="M20" s="25" t="n">
        <f>8379590070</f>
        <v>8.37959007E9</v>
      </c>
      <c r="N20" s="23"/>
      <c r="O20" s="26" t="n">
        <f>21100626870</f>
        <v>2.110062687E10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17995</f>
        <v>17995.0</v>
      </c>
      <c r="U20" s="23"/>
      <c r="V20" s="25" t="n">
        <f>5745</f>
        <v>5745.0</v>
      </c>
      <c r="W20" s="23"/>
      <c r="X20" s="26" t="n">
        <f>23740</f>
        <v>23740.0</v>
      </c>
      <c r="Y20" s="24"/>
      <c r="Z20" s="25" t="n">
        <f>768523</f>
        <v>768523.0</v>
      </c>
      <c r="AA20" s="23"/>
      <c r="AB20" s="25" t="n">
        <f>431364</f>
        <v>431364.0</v>
      </c>
      <c r="AC20" s="23"/>
      <c r="AD20" s="26" t="n">
        <f>1199887</f>
        <v>1199887.0</v>
      </c>
    </row>
    <row r="21">
      <c r="A21" s="30" t="s">
        <v>41</v>
      </c>
      <c r="B21" s="22" t="s">
        <v>27</v>
      </c>
      <c r="C21" s="22" t="s">
        <v>28</v>
      </c>
      <c r="D21" s="24"/>
      <c r="E21" s="25" t="n">
        <f>37353</f>
        <v>37353.0</v>
      </c>
      <c r="F21" s="23"/>
      <c r="G21" s="25" t="n">
        <f>24871</f>
        <v>24871.0</v>
      </c>
      <c r="H21" s="23"/>
      <c r="I21" s="26" t="n">
        <f>62224</f>
        <v>62224.0</v>
      </c>
      <c r="J21" s="24"/>
      <c r="K21" s="25" t="n">
        <f>10240218419</f>
        <v>1.0240218419E10</v>
      </c>
      <c r="L21" s="23"/>
      <c r="M21" s="25" t="n">
        <f>5396260450</f>
        <v>5.39626045E9</v>
      </c>
      <c r="N21" s="23"/>
      <c r="O21" s="26" t="n">
        <f>15636478869</f>
        <v>1.5636478869E10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10326</f>
        <v>10326.0</v>
      </c>
      <c r="U21" s="23"/>
      <c r="V21" s="25" t="n">
        <f>6736</f>
        <v>6736.0</v>
      </c>
      <c r="W21" s="23"/>
      <c r="X21" s="26" t="n">
        <f>17062</f>
        <v>17062.0</v>
      </c>
      <c r="Y21" s="24"/>
      <c r="Z21" s="25" t="n">
        <f>778052</f>
        <v>778052.0</v>
      </c>
      <c r="AA21" s="23"/>
      <c r="AB21" s="25" t="n">
        <f>435741</f>
        <v>435741.0</v>
      </c>
      <c r="AC21" s="23"/>
      <c r="AD21" s="26" t="n">
        <f>1213793</f>
        <v>1213793.0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47046</f>
        <v>47046.0</v>
      </c>
      <c r="F22" s="23"/>
      <c r="G22" s="25" t="n">
        <f>32988</f>
        <v>32988.0</v>
      </c>
      <c r="H22" s="23"/>
      <c r="I22" s="26" t="n">
        <f>80034</f>
        <v>80034.0</v>
      </c>
      <c r="J22" s="24"/>
      <c r="K22" s="25" t="n">
        <f>13548515298</f>
        <v>1.3548515298E10</v>
      </c>
      <c r="L22" s="23" t="s">
        <v>34</v>
      </c>
      <c r="M22" s="25" t="n">
        <f>11266805915</f>
        <v>1.1266805915E10</v>
      </c>
      <c r="N22" s="23"/>
      <c r="O22" s="26" t="n">
        <f>24815321213</f>
        <v>2.4815321213E10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18608</f>
        <v>18608.0</v>
      </c>
      <c r="U22" s="23"/>
      <c r="V22" s="25" t="n">
        <f>7061</f>
        <v>7061.0</v>
      </c>
      <c r="W22" s="23"/>
      <c r="X22" s="26" t="n">
        <f>25669</f>
        <v>25669.0</v>
      </c>
      <c r="Y22" s="24"/>
      <c r="Z22" s="25" t="n">
        <f>786973</f>
        <v>786973.0</v>
      </c>
      <c r="AA22" s="23"/>
      <c r="AB22" s="25" t="n">
        <f>443857</f>
        <v>443857.0</v>
      </c>
      <c r="AC22" s="23"/>
      <c r="AD22" s="26" t="n">
        <f>1230830</f>
        <v>1230830.0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44152</f>
        <v>44152.0</v>
      </c>
      <c r="F23" s="23"/>
      <c r="G23" s="25" t="n">
        <f>28170</f>
        <v>28170.0</v>
      </c>
      <c r="H23" s="23"/>
      <c r="I23" s="26" t="n">
        <f>72322</f>
        <v>72322.0</v>
      </c>
      <c r="J23" s="24"/>
      <c r="K23" s="25" t="n">
        <f>10921051030</f>
        <v>1.092105103E10</v>
      </c>
      <c r="L23" s="23"/>
      <c r="M23" s="25" t="n">
        <f>10483286960</f>
        <v>1.048328696E10</v>
      </c>
      <c r="N23" s="23"/>
      <c r="O23" s="26" t="n">
        <f>21404337990</f>
        <v>2.140433799E10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12766</f>
        <v>12766.0</v>
      </c>
      <c r="U23" s="23"/>
      <c r="V23" s="25" t="n">
        <f>6071</f>
        <v>6071.0</v>
      </c>
      <c r="W23" s="23"/>
      <c r="X23" s="26" t="n">
        <f>18837</f>
        <v>18837.0</v>
      </c>
      <c r="Y23" s="24"/>
      <c r="Z23" s="25" t="n">
        <f>797706</f>
        <v>797706.0</v>
      </c>
      <c r="AA23" s="23"/>
      <c r="AB23" s="25" t="n">
        <f>450188</f>
        <v>450188.0</v>
      </c>
      <c r="AC23" s="23"/>
      <c r="AD23" s="26" t="n">
        <f>1247894</f>
        <v>1247894.0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29853</f>
        <v>29853.0</v>
      </c>
      <c r="F24" s="23"/>
      <c r="G24" s="25" t="n">
        <f>20050</f>
        <v>20050.0</v>
      </c>
      <c r="H24" s="23"/>
      <c r="I24" s="26" t="n">
        <f>49903</f>
        <v>49903.0</v>
      </c>
      <c r="J24" s="24"/>
      <c r="K24" s="25" t="n">
        <f>5719390260</f>
        <v>5.71939026E9</v>
      </c>
      <c r="L24" s="23"/>
      <c r="M24" s="25" t="n">
        <f>3146657880</f>
        <v>3.14665788E9</v>
      </c>
      <c r="N24" s="23"/>
      <c r="O24" s="26" t="n">
        <f>8866048140</f>
        <v>8.86604814E9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5743</f>
        <v>5743.0</v>
      </c>
      <c r="U24" s="23"/>
      <c r="V24" s="25" t="n">
        <f>4665</f>
        <v>4665.0</v>
      </c>
      <c r="W24" s="23"/>
      <c r="X24" s="26" t="n">
        <f>10408</f>
        <v>10408.0</v>
      </c>
      <c r="Y24" s="24"/>
      <c r="Z24" s="25" t="n">
        <f>801500</f>
        <v>801500.0</v>
      </c>
      <c r="AA24" s="23"/>
      <c r="AB24" s="25" t="n">
        <f>453055</f>
        <v>453055.0</v>
      </c>
      <c r="AC24" s="23"/>
      <c r="AD24" s="26" t="n">
        <f>1254555</f>
        <v>1254555.0</v>
      </c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 t="s">
        <v>37</v>
      </c>
      <c r="E27" s="25" t="n">
        <f>21624</f>
        <v>21624.0</v>
      </c>
      <c r="F27" s="23" t="s">
        <v>37</v>
      </c>
      <c r="G27" s="25" t="n">
        <f>15690</f>
        <v>15690.0</v>
      </c>
      <c r="H27" s="23" t="s">
        <v>37</v>
      </c>
      <c r="I27" s="26" t="n">
        <f>37314</f>
        <v>37314.0</v>
      </c>
      <c r="J27" s="24" t="s">
        <v>37</v>
      </c>
      <c r="K27" s="25" t="n">
        <f>3604807350</f>
        <v>3.60480735E9</v>
      </c>
      <c r="L27" s="23" t="s">
        <v>37</v>
      </c>
      <c r="M27" s="25" t="n">
        <f>2530136339</f>
        <v>2.530136339E9</v>
      </c>
      <c r="N27" s="23" t="s">
        <v>37</v>
      </c>
      <c r="O27" s="26" t="n">
        <f>6134943689</f>
        <v>6.134943689E9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 t="s">
        <v>37</v>
      </c>
      <c r="T27" s="25" t="n">
        <f>2081</f>
        <v>2081.0</v>
      </c>
      <c r="U27" s="23"/>
      <c r="V27" s="25" t="n">
        <f>3618</f>
        <v>3618.0</v>
      </c>
      <c r="W27" s="23"/>
      <c r="X27" s="26" t="n">
        <f>5699</f>
        <v>5699.0</v>
      </c>
      <c r="Y27" s="24"/>
      <c r="Z27" s="25" t="n">
        <f>804822</f>
        <v>804822.0</v>
      </c>
      <c r="AA27" s="23"/>
      <c r="AB27" s="25" t="n">
        <f>454521</f>
        <v>454521.0</v>
      </c>
      <c r="AC27" s="23"/>
      <c r="AD27" s="26" t="n">
        <f>1259343</f>
        <v>1259343.0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25910</f>
        <v>25910.0</v>
      </c>
      <c r="F28" s="23"/>
      <c r="G28" s="25" t="n">
        <f>17396</f>
        <v>17396.0</v>
      </c>
      <c r="H28" s="23"/>
      <c r="I28" s="26" t="n">
        <f>43306</f>
        <v>43306.0</v>
      </c>
      <c r="J28" s="24"/>
      <c r="K28" s="25" t="n">
        <f>7414143217</f>
        <v>7.414143217E9</v>
      </c>
      <c r="L28" s="23"/>
      <c r="M28" s="25" t="n">
        <f>4967040370</f>
        <v>4.96704037E9</v>
      </c>
      <c r="N28" s="23"/>
      <c r="O28" s="26" t="n">
        <f>12381183587</f>
        <v>1.2381183587E10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3909</f>
        <v>3909.0</v>
      </c>
      <c r="U28" s="23" t="s">
        <v>37</v>
      </c>
      <c r="V28" s="25" t="n">
        <f>1550</f>
        <v>1550.0</v>
      </c>
      <c r="W28" s="23" t="s">
        <v>37</v>
      </c>
      <c r="X28" s="26" t="n">
        <f>5459</f>
        <v>5459.0</v>
      </c>
      <c r="Y28" s="24"/>
      <c r="Z28" s="25" t="n">
        <f>809613</f>
        <v>809613.0</v>
      </c>
      <c r="AA28" s="23"/>
      <c r="AB28" s="25" t="n">
        <f>458671</f>
        <v>458671.0</v>
      </c>
      <c r="AC28" s="23"/>
      <c r="AD28" s="26" t="n">
        <f>1268284</f>
        <v>1268284.0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47736</f>
        <v>47736.0</v>
      </c>
      <c r="F29" s="23"/>
      <c r="G29" s="25" t="n">
        <f>24730</f>
        <v>24730.0</v>
      </c>
      <c r="H29" s="23"/>
      <c r="I29" s="26" t="n">
        <f>72466</f>
        <v>72466.0</v>
      </c>
      <c r="J29" s="24"/>
      <c r="K29" s="25" t="n">
        <f>11704560410</f>
        <v>1.170456041E10</v>
      </c>
      <c r="L29" s="23"/>
      <c r="M29" s="25" t="n">
        <f>5249869000</f>
        <v>5.249869E9</v>
      </c>
      <c r="N29" s="23"/>
      <c r="O29" s="26" t="n">
        <f>16954429410</f>
        <v>1.695442941E10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15399</f>
        <v>15399.0</v>
      </c>
      <c r="U29" s="23"/>
      <c r="V29" s="25" t="n">
        <f>3387</f>
        <v>3387.0</v>
      </c>
      <c r="W29" s="23"/>
      <c r="X29" s="26" t="n">
        <f>18786</f>
        <v>18786.0</v>
      </c>
      <c r="Y29" s="24"/>
      <c r="Z29" s="25" t="n">
        <f>812803</f>
        <v>812803.0</v>
      </c>
      <c r="AA29" s="23"/>
      <c r="AB29" s="25" t="n">
        <f>461009</f>
        <v>461009.0</v>
      </c>
      <c r="AC29" s="23"/>
      <c r="AD29" s="26" t="n">
        <f>1273812</f>
        <v>1273812.0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45459</f>
        <v>45459.0</v>
      </c>
      <c r="F30" s="23"/>
      <c r="G30" s="25" t="n">
        <f>28174</f>
        <v>28174.0</v>
      </c>
      <c r="H30" s="23"/>
      <c r="I30" s="26" t="n">
        <f>73633</f>
        <v>73633.0</v>
      </c>
      <c r="J30" s="24"/>
      <c r="K30" s="25" t="n">
        <f>11315579399</f>
        <v>1.1315579399E10</v>
      </c>
      <c r="L30" s="23"/>
      <c r="M30" s="25" t="n">
        <f>9155180795</f>
        <v>9.155180795E9</v>
      </c>
      <c r="N30" s="23"/>
      <c r="O30" s="26" t="n">
        <f>20470760194</f>
        <v>2.0470760194E10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10007</f>
        <v>10007.0</v>
      </c>
      <c r="U30" s="23"/>
      <c r="V30" s="25" t="n">
        <f>8070</f>
        <v>8070.0</v>
      </c>
      <c r="W30" s="23"/>
      <c r="X30" s="26" t="n">
        <f>18077</f>
        <v>18077.0</v>
      </c>
      <c r="Y30" s="24"/>
      <c r="Z30" s="25" t="n">
        <f>815950</f>
        <v>815950.0</v>
      </c>
      <c r="AA30" s="23"/>
      <c r="AB30" s="25" t="n">
        <f>463472</f>
        <v>463472.0</v>
      </c>
      <c r="AC30" s="23"/>
      <c r="AD30" s="26" t="n">
        <f>1279422</f>
        <v>1279422.0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42380</f>
        <v>42380.0</v>
      </c>
      <c r="F31" s="23"/>
      <c r="G31" s="25" t="n">
        <f>33842</f>
        <v>33842.0</v>
      </c>
      <c r="H31" s="23"/>
      <c r="I31" s="26" t="n">
        <f>76222</f>
        <v>76222.0</v>
      </c>
      <c r="J31" s="24"/>
      <c r="K31" s="25" t="n">
        <f>8200074902</f>
        <v>8.200074902E9</v>
      </c>
      <c r="L31" s="23"/>
      <c r="M31" s="25" t="n">
        <f>6698050090</f>
        <v>6.69805009E9</v>
      </c>
      <c r="N31" s="23"/>
      <c r="O31" s="26" t="n">
        <f>14898124992</f>
        <v>1.4898124992E10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6668</f>
        <v>6668.0</v>
      </c>
      <c r="U31" s="23"/>
      <c r="V31" s="25" t="n">
        <f>6463</f>
        <v>6463.0</v>
      </c>
      <c r="W31" s="23"/>
      <c r="X31" s="26" t="n">
        <f>13131</f>
        <v>13131.0</v>
      </c>
      <c r="Y31" s="24"/>
      <c r="Z31" s="25" t="n">
        <f>821275</f>
        <v>821275.0</v>
      </c>
      <c r="AA31" s="23"/>
      <c r="AB31" s="25" t="n">
        <f>468629</f>
        <v>468629.0</v>
      </c>
      <c r="AC31" s="23"/>
      <c r="AD31" s="26" t="n">
        <f>1289904</f>
        <v>1289904.0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 t="n">
        <f>53014</f>
        <v>53014.0</v>
      </c>
      <c r="F34" s="23"/>
      <c r="G34" s="25" t="n">
        <f>37855</f>
        <v>37855.0</v>
      </c>
      <c r="H34" s="23"/>
      <c r="I34" s="26" t="n">
        <f>90869</f>
        <v>90869.0</v>
      </c>
      <c r="J34" s="24"/>
      <c r="K34" s="25" t="n">
        <f>13162701220</f>
        <v>1.316270122E10</v>
      </c>
      <c r="L34" s="23"/>
      <c r="M34" s="25" t="n">
        <f>8430289520</f>
        <v>8.43028952E9</v>
      </c>
      <c r="N34" s="23"/>
      <c r="O34" s="26" t="n">
        <f>21592990740</f>
        <v>2.159299074E10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12064</f>
        <v>12064.0</v>
      </c>
      <c r="U34" s="23"/>
      <c r="V34" s="25" t="n">
        <f>9923</f>
        <v>9923.0</v>
      </c>
      <c r="W34" s="23"/>
      <c r="X34" s="26" t="n">
        <f>21987</f>
        <v>21987.0</v>
      </c>
      <c r="Y34" s="24"/>
      <c r="Z34" s="25" t="n">
        <f>825464</f>
        <v>825464.0</v>
      </c>
      <c r="AA34" s="23"/>
      <c r="AB34" s="25" t="n">
        <f>469558</f>
        <v>469558.0</v>
      </c>
      <c r="AC34" s="23"/>
      <c r="AD34" s="26" t="n">
        <f>1295022</f>
        <v>1295022.0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40845</f>
        <v>40845.0</v>
      </c>
      <c r="F35" s="23"/>
      <c r="G35" s="25" t="n">
        <f>24727</f>
        <v>24727.0</v>
      </c>
      <c r="H35" s="23"/>
      <c r="I35" s="26" t="n">
        <f>65572</f>
        <v>65572.0</v>
      </c>
      <c r="J35" s="24"/>
      <c r="K35" s="25" t="n">
        <f>11133879142</f>
        <v>1.1133879142E10</v>
      </c>
      <c r="L35" s="23"/>
      <c r="M35" s="25" t="n">
        <f>4169783960</f>
        <v>4.16978396E9</v>
      </c>
      <c r="N35" s="23"/>
      <c r="O35" s="26" t="n">
        <f>15303663102</f>
        <v>1.5303663102E10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9562</f>
        <v>9562.0</v>
      </c>
      <c r="U35" s="23"/>
      <c r="V35" s="25" t="n">
        <f>3710</f>
        <v>3710.0</v>
      </c>
      <c r="W35" s="23"/>
      <c r="X35" s="26" t="n">
        <f>13272</f>
        <v>13272.0</v>
      </c>
      <c r="Y35" s="24"/>
      <c r="Z35" s="25" t="n">
        <f>831161</f>
        <v>831161.0</v>
      </c>
      <c r="AA35" s="23"/>
      <c r="AB35" s="25" t="n">
        <f>471106</f>
        <v>471106.0</v>
      </c>
      <c r="AC35" s="23"/>
      <c r="AD35" s="26" t="n">
        <f>1302267</f>
        <v>1302267.0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75062</f>
        <v>75062.0</v>
      </c>
      <c r="F36" s="23"/>
      <c r="G36" s="25" t="n">
        <f>35674</f>
        <v>35674.0</v>
      </c>
      <c r="H36" s="23"/>
      <c r="I36" s="26" t="n">
        <f>110736</f>
        <v>110736.0</v>
      </c>
      <c r="J36" s="24" t="s">
        <v>34</v>
      </c>
      <c r="K36" s="25" t="n">
        <f>27036330890</f>
        <v>2.703633089E10</v>
      </c>
      <c r="L36" s="23"/>
      <c r="M36" s="25" t="n">
        <f>8503460310</f>
        <v>8.50346031E9</v>
      </c>
      <c r="N36" s="23" t="s">
        <v>34</v>
      </c>
      <c r="O36" s="26" t="n">
        <f>35539791200</f>
        <v>3.55397912E10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21941</f>
        <v>21941.0</v>
      </c>
      <c r="U36" s="23"/>
      <c r="V36" s="25" t="n">
        <f>5027</f>
        <v>5027.0</v>
      </c>
      <c r="W36" s="23"/>
      <c r="X36" s="26" t="n">
        <f>26968</f>
        <v>26968.0</v>
      </c>
      <c r="Y36" s="24"/>
      <c r="Z36" s="25" t="n">
        <f>832639</f>
        <v>832639.0</v>
      </c>
      <c r="AA36" s="23"/>
      <c r="AB36" s="25" t="n">
        <f>473639</f>
        <v>473639.0</v>
      </c>
      <c r="AC36" s="23"/>
      <c r="AD36" s="26" t="n">
        <f>1306278</f>
        <v>1306278.0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60621</f>
        <v>60621.0</v>
      </c>
      <c r="F37" s="23"/>
      <c r="G37" s="25" t="n">
        <f>31575</f>
        <v>31575.0</v>
      </c>
      <c r="H37" s="23"/>
      <c r="I37" s="26" t="n">
        <f>92196</f>
        <v>92196.0</v>
      </c>
      <c r="J37" s="24"/>
      <c r="K37" s="25" t="n">
        <f>15624225870</f>
        <v>1.562422587E10</v>
      </c>
      <c r="L37" s="23"/>
      <c r="M37" s="25" t="n">
        <f>5025646310</f>
        <v>5.02564631E9</v>
      </c>
      <c r="N37" s="23"/>
      <c r="O37" s="26" t="n">
        <f>20649872180</f>
        <v>2.064987218E10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11176</f>
        <v>11176.0</v>
      </c>
      <c r="U37" s="23"/>
      <c r="V37" s="25" t="n">
        <f>6606</f>
        <v>6606.0</v>
      </c>
      <c r="W37" s="23"/>
      <c r="X37" s="26" t="n">
        <f>17782</f>
        <v>17782.0</v>
      </c>
      <c r="Y37" s="24"/>
      <c r="Z37" s="25" t="n">
        <f>844579</f>
        <v>844579.0</v>
      </c>
      <c r="AA37" s="23"/>
      <c r="AB37" s="25" t="n">
        <f>478128</f>
        <v>478128.0</v>
      </c>
      <c r="AC37" s="23"/>
      <c r="AD37" s="26" t="n">
        <f>1322707</f>
        <v>1322707.0</v>
      </c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26</v>
      </c>
      <c r="B40" s="22" t="s">
        <v>60</v>
      </c>
      <c r="C40" s="22" t="s">
        <v>61</v>
      </c>
      <c r="D40" s="24"/>
      <c r="E40" s="25" t="n">
        <f>104</f>
        <v>104.0</v>
      </c>
      <c r="F40" s="23"/>
      <c r="G40" s="25" t="n">
        <f>382</f>
        <v>382.0</v>
      </c>
      <c r="H40" s="23"/>
      <c r="I40" s="26" t="n">
        <f>486</f>
        <v>486.0</v>
      </c>
      <c r="J40" s="24" t="s">
        <v>37</v>
      </c>
      <c r="K40" s="25" t="n">
        <f>8159000</f>
        <v>8159000.0</v>
      </c>
      <c r="L40" s="23"/>
      <c r="M40" s="25" t="n">
        <f>93883000</f>
        <v>9.3883E7</v>
      </c>
      <c r="N40" s="23"/>
      <c r="O40" s="26" t="n">
        <f>102042000</f>
        <v>1.02042E8</v>
      </c>
      <c r="P40" s="27" t="n">
        <f>482</f>
        <v>482.0</v>
      </c>
      <c r="Q40" s="28" t="n">
        <f>304</f>
        <v>304.0</v>
      </c>
      <c r="R40" s="29" t="n">
        <f>786</f>
        <v>786.0</v>
      </c>
      <c r="S40" s="24"/>
      <c r="T40" s="25" t="n">
        <f>3</f>
        <v>3.0</v>
      </c>
      <c r="U40" s="23"/>
      <c r="V40" s="25" t="n">
        <f>311</f>
        <v>311.0</v>
      </c>
      <c r="W40" s="23"/>
      <c r="X40" s="26" t="n">
        <f>314</f>
        <v>314.0</v>
      </c>
      <c r="Y40" s="24" t="s">
        <v>37</v>
      </c>
      <c r="Z40" s="25" t="n">
        <f>208</f>
        <v>208.0</v>
      </c>
      <c r="AA40" s="23" t="s">
        <v>37</v>
      </c>
      <c r="AB40" s="25" t="n">
        <f>1044</f>
        <v>1044.0</v>
      </c>
      <c r="AC40" s="23" t="s">
        <v>37</v>
      </c>
      <c r="AD40" s="26" t="n">
        <f>1252</f>
        <v>1252.0</v>
      </c>
    </row>
    <row r="41">
      <c r="A41" s="30" t="s">
        <v>29</v>
      </c>
      <c r="B41" s="22" t="s">
        <v>60</v>
      </c>
      <c r="C41" s="22" t="s">
        <v>61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30</v>
      </c>
      <c r="B42" s="22" t="s">
        <v>60</v>
      </c>
      <c r="C42" s="22" t="s">
        <v>61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31</v>
      </c>
      <c r="B43" s="22" t="s">
        <v>60</v>
      </c>
      <c r="C43" s="22" t="s">
        <v>61</v>
      </c>
      <c r="D43" s="24" t="s">
        <v>37</v>
      </c>
      <c r="E43" s="25" t="n">
        <f>93</f>
        <v>93.0</v>
      </c>
      <c r="F43" s="23" t="s">
        <v>37</v>
      </c>
      <c r="G43" s="25" t="n">
        <f>33</f>
        <v>33.0</v>
      </c>
      <c r="H43" s="23" t="s">
        <v>37</v>
      </c>
      <c r="I43" s="26" t="n">
        <f>126</f>
        <v>126.0</v>
      </c>
      <c r="J43" s="24"/>
      <c r="K43" s="25" t="n">
        <f>9239000</f>
        <v>9239000.0</v>
      </c>
      <c r="L43" s="23"/>
      <c r="M43" s="25" t="n">
        <f>4356000</f>
        <v>4356000.0</v>
      </c>
      <c r="N43" s="23"/>
      <c r="O43" s="26" t="n">
        <f>13595000</f>
        <v>1.3595E7</v>
      </c>
      <c r="P43" s="27" t="str">
        <f>"－"</f>
        <v>－</v>
      </c>
      <c r="Q43" s="28" t="str">
        <f>"－"</f>
        <v>－</v>
      </c>
      <c r="R43" s="29" t="str">
        <f>"－"</f>
        <v>－</v>
      </c>
      <c r="S43" s="24" t="s">
        <v>37</v>
      </c>
      <c r="T43" s="25" t="str">
        <f>"－"</f>
        <v>－</v>
      </c>
      <c r="U43" s="23" t="s">
        <v>37</v>
      </c>
      <c r="V43" s="25" t="str">
        <f>"－"</f>
        <v>－</v>
      </c>
      <c r="W43" s="23" t="s">
        <v>37</v>
      </c>
      <c r="X43" s="26" t="str">
        <f>"－"</f>
        <v>－</v>
      </c>
      <c r="Y43" s="24"/>
      <c r="Z43" s="25" t="n">
        <f>264</f>
        <v>264.0</v>
      </c>
      <c r="AA43" s="23"/>
      <c r="AB43" s="25" t="n">
        <f>1063</f>
        <v>1063.0</v>
      </c>
      <c r="AC43" s="23"/>
      <c r="AD43" s="26" t="n">
        <f>1327</f>
        <v>1327.0</v>
      </c>
    </row>
    <row r="44">
      <c r="A44" s="30" t="s">
        <v>32</v>
      </c>
      <c r="B44" s="22" t="s">
        <v>60</v>
      </c>
      <c r="C44" s="22" t="s">
        <v>61</v>
      </c>
      <c r="D44" s="24"/>
      <c r="E44" s="25" t="n">
        <f>205</f>
        <v>205.0</v>
      </c>
      <c r="F44" s="23"/>
      <c r="G44" s="25" t="n">
        <f>100</f>
        <v>100.0</v>
      </c>
      <c r="H44" s="23"/>
      <c r="I44" s="26" t="n">
        <f>305</f>
        <v>305.0</v>
      </c>
      <c r="J44" s="24"/>
      <c r="K44" s="25" t="n">
        <f>9191000</f>
        <v>9191000.0</v>
      </c>
      <c r="L44" s="23" t="s">
        <v>37</v>
      </c>
      <c r="M44" s="25" t="n">
        <f>3077000</f>
        <v>3077000.0</v>
      </c>
      <c r="N44" s="23" t="s">
        <v>37</v>
      </c>
      <c r="O44" s="26" t="n">
        <f>12268000</f>
        <v>1.2268E7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7</f>
        <v>7.0</v>
      </c>
      <c r="U44" s="23"/>
      <c r="V44" s="25" t="n">
        <f>1</f>
        <v>1.0</v>
      </c>
      <c r="W44" s="23"/>
      <c r="X44" s="26" t="n">
        <f>8</f>
        <v>8.0</v>
      </c>
      <c r="Y44" s="24"/>
      <c r="Z44" s="25" t="n">
        <f>364</f>
        <v>364.0</v>
      </c>
      <c r="AA44" s="23"/>
      <c r="AB44" s="25" t="n">
        <f>1142</f>
        <v>1142.0</v>
      </c>
      <c r="AC44" s="23"/>
      <c r="AD44" s="26" t="n">
        <f>1506</f>
        <v>1506.0</v>
      </c>
    </row>
    <row r="45">
      <c r="A45" s="30" t="s">
        <v>33</v>
      </c>
      <c r="B45" s="22" t="s">
        <v>60</v>
      </c>
      <c r="C45" s="22" t="s">
        <v>61</v>
      </c>
      <c r="D45" s="24"/>
      <c r="E45" s="25" t="n">
        <f>579</f>
        <v>579.0</v>
      </c>
      <c r="F45" s="23"/>
      <c r="G45" s="25" t="n">
        <f>787</f>
        <v>787.0</v>
      </c>
      <c r="H45" s="23"/>
      <c r="I45" s="26" t="n">
        <f>1366</f>
        <v>1366.0</v>
      </c>
      <c r="J45" s="24"/>
      <c r="K45" s="25" t="n">
        <f>111245000</f>
        <v>1.11245E8</v>
      </c>
      <c r="L45" s="23"/>
      <c r="M45" s="25" t="n">
        <f>91389000</f>
        <v>9.1389E7</v>
      </c>
      <c r="N45" s="23"/>
      <c r="O45" s="26" t="n">
        <f>202634000</f>
        <v>2.02634E8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8</f>
        <v>8.0</v>
      </c>
      <c r="U45" s="23"/>
      <c r="V45" s="25" t="n">
        <f>8</f>
        <v>8.0</v>
      </c>
      <c r="W45" s="23"/>
      <c r="X45" s="26" t="n">
        <f>16</f>
        <v>16.0</v>
      </c>
      <c r="Y45" s="24"/>
      <c r="Z45" s="25" t="n">
        <f>808</f>
        <v>808.0</v>
      </c>
      <c r="AA45" s="23"/>
      <c r="AB45" s="25" t="n">
        <f>1688</f>
        <v>1688.0</v>
      </c>
      <c r="AC45" s="23"/>
      <c r="AD45" s="26" t="n">
        <f>2496</f>
        <v>2496.0</v>
      </c>
    </row>
    <row r="46">
      <c r="A46" s="30" t="s">
        <v>35</v>
      </c>
      <c r="B46" s="22" t="s">
        <v>60</v>
      </c>
      <c r="C46" s="22" t="s">
        <v>61</v>
      </c>
      <c r="D46" s="24"/>
      <c r="E46" s="25" t="n">
        <f>800</f>
        <v>800.0</v>
      </c>
      <c r="F46" s="23"/>
      <c r="G46" s="25" t="n">
        <f>727</f>
        <v>727.0</v>
      </c>
      <c r="H46" s="23"/>
      <c r="I46" s="26" t="n">
        <f>1527</f>
        <v>1527.0</v>
      </c>
      <c r="J46" s="24"/>
      <c r="K46" s="25" t="n">
        <f>133022000</f>
        <v>1.33022E8</v>
      </c>
      <c r="L46" s="23"/>
      <c r="M46" s="25" t="n">
        <f>73453000</f>
        <v>7.3453E7</v>
      </c>
      <c r="N46" s="23"/>
      <c r="O46" s="26" t="n">
        <f>206475000</f>
        <v>2.06475E8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31</f>
        <v>31.0</v>
      </c>
      <c r="U46" s="23"/>
      <c r="V46" s="25" t="n">
        <f>10</f>
        <v>10.0</v>
      </c>
      <c r="W46" s="23"/>
      <c r="X46" s="26" t="n">
        <f>41</f>
        <v>41.0</v>
      </c>
      <c r="Y46" s="24"/>
      <c r="Z46" s="25" t="n">
        <f>1315</f>
        <v>1315.0</v>
      </c>
      <c r="AA46" s="23"/>
      <c r="AB46" s="25" t="n">
        <f>2220</f>
        <v>2220.0</v>
      </c>
      <c r="AC46" s="23"/>
      <c r="AD46" s="26" t="n">
        <f>3535</f>
        <v>3535.0</v>
      </c>
    </row>
    <row r="47">
      <c r="A47" s="30" t="s">
        <v>36</v>
      </c>
      <c r="B47" s="22" t="s">
        <v>60</v>
      </c>
      <c r="C47" s="22" t="s">
        <v>61</v>
      </c>
      <c r="D47" s="24"/>
      <c r="E47" s="25" t="n">
        <f>1742</f>
        <v>1742.0</v>
      </c>
      <c r="F47" s="23"/>
      <c r="G47" s="25" t="n">
        <f>1899</f>
        <v>1899.0</v>
      </c>
      <c r="H47" s="23"/>
      <c r="I47" s="26" t="n">
        <f>3641</f>
        <v>3641.0</v>
      </c>
      <c r="J47" s="24"/>
      <c r="K47" s="25" t="n">
        <f>133810000</f>
        <v>1.3381E8</v>
      </c>
      <c r="L47" s="23" t="s">
        <v>34</v>
      </c>
      <c r="M47" s="25" t="n">
        <f>238362000</f>
        <v>2.38362E8</v>
      </c>
      <c r="N47" s="23"/>
      <c r="O47" s="26" t="n">
        <f>372172000</f>
        <v>3.72172E8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56</f>
        <v>56.0</v>
      </c>
      <c r="U47" s="23"/>
      <c r="V47" s="25" t="n">
        <f>340</f>
        <v>340.0</v>
      </c>
      <c r="W47" s="23"/>
      <c r="X47" s="26" t="n">
        <f>396</f>
        <v>396.0</v>
      </c>
      <c r="Y47" s="24"/>
      <c r="Z47" s="25" t="n">
        <f>2341</f>
        <v>2341.0</v>
      </c>
      <c r="AA47" s="23"/>
      <c r="AB47" s="25" t="n">
        <f>3425</f>
        <v>3425.0</v>
      </c>
      <c r="AC47" s="23"/>
      <c r="AD47" s="26" t="n">
        <f>5766</f>
        <v>5766.0</v>
      </c>
    </row>
    <row r="48">
      <c r="A48" s="30" t="s">
        <v>38</v>
      </c>
      <c r="B48" s="22" t="s">
        <v>60</v>
      </c>
      <c r="C48" s="22" t="s">
        <v>61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39</v>
      </c>
      <c r="B49" s="22" t="s">
        <v>60</v>
      </c>
      <c r="C49" s="22" t="s">
        <v>61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40</v>
      </c>
      <c r="B50" s="22" t="s">
        <v>60</v>
      </c>
      <c r="C50" s="22" t="s">
        <v>61</v>
      </c>
      <c r="D50" s="24"/>
      <c r="E50" s="25" t="n">
        <f>1492</f>
        <v>1492.0</v>
      </c>
      <c r="F50" s="23"/>
      <c r="G50" s="25" t="n">
        <f>1822</f>
        <v>1822.0</v>
      </c>
      <c r="H50" s="23"/>
      <c r="I50" s="26" t="n">
        <f>3314</f>
        <v>3314.0</v>
      </c>
      <c r="J50" s="24"/>
      <c r="K50" s="25" t="n">
        <f>78363000</f>
        <v>7.8363E7</v>
      </c>
      <c r="L50" s="23"/>
      <c r="M50" s="25" t="n">
        <f>93853000</f>
        <v>9.3853E7</v>
      </c>
      <c r="N50" s="23"/>
      <c r="O50" s="26" t="n">
        <f>172216000</f>
        <v>1.72216E8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142</f>
        <v>142.0</v>
      </c>
      <c r="U50" s="23"/>
      <c r="V50" s="25" t="n">
        <f>181</f>
        <v>181.0</v>
      </c>
      <c r="W50" s="23"/>
      <c r="X50" s="26" t="n">
        <f>323</f>
        <v>323.0</v>
      </c>
      <c r="Y50" s="24"/>
      <c r="Z50" s="25" t="n">
        <f>2976</f>
        <v>2976.0</v>
      </c>
      <c r="AA50" s="23"/>
      <c r="AB50" s="25" t="n">
        <f>3995</f>
        <v>3995.0</v>
      </c>
      <c r="AC50" s="23"/>
      <c r="AD50" s="26" t="n">
        <f>6971</f>
        <v>6971.0</v>
      </c>
    </row>
    <row r="51">
      <c r="A51" s="30" t="s">
        <v>41</v>
      </c>
      <c r="B51" s="22" t="s">
        <v>60</v>
      </c>
      <c r="C51" s="22" t="s">
        <v>61</v>
      </c>
      <c r="D51" s="24"/>
      <c r="E51" s="25" t="n">
        <f>3010</f>
        <v>3010.0</v>
      </c>
      <c r="F51" s="23"/>
      <c r="G51" s="25" t="n">
        <f>2596</f>
        <v>2596.0</v>
      </c>
      <c r="H51" s="23"/>
      <c r="I51" s="26" t="n">
        <f>5606</f>
        <v>5606.0</v>
      </c>
      <c r="J51" s="24" t="s">
        <v>34</v>
      </c>
      <c r="K51" s="25" t="n">
        <f>291939000</f>
        <v>2.91939E8</v>
      </c>
      <c r="L51" s="23"/>
      <c r="M51" s="25" t="n">
        <f>132348000</f>
        <v>1.32348E8</v>
      </c>
      <c r="N51" s="23" t="s">
        <v>34</v>
      </c>
      <c r="O51" s="26" t="n">
        <f>424287000</f>
        <v>4.24287E8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259</f>
        <v>259.0</v>
      </c>
      <c r="U51" s="23"/>
      <c r="V51" s="25" t="n">
        <f>161</f>
        <v>161.0</v>
      </c>
      <c r="W51" s="23"/>
      <c r="X51" s="26" t="n">
        <f>420</f>
        <v>420.0</v>
      </c>
      <c r="Y51" s="24"/>
      <c r="Z51" s="25" t="n">
        <f>4517</f>
        <v>4517.0</v>
      </c>
      <c r="AA51" s="23"/>
      <c r="AB51" s="25" t="n">
        <f>5176</f>
        <v>5176.0</v>
      </c>
      <c r="AC51" s="23"/>
      <c r="AD51" s="26" t="n">
        <f>9693</f>
        <v>9693.0</v>
      </c>
    </row>
    <row r="52">
      <c r="A52" s="30" t="s">
        <v>42</v>
      </c>
      <c r="B52" s="22" t="s">
        <v>60</v>
      </c>
      <c r="C52" s="22" t="s">
        <v>61</v>
      </c>
      <c r="D52" s="24"/>
      <c r="E52" s="25" t="n">
        <f>3372</f>
        <v>3372.0</v>
      </c>
      <c r="F52" s="23"/>
      <c r="G52" s="25" t="n">
        <f>3046</f>
        <v>3046.0</v>
      </c>
      <c r="H52" s="23"/>
      <c r="I52" s="26" t="n">
        <f>6418</f>
        <v>6418.0</v>
      </c>
      <c r="J52" s="24"/>
      <c r="K52" s="25" t="n">
        <f>152555000</f>
        <v>1.52555E8</v>
      </c>
      <c r="L52" s="23"/>
      <c r="M52" s="25" t="n">
        <f>154594000</f>
        <v>1.54594E8</v>
      </c>
      <c r="N52" s="23"/>
      <c r="O52" s="26" t="n">
        <f>307149000</f>
        <v>3.07149E8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342</f>
        <v>342.0</v>
      </c>
      <c r="U52" s="23"/>
      <c r="V52" s="25" t="n">
        <f>173</f>
        <v>173.0</v>
      </c>
      <c r="W52" s="23"/>
      <c r="X52" s="26" t="n">
        <f>515</f>
        <v>515.0</v>
      </c>
      <c r="Y52" s="24"/>
      <c r="Z52" s="25" t="n">
        <f>5523</f>
        <v>5523.0</v>
      </c>
      <c r="AA52" s="23" t="s">
        <v>34</v>
      </c>
      <c r="AB52" s="25" t="n">
        <f>5784</f>
        <v>5784.0</v>
      </c>
      <c r="AC52" s="23"/>
      <c r="AD52" s="26" t="n">
        <f>11307</f>
        <v>11307.0</v>
      </c>
    </row>
    <row r="53">
      <c r="A53" s="30" t="s">
        <v>43</v>
      </c>
      <c r="B53" s="22" t="s">
        <v>60</v>
      </c>
      <c r="C53" s="22" t="s">
        <v>61</v>
      </c>
      <c r="D53" s="24"/>
      <c r="E53" s="25" t="n">
        <f>3974</f>
        <v>3974.0</v>
      </c>
      <c r="F53" s="23" t="s">
        <v>34</v>
      </c>
      <c r="G53" s="25" t="n">
        <f>3125</f>
        <v>3125.0</v>
      </c>
      <c r="H53" s="23"/>
      <c r="I53" s="26" t="n">
        <f>7099</f>
        <v>7099.0</v>
      </c>
      <c r="J53" s="24"/>
      <c r="K53" s="25" t="n">
        <f>125420000</f>
        <v>1.2542E8</v>
      </c>
      <c r="L53" s="23"/>
      <c r="M53" s="25" t="n">
        <f>152002000</f>
        <v>1.52002E8</v>
      </c>
      <c r="N53" s="23"/>
      <c r="O53" s="26" t="n">
        <f>277422000</f>
        <v>2.77422E8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387</f>
        <v>387.0</v>
      </c>
      <c r="U53" s="23" t="s">
        <v>34</v>
      </c>
      <c r="V53" s="25" t="n">
        <f>505</f>
        <v>505.0</v>
      </c>
      <c r="W53" s="23"/>
      <c r="X53" s="26" t="n">
        <f>892</f>
        <v>892.0</v>
      </c>
      <c r="Y53" s="24"/>
      <c r="Z53" s="25" t="n">
        <f>6310</f>
        <v>6310.0</v>
      </c>
      <c r="AA53" s="23"/>
      <c r="AB53" s="25" t="n">
        <f>5755</f>
        <v>5755.0</v>
      </c>
      <c r="AC53" s="23"/>
      <c r="AD53" s="26" t="n">
        <f>12065</f>
        <v>12065.0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2042</f>
        <v>2042.0</v>
      </c>
      <c r="F54" s="23"/>
      <c r="G54" s="25" t="n">
        <f>1509</f>
        <v>1509.0</v>
      </c>
      <c r="H54" s="23"/>
      <c r="I54" s="26" t="n">
        <f>3551</f>
        <v>3551.0</v>
      </c>
      <c r="J54" s="24"/>
      <c r="K54" s="25" t="n">
        <f>70858000</f>
        <v>7.0858E7</v>
      </c>
      <c r="L54" s="23"/>
      <c r="M54" s="25" t="n">
        <f>98512000</f>
        <v>9.8512E7</v>
      </c>
      <c r="N54" s="23"/>
      <c r="O54" s="26" t="n">
        <f>169370000</f>
        <v>1.6937E8</v>
      </c>
      <c r="P54" s="27" t="n">
        <f>697</f>
        <v>697.0</v>
      </c>
      <c r="Q54" s="28" t="n">
        <f>185</f>
        <v>185.0</v>
      </c>
      <c r="R54" s="29" t="n">
        <f>882</f>
        <v>882.0</v>
      </c>
      <c r="S54" s="24"/>
      <c r="T54" s="25" t="n">
        <f>67</f>
        <v>67.0</v>
      </c>
      <c r="U54" s="23"/>
      <c r="V54" s="25" t="n">
        <f>42</f>
        <v>42.0</v>
      </c>
      <c r="W54" s="23"/>
      <c r="X54" s="26" t="n">
        <f>109</f>
        <v>109.0</v>
      </c>
      <c r="Y54" s="24"/>
      <c r="Z54" s="25" t="n">
        <f>2766</f>
        <v>2766.0</v>
      </c>
      <c r="AA54" s="23"/>
      <c r="AB54" s="25" t="n">
        <f>3309</f>
        <v>3309.0</v>
      </c>
      <c r="AC54" s="23"/>
      <c r="AD54" s="26" t="n">
        <f>6075</f>
        <v>6075.0</v>
      </c>
    </row>
    <row r="55">
      <c r="A55" s="30" t="s">
        <v>45</v>
      </c>
      <c r="B55" s="22" t="s">
        <v>60</v>
      </c>
      <c r="C55" s="22" t="s">
        <v>61</v>
      </c>
      <c r="D55" s="24"/>
      <c r="E55" s="25"/>
      <c r="F55" s="23"/>
      <c r="G55" s="25"/>
      <c r="H55" s="23"/>
      <c r="I55" s="26"/>
      <c r="J55" s="24"/>
      <c r="K55" s="25"/>
      <c r="L55" s="23"/>
      <c r="M55" s="25"/>
      <c r="N55" s="23"/>
      <c r="O55" s="26"/>
      <c r="P55" s="27"/>
      <c r="Q55" s="28"/>
      <c r="R55" s="29"/>
      <c r="S55" s="24"/>
      <c r="T55" s="25"/>
      <c r="U55" s="23"/>
      <c r="V55" s="25"/>
      <c r="W55" s="23"/>
      <c r="X55" s="26"/>
      <c r="Y55" s="24"/>
      <c r="Z55" s="25"/>
      <c r="AA55" s="23"/>
      <c r="AB55" s="25"/>
      <c r="AC55" s="23"/>
      <c r="AD55" s="26"/>
    </row>
    <row r="56">
      <c r="A56" s="30" t="s">
        <v>46</v>
      </c>
      <c r="B56" s="22" t="s">
        <v>60</v>
      </c>
      <c r="C56" s="22" t="s">
        <v>61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47</v>
      </c>
      <c r="B57" s="22" t="s">
        <v>60</v>
      </c>
      <c r="C57" s="22" t="s">
        <v>61</v>
      </c>
      <c r="D57" s="24"/>
      <c r="E57" s="25" t="n">
        <f>3202</f>
        <v>3202.0</v>
      </c>
      <c r="F57" s="23"/>
      <c r="G57" s="25" t="n">
        <f>1611</f>
        <v>1611.0</v>
      </c>
      <c r="H57" s="23"/>
      <c r="I57" s="26" t="n">
        <f>4813</f>
        <v>4813.0</v>
      </c>
      <c r="J57" s="24"/>
      <c r="K57" s="25" t="n">
        <f>130729000</f>
        <v>1.30729E8</v>
      </c>
      <c r="L57" s="23"/>
      <c r="M57" s="25" t="n">
        <f>71663000</f>
        <v>7.1663E7</v>
      </c>
      <c r="N57" s="23"/>
      <c r="O57" s="26" t="n">
        <f>202392000</f>
        <v>2.02392E8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735</f>
        <v>735.0</v>
      </c>
      <c r="U57" s="23"/>
      <c r="V57" s="25" t="n">
        <f>127</f>
        <v>127.0</v>
      </c>
      <c r="W57" s="23"/>
      <c r="X57" s="26" t="n">
        <f>862</f>
        <v>862.0</v>
      </c>
      <c r="Y57" s="24"/>
      <c r="Z57" s="25" t="n">
        <f>5013</f>
        <v>5013.0</v>
      </c>
      <c r="AA57" s="23"/>
      <c r="AB57" s="25" t="n">
        <f>3524</f>
        <v>3524.0</v>
      </c>
      <c r="AC57" s="23"/>
      <c r="AD57" s="26" t="n">
        <f>8537</f>
        <v>8537.0</v>
      </c>
    </row>
    <row r="58">
      <c r="A58" s="30" t="s">
        <v>48</v>
      </c>
      <c r="B58" s="22" t="s">
        <v>60</v>
      </c>
      <c r="C58" s="22" t="s">
        <v>61</v>
      </c>
      <c r="D58" s="24"/>
      <c r="E58" s="25" t="n">
        <f>1951</f>
        <v>1951.0</v>
      </c>
      <c r="F58" s="23"/>
      <c r="G58" s="25" t="n">
        <f>1049</f>
        <v>1049.0</v>
      </c>
      <c r="H58" s="23"/>
      <c r="I58" s="26" t="n">
        <f>3000</f>
        <v>3000.0</v>
      </c>
      <c r="J58" s="24"/>
      <c r="K58" s="25" t="n">
        <f>81010000</f>
        <v>8.101E7</v>
      </c>
      <c r="L58" s="23"/>
      <c r="M58" s="25" t="n">
        <f>49503000</f>
        <v>4.9503E7</v>
      </c>
      <c r="N58" s="23"/>
      <c r="O58" s="26" t="n">
        <f>130513000</f>
        <v>1.30513E8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156</f>
        <v>156.0</v>
      </c>
      <c r="U58" s="23"/>
      <c r="V58" s="25" t="n">
        <f>125</f>
        <v>125.0</v>
      </c>
      <c r="W58" s="23"/>
      <c r="X58" s="26" t="n">
        <f>281</f>
        <v>281.0</v>
      </c>
      <c r="Y58" s="24"/>
      <c r="Z58" s="25" t="n">
        <f>5813</f>
        <v>5813.0</v>
      </c>
      <c r="AA58" s="23"/>
      <c r="AB58" s="25" t="n">
        <f>3574</f>
        <v>3574.0</v>
      </c>
      <c r="AC58" s="23"/>
      <c r="AD58" s="26" t="n">
        <f>9387</f>
        <v>9387.0</v>
      </c>
    </row>
    <row r="59">
      <c r="A59" s="30" t="s">
        <v>49</v>
      </c>
      <c r="B59" s="22" t="s">
        <v>60</v>
      </c>
      <c r="C59" s="22" t="s">
        <v>61</v>
      </c>
      <c r="D59" s="24"/>
      <c r="E59" s="25" t="n">
        <f>2791</f>
        <v>2791.0</v>
      </c>
      <c r="F59" s="23"/>
      <c r="G59" s="25" t="n">
        <f>1780</f>
        <v>1780.0</v>
      </c>
      <c r="H59" s="23"/>
      <c r="I59" s="26" t="n">
        <f>4571</f>
        <v>4571.0</v>
      </c>
      <c r="J59" s="24"/>
      <c r="K59" s="25" t="n">
        <f>136572000</f>
        <v>1.36572E8</v>
      </c>
      <c r="L59" s="23"/>
      <c r="M59" s="25" t="n">
        <f>90361000</f>
        <v>9.0361E7</v>
      </c>
      <c r="N59" s="23"/>
      <c r="O59" s="26" t="n">
        <f>226933000</f>
        <v>2.26933E8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238</f>
        <v>238.0</v>
      </c>
      <c r="U59" s="23"/>
      <c r="V59" s="25" t="n">
        <f>189</f>
        <v>189.0</v>
      </c>
      <c r="W59" s="23"/>
      <c r="X59" s="26" t="n">
        <f>427</f>
        <v>427.0</v>
      </c>
      <c r="Y59" s="24"/>
      <c r="Z59" s="25" t="n">
        <f>6694</f>
        <v>6694.0</v>
      </c>
      <c r="AA59" s="23"/>
      <c r="AB59" s="25" t="n">
        <f>3965</f>
        <v>3965.0</v>
      </c>
      <c r="AC59" s="23"/>
      <c r="AD59" s="26" t="n">
        <f>10659</f>
        <v>10659.0</v>
      </c>
    </row>
    <row r="60">
      <c r="A60" s="30" t="s">
        <v>50</v>
      </c>
      <c r="B60" s="22" t="s">
        <v>60</v>
      </c>
      <c r="C60" s="22" t="s">
        <v>61</v>
      </c>
      <c r="D60" s="24"/>
      <c r="E60" s="25" t="n">
        <f>3626</f>
        <v>3626.0</v>
      </c>
      <c r="F60" s="23"/>
      <c r="G60" s="25" t="n">
        <f>2379</f>
        <v>2379.0</v>
      </c>
      <c r="H60" s="23"/>
      <c r="I60" s="26" t="n">
        <f>6005</f>
        <v>6005.0</v>
      </c>
      <c r="J60" s="24"/>
      <c r="K60" s="25" t="n">
        <f>117805000</f>
        <v>1.17805E8</v>
      </c>
      <c r="L60" s="23"/>
      <c r="M60" s="25" t="n">
        <f>139397000</f>
        <v>1.39397E8</v>
      </c>
      <c r="N60" s="23"/>
      <c r="O60" s="26" t="n">
        <f>257202000</f>
        <v>2.57202E8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299</f>
        <v>299.0</v>
      </c>
      <c r="U60" s="23"/>
      <c r="V60" s="25" t="n">
        <f>157</f>
        <v>157.0</v>
      </c>
      <c r="W60" s="23"/>
      <c r="X60" s="26" t="n">
        <f>456</f>
        <v>456.0</v>
      </c>
      <c r="Y60" s="24" t="s">
        <v>34</v>
      </c>
      <c r="Z60" s="25" t="n">
        <f>7961</f>
        <v>7961.0</v>
      </c>
      <c r="AA60" s="23"/>
      <c r="AB60" s="25" t="n">
        <f>4620</f>
        <v>4620.0</v>
      </c>
      <c r="AC60" s="23" t="s">
        <v>34</v>
      </c>
      <c r="AD60" s="26" t="n">
        <f>12581</f>
        <v>12581.0</v>
      </c>
    </row>
    <row r="61">
      <c r="A61" s="30" t="s">
        <v>51</v>
      </c>
      <c r="B61" s="22" t="s">
        <v>60</v>
      </c>
      <c r="C61" s="22" t="s">
        <v>61</v>
      </c>
      <c r="D61" s="24"/>
      <c r="E61" s="25" t="n">
        <f>3377</f>
        <v>3377.0</v>
      </c>
      <c r="F61" s="23"/>
      <c r="G61" s="25" t="n">
        <f>2000</f>
        <v>2000.0</v>
      </c>
      <c r="H61" s="23"/>
      <c r="I61" s="26" t="n">
        <f>5377</f>
        <v>5377.0</v>
      </c>
      <c r="J61" s="24"/>
      <c r="K61" s="25" t="n">
        <f>160205000</f>
        <v>1.60205E8</v>
      </c>
      <c r="L61" s="23"/>
      <c r="M61" s="25" t="n">
        <f>199115000</f>
        <v>1.99115E8</v>
      </c>
      <c r="N61" s="23"/>
      <c r="O61" s="26" t="n">
        <f>359320000</f>
        <v>3.5932E8</v>
      </c>
      <c r="P61" s="27" t="n">
        <f>570</f>
        <v>570.0</v>
      </c>
      <c r="Q61" s="28" t="n">
        <f>439</f>
        <v>439.0</v>
      </c>
      <c r="R61" s="29" t="n">
        <f>1009</f>
        <v>1009.0</v>
      </c>
      <c r="S61" s="24" t="s">
        <v>34</v>
      </c>
      <c r="T61" s="25" t="n">
        <f>1513</f>
        <v>1513.0</v>
      </c>
      <c r="U61" s="23"/>
      <c r="V61" s="25" t="n">
        <f>465</f>
        <v>465.0</v>
      </c>
      <c r="W61" s="23" t="s">
        <v>34</v>
      </c>
      <c r="X61" s="26" t="n">
        <f>1978</f>
        <v>1978.0</v>
      </c>
      <c r="Y61" s="24"/>
      <c r="Z61" s="25" t="n">
        <f>3943</f>
        <v>3943.0</v>
      </c>
      <c r="AA61" s="23"/>
      <c r="AB61" s="25" t="n">
        <f>2407</f>
        <v>2407.0</v>
      </c>
      <c r="AC61" s="23"/>
      <c r="AD61" s="26" t="n">
        <f>6350</f>
        <v>6350.0</v>
      </c>
    </row>
    <row r="62">
      <c r="A62" s="30" t="s">
        <v>52</v>
      </c>
      <c r="B62" s="22" t="s">
        <v>60</v>
      </c>
      <c r="C62" s="22" t="s">
        <v>61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53</v>
      </c>
      <c r="B63" s="22" t="s">
        <v>60</v>
      </c>
      <c r="C63" s="22" t="s">
        <v>61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54</v>
      </c>
      <c r="B64" s="22" t="s">
        <v>60</v>
      </c>
      <c r="C64" s="22" t="s">
        <v>61</v>
      </c>
      <c r="D64" s="24"/>
      <c r="E64" s="25" t="n">
        <f>3337</f>
        <v>3337.0</v>
      </c>
      <c r="F64" s="23"/>
      <c r="G64" s="25" t="n">
        <f>2088</f>
        <v>2088.0</v>
      </c>
      <c r="H64" s="23"/>
      <c r="I64" s="26" t="n">
        <f>5425</f>
        <v>5425.0</v>
      </c>
      <c r="J64" s="24"/>
      <c r="K64" s="25" t="n">
        <f>201887000</f>
        <v>2.01887E8</v>
      </c>
      <c r="L64" s="23"/>
      <c r="M64" s="25" t="n">
        <f>103473000</f>
        <v>1.03473E8</v>
      </c>
      <c r="N64" s="23"/>
      <c r="O64" s="26" t="n">
        <f>305360000</f>
        <v>3.0536E8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190</f>
        <v>190.0</v>
      </c>
      <c r="U64" s="23"/>
      <c r="V64" s="25" t="n">
        <f>143</f>
        <v>143.0</v>
      </c>
      <c r="W64" s="23"/>
      <c r="X64" s="26" t="n">
        <f>333</f>
        <v>333.0</v>
      </c>
      <c r="Y64" s="24"/>
      <c r="Z64" s="25" t="n">
        <f>5078</f>
        <v>5078.0</v>
      </c>
      <c r="AA64" s="23"/>
      <c r="AB64" s="25" t="n">
        <f>3126</f>
        <v>3126.0</v>
      </c>
      <c r="AC64" s="23"/>
      <c r="AD64" s="26" t="n">
        <f>8204</f>
        <v>8204.0</v>
      </c>
    </row>
    <row r="65">
      <c r="A65" s="30" t="s">
        <v>55</v>
      </c>
      <c r="B65" s="22" t="s">
        <v>60</v>
      </c>
      <c r="C65" s="22" t="s">
        <v>61</v>
      </c>
      <c r="D65" s="24"/>
      <c r="E65" s="25" t="n">
        <f>2605</f>
        <v>2605.0</v>
      </c>
      <c r="F65" s="23"/>
      <c r="G65" s="25" t="n">
        <f>1422</f>
        <v>1422.0</v>
      </c>
      <c r="H65" s="23"/>
      <c r="I65" s="26" t="n">
        <f>4027</f>
        <v>4027.0</v>
      </c>
      <c r="J65" s="24"/>
      <c r="K65" s="25" t="n">
        <f>146010000</f>
        <v>1.4601E8</v>
      </c>
      <c r="L65" s="23"/>
      <c r="M65" s="25" t="n">
        <f>59334000</f>
        <v>5.9334E7</v>
      </c>
      <c r="N65" s="23"/>
      <c r="O65" s="26" t="n">
        <f>205344000</f>
        <v>2.05344E8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172</f>
        <v>172.0</v>
      </c>
      <c r="U65" s="23"/>
      <c r="V65" s="25" t="n">
        <f>152</f>
        <v>152.0</v>
      </c>
      <c r="W65" s="23"/>
      <c r="X65" s="26" t="n">
        <f>324</f>
        <v>324.0</v>
      </c>
      <c r="Y65" s="24"/>
      <c r="Z65" s="25" t="n">
        <f>6091</f>
        <v>6091.0</v>
      </c>
      <c r="AA65" s="23"/>
      <c r="AB65" s="25" t="n">
        <f>3315</f>
        <v>3315.0</v>
      </c>
      <c r="AC65" s="23"/>
      <c r="AD65" s="26" t="n">
        <f>9406</f>
        <v>9406.0</v>
      </c>
    </row>
    <row r="66">
      <c r="A66" s="30" t="s">
        <v>56</v>
      </c>
      <c r="B66" s="22" t="s">
        <v>60</v>
      </c>
      <c r="C66" s="22" t="s">
        <v>61</v>
      </c>
      <c r="D66" s="24" t="s">
        <v>34</v>
      </c>
      <c r="E66" s="25" t="n">
        <f>4268</f>
        <v>4268.0</v>
      </c>
      <c r="F66" s="23"/>
      <c r="G66" s="25" t="n">
        <f>3002</f>
        <v>3002.0</v>
      </c>
      <c r="H66" s="23" t="s">
        <v>34</v>
      </c>
      <c r="I66" s="26" t="n">
        <f>7270</f>
        <v>7270.0</v>
      </c>
      <c r="J66" s="24"/>
      <c r="K66" s="25" t="n">
        <f>278295000</f>
        <v>2.78295E8</v>
      </c>
      <c r="L66" s="23"/>
      <c r="M66" s="25" t="n">
        <f>104159000</f>
        <v>1.04159E8</v>
      </c>
      <c r="N66" s="23"/>
      <c r="O66" s="26" t="n">
        <f>382454000</f>
        <v>3.82454E8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510</f>
        <v>510.0</v>
      </c>
      <c r="U66" s="23"/>
      <c r="V66" s="25" t="n">
        <f>375</f>
        <v>375.0</v>
      </c>
      <c r="W66" s="23"/>
      <c r="X66" s="26" t="n">
        <f>885</f>
        <v>885.0</v>
      </c>
      <c r="Y66" s="24"/>
      <c r="Z66" s="25" t="n">
        <f>6489</f>
        <v>6489.0</v>
      </c>
      <c r="AA66" s="23"/>
      <c r="AB66" s="25" t="n">
        <f>4012</f>
        <v>4012.0</v>
      </c>
      <c r="AC66" s="23"/>
      <c r="AD66" s="26" t="n">
        <f>10501</f>
        <v>10501.0</v>
      </c>
    </row>
    <row r="67">
      <c r="A67" s="30" t="s">
        <v>57</v>
      </c>
      <c r="B67" s="22" t="s">
        <v>60</v>
      </c>
      <c r="C67" s="22" t="s">
        <v>61</v>
      </c>
      <c r="D67" s="24"/>
      <c r="E67" s="25" t="n">
        <f>3285</f>
        <v>3285.0</v>
      </c>
      <c r="F67" s="23"/>
      <c r="G67" s="25" t="n">
        <f>1381</f>
        <v>1381.0</v>
      </c>
      <c r="H67" s="23"/>
      <c r="I67" s="26" t="n">
        <f>4666</f>
        <v>4666.0</v>
      </c>
      <c r="J67" s="24"/>
      <c r="K67" s="25" t="n">
        <f>149422000</f>
        <v>1.49422E8</v>
      </c>
      <c r="L67" s="23"/>
      <c r="M67" s="25" t="n">
        <f>92515000</f>
        <v>9.2515E7</v>
      </c>
      <c r="N67" s="23"/>
      <c r="O67" s="26" t="n">
        <f>241937000</f>
        <v>2.41937E8</v>
      </c>
      <c r="P67" s="27" t="n">
        <f>225</f>
        <v>225.0</v>
      </c>
      <c r="Q67" s="28" t="n">
        <f>97</f>
        <v>97.0</v>
      </c>
      <c r="R67" s="29" t="n">
        <f>322</f>
        <v>322.0</v>
      </c>
      <c r="S67" s="24"/>
      <c r="T67" s="25" t="n">
        <f>60</f>
        <v>60.0</v>
      </c>
      <c r="U67" s="23"/>
      <c r="V67" s="25" t="n">
        <f>233</f>
        <v>233.0</v>
      </c>
      <c r="W67" s="23"/>
      <c r="X67" s="26" t="n">
        <f>293</f>
        <v>293.0</v>
      </c>
      <c r="Y67" s="24"/>
      <c r="Z67" s="25" t="n">
        <f>3825</f>
        <v>3825.0</v>
      </c>
      <c r="AA67" s="23"/>
      <c r="AB67" s="25" t="n">
        <f>1654</f>
        <v>1654.0</v>
      </c>
      <c r="AC67" s="23"/>
      <c r="AD67" s="26" t="n">
        <f>5479</f>
        <v>5479.0</v>
      </c>
    </row>
    <row r="68">
      <c r="A68" s="30" t="s">
        <v>58</v>
      </c>
      <c r="B68" s="22" t="s">
        <v>60</v>
      </c>
      <c r="C68" s="22" t="s">
        <v>61</v>
      </c>
      <c r="D68" s="24"/>
      <c r="E68" s="25"/>
      <c r="F68" s="23"/>
      <c r="G68" s="25"/>
      <c r="H68" s="23"/>
      <c r="I68" s="26"/>
      <c r="J68" s="24"/>
      <c r="K68" s="25"/>
      <c r="L68" s="23"/>
      <c r="M68" s="25"/>
      <c r="N68" s="23"/>
      <c r="O68" s="26"/>
      <c r="P68" s="27"/>
      <c r="Q68" s="28"/>
      <c r="R68" s="29"/>
      <c r="S68" s="24"/>
      <c r="T68" s="25"/>
      <c r="U68" s="23"/>
      <c r="V68" s="25"/>
      <c r="W68" s="23"/>
      <c r="X68" s="26"/>
      <c r="Y68" s="24"/>
      <c r="Z68" s="25"/>
      <c r="AA68" s="23"/>
      <c r="AB68" s="25"/>
      <c r="AC68" s="23"/>
      <c r="AD68" s="26"/>
    </row>
    <row r="69">
      <c r="A69" s="30" t="s">
        <v>59</v>
      </c>
      <c r="B69" s="22" t="s">
        <v>60</v>
      </c>
      <c r="C69" s="22" t="s">
        <v>61</v>
      </c>
      <c r="D69" s="24"/>
      <c r="E69" s="25"/>
      <c r="F69" s="23"/>
      <c r="G69" s="25"/>
      <c r="H69" s="23"/>
      <c r="I69" s="26"/>
      <c r="J69" s="24"/>
      <c r="K69" s="25"/>
      <c r="L69" s="23"/>
      <c r="M69" s="25"/>
      <c r="N69" s="23"/>
      <c r="O69" s="26"/>
      <c r="P69" s="27"/>
      <c r="Q69" s="28"/>
      <c r="R69" s="29"/>
      <c r="S69" s="24"/>
      <c r="T69" s="25"/>
      <c r="U69" s="23"/>
      <c r="V69" s="25"/>
      <c r="W69" s="23"/>
      <c r="X69" s="26"/>
      <c r="Y69" s="24"/>
      <c r="Z69" s="25"/>
      <c r="AA69" s="23"/>
      <c r="AB69" s="25"/>
      <c r="AC69" s="23"/>
      <c r="AD69" s="26"/>
    </row>
    <row r="70">
      <c r="A70" s="30" t="s">
        <v>26</v>
      </c>
      <c r="B70" s="22" t="s">
        <v>62</v>
      </c>
      <c r="C70" s="22" t="s">
        <v>63</v>
      </c>
      <c r="D70" s="24"/>
      <c r="E70" s="25" t="n">
        <f>350</f>
        <v>350.0</v>
      </c>
      <c r="F70" s="23"/>
      <c r="G70" s="25" t="n">
        <f>350</f>
        <v>350.0</v>
      </c>
      <c r="H70" s="23"/>
      <c r="I70" s="26" t="n">
        <f>700</f>
        <v>700.0</v>
      </c>
      <c r="J70" s="24"/>
      <c r="K70" s="25" t="n">
        <f>539000000</f>
        <v>5.39E8</v>
      </c>
      <c r="L70" s="23"/>
      <c r="M70" s="25" t="n">
        <f>455000000</f>
        <v>4.55E8</v>
      </c>
      <c r="N70" s="23"/>
      <c r="O70" s="26" t="n">
        <f>994000000</f>
        <v>9.94E8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 t="s">
        <v>37</v>
      </c>
      <c r="T70" s="25" t="str">
        <f>"－"</f>
        <v>－</v>
      </c>
      <c r="U70" s="23" t="s">
        <v>37</v>
      </c>
      <c r="V70" s="25" t="str">
        <f>"－"</f>
        <v>－</v>
      </c>
      <c r="W70" s="23" t="s">
        <v>37</v>
      </c>
      <c r="X70" s="26" t="str">
        <f>"－"</f>
        <v>－</v>
      </c>
      <c r="Y70" s="24"/>
      <c r="Z70" s="25" t="n">
        <f>85252</f>
        <v>85252.0</v>
      </c>
      <c r="AA70" s="23"/>
      <c r="AB70" s="25" t="n">
        <f>16094</f>
        <v>16094.0</v>
      </c>
      <c r="AC70" s="23"/>
      <c r="AD70" s="26" t="n">
        <f>101346</f>
        <v>101346.0</v>
      </c>
    </row>
    <row r="71">
      <c r="A71" s="30" t="s">
        <v>29</v>
      </c>
      <c r="B71" s="22" t="s">
        <v>62</v>
      </c>
      <c r="C71" s="22" t="s">
        <v>63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30</v>
      </c>
      <c r="B72" s="22" t="s">
        <v>62</v>
      </c>
      <c r="C72" s="22" t="s">
        <v>63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31</v>
      </c>
      <c r="B73" s="22" t="s">
        <v>62</v>
      </c>
      <c r="C73" s="22" t="s">
        <v>63</v>
      </c>
      <c r="D73" s="24"/>
      <c r="E73" s="25" t="n">
        <f>4359</f>
        <v>4359.0</v>
      </c>
      <c r="F73" s="23"/>
      <c r="G73" s="25" t="n">
        <f>2173</f>
        <v>2173.0</v>
      </c>
      <c r="H73" s="23"/>
      <c r="I73" s="26" t="n">
        <f>6532</f>
        <v>6532.0</v>
      </c>
      <c r="J73" s="24"/>
      <c r="K73" s="25" t="n">
        <f>533058700</f>
        <v>5.330587E8</v>
      </c>
      <c r="L73" s="23"/>
      <c r="M73" s="25" t="n">
        <f>130192400</f>
        <v>1.301924E8</v>
      </c>
      <c r="N73" s="23"/>
      <c r="O73" s="26" t="n">
        <f>663251100</f>
        <v>6.632511E8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n">
        <f>1417</f>
        <v>1417.0</v>
      </c>
      <c r="U73" s="23"/>
      <c r="V73" s="25" t="n">
        <f>788</f>
        <v>788.0</v>
      </c>
      <c r="W73" s="23"/>
      <c r="X73" s="26" t="n">
        <f>2205</f>
        <v>2205.0</v>
      </c>
      <c r="Y73" s="24" t="s">
        <v>34</v>
      </c>
      <c r="Z73" s="25" t="n">
        <f>88611</f>
        <v>88611.0</v>
      </c>
      <c r="AA73" s="23" t="s">
        <v>34</v>
      </c>
      <c r="AB73" s="25" t="n">
        <f>17267</f>
        <v>17267.0</v>
      </c>
      <c r="AC73" s="23" t="s">
        <v>34</v>
      </c>
      <c r="AD73" s="26" t="n">
        <f>105878</f>
        <v>105878.0</v>
      </c>
    </row>
    <row r="74">
      <c r="A74" s="30" t="s">
        <v>32</v>
      </c>
      <c r="B74" s="22" t="s">
        <v>62</v>
      </c>
      <c r="C74" s="22" t="s">
        <v>63</v>
      </c>
      <c r="D74" s="24"/>
      <c r="E74" s="25" t="n">
        <f>930</f>
        <v>930.0</v>
      </c>
      <c r="F74" s="23" t="s">
        <v>37</v>
      </c>
      <c r="G74" s="25" t="str">
        <f>"－"</f>
        <v>－</v>
      </c>
      <c r="H74" s="23"/>
      <c r="I74" s="26" t="n">
        <f>930</f>
        <v>930.0</v>
      </c>
      <c r="J74" s="24"/>
      <c r="K74" s="25" t="n">
        <f>114283050</f>
        <v>1.1428305E8</v>
      </c>
      <c r="L74" s="23" t="s">
        <v>37</v>
      </c>
      <c r="M74" s="25" t="str">
        <f>"－"</f>
        <v>－</v>
      </c>
      <c r="N74" s="23"/>
      <c r="O74" s="26" t="n">
        <f>114283050</f>
        <v>1.1428305E8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n">
        <f>930</f>
        <v>930.0</v>
      </c>
      <c r="U74" s="23"/>
      <c r="V74" s="25" t="str">
        <f>"－"</f>
        <v>－</v>
      </c>
      <c r="W74" s="23"/>
      <c r="X74" s="26" t="n">
        <f>930</f>
        <v>930.0</v>
      </c>
      <c r="Y74" s="24"/>
      <c r="Z74" s="25" t="n">
        <f>87729</f>
        <v>87729.0</v>
      </c>
      <c r="AA74" s="23"/>
      <c r="AB74" s="25" t="n">
        <f>17267</f>
        <v>17267.0</v>
      </c>
      <c r="AC74" s="23"/>
      <c r="AD74" s="26" t="n">
        <f>104996</f>
        <v>104996.0</v>
      </c>
    </row>
    <row r="75">
      <c r="A75" s="30" t="s">
        <v>33</v>
      </c>
      <c r="B75" s="22" t="s">
        <v>62</v>
      </c>
      <c r="C75" s="22" t="s">
        <v>63</v>
      </c>
      <c r="D75" s="24"/>
      <c r="E75" s="25" t="n">
        <f>3670</f>
        <v>3670.0</v>
      </c>
      <c r="F75" s="23" t="s">
        <v>34</v>
      </c>
      <c r="G75" s="25" t="n">
        <f>3346</f>
        <v>3346.0</v>
      </c>
      <c r="H75" s="23"/>
      <c r="I75" s="26" t="n">
        <f>7016</f>
        <v>7016.0</v>
      </c>
      <c r="J75" s="24"/>
      <c r="K75" s="25" t="n">
        <f>324806600</f>
        <v>3.248066E8</v>
      </c>
      <c r="L75" s="23" t="s">
        <v>34</v>
      </c>
      <c r="M75" s="25" t="n">
        <f>1055966400</f>
        <v>1.0559664E9</v>
      </c>
      <c r="N75" s="23"/>
      <c r="O75" s="26" t="n">
        <f>1380773000</f>
        <v>1.380773E9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str">
        <f>"－"</f>
        <v>－</v>
      </c>
      <c r="U75" s="23"/>
      <c r="V75" s="25" t="n">
        <f>2246</f>
        <v>2246.0</v>
      </c>
      <c r="W75" s="23"/>
      <c r="X75" s="26" t="n">
        <f>2246</f>
        <v>2246.0</v>
      </c>
      <c r="Y75" s="24"/>
      <c r="Z75" s="25" t="n">
        <f>87809</f>
        <v>87809.0</v>
      </c>
      <c r="AA75" s="23"/>
      <c r="AB75" s="25" t="n">
        <f>15271</f>
        <v>15271.0</v>
      </c>
      <c r="AC75" s="23"/>
      <c r="AD75" s="26" t="n">
        <f>103080</f>
        <v>103080.0</v>
      </c>
    </row>
    <row r="76">
      <c r="A76" s="30" t="s">
        <v>35</v>
      </c>
      <c r="B76" s="22" t="s">
        <v>62</v>
      </c>
      <c r="C76" s="22" t="s">
        <v>63</v>
      </c>
      <c r="D76" s="24"/>
      <c r="E76" s="25" t="n">
        <f>2991</f>
        <v>2991.0</v>
      </c>
      <c r="F76" s="23"/>
      <c r="G76" s="25" t="n">
        <f>2131</f>
        <v>2131.0</v>
      </c>
      <c r="H76" s="23"/>
      <c r="I76" s="26" t="n">
        <f>5122</f>
        <v>5122.0</v>
      </c>
      <c r="J76" s="24"/>
      <c r="K76" s="25" t="n">
        <f>259510000</f>
        <v>2.5951E8</v>
      </c>
      <c r="L76" s="23"/>
      <c r="M76" s="25" t="n">
        <f>49810000</f>
        <v>4.981E7</v>
      </c>
      <c r="N76" s="23"/>
      <c r="O76" s="26" t="n">
        <f>309320000</f>
        <v>3.0932E8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88589</f>
        <v>88589.0</v>
      </c>
      <c r="AA76" s="23"/>
      <c r="AB76" s="25" t="n">
        <f>16236</f>
        <v>16236.0</v>
      </c>
      <c r="AC76" s="23"/>
      <c r="AD76" s="26" t="n">
        <f>104825</f>
        <v>104825.0</v>
      </c>
    </row>
    <row r="77">
      <c r="A77" s="30" t="s">
        <v>36</v>
      </c>
      <c r="B77" s="22" t="s">
        <v>62</v>
      </c>
      <c r="C77" s="22" t="s">
        <v>63</v>
      </c>
      <c r="D77" s="24"/>
      <c r="E77" s="25" t="n">
        <f>1550</f>
        <v>1550.0</v>
      </c>
      <c r="F77" s="23"/>
      <c r="G77" s="25" t="n">
        <f>50</f>
        <v>50.0</v>
      </c>
      <c r="H77" s="23"/>
      <c r="I77" s="26" t="n">
        <f>1600</f>
        <v>1600.0</v>
      </c>
      <c r="J77" s="24"/>
      <c r="K77" s="25" t="n">
        <f>276498400</f>
        <v>2.764984E8</v>
      </c>
      <c r="L77" s="23"/>
      <c r="M77" s="25" t="n">
        <f>63840000</f>
        <v>6.384E7</v>
      </c>
      <c r="N77" s="23"/>
      <c r="O77" s="26" t="n">
        <f>340338400</f>
        <v>3.403384E8</v>
      </c>
      <c r="P77" s="27" t="n">
        <f>3385</f>
        <v>3385.0</v>
      </c>
      <c r="Q77" s="28" t="n">
        <f>1215</f>
        <v>1215.0</v>
      </c>
      <c r="R77" s="29" t="n">
        <f>4600</f>
        <v>4600.0</v>
      </c>
      <c r="S77" s="24"/>
      <c r="T77" s="25" t="n">
        <f>1400</f>
        <v>1400.0</v>
      </c>
      <c r="U77" s="23"/>
      <c r="V77" s="25" t="str">
        <f>"－"</f>
        <v>－</v>
      </c>
      <c r="W77" s="23"/>
      <c r="X77" s="26" t="n">
        <f>1400</f>
        <v>1400.0</v>
      </c>
      <c r="Y77" s="24" t="s">
        <v>37</v>
      </c>
      <c r="Z77" s="25" t="n">
        <f>73859</f>
        <v>73859.0</v>
      </c>
      <c r="AA77" s="23" t="s">
        <v>37</v>
      </c>
      <c r="AB77" s="25" t="n">
        <f>9964</f>
        <v>9964.0</v>
      </c>
      <c r="AC77" s="23" t="s">
        <v>37</v>
      </c>
      <c r="AD77" s="26" t="n">
        <f>83823</f>
        <v>83823.0</v>
      </c>
    </row>
    <row r="78">
      <c r="A78" s="30" t="s">
        <v>38</v>
      </c>
      <c r="B78" s="22" t="s">
        <v>62</v>
      </c>
      <c r="C78" s="22" t="s">
        <v>63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39</v>
      </c>
      <c r="B79" s="22" t="s">
        <v>62</v>
      </c>
      <c r="C79" s="22" t="s">
        <v>63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40</v>
      </c>
      <c r="B80" s="22" t="s">
        <v>62</v>
      </c>
      <c r="C80" s="22" t="s">
        <v>63</v>
      </c>
      <c r="D80" s="24" t="s">
        <v>37</v>
      </c>
      <c r="E80" s="25" t="str">
        <f>"－"</f>
        <v>－</v>
      </c>
      <c r="F80" s="23"/>
      <c r="G80" s="25" t="n">
        <f>200</f>
        <v>200.0</v>
      </c>
      <c r="H80" s="23"/>
      <c r="I80" s="26" t="n">
        <f>200</f>
        <v>200.0</v>
      </c>
      <c r="J80" s="24" t="s">
        <v>37</v>
      </c>
      <c r="K80" s="25" t="str">
        <f>"－"</f>
        <v>－</v>
      </c>
      <c r="L80" s="23"/>
      <c r="M80" s="25" t="n">
        <f>36000000</f>
        <v>3.6E7</v>
      </c>
      <c r="N80" s="23"/>
      <c r="O80" s="26" t="n">
        <f>36000000</f>
        <v>3.6E7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str">
        <f>"－"</f>
        <v>－</v>
      </c>
      <c r="U80" s="23"/>
      <c r="V80" s="25" t="str">
        <f>"－"</f>
        <v>－</v>
      </c>
      <c r="W80" s="23"/>
      <c r="X80" s="26" t="str">
        <f>"－"</f>
        <v>－</v>
      </c>
      <c r="Y80" s="24"/>
      <c r="Z80" s="25" t="n">
        <f>73859</f>
        <v>73859.0</v>
      </c>
      <c r="AA80" s="23"/>
      <c r="AB80" s="25" t="n">
        <f>10164</f>
        <v>10164.0</v>
      </c>
      <c r="AC80" s="23"/>
      <c r="AD80" s="26" t="n">
        <f>84023</f>
        <v>84023.0</v>
      </c>
    </row>
    <row r="81">
      <c r="A81" s="30" t="s">
        <v>41</v>
      </c>
      <c r="B81" s="22" t="s">
        <v>62</v>
      </c>
      <c r="C81" s="22" t="s">
        <v>63</v>
      </c>
      <c r="D81" s="24"/>
      <c r="E81" s="25" t="n">
        <f>1100</f>
        <v>1100.0</v>
      </c>
      <c r="F81" s="23"/>
      <c r="G81" s="25" t="n">
        <f>1788</f>
        <v>1788.0</v>
      </c>
      <c r="H81" s="23"/>
      <c r="I81" s="26" t="n">
        <f>2888</f>
        <v>2888.0</v>
      </c>
      <c r="J81" s="24"/>
      <c r="K81" s="25" t="n">
        <f>179164500</f>
        <v>1.791645E8</v>
      </c>
      <c r="L81" s="23"/>
      <c r="M81" s="25" t="n">
        <f>68060340</f>
        <v>6.806034E7</v>
      </c>
      <c r="N81" s="23"/>
      <c r="O81" s="26" t="n">
        <f>247224840</f>
        <v>2.4722484E8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1000</f>
        <v>1000.0</v>
      </c>
      <c r="U81" s="23"/>
      <c r="V81" s="25" t="n">
        <f>1788</f>
        <v>1788.0</v>
      </c>
      <c r="W81" s="23"/>
      <c r="X81" s="26" t="n">
        <f>2788</f>
        <v>2788.0</v>
      </c>
      <c r="Y81" s="24"/>
      <c r="Z81" s="25" t="n">
        <f>74959</f>
        <v>74959.0</v>
      </c>
      <c r="AA81" s="23"/>
      <c r="AB81" s="25" t="n">
        <f>11164</f>
        <v>11164.0</v>
      </c>
      <c r="AC81" s="23"/>
      <c r="AD81" s="26" t="n">
        <f>86123</f>
        <v>86123.0</v>
      </c>
    </row>
    <row r="82">
      <c r="A82" s="30" t="s">
        <v>42</v>
      </c>
      <c r="B82" s="22" t="s">
        <v>62</v>
      </c>
      <c r="C82" s="22" t="s">
        <v>63</v>
      </c>
      <c r="D82" s="24"/>
      <c r="E82" s="25" t="n">
        <f>3968</f>
        <v>3968.0</v>
      </c>
      <c r="F82" s="23"/>
      <c r="G82" s="25" t="str">
        <f>"－"</f>
        <v>－</v>
      </c>
      <c r="H82" s="23"/>
      <c r="I82" s="26" t="n">
        <f>3968</f>
        <v>3968.0</v>
      </c>
      <c r="J82" s="24" t="s">
        <v>34</v>
      </c>
      <c r="K82" s="25" t="n">
        <f>1597413730</f>
        <v>1.59741373E9</v>
      </c>
      <c r="L82" s="23"/>
      <c r="M82" s="25" t="str">
        <f>"－"</f>
        <v>－</v>
      </c>
      <c r="N82" s="23" t="s">
        <v>34</v>
      </c>
      <c r="O82" s="26" t="n">
        <f>1597413730</f>
        <v>1.59741373E9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1028</f>
        <v>1028.0</v>
      </c>
      <c r="U82" s="23"/>
      <c r="V82" s="25" t="str">
        <f>"－"</f>
        <v>－</v>
      </c>
      <c r="W82" s="23"/>
      <c r="X82" s="26" t="n">
        <f>1028</f>
        <v>1028.0</v>
      </c>
      <c r="Y82" s="24"/>
      <c r="Z82" s="25" t="n">
        <f>76737</f>
        <v>76737.0</v>
      </c>
      <c r="AA82" s="23"/>
      <c r="AB82" s="25" t="n">
        <f>11164</f>
        <v>11164.0</v>
      </c>
      <c r="AC82" s="23"/>
      <c r="AD82" s="26" t="n">
        <f>87901</f>
        <v>87901.0</v>
      </c>
    </row>
    <row r="83">
      <c r="A83" s="30" t="s">
        <v>43</v>
      </c>
      <c r="B83" s="22" t="s">
        <v>62</v>
      </c>
      <c r="C83" s="22" t="s">
        <v>63</v>
      </c>
      <c r="D83" s="24"/>
      <c r="E83" s="25" t="n">
        <f>1130</f>
        <v>1130.0</v>
      </c>
      <c r="F83" s="23"/>
      <c r="G83" s="25" t="str">
        <f>"－"</f>
        <v>－</v>
      </c>
      <c r="H83" s="23"/>
      <c r="I83" s="26" t="n">
        <f>1130</f>
        <v>1130.0</v>
      </c>
      <c r="J83" s="24"/>
      <c r="K83" s="25" t="n">
        <f>56598900</f>
        <v>5.65989E7</v>
      </c>
      <c r="L83" s="23"/>
      <c r="M83" s="25" t="str">
        <f>"－"</f>
        <v>－</v>
      </c>
      <c r="N83" s="23"/>
      <c r="O83" s="26" t="n">
        <f>56598900</f>
        <v>5.65989E7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76007</f>
        <v>76007.0</v>
      </c>
      <c r="AA83" s="23"/>
      <c r="AB83" s="25" t="n">
        <f>11164</f>
        <v>11164.0</v>
      </c>
      <c r="AC83" s="23"/>
      <c r="AD83" s="26" t="n">
        <f>87171</f>
        <v>87171.0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1005</f>
        <v>1005.0</v>
      </c>
      <c r="F84" s="23"/>
      <c r="G84" s="25" t="n">
        <f>1005</f>
        <v>1005.0</v>
      </c>
      <c r="H84" s="23"/>
      <c r="I84" s="26" t="n">
        <f>2010</f>
        <v>2010.0</v>
      </c>
      <c r="J84" s="24"/>
      <c r="K84" s="25" t="n">
        <f>137992500</f>
        <v>1.379925E8</v>
      </c>
      <c r="L84" s="23"/>
      <c r="M84" s="25" t="n">
        <f>55777500</f>
        <v>5.57775E7</v>
      </c>
      <c r="N84" s="23"/>
      <c r="O84" s="26" t="n">
        <f>193770000</f>
        <v>1.9377E8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1005</f>
        <v>1005.0</v>
      </c>
      <c r="U84" s="23"/>
      <c r="V84" s="25" t="n">
        <f>1005</f>
        <v>1005.0</v>
      </c>
      <c r="W84" s="23"/>
      <c r="X84" s="26" t="n">
        <f>2010</f>
        <v>2010.0</v>
      </c>
      <c r="Y84" s="24"/>
      <c r="Z84" s="25" t="n">
        <f>77012</f>
        <v>77012.0</v>
      </c>
      <c r="AA84" s="23"/>
      <c r="AB84" s="25" t="n">
        <f>12169</f>
        <v>12169.0</v>
      </c>
      <c r="AC84" s="23"/>
      <c r="AD84" s="26" t="n">
        <f>89181</f>
        <v>89181.0</v>
      </c>
    </row>
    <row r="85">
      <c r="A85" s="30" t="s">
        <v>45</v>
      </c>
      <c r="B85" s="22" t="s">
        <v>62</v>
      </c>
      <c r="C85" s="22" t="s">
        <v>63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46</v>
      </c>
      <c r="B86" s="22" t="s">
        <v>62</v>
      </c>
      <c r="C86" s="22" t="s">
        <v>63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47</v>
      </c>
      <c r="B87" s="22" t="s">
        <v>62</v>
      </c>
      <c r="C87" s="22" t="s">
        <v>63</v>
      </c>
      <c r="D87" s="24"/>
      <c r="E87" s="25" t="n">
        <f>130</f>
        <v>130.0</v>
      </c>
      <c r="F87" s="23"/>
      <c r="G87" s="25" t="str">
        <f>"－"</f>
        <v>－</v>
      </c>
      <c r="H87" s="23"/>
      <c r="I87" s="26" t="n">
        <f>130</f>
        <v>130.0</v>
      </c>
      <c r="J87" s="24"/>
      <c r="K87" s="25" t="n">
        <f>118530750</f>
        <v>1.1853075E8</v>
      </c>
      <c r="L87" s="23"/>
      <c r="M87" s="25" t="str">
        <f>"－"</f>
        <v>－</v>
      </c>
      <c r="N87" s="23"/>
      <c r="O87" s="26" t="n">
        <f>118530750</f>
        <v>1.1853075E8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n">
        <f>130</f>
        <v>130.0</v>
      </c>
      <c r="U87" s="23"/>
      <c r="V87" s="25" t="str">
        <f>"－"</f>
        <v>－</v>
      </c>
      <c r="W87" s="23"/>
      <c r="X87" s="26" t="n">
        <f>130</f>
        <v>130.0</v>
      </c>
      <c r="Y87" s="24"/>
      <c r="Z87" s="25" t="n">
        <f>77142</f>
        <v>77142.0</v>
      </c>
      <c r="AA87" s="23"/>
      <c r="AB87" s="25" t="n">
        <f>12169</f>
        <v>12169.0</v>
      </c>
      <c r="AC87" s="23"/>
      <c r="AD87" s="26" t="n">
        <f>89311</f>
        <v>89311.0</v>
      </c>
    </row>
    <row r="88">
      <c r="A88" s="30" t="s">
        <v>48</v>
      </c>
      <c r="B88" s="22" t="s">
        <v>62</v>
      </c>
      <c r="C88" s="22" t="s">
        <v>63</v>
      </c>
      <c r="D88" s="24"/>
      <c r="E88" s="25" t="n">
        <f>100</f>
        <v>100.0</v>
      </c>
      <c r="F88" s="23"/>
      <c r="G88" s="25" t="n">
        <f>130</f>
        <v>130.0</v>
      </c>
      <c r="H88" s="23"/>
      <c r="I88" s="26" t="n">
        <f>230</f>
        <v>230.0</v>
      </c>
      <c r="J88" s="24"/>
      <c r="K88" s="25" t="n">
        <f>11300000</f>
        <v>1.13E7</v>
      </c>
      <c r="L88" s="23"/>
      <c r="M88" s="25" t="n">
        <f>25870000</f>
        <v>2.587E7</v>
      </c>
      <c r="N88" s="23"/>
      <c r="O88" s="26" t="n">
        <f>37170000</f>
        <v>3.717E7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str">
        <f>"－"</f>
        <v>－</v>
      </c>
      <c r="U88" s="23"/>
      <c r="V88" s="25" t="n">
        <f>130</f>
        <v>130.0</v>
      </c>
      <c r="W88" s="23"/>
      <c r="X88" s="26" t="n">
        <f>130</f>
        <v>130.0</v>
      </c>
      <c r="Y88" s="24"/>
      <c r="Z88" s="25" t="n">
        <f>77242</f>
        <v>77242.0</v>
      </c>
      <c r="AA88" s="23"/>
      <c r="AB88" s="25" t="n">
        <f>12299</f>
        <v>12299.0</v>
      </c>
      <c r="AC88" s="23"/>
      <c r="AD88" s="26" t="n">
        <f>89541</f>
        <v>89541.0</v>
      </c>
    </row>
    <row r="89">
      <c r="A89" s="30" t="s">
        <v>49</v>
      </c>
      <c r="B89" s="22" t="s">
        <v>62</v>
      </c>
      <c r="C89" s="22" t="s">
        <v>63</v>
      </c>
      <c r="D89" s="24"/>
      <c r="E89" s="25" t="n">
        <f>300</f>
        <v>300.0</v>
      </c>
      <c r="F89" s="23"/>
      <c r="G89" s="25" t="str">
        <f>"－"</f>
        <v>－</v>
      </c>
      <c r="H89" s="23"/>
      <c r="I89" s="26" t="n">
        <f>300</f>
        <v>300.0</v>
      </c>
      <c r="J89" s="24"/>
      <c r="K89" s="25" t="n">
        <f>13500000</f>
        <v>1.35E7</v>
      </c>
      <c r="L89" s="23"/>
      <c r="M89" s="25" t="str">
        <f>"－"</f>
        <v>－</v>
      </c>
      <c r="N89" s="23" t="s">
        <v>37</v>
      </c>
      <c r="O89" s="26" t="n">
        <f>13500000</f>
        <v>1.35E7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str">
        <f>"－"</f>
        <v>－</v>
      </c>
      <c r="W89" s="23"/>
      <c r="X89" s="26" t="str">
        <f>"－"</f>
        <v>－</v>
      </c>
      <c r="Y89" s="24"/>
      <c r="Z89" s="25" t="n">
        <f>77542</f>
        <v>77542.0</v>
      </c>
      <c r="AA89" s="23"/>
      <c r="AB89" s="25" t="n">
        <f>12299</f>
        <v>12299.0</v>
      </c>
      <c r="AC89" s="23"/>
      <c r="AD89" s="26" t="n">
        <f>89841</f>
        <v>89841.0</v>
      </c>
    </row>
    <row r="90">
      <c r="A90" s="30" t="s">
        <v>50</v>
      </c>
      <c r="B90" s="22" t="s">
        <v>62</v>
      </c>
      <c r="C90" s="22" t="s">
        <v>63</v>
      </c>
      <c r="D90" s="24"/>
      <c r="E90" s="25" t="n">
        <f>1299</f>
        <v>1299.0</v>
      </c>
      <c r="F90" s="23"/>
      <c r="G90" s="25" t="str">
        <f>"－"</f>
        <v>－</v>
      </c>
      <c r="H90" s="23"/>
      <c r="I90" s="26" t="n">
        <f>1299</f>
        <v>1299.0</v>
      </c>
      <c r="J90" s="24"/>
      <c r="K90" s="25" t="n">
        <f>366762600</f>
        <v>3.667626E8</v>
      </c>
      <c r="L90" s="23"/>
      <c r="M90" s="25" t="str">
        <f>"－"</f>
        <v>－</v>
      </c>
      <c r="N90" s="23"/>
      <c r="O90" s="26" t="n">
        <f>366762600</f>
        <v>3.667626E8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1299</f>
        <v>1299.0</v>
      </c>
      <c r="U90" s="23"/>
      <c r="V90" s="25" t="str">
        <f>"－"</f>
        <v>－</v>
      </c>
      <c r="W90" s="23"/>
      <c r="X90" s="26" t="n">
        <f>1299</f>
        <v>1299.0</v>
      </c>
      <c r="Y90" s="24"/>
      <c r="Z90" s="25" t="n">
        <f>78433</f>
        <v>78433.0</v>
      </c>
      <c r="AA90" s="23"/>
      <c r="AB90" s="25" t="n">
        <f>12299</f>
        <v>12299.0</v>
      </c>
      <c r="AC90" s="23"/>
      <c r="AD90" s="26" t="n">
        <f>90732</f>
        <v>90732.0</v>
      </c>
    </row>
    <row r="91">
      <c r="A91" s="30" t="s">
        <v>51</v>
      </c>
      <c r="B91" s="22" t="s">
        <v>62</v>
      </c>
      <c r="C91" s="22" t="s">
        <v>63</v>
      </c>
      <c r="D91" s="24"/>
      <c r="E91" s="25" t="n">
        <f>40</f>
        <v>40.0</v>
      </c>
      <c r="F91" s="23"/>
      <c r="G91" s="25" t="n">
        <f>40</f>
        <v>40.0</v>
      </c>
      <c r="H91" s="23" t="s">
        <v>37</v>
      </c>
      <c r="I91" s="26" t="n">
        <f>80</f>
        <v>80.0</v>
      </c>
      <c r="J91" s="24"/>
      <c r="K91" s="25" t="n">
        <f>42400000</f>
        <v>4.24E7</v>
      </c>
      <c r="L91" s="23"/>
      <c r="M91" s="25" t="n">
        <f>53600000</f>
        <v>5.36E7</v>
      </c>
      <c r="N91" s="23"/>
      <c r="O91" s="26" t="n">
        <f>96000000</f>
        <v>9.6E7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40</f>
        <v>40.0</v>
      </c>
      <c r="U91" s="23"/>
      <c r="V91" s="25" t="n">
        <f>40</f>
        <v>40.0</v>
      </c>
      <c r="W91" s="23"/>
      <c r="X91" s="26" t="n">
        <f>80</f>
        <v>80.0</v>
      </c>
      <c r="Y91" s="24"/>
      <c r="Z91" s="25" t="n">
        <f>78473</f>
        <v>78473.0</v>
      </c>
      <c r="AA91" s="23"/>
      <c r="AB91" s="25" t="n">
        <f>12339</f>
        <v>12339.0</v>
      </c>
      <c r="AC91" s="23"/>
      <c r="AD91" s="26" t="n">
        <f>90812</f>
        <v>90812.0</v>
      </c>
    </row>
    <row r="92">
      <c r="A92" s="30" t="s">
        <v>52</v>
      </c>
      <c r="B92" s="22" t="s">
        <v>62</v>
      </c>
      <c r="C92" s="22" t="s">
        <v>63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53</v>
      </c>
      <c r="B93" s="22" t="s">
        <v>62</v>
      </c>
      <c r="C93" s="22" t="s">
        <v>63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54</v>
      </c>
      <c r="B94" s="22" t="s">
        <v>62</v>
      </c>
      <c r="C94" s="22" t="s">
        <v>63</v>
      </c>
      <c r="D94" s="24" t="s">
        <v>34</v>
      </c>
      <c r="E94" s="25" t="n">
        <f>4808</f>
        <v>4808.0</v>
      </c>
      <c r="F94" s="23"/>
      <c r="G94" s="25" t="n">
        <f>3161</f>
        <v>3161.0</v>
      </c>
      <c r="H94" s="23" t="s">
        <v>34</v>
      </c>
      <c r="I94" s="26" t="n">
        <f>7969</f>
        <v>7969.0</v>
      </c>
      <c r="J94" s="24"/>
      <c r="K94" s="25" t="n">
        <f>1186253855</f>
        <v>1.186253855E9</v>
      </c>
      <c r="L94" s="23"/>
      <c r="M94" s="25" t="n">
        <f>287006000</f>
        <v>2.87006E8</v>
      </c>
      <c r="N94" s="23"/>
      <c r="O94" s="26" t="n">
        <f>1473259855</f>
        <v>1.473259855E9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 t="s">
        <v>34</v>
      </c>
      <c r="T94" s="25" t="n">
        <f>6697</f>
        <v>6697.0</v>
      </c>
      <c r="U94" s="23" t="s">
        <v>34</v>
      </c>
      <c r="V94" s="25" t="n">
        <f>5213</f>
        <v>5213.0</v>
      </c>
      <c r="W94" s="23" t="s">
        <v>34</v>
      </c>
      <c r="X94" s="26" t="n">
        <f>11910</f>
        <v>11910.0</v>
      </c>
      <c r="Y94" s="24"/>
      <c r="Z94" s="25" t="n">
        <f>80532</f>
        <v>80532.0</v>
      </c>
      <c r="AA94" s="23"/>
      <c r="AB94" s="25" t="n">
        <f>11360</f>
        <v>11360.0</v>
      </c>
      <c r="AC94" s="23"/>
      <c r="AD94" s="26" t="n">
        <f>91892</f>
        <v>91892.0</v>
      </c>
    </row>
    <row r="95">
      <c r="A95" s="30" t="s">
        <v>55</v>
      </c>
      <c r="B95" s="22" t="s">
        <v>62</v>
      </c>
      <c r="C95" s="22" t="s">
        <v>63</v>
      </c>
      <c r="D95" s="24"/>
      <c r="E95" s="25" t="n">
        <f>2585</f>
        <v>2585.0</v>
      </c>
      <c r="F95" s="23"/>
      <c r="G95" s="25" t="n">
        <f>70</f>
        <v>70.0</v>
      </c>
      <c r="H95" s="23"/>
      <c r="I95" s="26" t="n">
        <f>2655</f>
        <v>2655.0</v>
      </c>
      <c r="J95" s="24"/>
      <c r="K95" s="25" t="n">
        <f>764870600</f>
        <v>7.648706E8</v>
      </c>
      <c r="L95" s="23"/>
      <c r="M95" s="25" t="n">
        <f>87500000</f>
        <v>8.75E7</v>
      </c>
      <c r="N95" s="23"/>
      <c r="O95" s="26" t="n">
        <f>852370600</f>
        <v>8.523706E8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2285</f>
        <v>2285.0</v>
      </c>
      <c r="U95" s="23"/>
      <c r="V95" s="25" t="n">
        <f>70</f>
        <v>70.0</v>
      </c>
      <c r="W95" s="23"/>
      <c r="X95" s="26" t="n">
        <f>2355</f>
        <v>2355.0</v>
      </c>
      <c r="Y95" s="24"/>
      <c r="Z95" s="25" t="n">
        <f>79109</f>
        <v>79109.0</v>
      </c>
      <c r="AA95" s="23"/>
      <c r="AB95" s="25" t="n">
        <f>11430</f>
        <v>11430.0</v>
      </c>
      <c r="AC95" s="23"/>
      <c r="AD95" s="26" t="n">
        <f>90539</f>
        <v>90539.0</v>
      </c>
    </row>
    <row r="96">
      <c r="A96" s="30" t="s">
        <v>56</v>
      </c>
      <c r="B96" s="22" t="s">
        <v>62</v>
      </c>
      <c r="C96" s="22" t="s">
        <v>63</v>
      </c>
      <c r="D96" s="24"/>
      <c r="E96" s="25" t="n">
        <f>2061</f>
        <v>2061.0</v>
      </c>
      <c r="F96" s="23"/>
      <c r="G96" s="25" t="n">
        <f>513</f>
        <v>513.0</v>
      </c>
      <c r="H96" s="23"/>
      <c r="I96" s="26" t="n">
        <f>2574</f>
        <v>2574.0</v>
      </c>
      <c r="J96" s="24"/>
      <c r="K96" s="25" t="n">
        <f>398288300</f>
        <v>3.982883E8</v>
      </c>
      <c r="L96" s="23"/>
      <c r="M96" s="25" t="n">
        <f>67276600</f>
        <v>6.72766E7</v>
      </c>
      <c r="N96" s="23"/>
      <c r="O96" s="26" t="n">
        <f>465564900</f>
        <v>4.655649E8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2061</f>
        <v>2061.0</v>
      </c>
      <c r="U96" s="23"/>
      <c r="V96" s="25" t="n">
        <f>1539</f>
        <v>1539.0</v>
      </c>
      <c r="W96" s="23"/>
      <c r="X96" s="26" t="n">
        <f>3600</f>
        <v>3600.0</v>
      </c>
      <c r="Y96" s="24"/>
      <c r="Z96" s="25" t="n">
        <f>78549</f>
        <v>78549.0</v>
      </c>
      <c r="AA96" s="23"/>
      <c r="AB96" s="25" t="n">
        <f>11430</f>
        <v>11430.0</v>
      </c>
      <c r="AC96" s="23"/>
      <c r="AD96" s="26" t="n">
        <f>89979</f>
        <v>89979.0</v>
      </c>
    </row>
    <row r="97">
      <c r="A97" s="30" t="s">
        <v>57</v>
      </c>
      <c r="B97" s="22" t="s">
        <v>62</v>
      </c>
      <c r="C97" s="22" t="s">
        <v>63</v>
      </c>
      <c r="D97" s="24"/>
      <c r="E97" s="25" t="n">
        <f>1581</f>
        <v>1581.0</v>
      </c>
      <c r="F97" s="23"/>
      <c r="G97" s="25" t="n">
        <f>513</f>
        <v>513.0</v>
      </c>
      <c r="H97" s="23"/>
      <c r="I97" s="26" t="n">
        <f>2094</f>
        <v>2094.0</v>
      </c>
      <c r="J97" s="24"/>
      <c r="K97" s="25" t="n">
        <f>171484753</f>
        <v>1.71484753E8</v>
      </c>
      <c r="L97" s="23"/>
      <c r="M97" s="25" t="n">
        <f>90012200</f>
        <v>9.00122E7</v>
      </c>
      <c r="N97" s="23"/>
      <c r="O97" s="26" t="n">
        <f>261496953</f>
        <v>2.61496953E8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1381</f>
        <v>1381.0</v>
      </c>
      <c r="U97" s="23"/>
      <c r="V97" s="25" t="n">
        <f>1025</f>
        <v>1025.0</v>
      </c>
      <c r="W97" s="23"/>
      <c r="X97" s="26" t="n">
        <f>2406</f>
        <v>2406.0</v>
      </c>
      <c r="Y97" s="24"/>
      <c r="Z97" s="25" t="n">
        <f>79269</f>
        <v>79269.0</v>
      </c>
      <c r="AA97" s="23"/>
      <c r="AB97" s="25" t="n">
        <f>10404</f>
        <v>10404.0</v>
      </c>
      <c r="AC97" s="23"/>
      <c r="AD97" s="26" t="n">
        <f>89673</f>
        <v>89673.0</v>
      </c>
    </row>
    <row r="98">
      <c r="A98" s="30" t="s">
        <v>58</v>
      </c>
      <c r="B98" s="22" t="s">
        <v>62</v>
      </c>
      <c r="C98" s="22" t="s">
        <v>63</v>
      </c>
      <c r="D98" s="24"/>
      <c r="E98" s="25"/>
      <c r="F98" s="23"/>
      <c r="G98" s="25"/>
      <c r="H98" s="23"/>
      <c r="I98" s="26"/>
      <c r="J98" s="24"/>
      <c r="K98" s="25"/>
      <c r="L98" s="23"/>
      <c r="M98" s="25"/>
      <c r="N98" s="23"/>
      <c r="O98" s="26"/>
      <c r="P98" s="27"/>
      <c r="Q98" s="28"/>
      <c r="R98" s="29"/>
      <c r="S98" s="24"/>
      <c r="T98" s="25"/>
      <c r="U98" s="23"/>
      <c r="V98" s="25"/>
      <c r="W98" s="23"/>
      <c r="X98" s="26"/>
      <c r="Y98" s="24"/>
      <c r="Z98" s="25"/>
      <c r="AA98" s="23"/>
      <c r="AB98" s="25"/>
      <c r="AC98" s="23"/>
      <c r="AD98" s="26"/>
    </row>
    <row r="99">
      <c r="A99" s="30" t="s">
        <v>59</v>
      </c>
      <c r="B99" s="22" t="s">
        <v>62</v>
      </c>
      <c r="C99" s="22" t="s">
        <v>63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29</v>
      </c>
      <c r="B101" s="22" t="s">
        <v>64</v>
      </c>
      <c r="C101" s="22" t="s">
        <v>65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30</v>
      </c>
      <c r="B102" s="22" t="s">
        <v>64</v>
      </c>
      <c r="C102" s="22" t="s">
        <v>65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31</v>
      </c>
      <c r="B103" s="22" t="s">
        <v>64</v>
      </c>
      <c r="C103" s="22" t="s">
        <v>65</v>
      </c>
      <c r="D103" s="24"/>
      <c r="E103" s="25" t="str">
        <f>"－"</f>
        <v>－</v>
      </c>
      <c r="F103" s="23"/>
      <c r="G103" s="25" t="str">
        <f>"－"</f>
        <v>－</v>
      </c>
      <c r="H103" s="23"/>
      <c r="I103" s="26" t="str">
        <f>"－"</f>
        <v>－</v>
      </c>
      <c r="J103" s="24"/>
      <c r="K103" s="25" t="str">
        <f>"－"</f>
        <v>－</v>
      </c>
      <c r="L103" s="23"/>
      <c r="M103" s="25" t="str">
        <f>"－"</f>
        <v>－</v>
      </c>
      <c r="N103" s="23"/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/>
      <c r="T103" s="25" t="str">
        <f>"－"</f>
        <v>－</v>
      </c>
      <c r="U103" s="23"/>
      <c r="V103" s="25" t="str">
        <f>"－"</f>
        <v>－</v>
      </c>
      <c r="W103" s="23"/>
      <c r="X103" s="26" t="str">
        <f>"－"</f>
        <v>－</v>
      </c>
      <c r="Y103" s="24"/>
      <c r="Z103" s="25" t="str">
        <f>"－"</f>
        <v>－</v>
      </c>
      <c r="AA103" s="23"/>
      <c r="AB103" s="25" t="str">
        <f>"－"</f>
        <v>－</v>
      </c>
      <c r="AC103" s="23"/>
      <c r="AD103" s="26" t="str">
        <f>"－"</f>
        <v>－</v>
      </c>
    </row>
    <row r="104">
      <c r="A104" s="30" t="s">
        <v>32</v>
      </c>
      <c r="B104" s="22" t="s">
        <v>64</v>
      </c>
      <c r="C104" s="22" t="s">
        <v>65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33</v>
      </c>
      <c r="B105" s="22" t="s">
        <v>64</v>
      </c>
      <c r="C105" s="22" t="s">
        <v>65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35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36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38</v>
      </c>
      <c r="B108" s="22" t="s">
        <v>64</v>
      </c>
      <c r="C108" s="22" t="s">
        <v>65</v>
      </c>
      <c r="D108" s="24"/>
      <c r="E108" s="25"/>
      <c r="F108" s="23"/>
      <c r="G108" s="25"/>
      <c r="H108" s="23"/>
      <c r="I108" s="26"/>
      <c r="J108" s="24"/>
      <c r="K108" s="25"/>
      <c r="L108" s="23"/>
      <c r="M108" s="25"/>
      <c r="N108" s="23"/>
      <c r="O108" s="26"/>
      <c r="P108" s="27"/>
      <c r="Q108" s="28"/>
      <c r="R108" s="29"/>
      <c r="S108" s="24"/>
      <c r="T108" s="25"/>
      <c r="U108" s="23"/>
      <c r="V108" s="25"/>
      <c r="W108" s="23"/>
      <c r="X108" s="26"/>
      <c r="Y108" s="24"/>
      <c r="Z108" s="25"/>
      <c r="AA108" s="23"/>
      <c r="AB108" s="25"/>
      <c r="AC108" s="23"/>
      <c r="AD108" s="26"/>
    </row>
    <row r="109">
      <c r="A109" s="30" t="s">
        <v>39</v>
      </c>
      <c r="B109" s="22" t="s">
        <v>64</v>
      </c>
      <c r="C109" s="22" t="s">
        <v>65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40</v>
      </c>
      <c r="B110" s="22" t="s">
        <v>64</v>
      </c>
      <c r="C110" s="22" t="s">
        <v>65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41</v>
      </c>
      <c r="B111" s="22" t="s">
        <v>64</v>
      </c>
      <c r="C111" s="22" t="s">
        <v>65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42</v>
      </c>
      <c r="B112" s="22" t="s">
        <v>64</v>
      </c>
      <c r="C112" s="22" t="s">
        <v>65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/>
      <c r="F115" s="23"/>
      <c r="G115" s="25"/>
      <c r="H115" s="23"/>
      <c r="I115" s="26"/>
      <c r="J115" s="24"/>
      <c r="K115" s="25"/>
      <c r="L115" s="23"/>
      <c r="M115" s="25"/>
      <c r="N115" s="23"/>
      <c r="O115" s="26"/>
      <c r="P115" s="27"/>
      <c r="Q115" s="28"/>
      <c r="R115" s="29"/>
      <c r="S115" s="24"/>
      <c r="T115" s="25"/>
      <c r="U115" s="23"/>
      <c r="V115" s="25"/>
      <c r="W115" s="23"/>
      <c r="X115" s="26"/>
      <c r="Y115" s="24"/>
      <c r="Z115" s="25"/>
      <c r="AA115" s="23"/>
      <c r="AB115" s="25"/>
      <c r="AC115" s="23"/>
      <c r="AD115" s="26"/>
    </row>
    <row r="116">
      <c r="A116" s="30" t="s">
        <v>46</v>
      </c>
      <c r="B116" s="22" t="s">
        <v>64</v>
      </c>
      <c r="C116" s="22" t="s">
        <v>65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47</v>
      </c>
      <c r="B117" s="22" t="s">
        <v>64</v>
      </c>
      <c r="C117" s="22" t="s">
        <v>65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48</v>
      </c>
      <c r="B118" s="22" t="s">
        <v>64</v>
      </c>
      <c r="C118" s="22" t="s">
        <v>65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49</v>
      </c>
      <c r="B119" s="22" t="s">
        <v>64</v>
      </c>
      <c r="C119" s="22" t="s">
        <v>65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53</v>
      </c>
      <c r="B123" s="22" t="s">
        <v>64</v>
      </c>
      <c r="C123" s="22" t="s">
        <v>65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54</v>
      </c>
      <c r="B124" s="22" t="s">
        <v>64</v>
      </c>
      <c r="C124" s="22" t="s">
        <v>65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55</v>
      </c>
      <c r="B125" s="22" t="s">
        <v>64</v>
      </c>
      <c r="C125" s="22" t="s">
        <v>65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56</v>
      </c>
      <c r="B126" s="22" t="s">
        <v>64</v>
      </c>
      <c r="C126" s="22" t="s">
        <v>65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/>
      <c r="F128" s="23"/>
      <c r="G128" s="25"/>
      <c r="H128" s="23"/>
      <c r="I128" s="26"/>
      <c r="J128" s="24"/>
      <c r="K128" s="25"/>
      <c r="L128" s="23"/>
      <c r="M128" s="25"/>
      <c r="N128" s="23"/>
      <c r="O128" s="26"/>
      <c r="P128" s="27"/>
      <c r="Q128" s="28"/>
      <c r="R128" s="29"/>
      <c r="S128" s="24"/>
      <c r="T128" s="25"/>
      <c r="U128" s="23"/>
      <c r="V128" s="25"/>
      <c r="W128" s="23"/>
      <c r="X128" s="26"/>
      <c r="Y128" s="24"/>
      <c r="Z128" s="25"/>
      <c r="AA128" s="23"/>
      <c r="AB128" s="25"/>
      <c r="AC128" s="23"/>
      <c r="AD128" s="26"/>
    </row>
    <row r="129">
      <c r="A129" s="30" t="s">
        <v>59</v>
      </c>
      <c r="B129" s="22" t="s">
        <v>64</v>
      </c>
      <c r="C129" s="22" t="s">
        <v>65</v>
      </c>
      <c r="D129" s="24"/>
      <c r="E129" s="25"/>
      <c r="F129" s="23"/>
      <c r="G129" s="25"/>
      <c r="H129" s="23"/>
      <c r="I129" s="26"/>
      <c r="J129" s="24"/>
      <c r="K129" s="25"/>
      <c r="L129" s="23"/>
      <c r="M129" s="25"/>
      <c r="N129" s="23"/>
      <c r="O129" s="26"/>
      <c r="P129" s="27"/>
      <c r="Q129" s="28"/>
      <c r="R129" s="29"/>
      <c r="S129" s="24"/>
      <c r="T129" s="25"/>
      <c r="U129" s="23"/>
      <c r="V129" s="25"/>
      <c r="W129" s="23"/>
      <c r="X129" s="26"/>
      <c r="Y129" s="24"/>
      <c r="Z129" s="25"/>
      <c r="AA129" s="23"/>
      <c r="AB129" s="25"/>
      <c r="AC129" s="23"/>
      <c r="AD129" s="26"/>
    </row>
    <row r="130">
      <c r="A130" s="30" t="s">
        <v>26</v>
      </c>
      <c r="B130" s="22" t="s">
        <v>67</v>
      </c>
      <c r="C130" s="22" t="s">
        <v>68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29</v>
      </c>
      <c r="B131" s="22" t="s">
        <v>67</v>
      </c>
      <c r="C131" s="22" t="s">
        <v>68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30</v>
      </c>
      <c r="B132" s="22" t="s">
        <v>67</v>
      </c>
      <c r="C132" s="22" t="s">
        <v>68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31</v>
      </c>
      <c r="B133" s="22" t="s">
        <v>67</v>
      </c>
      <c r="C133" s="22" t="s">
        <v>68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32</v>
      </c>
      <c r="B134" s="22" t="s">
        <v>67</v>
      </c>
      <c r="C134" s="22" t="s">
        <v>68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33</v>
      </c>
      <c r="B135" s="22" t="s">
        <v>67</v>
      </c>
      <c r="C135" s="22" t="s">
        <v>68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35</v>
      </c>
      <c r="B136" s="22" t="s">
        <v>67</v>
      </c>
      <c r="C136" s="22" t="s">
        <v>68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36</v>
      </c>
      <c r="B137" s="22" t="s">
        <v>67</v>
      </c>
      <c r="C137" s="22" t="s">
        <v>68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38</v>
      </c>
      <c r="B138" s="22" t="s">
        <v>67</v>
      </c>
      <c r="C138" s="22" t="s">
        <v>68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39</v>
      </c>
      <c r="B139" s="22" t="s">
        <v>67</v>
      </c>
      <c r="C139" s="22" t="s">
        <v>68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40</v>
      </c>
      <c r="B140" s="22" t="s">
        <v>67</v>
      </c>
      <c r="C140" s="22" t="s">
        <v>68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41</v>
      </c>
      <c r="B141" s="22" t="s">
        <v>67</v>
      </c>
      <c r="C141" s="22" t="s">
        <v>68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42</v>
      </c>
      <c r="B142" s="22" t="s">
        <v>67</v>
      </c>
      <c r="C142" s="22" t="s">
        <v>68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43</v>
      </c>
      <c r="B143" s="22" t="s">
        <v>67</v>
      </c>
      <c r="C143" s="22" t="s">
        <v>68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44</v>
      </c>
      <c r="B144" s="22" t="s">
        <v>67</v>
      </c>
      <c r="C144" s="22" t="s">
        <v>68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45</v>
      </c>
      <c r="B145" s="22" t="s">
        <v>67</v>
      </c>
      <c r="C145" s="22" t="s">
        <v>68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46</v>
      </c>
      <c r="B146" s="22" t="s">
        <v>67</v>
      </c>
      <c r="C146" s="22" t="s">
        <v>68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47</v>
      </c>
      <c r="B147" s="22" t="s">
        <v>67</v>
      </c>
      <c r="C147" s="22" t="s">
        <v>68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48</v>
      </c>
      <c r="B148" s="22" t="s">
        <v>67</v>
      </c>
      <c r="C148" s="22" t="s">
        <v>68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49</v>
      </c>
      <c r="B149" s="22" t="s">
        <v>67</v>
      </c>
      <c r="C149" s="22" t="s">
        <v>68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50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51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52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53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54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55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56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57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58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26</v>
      </c>
      <c r="B160" s="22" t="s">
        <v>69</v>
      </c>
      <c r="C160" s="22" t="s">
        <v>70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29</v>
      </c>
      <c r="B161" s="22" t="s">
        <v>69</v>
      </c>
      <c r="C161" s="22" t="s">
        <v>70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30</v>
      </c>
      <c r="B162" s="22" t="s">
        <v>69</v>
      </c>
      <c r="C162" s="22" t="s">
        <v>70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31</v>
      </c>
      <c r="B163" s="22" t="s">
        <v>69</v>
      </c>
      <c r="C163" s="22" t="s">
        <v>70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32</v>
      </c>
      <c r="B164" s="22" t="s">
        <v>69</v>
      </c>
      <c r="C164" s="22" t="s">
        <v>70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33</v>
      </c>
      <c r="B165" s="22" t="s">
        <v>69</v>
      </c>
      <c r="C165" s="22" t="s">
        <v>70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35</v>
      </c>
      <c r="B166" s="22" t="s">
        <v>69</v>
      </c>
      <c r="C166" s="22" t="s">
        <v>70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36</v>
      </c>
      <c r="B167" s="22" t="s">
        <v>69</v>
      </c>
      <c r="C167" s="22" t="s">
        <v>70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38</v>
      </c>
      <c r="B168" s="22" t="s">
        <v>69</v>
      </c>
      <c r="C168" s="22" t="s">
        <v>70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39</v>
      </c>
      <c r="B169" s="22" t="s">
        <v>69</v>
      </c>
      <c r="C169" s="22" t="s">
        <v>70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40</v>
      </c>
      <c r="B170" s="22" t="s">
        <v>69</v>
      </c>
      <c r="C170" s="22" t="s">
        <v>70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41</v>
      </c>
      <c r="B171" s="22" t="s">
        <v>69</v>
      </c>
      <c r="C171" s="22" t="s">
        <v>70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42</v>
      </c>
      <c r="B172" s="22" t="s">
        <v>69</v>
      </c>
      <c r="C172" s="22" t="s">
        <v>70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43</v>
      </c>
      <c r="B173" s="22" t="s">
        <v>69</v>
      </c>
      <c r="C173" s="22" t="s">
        <v>70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44</v>
      </c>
      <c r="B174" s="22" t="s">
        <v>69</v>
      </c>
      <c r="C174" s="22" t="s">
        <v>70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45</v>
      </c>
      <c r="B175" s="22" t="s">
        <v>69</v>
      </c>
      <c r="C175" s="22" t="s">
        <v>70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46</v>
      </c>
      <c r="B176" s="22" t="s">
        <v>69</v>
      </c>
      <c r="C176" s="22" t="s">
        <v>70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47</v>
      </c>
      <c r="B177" s="22" t="s">
        <v>69</v>
      </c>
      <c r="C177" s="22" t="s">
        <v>70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48</v>
      </c>
      <c r="B178" s="22" t="s">
        <v>69</v>
      </c>
      <c r="C178" s="22" t="s">
        <v>70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49</v>
      </c>
      <c r="B179" s="22" t="s">
        <v>69</v>
      </c>
      <c r="C179" s="22" t="s">
        <v>70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50</v>
      </c>
      <c r="B180" s="22" t="s">
        <v>69</v>
      </c>
      <c r="C180" s="22" t="s">
        <v>70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51</v>
      </c>
      <c r="B181" s="22" t="s">
        <v>69</v>
      </c>
      <c r="C181" s="22" t="s">
        <v>70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52</v>
      </c>
      <c r="B182" s="22" t="s">
        <v>69</v>
      </c>
      <c r="C182" s="22" t="s">
        <v>70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53</v>
      </c>
      <c r="B183" s="22" t="s">
        <v>69</v>
      </c>
      <c r="C183" s="22" t="s">
        <v>70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54</v>
      </c>
      <c r="B184" s="22" t="s">
        <v>69</v>
      </c>
      <c r="C184" s="22" t="s">
        <v>70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55</v>
      </c>
      <c r="B185" s="22" t="s">
        <v>69</v>
      </c>
      <c r="C185" s="22" t="s">
        <v>70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56</v>
      </c>
      <c r="B186" s="22" t="s">
        <v>69</v>
      </c>
      <c r="C186" s="22" t="s">
        <v>70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57</v>
      </c>
      <c r="B187" s="22" t="s">
        <v>69</v>
      </c>
      <c r="C187" s="22" t="s">
        <v>70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58</v>
      </c>
      <c r="B188" s="22" t="s">
        <v>69</v>
      </c>
      <c r="C188" s="22" t="s">
        <v>70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59</v>
      </c>
      <c r="B189" s="22" t="s">
        <v>69</v>
      </c>
      <c r="C189" s="22" t="s">
        <v>70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