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windowHeight="13230" windowWidth="26955" xWindow="360" yWindow="45"/>
  </bookViews>
  <sheets>
    <sheet name="BO_DM0032" r:id="rId1" sheetId="4"/>
  </sheets>
  <definedNames>
    <definedName localSheetId="0" name="_xlnm.Print_Titles">BO_DM0032!$4:$9</definedName>
  </definedNames>
  <calcPr calcId="145621"/>
</workbook>
</file>

<file path=xl/sharedStrings.xml><?xml version="1.0" encoding="utf-8"?>
<sst xmlns="http://schemas.openxmlformats.org/spreadsheetml/2006/main" count="680" uniqueCount="71">
  <si>
    <t>指 数 オ プ シ ョ ン 取 引 取 引 状 況（日別）</t>
    <rPh eb="1" sb="0">
      <t>ユビ</t>
    </rPh>
    <rPh eb="3" sb="2">
      <t>カズ</t>
    </rPh>
    <rPh eb="15" sb="14">
      <t>トリ</t>
    </rPh>
    <rPh eb="17" sb="16">
      <t>イン</t>
    </rPh>
    <rPh eb="19" sb="18">
      <t>トリ</t>
    </rPh>
    <rPh eb="21" sb="20">
      <t>イン</t>
    </rPh>
    <rPh eb="23" sb="22">
      <t>ジョウ</t>
    </rPh>
    <rPh eb="25" sb="24">
      <t>キョウ</t>
    </rPh>
    <rPh eb="27" sb="26">
      <t>ヒ</t>
    </rPh>
    <rPh eb="28" sb="27">
      <t>ベツ</t>
    </rPh>
    <phoneticPr fontId="5"/>
  </si>
  <si>
    <t>Trading of Index Options (Daily)</t>
    <phoneticPr fontId="5"/>
  </si>
  <si>
    <t>（注）  1．◎は最高、 ●は最低を示す。　2．ギブ･アップ数量は売と買の合計数量　　Note： 1．◎ indicates highest and ● indicates lowest.　2．Give-Up Volume means total amount of the buying and selling.</t>
    <phoneticPr fontId="5"/>
  </si>
  <si>
    <t>（単位 units. 円 ￥.）</t>
    <phoneticPr fontId="5"/>
  </si>
  <si>
    <t>月日</t>
  </si>
  <si>
    <t>商品等</t>
    <rPh eb="2" sb="0">
      <t>ショウヒン</t>
    </rPh>
    <rPh eb="3" sb="2">
      <t>ナド</t>
    </rPh>
    <phoneticPr fontId="5"/>
  </si>
  <si>
    <t>Products</t>
    <phoneticPr fontId="5"/>
  </si>
  <si>
    <t>取　引　高</t>
    <phoneticPr fontId="5"/>
  </si>
  <si>
    <t>取　引　高</t>
  </si>
  <si>
    <t>取　　　引　　　金　　　額</t>
    <phoneticPr fontId="5"/>
  </si>
  <si>
    <t>権　　利　　行　　使　　数　　量</t>
    <phoneticPr fontId="5"/>
  </si>
  <si>
    <t>ギ　ブ　・　ア　ッ　プ　数　量</t>
    <phoneticPr fontId="5"/>
  </si>
  <si>
    <t>建　　玉　　現　　在　　高</t>
    <phoneticPr fontId="5"/>
  </si>
  <si>
    <t>プットオプション</t>
    <phoneticPr fontId="5"/>
  </si>
  <si>
    <t>コールオプション</t>
    <phoneticPr fontId="5"/>
  </si>
  <si>
    <t>合計</t>
    <rPh eb="2" sb="0">
      <t>ゴウケイ</t>
    </rPh>
    <phoneticPr fontId="5"/>
  </si>
  <si>
    <t>合計</t>
    <phoneticPr fontId="5"/>
  </si>
  <si>
    <t>Date</t>
  </si>
  <si>
    <t>Trading Volume</t>
    <phoneticPr fontId="5"/>
  </si>
  <si>
    <t>Trading Value</t>
    <phoneticPr fontId="5"/>
  </si>
  <si>
    <t>Contracts Exercised</t>
    <phoneticPr fontId="5"/>
  </si>
  <si>
    <t>Give Up Volume</t>
    <phoneticPr fontId="5"/>
  </si>
  <si>
    <t>Open Interest</t>
    <phoneticPr fontId="5"/>
  </si>
  <si>
    <t>Put Options</t>
    <phoneticPr fontId="5"/>
  </si>
  <si>
    <t>Call Options</t>
    <phoneticPr fontId="5"/>
  </si>
  <si>
    <t>Total</t>
    <phoneticPr fontId="5"/>
  </si>
  <si>
    <t>6.1</t>
  </si>
  <si>
    <t>日経225オプション</t>
  </si>
  <si>
    <t>Nikkei 225 Options</t>
  </si>
  <si>
    <t>2</t>
  </si>
  <si>
    <t>3</t>
  </si>
  <si>
    <t>●</t>
  </si>
  <si>
    <t>4</t>
  </si>
  <si>
    <t>5</t>
  </si>
  <si>
    <t>6</t>
  </si>
  <si>
    <t>7</t>
  </si>
  <si>
    <t>◎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</si>
  <si>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</si>
  <si>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</si>
  <si>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</si>
  <si>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</si>
  <si>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</si>
  <si>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</si>
  <si>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</si>
  <si>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</si>
  <si>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</si>
  <si>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</si>
  <si>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</si>
  <si>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</si>
  <si>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</si>
  <si>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</si>
  <si>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</si>
  <si>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</si>
  <si>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</si>
  <si>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</si>
  <si>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</si>
  <si>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</si>
  <si>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</si>
  <si>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</si>
  <si>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</si>
  <si>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日経225Weeklyオプション</t>
  </si>
  <si>
    <t>Nikkei 225 Weekly Options</t>
  </si>
  <si>
    <t>TOPIXオプション</t>
  </si>
  <si>
    <t>TOPIX Options</t>
  </si>
  <si>
    <t>JPX日経インデックス400オプション</t>
  </si>
  <si>
    <t>JPX-Nikkei Index 400 Options</t>
  </si>
  <si>
    <t>◎●</t>
  </si>
  <si>
    <t>東証銀行業株価指数オプション</t>
  </si>
  <si>
    <t>TOPIX Banks Index Options</t>
  </si>
  <si>
    <t>東証REIT指数オプション</t>
  </si>
  <si>
    <t>TSE REIT Index Options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</si>
</sst>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_);[Red]\(0\)"/>
    <numFmt numFmtId="178" formatCode="_-&quot;｣&quot;* #,##0_-;\-&quot;｣&quot;* #,##0_-;_-&quot;｣&quot;* &quot;-&quot;_-;_-@_-"/>
    <numFmt numFmtId="179" formatCode="_-&quot;｣&quot;* #,##0.00_-;\-&quot;｣&quot;* #,##0.00_-;_-&quot;｣&quot;* &quot;-&quot;??_-;_-@_-"/>
    <numFmt numFmtId="180" formatCode="&quot;$&quot;#,##0;[Red]\-&quot;$&quot;#,##0"/>
    <numFmt numFmtId="181" formatCode="&quot;$&quot;#,##0.00;[Red]\-&quot;$&quot;#,##0.00"/>
    <numFmt numFmtId="182" formatCode="0.00_)"/>
    <numFmt numFmtId="183" formatCode="0.00000"/>
    <numFmt numFmtId="184" formatCode="_(* #,##0_);_(* \(#,##0\);_(* &quot;-&quot;_);_(@_)"/>
    <numFmt numFmtId="185" formatCode="#,##0.0&quot;人月&quot;"/>
    <numFmt numFmtId="186" formatCode="_(&quot;$&quot;* #,##0.00_);_(&quot;$&quot;* \(#,##0.00\);_(&quot;$&quot;* &quot;-&quot;??_);_(@_)"/>
    <numFmt numFmtId="187" formatCode="_(&quot;$&quot;* #,##0_);_(&quot;$&quot;* \(#,##0\);_(&quot;$&quot;* &quot;-&quot;_);_(@_)"/>
    <numFmt numFmtId="188" formatCode="0_)"/>
  </numFmts>
  <fonts count="94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indexed="8"/>
      <name val="ＭＳ Ｐゴシック"/>
      <family val="2"/>
      <scheme val="minor"/>
    </font>
    <font>
      <sz val="20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11"/>
      <name val="ＭＳ Ｐゴシック"/>
      <family val="2"/>
      <scheme val="minor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9"/>
      <name val="ＭＳ Ｐゴシック"/>
      <family val="3"/>
      <charset val="128"/>
    </font>
    <font>
      <sz val="10"/>
      <color indexed="8"/>
      <name val="MS Sans Serif"/>
      <family val="2"/>
    </font>
    <font>
      <sz val="10"/>
      <color indexed="8"/>
      <name val="Arial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2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i/>
      <sz val="16"/>
      <name val="Helv"/>
      <family val="2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name val="明朝"/>
      <family val="1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strike/>
      <sz val="11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0"/>
      <name val="Courier"/>
      <family val="3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</fonts>
  <fills count="2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</fills>
  <borders count="50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/>
      <right style="thin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 style="thin">
        <color indexed="64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hair">
        <color rgb="FF000000"/>
      </left>
      <right/>
      <top style="hair">
        <color rgb="FF000000"/>
      </top>
      <bottom style="thin">
        <color rgb="FF000000"/>
      </bottom>
      <diagonal/>
    </border>
    <border>
      <left/>
      <right style="hair">
        <color indexed="64"/>
      </right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hair">
        <color indexed="64"/>
      </right>
      <top/>
      <bottom style="thin">
        <color rgb="FF000000"/>
      </bottom>
      <diagonal/>
    </border>
    <border>
      <left/>
      <right/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indexed="64"/>
      </right>
      <top style="thin">
        <color rgb="FF000000"/>
      </top>
      <bottom style="thin">
        <color rgb="FF000000"/>
      </bottom>
      <diagonal/>
    </border>
    <border>
      <left/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/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940">
    <xf borderId="0" fillId="0" fontId="0" numFmtId="0">
      <alignment vertical="center"/>
    </xf>
    <xf borderId="0" fillId="0" fontId="2" numFmtId="0">
      <alignment vertical="center"/>
    </xf>
    <xf borderId="0" fillId="0" fontId="7" numFmtId="0"/>
    <xf applyAlignment="0" applyBorder="0" applyFill="0" applyFont="0" applyProtection="0" borderId="0" fillId="0" fontId="9" numFmtId="9"/>
    <xf borderId="0" fillId="0" fontId="12" numFmtId="0"/>
    <xf borderId="0" fillId="0" fontId="7" numFmtId="0"/>
    <xf applyAlignment="0" applyBorder="0" applyNumberFormat="0" applyProtection="0" borderId="0" fillId="3" fontId="13" numFmtId="0"/>
    <xf applyAlignment="0" applyBorder="0" applyNumberFormat="0" applyProtection="0" borderId="0" fillId="4" fontId="13" numFmtId="0"/>
    <xf applyAlignment="0" applyBorder="0" applyNumberFormat="0" applyProtection="0" borderId="0" fillId="5" fontId="13" numFmtId="0"/>
    <xf applyAlignment="0" applyBorder="0" applyNumberFormat="0" applyProtection="0" borderId="0" fillId="6" fontId="13" numFmtId="0"/>
    <xf applyAlignment="0" applyBorder="0" applyNumberFormat="0" applyProtection="0" borderId="0" fillId="7" fontId="13" numFmtId="0"/>
    <xf applyAlignment="0" applyBorder="0" applyNumberFormat="0" applyProtection="0" borderId="0" fillId="8" fontId="13" numFmtId="0"/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9" fontId="13" numFmtId="0"/>
    <xf applyAlignment="0" applyBorder="0" applyNumberFormat="0" applyProtection="0" borderId="0" fillId="10" fontId="13" numFmtId="0"/>
    <xf applyAlignment="0" applyBorder="0" applyNumberFormat="0" applyProtection="0" borderId="0" fillId="11" fontId="13" numFmtId="0"/>
    <xf applyAlignment="0" applyBorder="0" applyNumberFormat="0" applyProtection="0" borderId="0" fillId="6" fontId="13" numFmtId="0"/>
    <xf applyAlignment="0" applyBorder="0" applyNumberFormat="0" applyProtection="0" borderId="0" fillId="9" fontId="13" numFmtId="0"/>
    <xf applyAlignment="0" applyBorder="0" applyNumberFormat="0" applyProtection="0" borderId="0" fillId="12" fontId="13" numFmtId="0"/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3" fontId="15" numFmtId="0"/>
    <xf applyAlignment="0" applyBorder="0" applyNumberFormat="0" applyProtection="0" borderId="0" fillId="10" fontId="15" numFmtId="0"/>
    <xf applyAlignment="0" applyBorder="0" applyNumberFormat="0" applyProtection="0" borderId="0" fillId="11" fontId="15" numFmtId="0"/>
    <xf applyAlignment="0" applyBorder="0" applyNumberFormat="0" applyProtection="0" borderId="0" fillId="14" fontId="15" numFmtId="0"/>
    <xf applyAlignment="0" applyBorder="0" applyNumberFormat="0" applyProtection="0" borderId="0" fillId="15" fontId="15" numFmtId="0"/>
    <xf applyAlignment="0" applyBorder="0" applyNumberFormat="0" applyProtection="0" borderId="0" fillId="16" fontId="15" numFmtId="0"/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7" fontId="15" numFmtId="0"/>
    <xf applyAlignment="0" applyBorder="0" applyNumberFormat="0" applyProtection="0" borderId="0" fillId="18" fontId="15" numFmtId="0"/>
    <xf applyAlignment="0" applyBorder="0" applyNumberFormat="0" applyProtection="0" borderId="0" fillId="19" fontId="15" numFmtId="0"/>
    <xf applyAlignment="0" applyBorder="0" applyNumberFormat="0" applyProtection="0" borderId="0" fillId="14" fontId="15" numFmtId="0"/>
    <xf applyAlignment="0" applyBorder="0" applyNumberFormat="0" applyProtection="0" borderId="0" fillId="15" fontId="15" numFmtId="0"/>
    <xf applyAlignment="0" applyBorder="0" applyNumberFormat="0" applyProtection="0" borderId="0" fillId="20" fontId="15" numFmtId="0"/>
    <xf borderId="0" fillId="0" fontId="17" numFmtId="0">
      <alignment horizontal="center" wrapText="1"/>
      <protection locked="0"/>
    </xf>
    <xf borderId="0" fillId="0" fontId="18" numFmtId="0"/>
    <xf applyAlignment="0" applyBorder="0" applyNumberFormat="0" applyProtection="0" borderId="0" fillId="4" fontId="19" numFmtId="0"/>
    <xf applyAlignment="0" applyBorder="0" applyFill="0" applyNumberFormat="0" applyProtection="0" borderId="0" fillId="0" fontId="20" numFmtId="0"/>
    <xf applyAlignment="0" applyBorder="0" applyFill="0" borderId="0" fillId="0" fontId="13" numFmtId="176"/>
    <xf applyAlignment="0" applyBorder="0" applyFill="0" borderId="0" fillId="0" fontId="8" numFmtId="177"/>
    <xf applyAlignment="0" applyNumberFormat="0" applyProtection="0" borderId="37" fillId="21" fontId="21" numFmtId="0"/>
    <xf applyAlignment="0" applyNumberFormat="0" applyProtection="0" borderId="37" fillId="21" fontId="21" numFmtId="0"/>
    <xf applyAlignment="0" applyNumberFormat="0" applyProtection="0" borderId="37" fillId="21" fontId="21" numFmtId="0"/>
    <xf applyAlignment="0" applyNumberFormat="0" applyProtection="0" borderId="37" fillId="21" fontId="21" numFmtId="0"/>
    <xf applyAlignment="0" applyNumberFormat="0" applyProtection="0" borderId="37" fillId="21" fontId="21" numFmtId="0"/>
    <xf applyAlignment="0" applyNumberFormat="0" applyProtection="0" borderId="37" fillId="21" fontId="21" numFmtId="0"/>
    <xf applyAlignment="0" applyNumberFormat="0" applyProtection="0" borderId="37" fillId="21" fontId="21" numFmtId="0"/>
    <xf applyAlignment="0" applyNumberFormat="0" applyProtection="0" borderId="37" fillId="21" fontId="21" numFmtId="0"/>
    <xf applyAlignment="0" applyNumberFormat="0" applyProtection="0" borderId="37" fillId="21" fontId="21" numFmtId="0"/>
    <xf applyAlignment="0" applyNumberFormat="0" applyProtection="0" borderId="37" fillId="21" fontId="21" numFmtId="0"/>
    <xf applyAlignment="0" applyNumberFormat="0" applyProtection="0" borderId="37" fillId="21" fontId="21" numFmtId="0"/>
    <xf applyAlignment="0" applyNumberFormat="0" applyProtection="0" borderId="37" fillId="21" fontId="21" numFmtId="0"/>
    <xf applyAlignment="0" applyNumberFormat="0" applyProtection="0" borderId="37" fillId="21" fontId="21" numFmtId="0"/>
    <xf applyAlignment="0" applyNumberFormat="0" applyProtection="0" borderId="37" fillId="21" fontId="21" numFmtId="0"/>
    <xf applyAlignment="0" applyNumberFormat="0" applyProtection="0" borderId="37" fillId="21" fontId="21" numFmtId="0"/>
    <xf applyAlignment="0" applyNumberFormat="0" applyProtection="0" borderId="37" fillId="21" fontId="21" numFmtId="0"/>
    <xf applyAlignment="0" applyNumberFormat="0" applyProtection="0" borderId="38" fillId="22" fontId="22" numFmtId="0"/>
    <xf borderId="0" fillId="0" fontId="23" numFmtId="0">
      <alignment vertical="top" wrapText="1"/>
    </xf>
    <xf applyAlignment="0" applyBorder="0" applyFill="0" applyFont="0" applyProtection="0" borderId="0" fillId="0" fontId="24" numFmtId="41"/>
    <xf applyAlignment="0" applyBorder="0" applyFill="0" applyFont="0" applyProtection="0" borderId="0" fillId="0" fontId="24" numFmtId="43"/>
    <xf applyAlignment="0" applyBorder="0" applyFill="0" applyFont="0" applyProtection="0" borderId="0" fillId="0" fontId="24" numFmtId="178"/>
    <xf applyAlignment="0" applyBorder="0" applyFill="0" applyFont="0" applyProtection="0" borderId="0" fillId="0" fontId="24" numFmtId="179"/>
    <xf borderId="0" fillId="0" fontId="25" numFmtId="0">
      <alignment horizontal="left"/>
    </xf>
    <xf applyAlignment="0" applyBorder="0" applyFill="0" applyNumberFormat="0" applyProtection="0" borderId="0" fillId="0" fontId="26" numFmtId="0"/>
    <xf applyAlignment="0" applyBorder="0" applyNumberFormat="0" applyProtection="0" borderId="0" fillId="5" fontId="27" numFmtId="0"/>
    <xf applyAlignment="0" applyBorder="0" applyNumberFormat="0" applyProtection="0" borderId="0" fillId="23" fontId="28" numFmtId="38"/>
    <xf borderId="0" fillId="24" fontId="29" numFmtId="0"/>
    <xf applyAlignment="0" applyNumberFormat="0" applyProtection="0" borderId="39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applyAlignment="0" applyFill="0" applyNumberFormat="0" applyProtection="0" borderId="40" fillId="0" fontId="31" numFmtId="0"/>
    <xf applyAlignment="0" applyFill="0" applyNumberFormat="0" applyProtection="0" borderId="41" fillId="0" fontId="32" numFmtId="0"/>
    <xf applyAlignment="0" applyFill="0" applyNumberFormat="0" applyProtection="0" borderId="42" fillId="0" fontId="33" numFmtId="0"/>
    <xf applyAlignment="0" applyBorder="0" applyFill="0" applyNumberFormat="0" applyProtection="0" borderId="0" fillId="0" fontId="33" numFmtId="0"/>
    <xf applyBorder="0" borderId="0" fillId="0" fontId="8" numFmtId="0"/>
    <xf applyAlignment="0" applyNumberFormat="0" applyProtection="0" borderId="37" fillId="8" fontId="34" numFmtId="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borderId="0" fillId="0" fontId="8" numFmtId="0"/>
    <xf applyAlignment="0" applyFill="0" applyNumberFormat="0" applyProtection="0" borderId="44" fillId="0" fontId="35" numFmtId="0"/>
    <xf applyAlignment="0" applyBorder="0" applyFill="0" applyFont="0" applyProtection="0" borderId="0" fillId="0" fontId="36" numFmtId="38"/>
    <xf applyAlignment="0" applyBorder="0" applyFill="0" applyFont="0" applyProtection="0" borderId="0" fillId="0" fontId="36" numFmtId="40"/>
    <xf applyAlignment="0" applyBorder="0" applyFill="0" applyFont="0" applyProtection="0" borderId="0" fillId="0" fontId="36" numFmtId="180"/>
    <xf applyAlignment="0" applyBorder="0" applyFill="0" applyFont="0" applyProtection="0" borderId="0" fillId="0" fontId="36" numFmtId="181"/>
    <xf applyAlignment="0" applyBorder="0" applyNumberFormat="0" applyProtection="0" borderId="0" fillId="26" fontId="37" numFmtId="0"/>
    <xf borderId="0" fillId="0" fontId="38" numFmtId="37"/>
    <xf borderId="0" fillId="0" fontId="39" numFmtId="182"/>
    <xf borderId="0" fillId="0" fontId="8" numFmtId="183"/>
    <xf borderId="0" fillId="0" fontId="8" numFmtId="183"/>
    <xf borderId="0" fillId="0" fontId="39" numFmtId="182"/>
    <xf borderId="0" fillId="0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NumberFormat="0" applyProtection="0" borderId="46" fillId="21" fontId="40" numFmtId="0"/>
    <xf applyAlignment="0" applyNumberFormat="0" applyProtection="0" borderId="46" fillId="21" fontId="40" numFmtId="0"/>
    <xf applyAlignment="0" applyNumberFormat="0" applyProtection="0" borderId="46" fillId="21" fontId="40" numFmtId="0"/>
    <xf applyAlignment="0" applyNumberFormat="0" applyProtection="0" borderId="46" fillId="21" fontId="40" numFmtId="0"/>
    <xf applyAlignment="0" applyNumberFormat="0" applyProtection="0" borderId="46" fillId="21" fontId="40" numFmtId="0"/>
    <xf applyAlignment="0" applyNumberFormat="0" applyProtection="0" borderId="46" fillId="21" fontId="40" numFmtId="0"/>
    <xf applyAlignment="0" applyNumberFormat="0" applyProtection="0" borderId="46" fillId="21" fontId="40" numFmtId="0"/>
    <xf applyAlignment="0" applyNumberFormat="0" applyProtection="0" borderId="46" fillId="21" fontId="40" numFmtId="0"/>
    <xf applyAlignment="0" applyNumberFormat="0" applyProtection="0" borderId="46" fillId="21" fontId="40" numFmtId="0"/>
    <xf applyAlignment="0" applyNumberFormat="0" applyProtection="0" borderId="46" fillId="21" fontId="40" numFmtId="0"/>
    <xf applyAlignment="0" applyNumberFormat="0" applyProtection="0" borderId="46" fillId="21" fontId="40" numFmtId="0"/>
    <xf applyAlignment="0" applyNumberFormat="0" applyProtection="0" borderId="46" fillId="21" fontId="40" numFmtId="0"/>
    <xf applyAlignment="0" applyNumberFormat="0" applyProtection="0" borderId="46" fillId="21" fontId="40" numFmtId="0"/>
    <xf applyAlignment="0" applyNumberFormat="0" applyProtection="0" borderId="46" fillId="21" fontId="40" numFmtId="0"/>
    <xf applyAlignment="0" applyNumberFormat="0" applyProtection="0" borderId="46" fillId="21" fontId="40" numFmtId="0"/>
    <xf borderId="0" fillId="0" fontId="17" numFmtId="14">
      <alignment horizontal="center" wrapText="1"/>
      <protection locked="0"/>
    </xf>
    <xf applyAlignment="0" applyBorder="0" applyFill="0" applyFont="0" applyProtection="0" borderId="0" fillId="0" fontId="24" numFmtId="10"/>
    <xf borderId="0" fillId="0" fontId="25" numFmtId="4">
      <alignment horizontal="right"/>
    </xf>
    <xf applyAlignment="0" applyBorder="0" applyFill="0" applyFont="0" applyNumberFormat="0" applyProtection="0" borderId="0" fillId="0" fontId="41" numFmtId="0">
      <alignment horizontal="left"/>
    </xf>
    <xf borderId="47" fillId="0" fontId="42" numFmtId="0">
      <alignment horizontal="center"/>
    </xf>
    <xf applyAlignment="0" applyBorder="0" applyFill="0" applyFont="0" applyNumberFormat="0" borderId="0" fillId="0" fontId="43" numFmtId="0"/>
    <xf borderId="0" fillId="0" fontId="44" numFmtId="4">
      <alignment horizontal="right"/>
    </xf>
    <xf borderId="0" fillId="0" fontId="45" numFmtId="0">
      <alignment horizontal="left"/>
    </xf>
    <xf borderId="0" fillId="0" fontId="46" numFmtId="0"/>
    <xf borderId="0" fillId="0" fontId="47" numFmtId="0">
      <alignment horizontal="center"/>
    </xf>
    <xf applyAlignment="0" applyFill="0" applyNumberFormat="0" applyProtection="0" borderId="48" fillId="0" fontId="48" numFmtId="0"/>
    <xf applyAlignment="0" applyFill="0" applyNumberFormat="0" applyProtection="0" borderId="48" fillId="0" fontId="48" numFmtId="0"/>
    <xf applyAlignment="0" applyFill="0" applyNumberFormat="0" applyProtection="0" borderId="48" fillId="0" fontId="48" numFmtId="0"/>
    <xf applyAlignment="0" applyFill="0" applyNumberFormat="0" applyProtection="0" borderId="48" fillId="0" fontId="48" numFmtId="0"/>
    <xf applyAlignment="0" applyFill="0" applyNumberFormat="0" applyProtection="0" borderId="48" fillId="0" fontId="48" numFmtId="0"/>
    <xf applyAlignment="0" applyFill="0" applyNumberFormat="0" applyProtection="0" borderId="48" fillId="0" fontId="48" numFmtId="0"/>
    <xf applyAlignment="0" applyFill="0" applyNumberFormat="0" applyProtection="0" borderId="48" fillId="0" fontId="48" numFmtId="0"/>
    <xf applyAlignment="0" applyFill="0" applyNumberFormat="0" applyProtection="0" borderId="48" fillId="0" fontId="48" numFmtId="0"/>
    <xf applyAlignment="0" applyFill="0" applyNumberFormat="0" applyProtection="0" borderId="48" fillId="0" fontId="48" numFmtId="0"/>
    <xf applyAlignment="0" applyFill="0" applyNumberFormat="0" applyProtection="0" borderId="48" fillId="0" fontId="48" numFmtId="0"/>
    <xf applyAlignment="0" applyFill="0" applyNumberFormat="0" applyProtection="0" borderId="48" fillId="0" fontId="48" numFmtId="0"/>
    <xf applyAlignment="0" applyFill="0" applyNumberFormat="0" applyProtection="0" borderId="48" fillId="0" fontId="48" numFmtId="0"/>
    <xf applyAlignment="0" applyFill="0" applyNumberFormat="0" applyProtection="0" borderId="48" fillId="0" fontId="48" numFmtId="0"/>
    <xf applyAlignment="0" applyFill="0" applyNumberFormat="0" applyProtection="0" borderId="48" fillId="0" fontId="48" numFmtId="0"/>
    <xf applyAlignment="0" applyFill="0" applyNumberFormat="0" applyProtection="0" borderId="48" fillId="0" fontId="48" numFmtId="0"/>
    <xf applyAlignment="0" applyBorder="0" applyFill="0" applyNumberFormat="0" applyProtection="0" borderId="0" fillId="0" fontId="49" numFmtId="0"/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borderId="0" fillId="0" fontId="50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NumberFormat="0" applyProtection="0" borderId="38" fillId="22" fontId="52" numFmtId="0">
      <alignment vertical="center"/>
    </xf>
    <xf applyAlignment="0" applyNumberFormat="0" applyProtection="0" borderId="38" fillId="22" fontId="52" numFmtId="0">
      <alignment vertical="center"/>
    </xf>
    <xf applyAlignment="0" applyNumberFormat="0" applyProtection="0" borderId="38" fillId="22" fontId="52" numFmtId="0">
      <alignment vertical="center"/>
    </xf>
    <xf applyAlignment="0" applyNumberFormat="0" applyProtection="0" borderId="38" fillId="22" fontId="52" numFmtId="0">
      <alignment vertical="center"/>
    </xf>
    <xf applyAlignment="0" applyNumberFormat="0" applyProtection="0" borderId="38" fillId="22" fontId="52" numFmtId="0">
      <alignment vertical="center"/>
    </xf>
    <xf applyAlignment="0" applyNumberFormat="0" applyProtection="0" borderId="38" fillId="22" fontId="52" numFmtId="0">
      <alignment vertical="center"/>
    </xf>
    <xf applyAlignment="0" applyNumberFormat="0" applyProtection="0" borderId="38" fillId="22" fontId="52" numFmtId="0">
      <alignment vertical="center"/>
    </xf>
    <xf applyAlignment="0" applyNumberFormat="0" applyProtection="0" borderId="38" fillId="22" fontId="52" numFmtId="0">
      <alignment vertical="center"/>
    </xf>
    <xf borderId="0" fillId="0" fontId="53" numFmtId="0"/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Fill="0" applyFont="0" applyProtection="0" borderId="0" fillId="0" fontId="7" numFmtId="9"/>
    <xf applyAlignment="0" applyBorder="0" applyFill="0" applyFont="0" applyProtection="0" borderId="0" fillId="0" fontId="7" numFmtId="9">
      <alignment vertical="center"/>
    </xf>
    <xf applyAlignment="0" applyBorder="0" applyFill="0" applyFont="0" applyProtection="0" borderId="0" fillId="0" fontId="7" numFmtId="9"/>
    <xf applyAlignment="0" applyBorder="0" applyFill="0" applyNumberFormat="0" applyProtection="0" borderId="0" fillId="0" fontId="55" numFmtId="0">
      <alignment vertical="top"/>
      <protection locked="0"/>
    </xf>
    <xf applyAlignment="0" applyBorder="0" applyFill="0" applyNumberFormat="0" applyProtection="0" borderId="0" fillId="0" fontId="56" numFmtId="0">
      <alignment vertical="top"/>
      <protection locked="0"/>
    </xf>
    <xf applyAlignment="0" applyBorder="0" applyFill="0" applyNumberFormat="0" applyProtection="0" borderId="0" fillId="0" fontId="55" numFmtId="0">
      <alignment vertical="top"/>
      <protection locked="0"/>
    </xf>
    <xf applyAlignment="0" applyBorder="0" applyFill="0" applyNumberFormat="0" applyProtection="0" borderId="0" fillId="0" fontId="57" numFmtId="0">
      <alignment vertical="top"/>
      <protection locked="0"/>
    </xf>
    <xf applyAlignment="0" applyFont="0" applyNumberFormat="0" applyProtection="0" borderId="1" fillId="2" fontId="1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8" numFmtId="0">
      <alignment vertical="center"/>
    </xf>
    <xf applyAlignment="0" applyFont="0" applyNumberFormat="0" applyProtection="0" borderId="45" fillId="27" fontId="8" numFmtId="0">
      <alignment vertical="center"/>
    </xf>
    <xf applyAlignment="0" applyFont="0" applyNumberFormat="0" applyProtection="0" borderId="45" fillId="27" fontId="8" numFmtId="0">
      <alignment vertical="center"/>
    </xf>
    <xf applyAlignment="0" applyFont="0" applyNumberFormat="0" applyProtection="0" borderId="45" fillId="27" fontId="8" numFmtId="0">
      <alignment vertical="center"/>
    </xf>
    <xf applyAlignment="0" applyFont="0" applyNumberFormat="0" applyProtection="0" borderId="45" fillId="27" fontId="8" numFmtId="0">
      <alignment vertical="center"/>
    </xf>
    <xf applyAlignment="0" applyFont="0" applyNumberFormat="0" applyProtection="0" borderId="45" fillId="27" fontId="8" numFmtId="0">
      <alignment vertical="center"/>
    </xf>
    <xf applyAlignment="0" applyFont="0" applyNumberFormat="0" applyProtection="0" borderId="45" fillId="27" fontId="8" numFmtId="0">
      <alignment vertical="center"/>
    </xf>
    <xf applyAlignment="0" applyFont="0" applyNumberFormat="0" applyProtection="0" borderId="45" fillId="27" fontId="8" numFmtId="0">
      <alignment vertical="center"/>
    </xf>
    <xf applyAlignment="0" applyFont="0" applyNumberFormat="0" applyProtection="0" borderId="45" fillId="27" fontId="8" numFmtId="0">
      <alignment vertical="center"/>
    </xf>
    <xf applyAlignment="0" applyFont="0" applyNumberFormat="0" applyProtection="0" borderId="45" fillId="27" fontId="8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8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ill="0" applyNumberFormat="0" applyProtection="0" borderId="44" fillId="0" fontId="58" numFmtId="0">
      <alignment vertical="center"/>
    </xf>
    <xf applyAlignment="0" applyFill="0" applyNumberFormat="0" applyProtection="0" borderId="44" fillId="0" fontId="58" numFmtId="0">
      <alignment vertical="center"/>
    </xf>
    <xf applyAlignment="0" applyFill="0" applyNumberFormat="0" applyProtection="0" borderId="44" fillId="0" fontId="58" numFmtId="0">
      <alignment vertical="center"/>
    </xf>
    <xf applyAlignment="0" applyFill="0" applyNumberFormat="0" applyProtection="0" borderId="44" fillId="0" fontId="58" numFmtId="0">
      <alignment vertical="center"/>
    </xf>
    <xf applyAlignment="0" applyFill="0" applyNumberFormat="0" applyProtection="0" borderId="44" fillId="0" fontId="58" numFmtId="0">
      <alignment vertical="center"/>
    </xf>
    <xf applyAlignment="0" applyFill="0" applyNumberFormat="0" applyProtection="0" borderId="44" fillId="0" fontId="58" numFmtId="0">
      <alignment vertical="center"/>
    </xf>
    <xf applyAlignment="0" applyFill="0" applyNumberFormat="0" applyProtection="0" borderId="44" fillId="0" fontId="58" numFmtId="0">
      <alignment vertical="center"/>
    </xf>
    <xf applyAlignment="0" applyFill="0" applyNumberFormat="0" applyProtection="0" borderId="44" fillId="0" fontId="58" numFmtId="0">
      <alignment vertical="center"/>
    </xf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Font="0" applyProtection="0" borderId="0" fillId="0" fontId="24" numFmtId="43"/>
    <xf applyAlignment="0" applyBorder="0" applyFill="0" applyFont="0" applyProtection="0" borderId="0" fillId="0" fontId="63" numFmtId="38"/>
    <xf applyAlignment="0" applyBorder="0" applyFill="0" applyFont="0" applyProtection="0" borderId="0" fillId="0" fontId="7" numFmtId="38"/>
    <xf applyAlignment="0" applyBorder="0" applyFill="0" applyFont="0" applyProtection="0" borderId="0" fillId="0" fontId="64" numFmtId="38">
      <alignment vertical="center"/>
    </xf>
    <xf applyAlignment="0" applyBorder="0" applyFill="0" applyFont="0" applyProtection="0" borderId="0" fillId="0" fontId="65" numFmtId="38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65" numFmtId="38"/>
    <xf applyAlignment="0" applyBorder="0" applyFill="0" applyFont="0" applyProtection="0" borderId="0" fillId="0" fontId="7" numFmtId="38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24" numFmtId="184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7" numFmtId="38"/>
    <xf applyAlignment="0" applyFill="0" applyNumberFormat="0" applyProtection="0" borderId="40" fillId="0" fontId="67" numFmtId="0">
      <alignment vertical="center"/>
    </xf>
    <xf applyAlignment="0" applyFill="0" applyNumberFormat="0" applyProtection="0" borderId="40" fillId="0" fontId="67" numFmtId="0">
      <alignment vertical="center"/>
    </xf>
    <xf applyAlignment="0" applyFill="0" applyNumberFormat="0" applyProtection="0" borderId="40" fillId="0" fontId="67" numFmtId="0">
      <alignment vertical="center"/>
    </xf>
    <xf applyAlignment="0" applyFill="0" applyNumberFormat="0" applyProtection="0" borderId="40" fillId="0" fontId="67" numFmtId="0">
      <alignment vertical="center"/>
    </xf>
    <xf applyAlignment="0" applyFill="0" applyNumberFormat="0" applyProtection="0" borderId="40" fillId="0" fontId="67" numFmtId="0">
      <alignment vertical="center"/>
    </xf>
    <xf applyAlignment="0" applyFill="0" applyNumberFormat="0" applyProtection="0" borderId="40" fillId="0" fontId="67" numFmtId="0">
      <alignment vertical="center"/>
    </xf>
    <xf applyAlignment="0" applyFill="0" applyNumberFormat="0" applyProtection="0" borderId="40" fillId="0" fontId="67" numFmtId="0">
      <alignment vertical="center"/>
    </xf>
    <xf applyAlignment="0" applyFill="0" applyNumberFormat="0" applyProtection="0" borderId="40" fillId="0" fontId="67" numFmtId="0">
      <alignment vertical="center"/>
    </xf>
    <xf applyAlignment="0" applyFill="0" applyNumberFormat="0" applyProtection="0" borderId="41" fillId="0" fontId="68" numFmtId="0">
      <alignment vertical="center"/>
    </xf>
    <xf applyAlignment="0" applyFill="0" applyNumberFormat="0" applyProtection="0" borderId="41" fillId="0" fontId="68" numFmtId="0">
      <alignment vertical="center"/>
    </xf>
    <xf applyAlignment="0" applyFill="0" applyNumberFormat="0" applyProtection="0" borderId="41" fillId="0" fontId="68" numFmtId="0">
      <alignment vertical="center"/>
    </xf>
    <xf applyAlignment="0" applyFill="0" applyNumberFormat="0" applyProtection="0" borderId="41" fillId="0" fontId="68" numFmtId="0">
      <alignment vertical="center"/>
    </xf>
    <xf applyAlignment="0" applyFill="0" applyNumberFormat="0" applyProtection="0" borderId="41" fillId="0" fontId="68" numFmtId="0">
      <alignment vertical="center"/>
    </xf>
    <xf applyAlignment="0" applyFill="0" applyNumberFormat="0" applyProtection="0" borderId="41" fillId="0" fontId="68" numFmtId="0">
      <alignment vertical="center"/>
    </xf>
    <xf applyAlignment="0" applyFill="0" applyNumberFormat="0" applyProtection="0" borderId="41" fillId="0" fontId="68" numFmtId="0">
      <alignment vertical="center"/>
    </xf>
    <xf applyAlignment="0" applyFill="0" applyNumberFormat="0" applyProtection="0" borderId="41" fillId="0" fontId="68" numFmtId="0">
      <alignment vertical="center"/>
    </xf>
    <xf applyAlignment="0" applyFill="0" applyNumberFormat="0" applyProtection="0" borderId="42" fillId="0" fontId="69" numFmtId="0">
      <alignment vertical="center"/>
    </xf>
    <xf applyAlignment="0" applyFill="0" applyNumberFormat="0" applyProtection="0" borderId="42" fillId="0" fontId="69" numFmtId="0">
      <alignment vertical="center"/>
    </xf>
    <xf applyAlignment="0" applyFill="0" applyNumberFormat="0" applyProtection="0" borderId="42" fillId="0" fontId="69" numFmtId="0">
      <alignment vertical="center"/>
    </xf>
    <xf applyAlignment="0" applyFill="0" applyNumberFormat="0" applyProtection="0" borderId="42" fillId="0" fontId="69" numFmtId="0">
      <alignment vertical="center"/>
    </xf>
    <xf applyAlignment="0" applyFill="0" applyNumberFormat="0" applyProtection="0" borderId="42" fillId="0" fontId="69" numFmtId="0">
      <alignment vertical="center"/>
    </xf>
    <xf applyAlignment="0" applyFill="0" applyNumberFormat="0" applyProtection="0" borderId="42" fillId="0" fontId="69" numFmtId="0">
      <alignment vertical="center"/>
    </xf>
    <xf applyAlignment="0" applyFill="0" applyNumberFormat="0" applyProtection="0" borderId="42" fillId="0" fontId="69" numFmtId="0">
      <alignment vertical="center"/>
    </xf>
    <xf applyAlignment="0" applyFill="0" applyNumberFormat="0" applyProtection="0" borderId="42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borderId="0" fillId="0" fontId="70" numFmtId="0"/>
    <xf applyBorder="0" applyFill="0" applyNumberFormat="0" applyProtection="0" borderId="49" fillId="28" fontId="71" numFmtId="49"/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borderId="0" fillId="0" fontId="59" numFmtId="185"/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Font="0" applyProtection="0" borderId="0" fillId="0" fontId="24" numFmtId="186"/>
    <xf applyAlignment="0" applyBorder="0" applyFill="0" applyFont="0" applyProtection="0" borderId="0" fillId="0" fontId="24" numFmtId="187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7" numFmtId="6"/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75" numFmtId="6">
      <alignment vertical="center"/>
    </xf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7" numFmtId="6"/>
    <xf applyAlignment="0" applyBorder="0" applyFill="0" applyFont="0" applyProtection="0" borderId="0" fillId="0" fontId="8" numFmtId="6">
      <alignment vertical="center"/>
    </xf>
    <xf applyAlignment="0" applyBorder="0" applyFill="0" applyFont="0" applyProtection="0" borderId="0" fillId="0" fontId="7" numFmtId="6"/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borderId="0" fillId="0" fontId="77" numFmtId="0">
      <alignment vertical="center"/>
    </xf>
    <xf borderId="0" fillId="0" fontId="7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8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8" numFmtId="0">
      <alignment vertical="center"/>
    </xf>
    <xf borderId="0" fillId="0" fontId="78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4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9" numFmtId="0"/>
    <xf borderId="0" fillId="0" fontId="64" numFmtId="0">
      <alignment vertical="center"/>
    </xf>
    <xf borderId="0" fillId="0" fontId="9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66" numFmtId="0">
      <alignment vertical="center"/>
    </xf>
    <xf borderId="0" fillId="0" fontId="7" numFmtId="0"/>
    <xf borderId="0" fillId="0" fontId="79" numFmtId="0">
      <alignment vertical="center"/>
    </xf>
    <xf borderId="0" fillId="0" fontId="66" numFmtId="0">
      <alignment vertical="center"/>
    </xf>
    <xf borderId="0" fillId="0" fontId="7" numFmtId="0"/>
    <xf borderId="0" fillId="0" fontId="7" numFmtId="0"/>
    <xf borderId="0" fillId="0" fontId="7" numFmtId="0"/>
    <xf borderId="0" fillId="0" fontId="1" numFmtId="0">
      <alignment vertical="center"/>
    </xf>
    <xf borderId="0" fillId="0" fontId="8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/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/>
    <xf borderId="0" fillId="0" fontId="66" numFmtId="0"/>
    <xf borderId="0" fillId="0" fontId="66" numFmtId="0">
      <alignment vertical="center"/>
    </xf>
    <xf borderId="0" fillId="0" fontId="81" numFmtId="0">
      <alignment vertical="center"/>
    </xf>
    <xf borderId="0" fillId="0" fontId="66" numFmtId="0"/>
    <xf borderId="0" fillId="0" fontId="81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7" numFmtId="0">
      <alignment vertical="center"/>
    </xf>
    <xf borderId="0" fillId="0" fontId="7" numFmtId="0"/>
    <xf borderId="0" fillId="0" fontId="82" numFmtId="0">
      <alignment vertical="center"/>
    </xf>
    <xf borderId="0" fillId="0" fontId="7" numFmtId="0"/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9" numFmtId="0"/>
    <xf borderId="0" fillId="0" fontId="66" numFmtId="0">
      <alignment vertical="center"/>
    </xf>
    <xf borderId="0" fillId="0" fontId="66" numFmtId="0">
      <alignment vertical="center"/>
    </xf>
    <xf borderId="0" fillId="0" fontId="9" numFmtId="0"/>
    <xf borderId="0" fillId="0" fontId="64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/>
    <xf borderId="0" fillId="0" fontId="66" numFmtId="0">
      <alignment vertical="center"/>
    </xf>
    <xf borderId="0" fillId="0" fontId="7" numFmtId="0"/>
    <xf borderId="0" fillId="0" fontId="83" numFmtId="0"/>
    <xf borderId="0" fillId="0" fontId="66" numFmtId="0"/>
    <xf borderId="0" fillId="0" fontId="8" numFmtId="0">
      <alignment vertical="center"/>
    </xf>
    <xf borderId="0" fillId="0" fontId="66" numFmtId="0">
      <alignment vertical="center"/>
    </xf>
    <xf borderId="0" fillId="0" fontId="66" numFmtId="0"/>
    <xf borderId="0" fillId="0" fontId="7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77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9" numFmtId="0"/>
    <xf borderId="0" fillId="0" fontId="79" numFmtId="0">
      <alignment vertical="center"/>
    </xf>
    <xf borderId="0" fillId="0" fontId="9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7" numFmtId="0"/>
    <xf borderId="0" fillId="0" fontId="7" numFmtId="0"/>
    <xf borderId="0" fillId="0" fontId="14" numFmtId="0">
      <alignment vertical="center"/>
    </xf>
    <xf borderId="0" fillId="0" fontId="7" numFmtId="0"/>
    <xf borderId="0" fillId="0" fontId="66" numFmtId="0">
      <alignment vertical="center"/>
    </xf>
    <xf borderId="0" fillId="0" fontId="7" numFmtId="0"/>
    <xf borderId="0" fillId="0" fontId="66" numFmtId="0"/>
    <xf borderId="0" fillId="0" fontId="66" numFmtId="0"/>
    <xf borderId="0" fillId="0" fontId="7" numFmtId="0"/>
    <xf borderId="0" fillId="0" fontId="7" numFmtId="0">
      <alignment vertical="center"/>
    </xf>
    <xf borderId="0" fillId="0" fontId="64" numFmtId="0">
      <alignment vertical="center"/>
    </xf>
    <xf borderId="0" fillId="0" fontId="83" numFmtId="0"/>
    <xf borderId="0" fillId="0" fontId="64" numFmtId="0">
      <alignment vertical="center"/>
    </xf>
    <xf borderId="0" fillId="0" fontId="7" numFmtId="0"/>
    <xf borderId="0" fillId="0" fontId="7" numFmtId="0">
      <alignment vertical="center"/>
    </xf>
    <xf borderId="0" fillId="0" fontId="83" numFmtId="0"/>
    <xf borderId="0" fillId="0" fontId="7" numFmtId="0"/>
    <xf borderId="0" fillId="0" fontId="7" numFmtId="0"/>
    <xf borderId="0" fillId="0" fontId="83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83" numFmtId="0"/>
    <xf borderId="0" fillId="0" fontId="83" numFmtId="0"/>
    <xf borderId="0" fillId="0" fontId="7" numFmtId="0"/>
    <xf borderId="0" fillId="0" fontId="83" numFmtId="0"/>
    <xf borderId="0" fillId="0" fontId="14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84" numFmtId="0">
      <alignment vertical="center"/>
    </xf>
    <xf borderId="0" fillId="0" fontId="7" numFmtId="0"/>
    <xf borderId="0" fillId="0" fontId="7" numFmtId="0"/>
    <xf borderId="0" fillId="0" fontId="66" numFmtId="0"/>
    <xf borderId="0" fillId="0" fontId="66" numFmtId="0"/>
    <xf borderId="0" fillId="0" fontId="7" numFmtId="0"/>
    <xf borderId="0" fillId="0" fontId="7" numFmtId="0"/>
    <xf borderId="0" fillId="0" fontId="8" numFmtId="0">
      <alignment vertical="center"/>
    </xf>
    <xf borderId="0" fillId="0" fontId="7" numFmtId="0"/>
    <xf borderId="0" fillId="0" fontId="7" numFmtId="0"/>
    <xf borderId="0" fillId="0" fontId="66" numFmtId="0">
      <alignment vertical="center"/>
    </xf>
    <xf borderId="0" fillId="0" fontId="7" numFmtId="0"/>
    <xf borderId="0" fillId="0" fontId="7" numFmtId="0"/>
    <xf borderId="0" fillId="0" fontId="66" numFmtId="0">
      <alignment vertical="center"/>
    </xf>
    <xf borderId="0" fillId="0" fontId="7" numFmtId="0"/>
    <xf borderId="0" fillId="0" fontId="7" numFmtId="0"/>
    <xf borderId="0" fillId="0" fontId="66" numFmtId="0">
      <alignment vertical="center"/>
    </xf>
    <xf borderId="0" fillId="0" fontId="7" numFmtId="0"/>
    <xf borderId="0" fillId="0" fontId="7" numFmtId="0"/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66" numFmtId="0">
      <alignment vertical="center"/>
    </xf>
    <xf borderId="0" fillId="0" fontId="66" numFmtId="0">
      <alignment vertical="center"/>
    </xf>
    <xf borderId="0" fillId="0" fontId="64" numFmtId="0"/>
    <xf borderId="0" fillId="0" fontId="7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85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8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82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1" numFmtId="0">
      <alignment vertical="center"/>
    </xf>
    <xf borderId="0" fillId="0" fontId="8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87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7" numFmtId="0"/>
    <xf borderId="0" fillId="0" fontId="7" numFmtId="0"/>
    <xf borderId="0" fillId="0" fontId="66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66" numFmtId="0">
      <alignment vertical="center"/>
    </xf>
    <xf borderId="0" fillId="0" fontId="66" numFmtId="0">
      <alignment vertical="center"/>
    </xf>
    <xf borderId="0" fillId="0" fontId="7" numFmtId="0"/>
    <xf borderId="0" fillId="0" fontId="66" numFmtId="0">
      <alignment vertical="center"/>
    </xf>
    <xf borderId="0" fillId="0" fontId="7" numFmtId="0"/>
    <xf borderId="0" fillId="0" fontId="7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82" numFmtId="0">
      <alignment vertical="center"/>
    </xf>
    <xf borderId="0" fillId="0" fontId="7" numFmtId="0"/>
    <xf borderId="0" fillId="0" fontId="7" numFmtId="0">
      <alignment vertical="center"/>
    </xf>
    <xf borderId="0" fillId="0" fontId="82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87" numFmtId="0">
      <alignment vertical="center"/>
    </xf>
    <xf borderId="0" fillId="0" fontId="87" numFmtId="0">
      <alignment vertical="center"/>
    </xf>
    <xf borderId="0" fillId="0" fontId="7" numFmtId="0">
      <alignment vertical="center"/>
    </xf>
    <xf borderId="0" fillId="0" fontId="8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9" numFmtId="0"/>
    <xf borderId="0" fillId="0" fontId="87" numFmtId="0">
      <alignment vertical="center"/>
    </xf>
    <xf borderId="0" fillId="0" fontId="9" numFmtId="0"/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8" numFmtId="0"/>
    <xf borderId="0" fillId="0" fontId="89" numFmtId="0"/>
    <xf borderId="0" fillId="0" fontId="53" numFmtId="0"/>
    <xf applyBorder="0" applyFill="0" borderId="0" fillId="0" fontId="77" numFmtId="49"/>
    <xf borderId="0" fillId="0" fontId="90" numFmtId="188"/>
    <xf borderId="0" fillId="0" fontId="91" numFmtId="0"/>
    <xf borderId="0" fillId="0" fontId="92" numFmtId="0"/>
    <xf borderId="0" fillId="0" fontId="91" numFmtId="0"/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borderId="0" fillId="0" fontId="7" numFmtId="0"/>
  </cellStyleXfs>
  <cellXfs count="53">
    <xf borderId="0" fillId="0" fontId="0" numFmtId="0" xfId="0">
      <alignment vertical="center"/>
    </xf>
    <xf applyFont="1" borderId="0" fillId="0" fontId="6" numFmtId="0" xfId="1">
      <alignment vertical="center"/>
    </xf>
    <xf applyAlignment="1" applyFont="1" borderId="0" fillId="0" fontId="11" numFmtId="0" xfId="2">
      <alignment vertical="center"/>
    </xf>
    <xf applyFont="1" borderId="0" fillId="0" fontId="9" numFmtId="0" xfId="1">
      <alignment vertical="center"/>
    </xf>
    <xf applyAlignment="1" applyFont="1" borderId="0" fillId="0" fontId="9" numFmtId="0" xfId="2">
      <alignment vertical="center"/>
    </xf>
    <xf applyAlignment="1" applyFill="1" applyFont="1" applyNumberFormat="1" borderId="0" fillId="0" fontId="3" numFmtId="0" xfId="1">
      <alignment vertical="center"/>
    </xf>
    <xf applyFill="1" applyFont="1" borderId="0" fillId="0" fontId="6" numFmtId="0" xfId="1">
      <alignment vertical="center"/>
    </xf>
    <xf applyAlignment="1" applyBorder="1" applyFill="1" applyFont="1" applyNumberFormat="1" borderId="0" fillId="0" fontId="3" numFmtId="0" xfId="1">
      <alignment vertical="center"/>
    </xf>
    <xf applyBorder="1" applyFill="1" applyFont="1" borderId="0" fillId="0" fontId="6" numFmtId="0" xfId="1">
      <alignment vertical="center"/>
    </xf>
    <xf applyAlignment="1" applyBorder="1" applyFill="1" applyFont="1" applyNumberFormat="1" borderId="2" fillId="0" fontId="8" numFmtId="0" xfId="2">
      <alignment vertical="center"/>
    </xf>
    <xf applyAlignment="1" applyFill="1" applyFont="1" borderId="0" fillId="0" fontId="9" numFmtId="0" xfId="2">
      <alignment vertical="center"/>
    </xf>
    <xf applyAlignment="1" applyFill="1" applyFont="1" borderId="0" fillId="0" fontId="9" numFmtId="0" xfId="2">
      <alignment horizontal="right" vertical="center"/>
    </xf>
    <xf applyAlignment="1" applyFill="1" applyFont="1" borderId="0" fillId="0" fontId="7" numFmtId="0" xfId="2">
      <alignment vertical="center"/>
    </xf>
    <xf applyAlignment="1" applyBorder="1" applyFill="1" applyFont="1" applyNumberFormat="1" borderId="10" fillId="0" fontId="8" numFmtId="0" xfId="2">
      <alignment horizontal="center" vertical="center" wrapText="1"/>
    </xf>
    <xf applyAlignment="1" applyBorder="1" applyFill="1" applyFont="1" applyNumberFormat="1" borderId="14" fillId="0" fontId="8" numFmtId="0" xfId="2">
      <alignment horizontal="center" vertical="center" wrapText="1"/>
    </xf>
    <xf applyAlignment="1" applyBorder="1" applyFill="1" applyFont="1" applyNumberFormat="1" borderId="13" fillId="0" fontId="8" numFmtId="0" xfId="2">
      <alignment horizontal="center" vertical="center" wrapText="1"/>
    </xf>
    <xf applyAlignment="1" applyBorder="1" applyFill="1" applyFont="1" applyNumberFormat="1" borderId="15" fillId="0" fontId="8" numFmtId="0" xfId="2">
      <alignment horizontal="center" vertical="center" wrapText="1"/>
    </xf>
    <xf applyAlignment="1" applyBorder="1" applyFill="1" applyFont="1" applyNumberFormat="1" borderId="16" fillId="0" fontId="8" numFmtId="0" xfId="2">
      <alignment horizontal="center" vertical="center" wrapText="1"/>
    </xf>
    <xf applyAlignment="1" applyBorder="1" applyFill="1" applyFont="1" applyNumberFormat="1" borderId="17" fillId="0" fontId="8" numFmtId="0" xfId="2">
      <alignment horizontal="center" vertical="center" wrapText="1"/>
    </xf>
    <xf applyAlignment="1" applyBorder="1" applyFill="1" applyFont="1" applyNumberFormat="1" borderId="2" fillId="0" fontId="8" numFmtId="0" xfId="2">
      <alignment horizontal="center" vertical="center" wrapText="1"/>
    </xf>
    <xf applyAlignment="1" applyBorder="1" applyFill="1" applyFont="1" applyNumberFormat="1" borderId="28" fillId="0" fontId="8" numFmtId="0" xfId="2">
      <alignment horizontal="center" vertical="center" wrapText="1"/>
    </xf>
    <xf applyAlignment="1" applyBorder="1" applyFill="1" applyFont="1" applyNumberFormat="1" borderId="25" fillId="0" fontId="8" numFmtId="0" xfId="2">
      <alignment horizontal="center" vertical="center" wrapText="1"/>
    </xf>
    <xf applyAlignment="1" applyBorder="1" applyFont="1" applyNumberFormat="1" borderId="29" fillId="0" fontId="10" numFmtId="49" xfId="2">
      <alignment horizontal="left" vertical="top" wrapText="1"/>
    </xf>
    <xf applyAlignment="1" applyBorder="1" applyFont="1" applyNumberFormat="1" borderId="32" fillId="0" fontId="10" numFmtId="49" xfId="2">
      <alignment horizontal="center" vertical="top" wrapText="1"/>
    </xf>
    <xf applyAlignment="1" applyBorder="1" applyFont="1" applyNumberFormat="1" borderId="30" fillId="0" fontId="10" numFmtId="49" xfId="2">
      <alignment horizontal="center" vertical="top" wrapText="1"/>
    </xf>
    <xf applyAlignment="1" applyBorder="1" applyFont="1" applyNumberFormat="1" borderId="31" fillId="0" fontId="10" numFmtId="3" quotePrefix="1" xfId="1">
      <alignment horizontal="right" vertical="top" wrapText="1"/>
    </xf>
    <xf applyAlignment="1" applyBorder="1" applyFont="1" applyNumberFormat="1" borderId="33" fillId="0" fontId="10" numFmtId="3" quotePrefix="1" xfId="1">
      <alignment horizontal="right" vertical="top" wrapText="1"/>
    </xf>
    <xf applyAlignment="1" applyBorder="1" applyFont="1" applyNumberFormat="1" borderId="34" fillId="0" fontId="10" numFmtId="3" quotePrefix="1" xfId="1">
      <alignment horizontal="right" vertical="top" wrapText="1"/>
    </xf>
    <xf applyAlignment="1" applyBorder="1" applyFont="1" applyNumberFormat="1" borderId="35" fillId="0" fontId="10" numFmtId="3" quotePrefix="1" xfId="1">
      <alignment horizontal="right" vertical="top" wrapText="1"/>
    </xf>
    <xf applyAlignment="1" applyBorder="1" applyFont="1" applyNumberFormat="1" borderId="36" fillId="0" fontId="10" numFmtId="3" quotePrefix="1" xfId="1">
      <alignment horizontal="right" vertical="top" wrapText="1"/>
    </xf>
    <xf applyAlignment="1" applyBorder="1" applyFont="1" applyNumberFormat="1" borderId="29" fillId="0" fontId="10" numFmtId="49" xfId="2">
      <alignment horizontal="right" vertical="top" wrapText="1"/>
    </xf>
    <xf applyAlignment="1" applyBorder="1" applyFill="1" applyFont="1" applyNumberFormat="1" borderId="22" fillId="0" fontId="8" numFmtId="0" xfId="2">
      <alignment horizontal="center" vertical="center" wrapText="1"/>
    </xf>
    <xf applyAlignment="1" applyBorder="1" applyFill="1" applyFont="1" applyNumberFormat="1" borderId="26" fillId="0" fontId="8" numFmtId="0" xfId="2">
      <alignment horizontal="center" vertical="center" wrapText="1"/>
    </xf>
    <xf applyAlignment="1" applyBorder="1" applyFill="1" applyFont="1" applyNumberFormat="1" borderId="4" fillId="0" fontId="8" numFmtId="0" xfId="2">
      <alignment horizontal="center" vertical="center" wrapText="1"/>
    </xf>
    <xf applyAlignment="1" applyBorder="1" applyFill="1" applyFont="1" applyNumberFormat="1" borderId="5" fillId="0" fontId="8" numFmtId="0" xfId="2">
      <alignment horizontal="center" vertical="center" wrapText="1"/>
    </xf>
    <xf applyAlignment="1" applyBorder="1" applyFill="1" applyFont="1" applyNumberFormat="1" borderId="6" fillId="0" fontId="8" numFmtId="0" xfId="2">
      <alignment horizontal="center" vertical="center" wrapText="1"/>
    </xf>
    <xf applyAlignment="1" applyBorder="1" applyFill="1" applyFont="1" applyNumberFormat="1" borderId="9" fillId="0" fontId="8" numFmtId="0" xfId="2">
      <alignment horizontal="center" vertical="center" wrapText="1"/>
    </xf>
    <xf applyAlignment="1" applyBorder="1" applyFill="1" applyFont="1" applyNumberFormat="1" borderId="10" fillId="0" fontId="8" numFmtId="0" xfId="2">
      <alignment horizontal="center" vertical="center" wrapText="1"/>
    </xf>
    <xf applyAlignment="1" applyBorder="1" applyFill="1" applyFont="1" applyNumberFormat="1" borderId="11" fillId="0" fontId="8" numFmtId="0" xfId="2">
      <alignment horizontal="center" vertical="center" wrapText="1"/>
    </xf>
    <xf applyAlignment="1" applyBorder="1" applyFill="1" applyFont="1" applyNumberFormat="1" borderId="12" fillId="0" fontId="8" numFmtId="0" xfId="2">
      <alignment horizontal="center" vertical="center" wrapText="1"/>
    </xf>
    <xf applyAlignment="1" applyBorder="1" applyFill="1" applyFont="1" applyNumberFormat="1" borderId="13" fillId="0" fontId="8" numFmtId="0" xfId="2">
      <alignment horizontal="center" vertical="center" wrapText="1"/>
    </xf>
    <xf applyAlignment="1" applyBorder="1" applyFill="1" applyFont="1" applyNumberFormat="1" borderId="7" fillId="0" fontId="8" numFmtId="0" xfId="2">
      <alignment horizontal="center" vertical="center" wrapText="1"/>
    </xf>
    <xf applyAlignment="1" applyBorder="1" applyFill="1" applyFont="1" applyNumberFormat="1" borderId="21" fillId="0" fontId="8" numFmtId="0" xfId="2">
      <alignment horizontal="center" vertical="center" wrapText="1"/>
    </xf>
    <xf applyAlignment="1" applyBorder="1" applyFill="1" applyFont="1" applyNumberFormat="1" borderId="18" fillId="0" fontId="8" numFmtId="0" xfId="2">
      <alignment horizontal="center" vertical="center" wrapText="1"/>
    </xf>
    <xf applyAlignment="1" applyBorder="1" applyFill="1" applyFont="1" applyNumberFormat="1" borderId="19" fillId="0" fontId="8" numFmtId="0" xfId="2">
      <alignment horizontal="center" vertical="center" wrapText="1"/>
    </xf>
    <xf applyAlignment="1" applyBorder="1" applyFill="1" applyFont="1" applyNumberFormat="1" borderId="20" fillId="0" fontId="8" numFmtId="0" xfId="2">
      <alignment horizontal="center" vertical="center" wrapText="1"/>
    </xf>
    <xf applyAlignment="1" applyBorder="1" applyFill="1" applyFont="1" applyNumberFormat="1" borderId="3" fillId="0" fontId="8" numFmtId="0" xfId="2">
      <alignment horizontal="center" vertical="center" wrapText="1"/>
    </xf>
    <xf applyAlignment="1" applyBorder="1" applyFill="1" applyFont="1" applyNumberFormat="1" borderId="8" fillId="0" fontId="8" numFmtId="0" xfId="2">
      <alignment horizontal="center" vertical="center" wrapText="1"/>
    </xf>
    <xf applyAlignment="1" applyBorder="1" applyFill="1" applyFont="1" applyNumberFormat="1" borderId="2" fillId="0" fontId="8" numFmtId="0" xfId="2">
      <alignment horizontal="center" vertical="center" wrapText="1"/>
    </xf>
    <xf applyAlignment="1" applyBorder="1" applyFill="1" applyFont="1" applyNumberFormat="1" borderId="23" fillId="0" fontId="8" numFmtId="0" xfId="2">
      <alignment horizontal="center" vertical="center" wrapText="1"/>
    </xf>
    <xf applyAlignment="1" applyBorder="1" applyFill="1" applyFont="1" applyNumberFormat="1" borderId="24" fillId="0" fontId="8" numFmtId="0" xfId="2">
      <alignment horizontal="center" vertical="center" wrapText="1"/>
    </xf>
    <xf applyAlignment="1" applyBorder="1" applyFill="1" applyFont="1" applyNumberFormat="1" borderId="25" fillId="0" fontId="8" numFmtId="0" xfId="2">
      <alignment horizontal="center" vertical="center" wrapText="1"/>
    </xf>
    <xf applyAlignment="1" applyBorder="1" applyFill="1" applyFont="1" applyNumberFormat="1" borderId="27" fillId="0" fontId="8" numFmtId="0" xfId="2">
      <alignment horizontal="center" vertical="center" wrapText="1"/>
    </xf>
  </cellXfs>
  <cellStyles count="1940">
    <cellStyle name="_x000c_ーセン_x000c_" xfId="3"/>
    <cellStyle name="_x000d__x000a_JournalTemplate=C:\COMFO\CTALK\JOURSTD.TPL_x000d__x000a_LbStateAddress=3 3 0 251 1 89 2 311_x000d__x000a_LbStateJou" xfId="4"/>
    <cellStyle name="0,0_x000d__x000a_NA_x000d__x000a_" xfId="5"/>
    <cellStyle name="20% - Accent1" xfId="6"/>
    <cellStyle name="20% - Accent2" xfId="7"/>
    <cellStyle name="20% - Accent3" xfId="8"/>
    <cellStyle name="20% - Accent4" xfId="9"/>
    <cellStyle name="20% - Accent5" xfId="10"/>
    <cellStyle name="20% - Accent6" xfId="11"/>
    <cellStyle name="20% - アクセント 1 2" xfId="12"/>
    <cellStyle name="20% - アクセント 1 3" xfId="13"/>
    <cellStyle name="20% - アクセント 1 4" xfId="14"/>
    <cellStyle name="20% - アクセント 1 5" xfId="15"/>
    <cellStyle name="20% - アクセント 1 6" xfId="16"/>
    <cellStyle name="20% - アクセント 1 7" xfId="17"/>
    <cellStyle name="20% - アクセント 1 8" xfId="18"/>
    <cellStyle name="20% - アクセント 1 9" xfId="19"/>
    <cellStyle name="20% - アクセント 2 2" xfId="20"/>
    <cellStyle name="20% - アクセント 2 3" xfId="21"/>
    <cellStyle name="20% - アクセント 2 4" xfId="22"/>
    <cellStyle name="20% - アクセント 2 5" xfId="23"/>
    <cellStyle name="20% - アクセント 2 6" xfId="24"/>
    <cellStyle name="20% - アクセント 2 7" xfId="25"/>
    <cellStyle name="20% - アクセント 2 8" xfId="26"/>
    <cellStyle name="20% - アクセント 2 9" xfId="27"/>
    <cellStyle name="20% - アクセント 3 2" xfId="28"/>
    <cellStyle name="20% - アクセント 3 3" xfId="29"/>
    <cellStyle name="20% - アクセント 3 4" xfId="30"/>
    <cellStyle name="20% - アクセント 3 5" xfId="31"/>
    <cellStyle name="20% - アクセント 3 6" xfId="32"/>
    <cellStyle name="20% - アクセント 3 7" xfId="33"/>
    <cellStyle name="20% - アクセント 3 8" xfId="34"/>
    <cellStyle name="20% - アクセント 3 9" xfId="35"/>
    <cellStyle name="20% - アクセント 4 2" xfId="36"/>
    <cellStyle name="20% - アクセント 4 3" xfId="37"/>
    <cellStyle name="20% - アクセント 4 4" xfId="38"/>
    <cellStyle name="20% - アクセント 4 5" xfId="39"/>
    <cellStyle name="20% - アクセント 4 6" xfId="40"/>
    <cellStyle name="20% - アクセント 4 7" xfId="41"/>
    <cellStyle name="20% - アクセント 4 8" xfId="42"/>
    <cellStyle name="20% - アクセント 4 9" xfId="43"/>
    <cellStyle name="20% - アクセント 5 2" xfId="44"/>
    <cellStyle name="20% - アクセント 5 3" xfId="45"/>
    <cellStyle name="20% - アクセント 5 4" xfId="46"/>
    <cellStyle name="20% - アクセント 5 5" xfId="47"/>
    <cellStyle name="20% - アクセント 5 6" xfId="48"/>
    <cellStyle name="20% - アクセント 5 7" xfId="49"/>
    <cellStyle name="20% - アクセント 5 8" xfId="50"/>
    <cellStyle name="20% - アクセント 5 9" xfId="51"/>
    <cellStyle name="20% - アクセント 6 2" xfId="52"/>
    <cellStyle name="20% - アクセント 6 3" xfId="53"/>
    <cellStyle name="20% - アクセント 6 4" xfId="54"/>
    <cellStyle name="20% - アクセント 6 5" xfId="55"/>
    <cellStyle name="20% - アクセント 6 6" xfId="56"/>
    <cellStyle name="20% - アクセント 6 7" xfId="57"/>
    <cellStyle name="20% - アクセント 6 8" xfId="58"/>
    <cellStyle name="20% - アクセント 6 9" xfId="59"/>
    <cellStyle name="40% - Accent1" xfId="60"/>
    <cellStyle name="40% - Accent2" xfId="61"/>
    <cellStyle name="40% - Accent3" xfId="62"/>
    <cellStyle name="40% - Accent4" xfId="63"/>
    <cellStyle name="40% - Accent5" xfId="64"/>
    <cellStyle name="40% - Accent6" xfId="65"/>
    <cellStyle name="40% - アクセント 1 2" xfId="66"/>
    <cellStyle name="40% - アクセント 1 3" xfId="67"/>
    <cellStyle name="40% - アクセント 1 4" xfId="68"/>
    <cellStyle name="40% - アクセント 1 5" xfId="69"/>
    <cellStyle name="40% - アクセント 1 6" xfId="70"/>
    <cellStyle name="40% - アクセント 1 7" xfId="71"/>
    <cellStyle name="40% - アクセント 1 8" xfId="72"/>
    <cellStyle name="40% - アクセント 1 9" xfId="73"/>
    <cellStyle name="40% - アクセント 2 2" xfId="74"/>
    <cellStyle name="40% - アクセント 2 3" xfId="75"/>
    <cellStyle name="40% - アクセント 2 4" xfId="76"/>
    <cellStyle name="40% - アクセント 2 5" xfId="77"/>
    <cellStyle name="40% - アクセント 2 6" xfId="78"/>
    <cellStyle name="40% - アクセント 2 7" xfId="79"/>
    <cellStyle name="40% - アクセント 2 8" xfId="80"/>
    <cellStyle name="40% - アクセント 2 9" xfId="81"/>
    <cellStyle name="40% - アクセント 3 2" xfId="82"/>
    <cellStyle name="40% - アクセント 3 3" xfId="83"/>
    <cellStyle name="40% - アクセント 3 4" xfId="84"/>
    <cellStyle name="40% - アクセント 3 5" xfId="85"/>
    <cellStyle name="40% - アクセント 3 6" xfId="86"/>
    <cellStyle name="40% - アクセント 3 7" xfId="87"/>
    <cellStyle name="40% - アクセント 3 8" xfId="88"/>
    <cellStyle name="40% - アクセント 3 9" xfId="89"/>
    <cellStyle name="40% - アクセント 4 2" xfId="90"/>
    <cellStyle name="40% - アクセント 4 3" xfId="91"/>
    <cellStyle name="40% - アクセント 4 4" xfId="92"/>
    <cellStyle name="40% - アクセント 4 5" xfId="93"/>
    <cellStyle name="40% - アクセント 4 6" xfId="94"/>
    <cellStyle name="40% - アクセント 4 7" xfId="95"/>
    <cellStyle name="40% - アクセント 4 8" xfId="96"/>
    <cellStyle name="40% - アクセント 4 9" xfId="97"/>
    <cellStyle name="40% - アクセント 5 2" xfId="98"/>
    <cellStyle name="40% - アクセント 5 3" xfId="99"/>
    <cellStyle name="40% - アクセント 5 4" xfId="100"/>
    <cellStyle name="40% - アクセント 5 5" xfId="101"/>
    <cellStyle name="40% - アクセント 5 6" xfId="102"/>
    <cellStyle name="40% - アクセント 5 7" xfId="103"/>
    <cellStyle name="40% - アクセント 5 8" xfId="104"/>
    <cellStyle name="40% - アクセント 5 9" xfId="105"/>
    <cellStyle name="40% - アクセント 6 2" xfId="106"/>
    <cellStyle name="40% - アクセント 6 3" xfId="107"/>
    <cellStyle name="40% - アクセント 6 4" xfId="108"/>
    <cellStyle name="40% - アクセント 6 5" xfId="109"/>
    <cellStyle name="40% - アクセント 6 6" xfId="110"/>
    <cellStyle name="40% - アクセント 6 7" xfId="111"/>
    <cellStyle name="40% - アクセント 6 8" xfId="112"/>
    <cellStyle name="40% - アクセント 6 9" xfId="113"/>
    <cellStyle name="60% - Accent1" xfId="114"/>
    <cellStyle name="60% - Accent2" xfId="115"/>
    <cellStyle name="60% - Accent3" xfId="116"/>
    <cellStyle name="60% - Accent4" xfId="117"/>
    <cellStyle name="60% - Accent5" xfId="118"/>
    <cellStyle name="60% - Accent6" xfId="119"/>
    <cellStyle name="60% - アクセント 1 2" xfId="120"/>
    <cellStyle name="60% - アクセント 1 3" xfId="121"/>
    <cellStyle name="60% - アクセント 1 4" xfId="122"/>
    <cellStyle name="60% - アクセント 1 5" xfId="123"/>
    <cellStyle name="60% - アクセント 1 6" xfId="124"/>
    <cellStyle name="60% - アクセント 1 7" xfId="125"/>
    <cellStyle name="60% - アクセント 1 8" xfId="126"/>
    <cellStyle name="60% - アクセント 1 9" xfId="127"/>
    <cellStyle name="60% - アクセント 2 2" xfId="128"/>
    <cellStyle name="60% - アクセント 2 3" xfId="129"/>
    <cellStyle name="60% - アクセント 2 4" xfId="130"/>
    <cellStyle name="60% - アクセント 2 5" xfId="131"/>
    <cellStyle name="60% - アクセント 2 6" xfId="132"/>
    <cellStyle name="60% - アクセント 2 7" xfId="133"/>
    <cellStyle name="60% - アクセント 2 8" xfId="134"/>
    <cellStyle name="60% - アクセント 2 9" xfId="135"/>
    <cellStyle name="60% - アクセント 3 2" xfId="136"/>
    <cellStyle name="60% - アクセント 3 3" xfId="137"/>
    <cellStyle name="60% - アクセント 3 4" xfId="138"/>
    <cellStyle name="60% - アクセント 3 5" xfId="139"/>
    <cellStyle name="60% - アクセント 3 6" xfId="140"/>
    <cellStyle name="60% - アクセント 3 7" xfId="141"/>
    <cellStyle name="60% - アクセント 3 8" xfId="142"/>
    <cellStyle name="60% - アクセント 3 9" xfId="143"/>
    <cellStyle name="60% - アクセント 4 2" xfId="144"/>
    <cellStyle name="60% - アクセント 4 3" xfId="145"/>
    <cellStyle name="60% - アクセント 4 4" xfId="146"/>
    <cellStyle name="60% - アクセント 4 5" xfId="147"/>
    <cellStyle name="60% - アクセント 4 6" xfId="148"/>
    <cellStyle name="60% - アクセント 4 7" xfId="149"/>
    <cellStyle name="60% - アクセント 4 8" xfId="150"/>
    <cellStyle name="60% - アクセント 4 9" xfId="151"/>
    <cellStyle name="60% - アクセント 5 2" xfId="152"/>
    <cellStyle name="60% - アクセント 5 3" xfId="153"/>
    <cellStyle name="60% - アクセント 5 4" xfId="154"/>
    <cellStyle name="60% - アクセント 5 5" xfId="155"/>
    <cellStyle name="60% - アクセント 5 6" xfId="156"/>
    <cellStyle name="60% - アクセント 5 7" xfId="157"/>
    <cellStyle name="60% - アクセント 5 8" xfId="158"/>
    <cellStyle name="60% - アクセント 5 9" xfId="159"/>
    <cellStyle name="60% - アクセント 6 2" xfId="160"/>
    <cellStyle name="60% - アクセント 6 3" xfId="161"/>
    <cellStyle name="60% - アクセント 6 4" xfId="162"/>
    <cellStyle name="60% - アクセント 6 5" xfId="163"/>
    <cellStyle name="60% - アクセント 6 6" xfId="164"/>
    <cellStyle name="60% - アクセント 6 7" xfId="165"/>
    <cellStyle name="60% - アクセント 6 8" xfId="166"/>
    <cellStyle name="60% - アクセント 6 9" xfId="167"/>
    <cellStyle name="Accent1" xfId="168"/>
    <cellStyle name="Accent2" xfId="169"/>
    <cellStyle name="Accent3" xfId="170"/>
    <cellStyle name="Accent4" xfId="171"/>
    <cellStyle name="Accent5" xfId="172"/>
    <cellStyle name="Accent6" xfId="173"/>
    <cellStyle name="args.style" xfId="174"/>
    <cellStyle name="B10" xfId="175"/>
    <cellStyle name="Bad" xfId="176"/>
    <cellStyle name="Body" xfId="177"/>
    <cellStyle name="Calc Currency (0)" xfId="178"/>
    <cellStyle name="Calc Currency (0) 2" xfId="179"/>
    <cellStyle name="Calculation" xfId="180"/>
    <cellStyle name="Calculation 2" xfId="181"/>
    <cellStyle name="Calculation 2 2" xfId="182"/>
    <cellStyle name="Calculation 2 2 2" xfId="183"/>
    <cellStyle name="Calculation 2 3" xfId="184"/>
    <cellStyle name="Calculation 2 3 2" xfId="185"/>
    <cellStyle name="Calculation 2 4" xfId="186"/>
    <cellStyle name="Calculation 2 4 2" xfId="187"/>
    <cellStyle name="Calculation 2 5" xfId="188"/>
    <cellStyle name="Calculation 2 5 2" xfId="189"/>
    <cellStyle name="Calculation 2 6" xfId="190"/>
    <cellStyle name="Calculation 2 6 2" xfId="191"/>
    <cellStyle name="Calculation 2 7" xfId="192"/>
    <cellStyle name="Calculation 3" xfId="193"/>
    <cellStyle name="Calculation 3 2" xfId="194"/>
    <cellStyle name="Calculation 4" xfId="195"/>
    <cellStyle name="Check Cell" xfId="196"/>
    <cellStyle name="Column Heading" xfId="197"/>
    <cellStyle name="Comma [0]_laroux" xfId="198"/>
    <cellStyle name="Comma_laroux" xfId="199"/>
    <cellStyle name="Currency [0]_laroux" xfId="200"/>
    <cellStyle name="Currency_laroux" xfId="201"/>
    <cellStyle name="entry" xfId="202"/>
    <cellStyle name="Explanatory Text" xfId="203"/>
    <cellStyle name="Good" xfId="204"/>
    <cellStyle name="Grey" xfId="205"/>
    <cellStyle name="Head 1" xfId="206"/>
    <cellStyle name="Header1" xfId="207"/>
    <cellStyle name="Header2" xfId="208"/>
    <cellStyle name="Header2 2" xfId="209"/>
    <cellStyle name="Header2 2 2" xfId="210"/>
    <cellStyle name="Header2 2 2 2" xfId="211"/>
    <cellStyle name="Header2 2 2 3" xfId="212"/>
    <cellStyle name="Header2 2 2 4" xfId="213"/>
    <cellStyle name="Header2 2 2 5" xfId="214"/>
    <cellStyle name="Header2 2 2 6" xfId="215"/>
    <cellStyle name="Header2 2 2 7" xfId="216"/>
    <cellStyle name="Header2 2 2 7 2" xfId="217"/>
    <cellStyle name="Header2 2 3" xfId="218"/>
    <cellStyle name="Header2 2 3 2" xfId="219"/>
    <cellStyle name="Header2 2 3 3" xfId="220"/>
    <cellStyle name="Header2 3" xfId="221"/>
    <cellStyle name="Header2 3 2" xfId="222"/>
    <cellStyle name="Header2 3 2 2" xfId="223"/>
    <cellStyle name="Header2 3 2 3" xfId="224"/>
    <cellStyle name="Header2 3 2 4" xfId="225"/>
    <cellStyle name="Header2 3 2 5" xfId="226"/>
    <cellStyle name="Header2 3 2 6" xfId="227"/>
    <cellStyle name="Header2 3 2 7" xfId="228"/>
    <cellStyle name="Header2 3 2 7 2" xfId="229"/>
    <cellStyle name="Header2 3 3" xfId="230"/>
    <cellStyle name="Header2 3 4" xfId="231"/>
    <cellStyle name="Header2 3 5" xfId="232"/>
    <cellStyle name="Header2 3 6" xfId="233"/>
    <cellStyle name="Header2 3 7" xfId="234"/>
    <cellStyle name="Header2 3 8" xfId="235"/>
    <cellStyle name="Header2 3 9" xfId="236"/>
    <cellStyle name="Header2 3 9 2" xfId="237"/>
    <cellStyle name="Header2 3 9 3" xfId="238"/>
    <cellStyle name="Header2 4" xfId="239"/>
    <cellStyle name="Header2 4 2" xfId="240"/>
    <cellStyle name="Header2 4 3" xfId="241"/>
    <cellStyle name="Header2 4 4" xfId="242"/>
    <cellStyle name="Header2 4 5" xfId="243"/>
    <cellStyle name="Header2 4 6" xfId="244"/>
    <cellStyle name="Header2 4 7" xfId="245"/>
    <cellStyle name="Header2 4 7 2" xfId="246"/>
    <cellStyle name="Header2 5" xfId="247"/>
    <cellStyle name="Header2 6" xfId="248"/>
    <cellStyle name="Header2 7" xfId="249"/>
    <cellStyle name="Header2 7 2" xfId="250"/>
    <cellStyle name="Header2 7 3" xfId="251"/>
    <cellStyle name="Heading 1" xfId="252"/>
    <cellStyle name="Heading 2" xfId="253"/>
    <cellStyle name="Heading 3" xfId="254"/>
    <cellStyle name="Heading 4" xfId="255"/>
    <cellStyle name="IBM(401K)" xfId="256"/>
    <cellStyle name="Input" xfId="257"/>
    <cellStyle name="Input [yellow]" xfId="258"/>
    <cellStyle name="Input [yellow] 2" xfId="259"/>
    <cellStyle name="Input [yellow] 2 2" xfId="260"/>
    <cellStyle name="Input [yellow] 2 2 2" xfId="261"/>
    <cellStyle name="Input [yellow] 2 2 3" xfId="262"/>
    <cellStyle name="Input [yellow] 2 2 4" xfId="263"/>
    <cellStyle name="Input [yellow] 2 2 5" xfId="264"/>
    <cellStyle name="Input [yellow] 2 2 6" xfId="265"/>
    <cellStyle name="Input [yellow] 2 2 7" xfId="266"/>
    <cellStyle name="Input [yellow] 2 2 8" xfId="267"/>
    <cellStyle name="Input [yellow] 2 2 9" xfId="268"/>
    <cellStyle name="Input [yellow] 2 3" xfId="269"/>
    <cellStyle name="Input [yellow] 2 3 2" xfId="270"/>
    <cellStyle name="Input [yellow] 2 3 3" xfId="271"/>
    <cellStyle name="Input [yellow] 3" xfId="272"/>
    <cellStyle name="Input [yellow] 3 2" xfId="273"/>
    <cellStyle name="Input [yellow] 3 2 2" xfId="274"/>
    <cellStyle name="Input [yellow] 3 2 3" xfId="275"/>
    <cellStyle name="Input [yellow] 3 2 4" xfId="276"/>
    <cellStyle name="Input [yellow] 3 2 5" xfId="277"/>
    <cellStyle name="Input [yellow] 3 2 6" xfId="278"/>
    <cellStyle name="Input [yellow] 3 2 7" xfId="279"/>
    <cellStyle name="Input [yellow] 3 2 8" xfId="280"/>
    <cellStyle name="Input [yellow] 3 2 9" xfId="281"/>
    <cellStyle name="Input [yellow] 3 3" xfId="282"/>
    <cellStyle name="Input [yellow] 3 4" xfId="283"/>
    <cellStyle name="Input [yellow] 3 5" xfId="284"/>
    <cellStyle name="Input [yellow] 3 6" xfId="285"/>
    <cellStyle name="Input [yellow] 3 7" xfId="286"/>
    <cellStyle name="Input [yellow] 3 8" xfId="287"/>
    <cellStyle name="Input [yellow] 3 9" xfId="288"/>
    <cellStyle name="Input [yellow] 3 9 2" xfId="289"/>
    <cellStyle name="Input [yellow] 3 9 3" xfId="290"/>
    <cellStyle name="Input [yellow] 4" xfId="291"/>
    <cellStyle name="Input [yellow] 4 2" xfId="292"/>
    <cellStyle name="Input [yellow] 4 3" xfId="293"/>
    <cellStyle name="Input [yellow] 4 4" xfId="294"/>
    <cellStyle name="Input [yellow] 4 5" xfId="295"/>
    <cellStyle name="Input [yellow] 4 6" xfId="296"/>
    <cellStyle name="Input [yellow] 4 7" xfId="297"/>
    <cellStyle name="Input [yellow] 4 8" xfId="298"/>
    <cellStyle name="Input [yellow] 4 8 2" xfId="299"/>
    <cellStyle name="Input [yellow] 4 8 3" xfId="300"/>
    <cellStyle name="Input [yellow] 5" xfId="301"/>
    <cellStyle name="Input [yellow] 6" xfId="302"/>
    <cellStyle name="Input [yellow] 7" xfId="303"/>
    <cellStyle name="Input [yellow] 7 2" xfId="304"/>
    <cellStyle name="Input [yellow] 7 3" xfId="305"/>
    <cellStyle name="Input 10" xfId="306"/>
    <cellStyle name="Input 10 2" xfId="307"/>
    <cellStyle name="Input 11" xfId="308"/>
    <cellStyle name="Input 11 2" xfId="309"/>
    <cellStyle name="Input 12" xfId="310"/>
    <cellStyle name="Input 12 2" xfId="311"/>
    <cellStyle name="Input 13" xfId="312"/>
    <cellStyle name="Input 13 2" xfId="313"/>
    <cellStyle name="Input 14" xfId="314"/>
    <cellStyle name="Input 14 2" xfId="315"/>
    <cellStyle name="Input 15" xfId="316"/>
    <cellStyle name="Input 15 2" xfId="317"/>
    <cellStyle name="Input 16" xfId="318"/>
    <cellStyle name="Input 16 2" xfId="319"/>
    <cellStyle name="Input 17" xfId="320"/>
    <cellStyle name="Input 17 2" xfId="321"/>
    <cellStyle name="Input 18" xfId="322"/>
    <cellStyle name="Input 19" xfId="323"/>
    <cellStyle name="Input 2" xfId="324"/>
    <cellStyle name="Input 2 2" xfId="325"/>
    <cellStyle name="Input 2 2 2" xfId="326"/>
    <cellStyle name="Input 2 3" xfId="327"/>
    <cellStyle name="Input 2 3 2" xfId="328"/>
    <cellStyle name="Input 2 4" xfId="329"/>
    <cellStyle name="Input 2 4 2" xfId="330"/>
    <cellStyle name="Input 2 5" xfId="331"/>
    <cellStyle name="Input 2 5 2" xfId="332"/>
    <cellStyle name="Input 2 6" xfId="333"/>
    <cellStyle name="Input 2 6 2" xfId="334"/>
    <cellStyle name="Input 2 7" xfId="335"/>
    <cellStyle name="Input 20" xfId="336"/>
    <cellStyle name="Input 21" xfId="337"/>
    <cellStyle name="Input 22" xfId="338"/>
    <cellStyle name="Input 23" xfId="339"/>
    <cellStyle name="Input 24" xfId="340"/>
    <cellStyle name="Input 25" xfId="341"/>
    <cellStyle name="Input 26" xfId="342"/>
    <cellStyle name="Input 3" xfId="343"/>
    <cellStyle name="Input 3 2" xfId="344"/>
    <cellStyle name="Input 4" xfId="345"/>
    <cellStyle name="Input 4 2" xfId="346"/>
    <cellStyle name="Input 5" xfId="347"/>
    <cellStyle name="Input 5 2" xfId="348"/>
    <cellStyle name="Input 6" xfId="349"/>
    <cellStyle name="Input 6 2" xfId="350"/>
    <cellStyle name="Input 7" xfId="351"/>
    <cellStyle name="Input 7 2" xfId="352"/>
    <cellStyle name="Input 8" xfId="353"/>
    <cellStyle name="Input 8 2" xfId="354"/>
    <cellStyle name="Input 9" xfId="355"/>
    <cellStyle name="Input 9 2" xfId="356"/>
    <cellStyle name="J401K" xfId="357"/>
    <cellStyle name="Linked Cell" xfId="358"/>
    <cellStyle name="Millares [0]_Compra" xfId="359"/>
    <cellStyle name="Millares_Compra" xfId="360"/>
    <cellStyle name="Moneda [0]_Compra" xfId="361"/>
    <cellStyle name="Moneda_Compra" xfId="362"/>
    <cellStyle name="Neutral" xfId="363"/>
    <cellStyle name="no dec" xfId="364"/>
    <cellStyle name="Normal - Style1" xfId="365"/>
    <cellStyle name="Normal - Style1 2" xfId="366"/>
    <cellStyle name="Normal - Style1 2 2" xfId="367"/>
    <cellStyle name="Normal - Style1 2 3" xfId="368"/>
    <cellStyle name="Normal_#18-Internet" xfId="369"/>
    <cellStyle name="Note" xfId="370"/>
    <cellStyle name="Note 2" xfId="371"/>
    <cellStyle name="Note 2 2" xfId="372"/>
    <cellStyle name="Note 2 2 2" xfId="373"/>
    <cellStyle name="Note 2 2 2 2" xfId="374"/>
    <cellStyle name="Note 2 2 3" xfId="375"/>
    <cellStyle name="Note 2 2 3 2" xfId="376"/>
    <cellStyle name="Note 2 2 4" xfId="377"/>
    <cellStyle name="Note 2 2 4 2" xfId="378"/>
    <cellStyle name="Note 2 2 5" xfId="379"/>
    <cellStyle name="Note 2 2 5 2" xfId="380"/>
    <cellStyle name="Note 2 2 6" xfId="381"/>
    <cellStyle name="Note 2 2 6 2" xfId="382"/>
    <cellStyle name="Note 2 2 7" xfId="383"/>
    <cellStyle name="Note 2 3" xfId="384"/>
    <cellStyle name="Note 2 3 2" xfId="385"/>
    <cellStyle name="Note 2 4" xfId="386"/>
    <cellStyle name="Note 3" xfId="387"/>
    <cellStyle name="Note 3 2" xfId="388"/>
    <cellStyle name="Note 3 2 2" xfId="389"/>
    <cellStyle name="Note 3 2 2 2" xfId="390"/>
    <cellStyle name="Note 3 2 3" xfId="391"/>
    <cellStyle name="Note 3 2 3 2" xfId="392"/>
    <cellStyle name="Note 3 2 4" xfId="393"/>
    <cellStyle name="Note 3 2 4 2" xfId="394"/>
    <cellStyle name="Note 3 2 5" xfId="395"/>
    <cellStyle name="Note 3 2 5 2" xfId="396"/>
    <cellStyle name="Note 3 2 6" xfId="397"/>
    <cellStyle name="Note 3 2 6 2" xfId="398"/>
    <cellStyle name="Note 3 2 7" xfId="399"/>
    <cellStyle name="Note 3 3" xfId="400"/>
    <cellStyle name="Note 3 3 2" xfId="401"/>
    <cellStyle name="Note 3 4" xfId="402"/>
    <cellStyle name="Note 3 4 2" xfId="403"/>
    <cellStyle name="Note 3 5" xfId="404"/>
    <cellStyle name="Note 3 5 2" xfId="405"/>
    <cellStyle name="Note 3 6" xfId="406"/>
    <cellStyle name="Note 3 6 2" xfId="407"/>
    <cellStyle name="Note 3 7" xfId="408"/>
    <cellStyle name="Note 3 7 2" xfId="409"/>
    <cellStyle name="Note 3 8" xfId="410"/>
    <cellStyle name="Note 4" xfId="411"/>
    <cellStyle name="Note 4 2" xfId="412"/>
    <cellStyle name="Note 4 2 2" xfId="413"/>
    <cellStyle name="Note 4 3" xfId="414"/>
    <cellStyle name="Note 4 3 2" xfId="415"/>
    <cellStyle name="Note 4 4" xfId="416"/>
    <cellStyle name="Note 4 4 2" xfId="417"/>
    <cellStyle name="Note 4 5" xfId="418"/>
    <cellStyle name="Note 4 5 2" xfId="419"/>
    <cellStyle name="Note 4 6" xfId="420"/>
    <cellStyle name="Note 4 6 2" xfId="421"/>
    <cellStyle name="Note 4 7" xfId="422"/>
    <cellStyle name="Note 5" xfId="423"/>
    <cellStyle name="Note 5 2" xfId="424"/>
    <cellStyle name="Output" xfId="425"/>
    <cellStyle name="Output 2" xfId="426"/>
    <cellStyle name="Output 2 2" xfId="427"/>
    <cellStyle name="Output 2 2 2" xfId="428"/>
    <cellStyle name="Output 2 3" xfId="429"/>
    <cellStyle name="Output 2 3 2" xfId="430"/>
    <cellStyle name="Output 2 4" xfId="431"/>
    <cellStyle name="Output 2 4 2" xfId="432"/>
    <cellStyle name="Output 2 5" xfId="433"/>
    <cellStyle name="Output 2 5 2" xfId="434"/>
    <cellStyle name="Output 2 6" xfId="435"/>
    <cellStyle name="Output 2 6 2" xfId="436"/>
    <cellStyle name="Output 2 7" xfId="437"/>
    <cellStyle name="Output 3" xfId="438"/>
    <cellStyle name="Output 3 2" xfId="439"/>
    <cellStyle name="per.style" xfId="440"/>
    <cellStyle name="Percent [2]" xfId="441"/>
    <cellStyle name="price" xfId="442"/>
    <cellStyle name="PSChar" xfId="443"/>
    <cellStyle name="PSHeading" xfId="444"/>
    <cellStyle name="QDF" xfId="445"/>
    <cellStyle name="revised" xfId="446"/>
    <cellStyle name="section" xfId="447"/>
    <cellStyle name="subhead" xfId="448"/>
    <cellStyle name="title" xfId="449"/>
    <cellStyle name="Total" xfId="450"/>
    <cellStyle name="Total 2" xfId="451"/>
    <cellStyle name="Total 2 2" xfId="452"/>
    <cellStyle name="Total 2 2 2" xfId="453"/>
    <cellStyle name="Total 2 3" xfId="454"/>
    <cellStyle name="Total 2 3 2" xfId="455"/>
    <cellStyle name="Total 2 4" xfId="456"/>
    <cellStyle name="Total 2 4 2" xfId="457"/>
    <cellStyle name="Total 2 5" xfId="458"/>
    <cellStyle name="Total 2 5 2" xfId="459"/>
    <cellStyle name="Total 2 6" xfId="460"/>
    <cellStyle name="Total 2 6 2" xfId="461"/>
    <cellStyle name="Total 2 7" xfId="462"/>
    <cellStyle name="Total 3" xfId="463"/>
    <cellStyle name="Total 3 2" xfId="464"/>
    <cellStyle name="Warning Text" xfId="465"/>
    <cellStyle name="アクセント 1 2" xfId="466"/>
    <cellStyle name="アクセント 1 3" xfId="467"/>
    <cellStyle name="アクセント 1 4" xfId="468"/>
    <cellStyle name="アクセント 1 5" xfId="469"/>
    <cellStyle name="アクセント 1 6" xfId="470"/>
    <cellStyle name="アクセント 1 7" xfId="471"/>
    <cellStyle name="アクセント 1 8" xfId="472"/>
    <cellStyle name="アクセント 1 9" xfId="473"/>
    <cellStyle name="アクセント 2 2" xfId="474"/>
    <cellStyle name="アクセント 2 3" xfId="475"/>
    <cellStyle name="アクセント 2 4" xfId="476"/>
    <cellStyle name="アクセント 2 5" xfId="477"/>
    <cellStyle name="アクセント 2 6" xfId="478"/>
    <cellStyle name="アクセント 2 7" xfId="479"/>
    <cellStyle name="アクセント 2 8" xfId="480"/>
    <cellStyle name="アクセント 2 9" xfId="481"/>
    <cellStyle name="アクセント 3 2" xfId="482"/>
    <cellStyle name="アクセント 3 3" xfId="483"/>
    <cellStyle name="アクセント 3 4" xfId="484"/>
    <cellStyle name="アクセント 3 5" xfId="485"/>
    <cellStyle name="アクセント 3 6" xfId="486"/>
    <cellStyle name="アクセント 3 7" xfId="487"/>
    <cellStyle name="アクセント 3 8" xfId="488"/>
    <cellStyle name="アクセント 3 9" xfId="489"/>
    <cellStyle name="アクセント 4 2" xfId="490"/>
    <cellStyle name="アクセント 4 3" xfId="491"/>
    <cellStyle name="アクセント 4 4" xfId="492"/>
    <cellStyle name="アクセント 4 5" xfId="493"/>
    <cellStyle name="アクセント 4 6" xfId="494"/>
    <cellStyle name="アクセント 4 7" xfId="495"/>
    <cellStyle name="アクセント 4 8" xfId="496"/>
    <cellStyle name="アクセント 4 9" xfId="497"/>
    <cellStyle name="アクセント 5 2" xfId="498"/>
    <cellStyle name="アクセント 5 3" xfId="499"/>
    <cellStyle name="アクセント 5 4" xfId="500"/>
    <cellStyle name="アクセント 5 5" xfId="501"/>
    <cellStyle name="アクセント 5 6" xfId="502"/>
    <cellStyle name="アクセント 5 7" xfId="503"/>
    <cellStyle name="アクセント 5 8" xfId="504"/>
    <cellStyle name="アクセント 5 9" xfId="505"/>
    <cellStyle name="アクセント 6 2" xfId="506"/>
    <cellStyle name="アクセント 6 3" xfId="507"/>
    <cellStyle name="アクセント 6 4" xfId="508"/>
    <cellStyle name="アクセント 6 5" xfId="509"/>
    <cellStyle name="アクセント 6 6" xfId="510"/>
    <cellStyle name="アクセント 6 7" xfId="511"/>
    <cellStyle name="アクセント 6 8" xfId="512"/>
    <cellStyle name="アクセント 6 9" xfId="513"/>
    <cellStyle name="センター" xfId="514"/>
    <cellStyle name="タイトル 2" xfId="515"/>
    <cellStyle name="タイトル 3" xfId="516"/>
    <cellStyle name="タイトル 4" xfId="517"/>
    <cellStyle name="タイトル 5" xfId="518"/>
    <cellStyle name="タイトル 6" xfId="519"/>
    <cellStyle name="タイトル 7" xfId="520"/>
    <cellStyle name="タイトル 8" xfId="521"/>
    <cellStyle name="タイトル 9" xfId="522"/>
    <cellStyle name="チェック セル 2" xfId="523"/>
    <cellStyle name="チェック セル 3" xfId="524"/>
    <cellStyle name="チェック セル 4" xfId="525"/>
    <cellStyle name="チェック セル 5" xfId="526"/>
    <cellStyle name="チェック セル 6" xfId="527"/>
    <cellStyle name="チェック セル 7" xfId="528"/>
    <cellStyle name="チェック セル 8" xfId="529"/>
    <cellStyle name="チェック セル 9" xfId="530"/>
    <cellStyle name="チャート" xfId="531"/>
    <cellStyle name="どちらでもない 2" xfId="532"/>
    <cellStyle name="どちらでもない 3" xfId="533"/>
    <cellStyle name="どちらでもない 4" xfId="534"/>
    <cellStyle name="どちらでもない 5" xfId="535"/>
    <cellStyle name="どちらでもない 6" xfId="536"/>
    <cellStyle name="どちらでもない 7" xfId="537"/>
    <cellStyle name="どちらでもない 8" xfId="538"/>
    <cellStyle name="どちらでもない 9" xfId="539"/>
    <cellStyle name="パーセント 2" xfId="540"/>
    <cellStyle name="パーセント 2 2" xfId="541"/>
    <cellStyle name="パーセント 3" xfId="542"/>
    <cellStyle name="ハイパーリンク 2" xfId="543"/>
    <cellStyle name="ハイパーリンク 2 2" xfId="544"/>
    <cellStyle name="ハイパーリンク 2 3" xfId="545"/>
    <cellStyle name="ハイパーリンク 3" xfId="546"/>
    <cellStyle name="メモ 10" xfId="547"/>
    <cellStyle name="メモ 2" xfId="548"/>
    <cellStyle name="メモ 2 2" xfId="549"/>
    <cellStyle name="メモ 2 2 2" xfId="550"/>
    <cellStyle name="メモ 2 2 2 2" xfId="551"/>
    <cellStyle name="メモ 2 2 2 2 2" xfId="552"/>
    <cellStyle name="メモ 2 2 2 3" xfId="553"/>
    <cellStyle name="メモ 2 2 2 3 2" xfId="554"/>
    <cellStyle name="メモ 2 2 2 4" xfId="555"/>
    <cellStyle name="メモ 2 2 2 4 2" xfId="556"/>
    <cellStyle name="メモ 2 2 2 5" xfId="557"/>
    <cellStyle name="メモ 2 2 2 5 2" xfId="558"/>
    <cellStyle name="メモ 2 2 2 6" xfId="559"/>
    <cellStyle name="メモ 2 2 2 6 2" xfId="560"/>
    <cellStyle name="メモ 2 2 2 7" xfId="561"/>
    <cellStyle name="メモ 2 2 3" xfId="562"/>
    <cellStyle name="メモ 2 2 3 2" xfId="563"/>
    <cellStyle name="メモ 2 2 4" xfId="564"/>
    <cellStyle name="メモ 2 3" xfId="565"/>
    <cellStyle name="メモ 2 3 2" xfId="566"/>
    <cellStyle name="メモ 2 3 2 2" xfId="567"/>
    <cellStyle name="メモ 2 3 2 2 2" xfId="568"/>
    <cellStyle name="メモ 2 3 2 3" xfId="569"/>
    <cellStyle name="メモ 2 3 2 3 2" xfId="570"/>
    <cellStyle name="メモ 2 3 2 4" xfId="571"/>
    <cellStyle name="メモ 2 3 2 4 2" xfId="572"/>
    <cellStyle name="メモ 2 3 2 5" xfId="573"/>
    <cellStyle name="メモ 2 3 2 5 2" xfId="574"/>
    <cellStyle name="メモ 2 3 2 6" xfId="575"/>
    <cellStyle name="メモ 2 3 2 6 2" xfId="576"/>
    <cellStyle name="メモ 2 3 2 7" xfId="577"/>
    <cellStyle name="メモ 2 3 3" xfId="578"/>
    <cellStyle name="メモ 2 3 3 2" xfId="579"/>
    <cellStyle name="メモ 2 4" xfId="580"/>
    <cellStyle name="メモ 2 4 2" xfId="581"/>
    <cellStyle name="メモ 2 4 2 2" xfId="582"/>
    <cellStyle name="メモ 2 4 2 2 2" xfId="583"/>
    <cellStyle name="メモ 2 4 2 3" xfId="584"/>
    <cellStyle name="メモ 2 4 2 3 2" xfId="585"/>
    <cellStyle name="メモ 2 4 2 4" xfId="586"/>
    <cellStyle name="メモ 2 4 2 4 2" xfId="587"/>
    <cellStyle name="メモ 2 4 2 5" xfId="588"/>
    <cellStyle name="メモ 2 4 2 5 2" xfId="589"/>
    <cellStyle name="メモ 2 4 2 6" xfId="590"/>
    <cellStyle name="メモ 2 4 2 6 2" xfId="591"/>
    <cellStyle name="メモ 2 4 2 7" xfId="592"/>
    <cellStyle name="メモ 2 4 3" xfId="593"/>
    <cellStyle name="メモ 2 4 3 2" xfId="594"/>
    <cellStyle name="メモ 2 4 4" xfId="595"/>
    <cellStyle name="メモ 2 4 4 2" xfId="596"/>
    <cellStyle name="メモ 2 4 5" xfId="597"/>
    <cellStyle name="メモ 2 4 5 2" xfId="598"/>
    <cellStyle name="メモ 2 4 6" xfId="599"/>
    <cellStyle name="メモ 2 4 6 2" xfId="600"/>
    <cellStyle name="メモ 2 4 7" xfId="601"/>
    <cellStyle name="メモ 2 4 7 2" xfId="602"/>
    <cellStyle name="メモ 2 4 8" xfId="603"/>
    <cellStyle name="メモ 2 5" xfId="604"/>
    <cellStyle name="メモ 2 5 2" xfId="605"/>
    <cellStyle name="メモ 2 5 2 2" xfId="606"/>
    <cellStyle name="メモ 2 5 2 2 2" xfId="607"/>
    <cellStyle name="メモ 2 5 2 3" xfId="608"/>
    <cellStyle name="メモ 2 5 2 3 2" xfId="609"/>
    <cellStyle name="メモ 2 5 2 4" xfId="610"/>
    <cellStyle name="メモ 2 5 2 4 2" xfId="611"/>
    <cellStyle name="メモ 2 5 2 5" xfId="612"/>
    <cellStyle name="メモ 2 5 2 5 2" xfId="613"/>
    <cellStyle name="メモ 2 5 2 6" xfId="614"/>
    <cellStyle name="メモ 2 5 2 6 2" xfId="615"/>
    <cellStyle name="メモ 2 5 2 7" xfId="616"/>
    <cellStyle name="メモ 2 5 3" xfId="617"/>
    <cellStyle name="メモ 2 5 3 2" xfId="618"/>
    <cellStyle name="メモ 2 5 4" xfId="619"/>
    <cellStyle name="メモ 2 5 4 2" xfId="620"/>
    <cellStyle name="メモ 2 5 5" xfId="621"/>
    <cellStyle name="メモ 2 5 5 2" xfId="622"/>
    <cellStyle name="メモ 2 5 6" xfId="623"/>
    <cellStyle name="メモ 2 5 6 2" xfId="624"/>
    <cellStyle name="メモ 2 5 7" xfId="625"/>
    <cellStyle name="メモ 2 5 7 2" xfId="626"/>
    <cellStyle name="メモ 2 5 8" xfId="627"/>
    <cellStyle name="メモ 2 6" xfId="628"/>
    <cellStyle name="メモ 2 6 2" xfId="629"/>
    <cellStyle name="メモ 2 6 2 2" xfId="630"/>
    <cellStyle name="メモ 2 6 2 2 2" xfId="631"/>
    <cellStyle name="メモ 2 6 2 3" xfId="632"/>
    <cellStyle name="メモ 2 6 2 3 2" xfId="633"/>
    <cellStyle name="メモ 2 6 2 4" xfId="634"/>
    <cellStyle name="メモ 2 6 2 4 2" xfId="635"/>
    <cellStyle name="メモ 2 6 2 5" xfId="636"/>
    <cellStyle name="メモ 2 6 2 5 2" xfId="637"/>
    <cellStyle name="メモ 2 6 2 6" xfId="638"/>
    <cellStyle name="メモ 2 6 2 6 2" xfId="639"/>
    <cellStyle name="メモ 2 6 2 7" xfId="640"/>
    <cellStyle name="メモ 2 6 3" xfId="641"/>
    <cellStyle name="メモ 2 6 3 2" xfId="642"/>
    <cellStyle name="メモ 2 6 4" xfId="643"/>
    <cellStyle name="メモ 2 6 4 2" xfId="644"/>
    <cellStyle name="メモ 2 6 5" xfId="645"/>
    <cellStyle name="メモ 2 6 5 2" xfId="646"/>
    <cellStyle name="メモ 2 6 6" xfId="647"/>
    <cellStyle name="メモ 2 6 6 2" xfId="648"/>
    <cellStyle name="メモ 2 6 7" xfId="649"/>
    <cellStyle name="メモ 2 6 7 2" xfId="650"/>
    <cellStyle name="メモ 2 6 8" xfId="651"/>
    <cellStyle name="メモ 2 7" xfId="652"/>
    <cellStyle name="メモ 2 7 2" xfId="653"/>
    <cellStyle name="メモ 2 7 2 2" xfId="654"/>
    <cellStyle name="メモ 2 7 3" xfId="655"/>
    <cellStyle name="メモ 2 7 3 2" xfId="656"/>
    <cellStyle name="メモ 2 7 4" xfId="657"/>
    <cellStyle name="メモ 2 7 4 2" xfId="658"/>
    <cellStyle name="メモ 2 7 5" xfId="659"/>
    <cellStyle name="メモ 2 7 5 2" xfId="660"/>
    <cellStyle name="メモ 2 7 6" xfId="661"/>
    <cellStyle name="メモ 2 7 6 2" xfId="662"/>
    <cellStyle name="メモ 2 7 7" xfId="663"/>
    <cellStyle name="メモ 2 8" xfId="664"/>
    <cellStyle name="メモ 2 8 2" xfId="665"/>
    <cellStyle name="メモ 3" xfId="666"/>
    <cellStyle name="メモ 3 2" xfId="667"/>
    <cellStyle name="メモ 3 2 2" xfId="668"/>
    <cellStyle name="メモ 3 2 2 2" xfId="669"/>
    <cellStyle name="メモ 3 2 3" xfId="670"/>
    <cellStyle name="メモ 3 2 3 2" xfId="671"/>
    <cellStyle name="メモ 3 2 4" xfId="672"/>
    <cellStyle name="メモ 3 2 4 2" xfId="673"/>
    <cellStyle name="メモ 3 2 5" xfId="674"/>
    <cellStyle name="メモ 3 2 5 2" xfId="675"/>
    <cellStyle name="メモ 3 2 6" xfId="676"/>
    <cellStyle name="メモ 3 2 6 2" xfId="677"/>
    <cellStyle name="メモ 3 2 7" xfId="678"/>
    <cellStyle name="メモ 3 3" xfId="679"/>
    <cellStyle name="メモ 3 3 2" xfId="680"/>
    <cellStyle name="メモ 3 4" xfId="681"/>
    <cellStyle name="メモ 3 5" xfId="682"/>
    <cellStyle name="メモ 4" xfId="683"/>
    <cellStyle name="メモ 4 2" xfId="684"/>
    <cellStyle name="メモ 4 2 2" xfId="685"/>
    <cellStyle name="メモ 4 2 2 2" xfId="686"/>
    <cellStyle name="メモ 4 2 3" xfId="687"/>
    <cellStyle name="メモ 4 2 3 2" xfId="688"/>
    <cellStyle name="メモ 4 2 4" xfId="689"/>
    <cellStyle name="メモ 4 2 4 2" xfId="690"/>
    <cellStyle name="メモ 4 2 5" xfId="691"/>
    <cellStyle name="メモ 4 2 5 2" xfId="692"/>
    <cellStyle name="メモ 4 2 6" xfId="693"/>
    <cellStyle name="メモ 4 2 6 2" xfId="694"/>
    <cellStyle name="メモ 4 2 7" xfId="695"/>
    <cellStyle name="メモ 4 3" xfId="696"/>
    <cellStyle name="メモ 4 3 2" xfId="697"/>
    <cellStyle name="メモ 4 4" xfId="698"/>
    <cellStyle name="メモ 5" xfId="699"/>
    <cellStyle name="メモ 5 2" xfId="700"/>
    <cellStyle name="メモ 5 2 2" xfId="701"/>
    <cellStyle name="メモ 5 3" xfId="702"/>
    <cellStyle name="メモ 5 3 2" xfId="703"/>
    <cellStyle name="メモ 5 4" xfId="704"/>
    <cellStyle name="メモ 5 4 2" xfId="705"/>
    <cellStyle name="メモ 5 5" xfId="706"/>
    <cellStyle name="メモ 5 5 2" xfId="707"/>
    <cellStyle name="メモ 5 6" xfId="708"/>
    <cellStyle name="メモ 5 6 2" xfId="709"/>
    <cellStyle name="メモ 5 7" xfId="710"/>
    <cellStyle name="メモ 5 7 2" xfId="711"/>
    <cellStyle name="メモ 6" xfId="712"/>
    <cellStyle name="メモ 7" xfId="713"/>
    <cellStyle name="メモ 8" xfId="714"/>
    <cellStyle name="メモ 9" xfId="715"/>
    <cellStyle name="リンク セル 2" xfId="716"/>
    <cellStyle name="リンク セル 3" xfId="717"/>
    <cellStyle name="リンク セル 4" xfId="718"/>
    <cellStyle name="リンク セル 5" xfId="719"/>
    <cellStyle name="リンク セル 6" xfId="720"/>
    <cellStyle name="リンク セル 7" xfId="721"/>
    <cellStyle name="リンク セル 8" xfId="722"/>
    <cellStyle name="リンク セル 9" xfId="723"/>
    <cellStyle name="_x001d_・_x000c_ﾏ・_x000d_ﾂ・_x0001__x0016__x0011_F5_x0007__x0001__x0001_" xfId="724"/>
    <cellStyle name="_x001d_・_x000c_ﾏ・_x000d_ﾂ・_x0001__x0016__x0011_F5_x0007__x0001__x0001_ 2" xfId="725"/>
    <cellStyle name="_x001d_・_x000c_ﾏ・_x000d_ﾂ・_x0001__x0016__x0011_F5_x0007__x0001__x0001_ 2 2" xfId="726"/>
    <cellStyle name="_x001d_・_x000c_ﾏ・_x000d_ﾂ・_x0001__x0016__x0011_F5_x0007__x0001__x0001_ 2 2 2" xfId="727"/>
    <cellStyle name="_x001d_・_x000c_ﾏ・_x000d_ﾂ・_x0001__x0016__x0011_F5_x0007__x0001__x0001_ 2 3" xfId="728"/>
    <cellStyle name="_x001d_・_x000c_ﾏ・_x000d_ﾂ・_x0001__x0016__x0011_F5_x0007__x0001__x0001_ 3" xfId="729"/>
    <cellStyle name="_x001d_・_x000c_ﾏ・_x000d_ﾂ・_x0001__x0016__x0011_F5_x0007__x0001__x0001_ 3 2" xfId="730"/>
    <cellStyle name="悪い 2" xfId="731"/>
    <cellStyle name="悪い 3" xfId="732"/>
    <cellStyle name="悪い 4" xfId="733"/>
    <cellStyle name="悪い 5" xfId="734"/>
    <cellStyle name="悪い 6" xfId="735"/>
    <cellStyle name="悪い 7" xfId="736"/>
    <cellStyle name="悪い 8" xfId="737"/>
    <cellStyle name="悪い 9" xfId="738"/>
    <cellStyle name="計算 2" xfId="739"/>
    <cellStyle name="計算 2 2" xfId="740"/>
    <cellStyle name="計算 2 2 2" xfId="741"/>
    <cellStyle name="計算 2 2 2 2" xfId="742"/>
    <cellStyle name="計算 2 2 2 2 2" xfId="743"/>
    <cellStyle name="計算 2 2 2 3" xfId="744"/>
    <cellStyle name="計算 2 2 2 3 2" xfId="745"/>
    <cellStyle name="計算 2 2 2 4" xfId="746"/>
    <cellStyle name="計算 2 2 2 4 2" xfId="747"/>
    <cellStyle name="計算 2 2 2 5" xfId="748"/>
    <cellStyle name="計算 2 2 2 5 2" xfId="749"/>
    <cellStyle name="計算 2 2 2 6" xfId="750"/>
    <cellStyle name="計算 2 2 2 6 2" xfId="751"/>
    <cellStyle name="計算 2 2 2 7" xfId="752"/>
    <cellStyle name="計算 2 2 3" xfId="753"/>
    <cellStyle name="計算 2 2 3 2" xfId="754"/>
    <cellStyle name="計算 2 2 4" xfId="755"/>
    <cellStyle name="計算 2 3" xfId="756"/>
    <cellStyle name="計算 2 3 2" xfId="757"/>
    <cellStyle name="計算 2 3 2 2" xfId="758"/>
    <cellStyle name="計算 2 3 3" xfId="759"/>
    <cellStyle name="計算 2 3 3 2" xfId="760"/>
    <cellStyle name="計算 2 3 4" xfId="761"/>
    <cellStyle name="計算 2 3 4 2" xfId="762"/>
    <cellStyle name="計算 2 3 5" xfId="763"/>
    <cellStyle name="計算 2 3 5 2" xfId="764"/>
    <cellStyle name="計算 2 3 6" xfId="765"/>
    <cellStyle name="計算 2 3 6 2" xfId="766"/>
    <cellStyle name="計算 2 3 7" xfId="767"/>
    <cellStyle name="計算 2 4" xfId="768"/>
    <cellStyle name="計算 2 4 2" xfId="769"/>
    <cellStyle name="計算 2 5" xfId="770"/>
    <cellStyle name="計算 3" xfId="771"/>
    <cellStyle name="計算 3 2" xfId="772"/>
    <cellStyle name="計算 3 2 2" xfId="773"/>
    <cellStyle name="計算 3 2 2 2" xfId="774"/>
    <cellStyle name="計算 3 2 3" xfId="775"/>
    <cellStyle name="計算 3 2 3 2" xfId="776"/>
    <cellStyle name="計算 3 2 4" xfId="777"/>
    <cellStyle name="計算 3 2 4 2" xfId="778"/>
    <cellStyle name="計算 3 2 5" xfId="779"/>
    <cellStyle name="計算 3 2 5 2" xfId="780"/>
    <cellStyle name="計算 3 2 6" xfId="781"/>
    <cellStyle name="計算 3 2 6 2" xfId="782"/>
    <cellStyle name="計算 3 2 7" xfId="783"/>
    <cellStyle name="計算 3 3" xfId="784"/>
    <cellStyle name="計算 3 3 2" xfId="785"/>
    <cellStyle name="計算 3 4" xfId="786"/>
    <cellStyle name="計算 4" xfId="787"/>
    <cellStyle name="計算 4 2" xfId="788"/>
    <cellStyle name="計算 4 2 2" xfId="789"/>
    <cellStyle name="計算 4 3" xfId="790"/>
    <cellStyle name="計算 4 3 2" xfId="791"/>
    <cellStyle name="計算 4 4" xfId="792"/>
    <cellStyle name="計算 4 4 2" xfId="793"/>
    <cellStyle name="計算 4 5" xfId="794"/>
    <cellStyle name="計算 4 5 2" xfId="795"/>
    <cellStyle name="計算 4 6" xfId="796"/>
    <cellStyle name="計算 4 6 2" xfId="797"/>
    <cellStyle name="計算 4 7" xfId="798"/>
    <cellStyle name="計算 5" xfId="799"/>
    <cellStyle name="計算 6" xfId="800"/>
    <cellStyle name="計算 7" xfId="801"/>
    <cellStyle name="計算 8" xfId="802"/>
    <cellStyle name="計算 9" xfId="803"/>
    <cellStyle name="警告文 2" xfId="804"/>
    <cellStyle name="警告文 3" xfId="805"/>
    <cellStyle name="警告文 4" xfId="806"/>
    <cellStyle name="警告文 5" xfId="807"/>
    <cellStyle name="警告文 6" xfId="808"/>
    <cellStyle name="警告文 7" xfId="809"/>
    <cellStyle name="警告文 8" xfId="810"/>
    <cellStyle name="警告文 9" xfId="811"/>
    <cellStyle name="桁蟻唇Ｆ [0.00]_laroux" xfId="812"/>
    <cellStyle name="桁蟻唇Ｆ_A°DAU±ATIsA" xfId="813"/>
    <cellStyle name="桁区切り 2" xfId="814"/>
    <cellStyle name="桁区切り 2 2" xfId="815"/>
    <cellStyle name="桁区切り 2 2 2" xfId="816"/>
    <cellStyle name="桁区切り 2 3" xfId="817"/>
    <cellStyle name="桁区切り 2 4" xfId="818"/>
    <cellStyle name="桁区切り 2 4 2" xfId="819"/>
    <cellStyle name="桁区切り 2 4 3" xfId="820"/>
    <cellStyle name="桁区切り 2 5" xfId="821"/>
    <cellStyle name="桁区切り 2 5 2" xfId="822"/>
    <cellStyle name="桁区切り 2 5 3" xfId="823"/>
    <cellStyle name="桁区切り 2 6" xfId="824"/>
    <cellStyle name="桁区切り 2_バックアップセンタ_切替テストスケジュール_20120406~10" xfId="825"/>
    <cellStyle name="桁区切り 3" xfId="826"/>
    <cellStyle name="桁区切り 3 2" xfId="827"/>
    <cellStyle name="桁区切り 3 2 2" xfId="828"/>
    <cellStyle name="桁区切り 3 2 3" xfId="829"/>
    <cellStyle name="桁区切り 3 3" xfId="830"/>
    <cellStyle name="桁区切り 4" xfId="831"/>
    <cellStyle name="桁区切り 4 2" xfId="832"/>
    <cellStyle name="桁区切り 4 2 2" xfId="833"/>
    <cellStyle name="桁区切り 4 2 3" xfId="834"/>
    <cellStyle name="桁区切り 4 3" xfId="835"/>
    <cellStyle name="桁区切り 4 4" xfId="836"/>
    <cellStyle name="桁区切り 5" xfId="837"/>
    <cellStyle name="桁区切り 5 2" xfId="838"/>
    <cellStyle name="桁区切り 5 3" xfId="839"/>
    <cellStyle name="桁区切り 6" xfId="840"/>
    <cellStyle name="見出し 1 2" xfId="841"/>
    <cellStyle name="見出し 1 3" xfId="842"/>
    <cellStyle name="見出し 1 4" xfId="843"/>
    <cellStyle name="見出し 1 5" xfId="844"/>
    <cellStyle name="見出し 1 6" xfId="845"/>
    <cellStyle name="見出し 1 7" xfId="846"/>
    <cellStyle name="見出し 1 8" xfId="847"/>
    <cellStyle name="見出し 1 9" xfId="848"/>
    <cellStyle name="見出し 2 2" xfId="849"/>
    <cellStyle name="見出し 2 3" xfId="850"/>
    <cellStyle name="見出し 2 4" xfId="851"/>
    <cellStyle name="見出し 2 5" xfId="852"/>
    <cellStyle name="見出し 2 6" xfId="853"/>
    <cellStyle name="見出し 2 7" xfId="854"/>
    <cellStyle name="見出し 2 8" xfId="855"/>
    <cellStyle name="見出し 2 9" xfId="856"/>
    <cellStyle name="見出し 3 2" xfId="857"/>
    <cellStyle name="見出し 3 3" xfId="858"/>
    <cellStyle name="見出し 3 4" xfId="859"/>
    <cellStyle name="見出し 3 5" xfId="860"/>
    <cellStyle name="見出し 3 6" xfId="861"/>
    <cellStyle name="見出し 3 7" xfId="862"/>
    <cellStyle name="見出し 3 8" xfId="863"/>
    <cellStyle name="見出し 3 9" xfId="864"/>
    <cellStyle name="見出し 4 2" xfId="865"/>
    <cellStyle name="見出し 4 3" xfId="866"/>
    <cellStyle name="見出し 4 4" xfId="867"/>
    <cellStyle name="見出し 4 5" xfId="868"/>
    <cellStyle name="見出し 4 6" xfId="869"/>
    <cellStyle name="見出し 4 7" xfId="870"/>
    <cellStyle name="見出し 4 8" xfId="871"/>
    <cellStyle name="見出し 4 9" xfId="872"/>
    <cellStyle name="構成図作成用" xfId="873"/>
    <cellStyle name="取り消し" xfId="874"/>
    <cellStyle name="集計 2" xfId="875"/>
    <cellStyle name="集計 2 2" xfId="876"/>
    <cellStyle name="集計 2 2 2" xfId="877"/>
    <cellStyle name="集計 2 2 2 2" xfId="878"/>
    <cellStyle name="集計 2 2 2 2 2" xfId="879"/>
    <cellStyle name="集計 2 2 2 3" xfId="880"/>
    <cellStyle name="集計 2 2 2 3 2" xfId="881"/>
    <cellStyle name="集計 2 2 2 4" xfId="882"/>
    <cellStyle name="集計 2 2 2 4 2" xfId="883"/>
    <cellStyle name="集計 2 2 2 5" xfId="884"/>
    <cellStyle name="集計 2 2 2 5 2" xfId="885"/>
    <cellStyle name="集計 2 2 2 6" xfId="886"/>
    <cellStyle name="集計 2 2 2 6 2" xfId="887"/>
    <cellStyle name="集計 2 2 2 7" xfId="888"/>
    <cellStyle name="集計 2 2 3" xfId="889"/>
    <cellStyle name="集計 2 2 3 2" xfId="890"/>
    <cellStyle name="集計 2 3" xfId="891"/>
    <cellStyle name="集計 2 3 2" xfId="892"/>
    <cellStyle name="集計 2 3 2 2" xfId="893"/>
    <cellStyle name="集計 2 3 3" xfId="894"/>
    <cellStyle name="集計 2 3 3 2" xfId="895"/>
    <cellStyle name="集計 2 3 4" xfId="896"/>
    <cellStyle name="集計 2 3 4 2" xfId="897"/>
    <cellStyle name="集計 2 3 5" xfId="898"/>
    <cellStyle name="集計 2 3 5 2" xfId="899"/>
    <cellStyle name="集計 2 3 6" xfId="900"/>
    <cellStyle name="集計 2 3 6 2" xfId="901"/>
    <cellStyle name="集計 2 3 7" xfId="902"/>
    <cellStyle name="集計 2 4" xfId="903"/>
    <cellStyle name="集計 2 4 2" xfId="904"/>
    <cellStyle name="集計 3" xfId="905"/>
    <cellStyle name="集計 3 2" xfId="906"/>
    <cellStyle name="集計 3 2 2" xfId="907"/>
    <cellStyle name="集計 3 2 2 2" xfId="908"/>
    <cellStyle name="集計 3 2 3" xfId="909"/>
    <cellStyle name="集計 3 2 3 2" xfId="910"/>
    <cellStyle name="集計 3 2 4" xfId="911"/>
    <cellStyle name="集計 3 2 4 2" xfId="912"/>
    <cellStyle name="集計 3 2 5" xfId="913"/>
    <cellStyle name="集計 3 2 5 2" xfId="914"/>
    <cellStyle name="集計 3 2 6" xfId="915"/>
    <cellStyle name="集計 3 2 6 2" xfId="916"/>
    <cellStyle name="集計 3 2 7" xfId="917"/>
    <cellStyle name="集計 3 3" xfId="918"/>
    <cellStyle name="集計 3 3 2" xfId="919"/>
    <cellStyle name="集計 3 4" xfId="920"/>
    <cellStyle name="集計 4" xfId="921"/>
    <cellStyle name="集計 4 2" xfId="922"/>
    <cellStyle name="集計 4 2 2" xfId="923"/>
    <cellStyle name="集計 4 3" xfId="924"/>
    <cellStyle name="集計 4 3 2" xfId="925"/>
    <cellStyle name="集計 4 4" xfId="926"/>
    <cellStyle name="集計 4 4 2" xfId="927"/>
    <cellStyle name="集計 4 5" xfId="928"/>
    <cellStyle name="集計 4 5 2" xfId="929"/>
    <cellStyle name="集計 4 6" xfId="930"/>
    <cellStyle name="集計 4 6 2" xfId="931"/>
    <cellStyle name="集計 4 7" xfId="932"/>
    <cellStyle name="集計 5" xfId="933"/>
    <cellStyle name="集計 6" xfId="934"/>
    <cellStyle name="集計 7" xfId="935"/>
    <cellStyle name="集計 8" xfId="936"/>
    <cellStyle name="集計 9" xfId="937"/>
    <cellStyle name="出力 2" xfId="938"/>
    <cellStyle name="出力 2 2" xfId="939"/>
    <cellStyle name="出力 2 2 2" xfId="940"/>
    <cellStyle name="出力 2 2 2 2" xfId="941"/>
    <cellStyle name="出力 2 2 2 2 2" xfId="942"/>
    <cellStyle name="出力 2 2 2 3" xfId="943"/>
    <cellStyle name="出力 2 2 2 3 2" xfId="944"/>
    <cellStyle name="出力 2 2 2 4" xfId="945"/>
    <cellStyle name="出力 2 2 2 4 2" xfId="946"/>
    <cellStyle name="出力 2 2 2 5" xfId="947"/>
    <cellStyle name="出力 2 2 2 5 2" xfId="948"/>
    <cellStyle name="出力 2 2 2 6" xfId="949"/>
    <cellStyle name="出力 2 2 2 6 2" xfId="950"/>
    <cellStyle name="出力 2 2 2 7" xfId="951"/>
    <cellStyle name="出力 2 2 3" xfId="952"/>
    <cellStyle name="出力 2 2 3 2" xfId="953"/>
    <cellStyle name="出力 2 3" xfId="954"/>
    <cellStyle name="出力 2 3 2" xfId="955"/>
    <cellStyle name="出力 2 3 2 2" xfId="956"/>
    <cellStyle name="出力 2 3 3" xfId="957"/>
    <cellStyle name="出力 2 3 3 2" xfId="958"/>
    <cellStyle name="出力 2 3 4" xfId="959"/>
    <cellStyle name="出力 2 3 4 2" xfId="960"/>
    <cellStyle name="出力 2 3 5" xfId="961"/>
    <cellStyle name="出力 2 3 5 2" xfId="962"/>
    <cellStyle name="出力 2 3 6" xfId="963"/>
    <cellStyle name="出力 2 3 6 2" xfId="964"/>
    <cellStyle name="出力 2 3 7" xfId="965"/>
    <cellStyle name="出力 2 4" xfId="966"/>
    <cellStyle name="出力 2 4 2" xfId="967"/>
    <cellStyle name="出力 3" xfId="968"/>
    <cellStyle name="出力 3 2" xfId="969"/>
    <cellStyle name="出力 3 2 2" xfId="970"/>
    <cellStyle name="出力 3 2 2 2" xfId="971"/>
    <cellStyle name="出力 3 2 3" xfId="972"/>
    <cellStyle name="出力 3 2 3 2" xfId="973"/>
    <cellStyle name="出力 3 2 4" xfId="974"/>
    <cellStyle name="出力 3 2 4 2" xfId="975"/>
    <cellStyle name="出力 3 2 5" xfId="976"/>
    <cellStyle name="出力 3 2 5 2" xfId="977"/>
    <cellStyle name="出力 3 2 6" xfId="978"/>
    <cellStyle name="出力 3 2 6 2" xfId="979"/>
    <cellStyle name="出力 3 2 7" xfId="980"/>
    <cellStyle name="出力 3 3" xfId="981"/>
    <cellStyle name="出力 3 3 2" xfId="982"/>
    <cellStyle name="出力 3 4" xfId="983"/>
    <cellStyle name="出力 4" xfId="984"/>
    <cellStyle name="出力 4 2" xfId="985"/>
    <cellStyle name="出力 4 2 2" xfId="986"/>
    <cellStyle name="出力 4 3" xfId="987"/>
    <cellStyle name="出力 4 3 2" xfId="988"/>
    <cellStyle name="出力 4 4" xfId="989"/>
    <cellStyle name="出力 4 4 2" xfId="990"/>
    <cellStyle name="出力 4 5" xfId="991"/>
    <cellStyle name="出力 4 5 2" xfId="992"/>
    <cellStyle name="出力 4 6" xfId="993"/>
    <cellStyle name="出力 4 6 2" xfId="994"/>
    <cellStyle name="出力 4 7" xfId="995"/>
    <cellStyle name="出力 5" xfId="996"/>
    <cellStyle name="出力 6" xfId="997"/>
    <cellStyle name="出力 7" xfId="998"/>
    <cellStyle name="出力 8" xfId="999"/>
    <cellStyle name="出力 9" xfId="1000"/>
    <cellStyle name="人月" xfId="1001"/>
    <cellStyle name="説明文 2" xfId="1002"/>
    <cellStyle name="説明文 3" xfId="1003"/>
    <cellStyle name="説明文 4" xfId="1004"/>
    <cellStyle name="説明文 5" xfId="1005"/>
    <cellStyle name="説明文 6" xfId="1006"/>
    <cellStyle name="説明文 7" xfId="1007"/>
    <cellStyle name="説明文 8" xfId="1008"/>
    <cellStyle name="説明文 9" xfId="1009"/>
    <cellStyle name="脱浦 [0.00]_laroux" xfId="1010"/>
    <cellStyle name="脱浦_laroux" xfId="1011"/>
    <cellStyle name="通貨 [0.00" xfId="1012"/>
    <cellStyle name="通貨 [0.00 2" xfId="1013"/>
    <cellStyle name="通貨 [0.00 3" xfId="1014"/>
    <cellStyle name="通貨 [0.00 4" xfId="1015"/>
    <cellStyle name="通貨 [0.00 5" xfId="1016"/>
    <cellStyle name="通貨 [0.00 6" xfId="1017"/>
    <cellStyle name="通貨 2" xfId="1018"/>
    <cellStyle name="通貨 2 2" xfId="1019"/>
    <cellStyle name="通貨 2 2 2" xfId="1020"/>
    <cellStyle name="通貨 2 2 3" xfId="1021"/>
    <cellStyle name="通貨 2 3" xfId="1022"/>
    <cellStyle name="通貨 2 4" xfId="1023"/>
    <cellStyle name="通貨 2 5" xfId="1024"/>
    <cellStyle name="通貨 3" xfId="1025"/>
    <cellStyle name="入力 2" xfId="1026"/>
    <cellStyle name="入力 2 2" xfId="1027"/>
    <cellStyle name="入力 2 2 2" xfId="1028"/>
    <cellStyle name="入力 2 2 2 2" xfId="1029"/>
    <cellStyle name="入力 2 2 2 2 2" xfId="1030"/>
    <cellStyle name="入力 2 2 2 3" xfId="1031"/>
    <cellStyle name="入力 2 2 2 3 2" xfId="1032"/>
    <cellStyle name="入力 2 2 2 4" xfId="1033"/>
    <cellStyle name="入力 2 2 2 4 2" xfId="1034"/>
    <cellStyle name="入力 2 2 2 5" xfId="1035"/>
    <cellStyle name="入力 2 2 2 5 2" xfId="1036"/>
    <cellStyle name="入力 2 2 2 6" xfId="1037"/>
    <cellStyle name="入力 2 2 2 6 2" xfId="1038"/>
    <cellStyle name="入力 2 2 2 7" xfId="1039"/>
    <cellStyle name="入力 2 2 3" xfId="1040"/>
    <cellStyle name="入力 2 2 3 2" xfId="1041"/>
    <cellStyle name="入力 2 2 4" xfId="1042"/>
    <cellStyle name="入力 2 3" xfId="1043"/>
    <cellStyle name="入力 2 3 2" xfId="1044"/>
    <cellStyle name="入力 2 3 2 2" xfId="1045"/>
    <cellStyle name="入力 2 3 3" xfId="1046"/>
    <cellStyle name="入力 2 3 3 2" xfId="1047"/>
    <cellStyle name="入力 2 3 4" xfId="1048"/>
    <cellStyle name="入力 2 3 4 2" xfId="1049"/>
    <cellStyle name="入力 2 3 5" xfId="1050"/>
    <cellStyle name="入力 2 3 5 2" xfId="1051"/>
    <cellStyle name="入力 2 3 6" xfId="1052"/>
    <cellStyle name="入力 2 3 6 2" xfId="1053"/>
    <cellStyle name="入力 2 3 7" xfId="1054"/>
    <cellStyle name="入力 2 4" xfId="1055"/>
    <cellStyle name="入力 2 4 2" xfId="1056"/>
    <cellStyle name="入力 2 5" xfId="1057"/>
    <cellStyle name="入力 3" xfId="1058"/>
    <cellStyle name="入力 3 2" xfId="1059"/>
    <cellStyle name="入力 3 2 2" xfId="1060"/>
    <cellStyle name="入力 3 2 2 2" xfId="1061"/>
    <cellStyle name="入力 3 2 3" xfId="1062"/>
    <cellStyle name="入力 3 2 3 2" xfId="1063"/>
    <cellStyle name="入力 3 2 4" xfId="1064"/>
    <cellStyle name="入力 3 2 4 2" xfId="1065"/>
    <cellStyle name="入力 3 2 5" xfId="1066"/>
    <cellStyle name="入力 3 2 5 2" xfId="1067"/>
    <cellStyle name="入力 3 2 6" xfId="1068"/>
    <cellStyle name="入力 3 2 6 2" xfId="1069"/>
    <cellStyle name="入力 3 2 7" xfId="1070"/>
    <cellStyle name="入力 3 3" xfId="1071"/>
    <cellStyle name="入力 3 3 2" xfId="1072"/>
    <cellStyle name="入力 3 4" xfId="1073"/>
    <cellStyle name="入力 4" xfId="1074"/>
    <cellStyle name="入力 4 2" xfId="1075"/>
    <cellStyle name="入力 4 2 2" xfId="1076"/>
    <cellStyle name="入力 4 3" xfId="1077"/>
    <cellStyle name="入力 4 3 2" xfId="1078"/>
    <cellStyle name="入力 4 4" xfId="1079"/>
    <cellStyle name="入力 4 4 2" xfId="1080"/>
    <cellStyle name="入力 4 5" xfId="1081"/>
    <cellStyle name="入力 4 5 2" xfId="1082"/>
    <cellStyle name="入力 4 6" xfId="1083"/>
    <cellStyle name="入力 4 6 2" xfId="1084"/>
    <cellStyle name="入力 4 7" xfId="1085"/>
    <cellStyle name="入力 5" xfId="1086"/>
    <cellStyle name="入力 6" xfId="1087"/>
    <cellStyle name="入力 7" xfId="1088"/>
    <cellStyle name="入力 8" xfId="1089"/>
    <cellStyle name="入力 9" xfId="1090"/>
    <cellStyle builtinId="0" name="標準" xfId="0"/>
    <cellStyle name="標準 10" xfId="1091"/>
    <cellStyle name="標準 10 2" xfId="1092"/>
    <cellStyle name="標準 10 3" xfId="1093"/>
    <cellStyle name="標準 10 4" xfId="1094"/>
    <cellStyle name="標準 10 5" xfId="1095"/>
    <cellStyle name="標準 100" xfId="1096"/>
    <cellStyle name="標準 100 2" xfId="1097"/>
    <cellStyle name="標準 100 2 2" xfId="1098"/>
    <cellStyle name="標準 100 2 2 2" xfId="1099"/>
    <cellStyle name="標準 100 2 2 3" xfId="1100"/>
    <cellStyle name="標準 100 2 2 4" xfId="1101"/>
    <cellStyle name="標準 100 2 3" xfId="1102"/>
    <cellStyle name="標準 100 2 4" xfId="1103"/>
    <cellStyle name="標準 100 2 5" xfId="1104"/>
    <cellStyle name="標準 100 3" xfId="1105"/>
    <cellStyle name="標準 100 3 2" xfId="1106"/>
    <cellStyle name="標準 100 3 3" xfId="1107"/>
    <cellStyle name="標準 100 3 4" xfId="1108"/>
    <cellStyle name="標準 100 4" xfId="1109"/>
    <cellStyle name="標準 100 5" xfId="1110"/>
    <cellStyle name="標準 100 6" xfId="1111"/>
    <cellStyle name="標準 101" xfId="1112"/>
    <cellStyle name="標準 102" xfId="1113"/>
    <cellStyle name="標準 102 2" xfId="1114"/>
    <cellStyle name="標準 102 2 2" xfId="1115"/>
    <cellStyle name="標準 102 2 3" xfId="1116"/>
    <cellStyle name="標準 102 2 4" xfId="1117"/>
    <cellStyle name="標準 102 3" xfId="1118"/>
    <cellStyle name="標準 102 4" xfId="1119"/>
    <cellStyle name="標準 102 5" xfId="1120"/>
    <cellStyle name="標準 103" xfId="1121"/>
    <cellStyle name="標準 104" xfId="1122"/>
    <cellStyle name="標準 104 2" xfId="1123"/>
    <cellStyle name="標準 104 3" xfId="1124"/>
    <cellStyle name="標準 104 4" xfId="1125"/>
    <cellStyle name="標準 105" xfId="1126"/>
    <cellStyle name="標準 106" xfId="1127"/>
    <cellStyle name="標準 107" xfId="1128"/>
    <cellStyle name="標準 108" xfId="1129"/>
    <cellStyle name="標準 109" xfId="1130"/>
    <cellStyle name="標準 11" xfId="1131"/>
    <cellStyle name="標準 11 2" xfId="1132"/>
    <cellStyle name="標準 11 3" xfId="1133"/>
    <cellStyle name="標準 110" xfId="1134"/>
    <cellStyle name="標準 111" xfId="1135"/>
    <cellStyle name="標準 112" xfId="1136"/>
    <cellStyle name="標準 113" xfId="1137"/>
    <cellStyle name="標準 114" xfId="1138"/>
    <cellStyle name="標準 115" xfId="1139"/>
    <cellStyle name="標準 116" xfId="1140"/>
    <cellStyle name="標準 117" xfId="1141"/>
    <cellStyle name="標準 118" xfId="1142"/>
    <cellStyle name="標準 119" xfId="1143"/>
    <cellStyle name="標準 12" xfId="1144"/>
    <cellStyle name="標準 12 2" xfId="1145"/>
    <cellStyle name="標準 12 2 2" xfId="1146"/>
    <cellStyle name="標準 12 2 3" xfId="1147"/>
    <cellStyle name="標準 12 3" xfId="1148"/>
    <cellStyle name="標準 12 3 2" xfId="1149"/>
    <cellStyle name="標準 12 3 3" xfId="1150"/>
    <cellStyle name="標準 120" xfId="1151"/>
    <cellStyle name="標準 121" xfId="1152"/>
    <cellStyle name="標準 122" xfId="1153"/>
    <cellStyle name="標準 123" xfId="1154"/>
    <cellStyle name="標準 124" xfId="1155"/>
    <cellStyle name="標準 125" xfId="1156"/>
    <cellStyle name="標準 126" xfId="1157"/>
    <cellStyle name="標準 127" xfId="1158"/>
    <cellStyle name="標準 128" xfId="1159"/>
    <cellStyle name="標準 129" xfId="1160"/>
    <cellStyle name="標準 13" xfId="1161"/>
    <cellStyle name="標準 13 2" xfId="1162"/>
    <cellStyle name="標準 13 3" xfId="1163"/>
    <cellStyle name="標準 13 4" xfId="1164"/>
    <cellStyle name="標準 13 5" xfId="1165"/>
    <cellStyle name="標準 130" xfId="1166"/>
    <cellStyle name="標準 131" xfId="1167"/>
    <cellStyle name="標準 132" xfId="1"/>
    <cellStyle name="標準 133" xfId="1168"/>
    <cellStyle name="標準 136" xfId="1169"/>
    <cellStyle name="標準 14" xfId="1170"/>
    <cellStyle name="標準 14 2" xfId="1171"/>
    <cellStyle name="標準 14 2 2" xfId="1172"/>
    <cellStyle name="標準 14 2 3" xfId="1173"/>
    <cellStyle name="標準 14 3" xfId="1174"/>
    <cellStyle name="標準 14 4" xfId="1175"/>
    <cellStyle name="標準 15" xfId="1176"/>
    <cellStyle name="標準 15 2" xfId="1177"/>
    <cellStyle name="標準 15 2 2" xfId="1178"/>
    <cellStyle name="標準 15 2 3" xfId="1179"/>
    <cellStyle name="標準 15 3" xfId="1180"/>
    <cellStyle name="標準 15 4" xfId="1181"/>
    <cellStyle name="標準 15 5" xfId="1182"/>
    <cellStyle name="標準 15 6" xfId="1183"/>
    <cellStyle name="標準 16" xfId="1184"/>
    <cellStyle name="標準 16 2" xfId="1185"/>
    <cellStyle name="標準 16 2 2" xfId="1186"/>
    <cellStyle name="標準 16 2 3" xfId="1187"/>
    <cellStyle name="標準 16 3" xfId="1188"/>
    <cellStyle name="標準 16 4" xfId="1189"/>
    <cellStyle name="標準 16 5" xfId="1190"/>
    <cellStyle name="標準 17" xfId="1191"/>
    <cellStyle name="標準 17 2" xfId="1192"/>
    <cellStyle name="標準 17 2 2" xfId="1193"/>
    <cellStyle name="標準 17 2 3" xfId="1194"/>
    <cellStyle name="標準 17 3" xfId="1195"/>
    <cellStyle name="標準 17 4" xfId="1196"/>
    <cellStyle name="標準 17 5" xfId="1197"/>
    <cellStyle name="標準 18" xfId="1198"/>
    <cellStyle name="標準 18 2" xfId="1199"/>
    <cellStyle name="標準 18 2 2" xfId="1200"/>
    <cellStyle name="標準 18 2 3" xfId="1201"/>
    <cellStyle name="標準 18 2 4" xfId="1202"/>
    <cellStyle name="標準 18 3" xfId="1203"/>
    <cellStyle name="標準 18 4" xfId="1204"/>
    <cellStyle name="標準 18 5" xfId="1205"/>
    <cellStyle name="標準 18 6" xfId="1206"/>
    <cellStyle name="標準 19" xfId="1207"/>
    <cellStyle name="標準 19 2" xfId="1208"/>
    <cellStyle name="標準 19 3" xfId="1209"/>
    <cellStyle name="標準 2" xfId="2"/>
    <cellStyle name="標準 2 10" xfId="1210"/>
    <cellStyle name="標準 2 11" xfId="1211"/>
    <cellStyle name="標準 2 12" xfId="1212"/>
    <cellStyle name="標準 2 13" xfId="1213"/>
    <cellStyle name="標準 2 2" xfId="1214"/>
    <cellStyle name="標準 2 2 2" xfId="1215"/>
    <cellStyle name="標準 2 2 2 2" xfId="1216"/>
    <cellStyle name="標準 2 2 2 2 2" xfId="1217"/>
    <cellStyle name="標準 2 2 2 2 3" xfId="1218"/>
    <cellStyle name="標準 2 2 2 3" xfId="1219"/>
    <cellStyle name="標準 2 2 3" xfId="1220"/>
    <cellStyle name="標準 2 2 3 2" xfId="1221"/>
    <cellStyle name="標準 2 2 3 3" xfId="1222"/>
    <cellStyle name="標準 2 2 4" xfId="1223"/>
    <cellStyle name="標準 2 2 4 2" xfId="1224"/>
    <cellStyle name="標準 2 2 4 3" xfId="1225"/>
    <cellStyle name="標準 2 2 5" xfId="1226"/>
    <cellStyle name="標準 2 2 5 2" xfId="1227"/>
    <cellStyle name="標準 2 2 5 3" xfId="1228"/>
    <cellStyle name="標準 2 2 6" xfId="1229"/>
    <cellStyle name="標準 2 2 6 2" xfId="1230"/>
    <cellStyle name="標準 2 2 6 3" xfId="1231"/>
    <cellStyle name="標準 2 2 7" xfId="1232"/>
    <cellStyle name="標準 2 2 8" xfId="1233"/>
    <cellStyle name="標準 2 2_(別紙1)参加者テスト仕様書(JPN)_ver1.81" xfId="1234"/>
    <cellStyle name="標準 2 3" xfId="1235"/>
    <cellStyle name="標準 2 3 2" xfId="1236"/>
    <cellStyle name="標準 2 3 2 2" xfId="1237"/>
    <cellStyle name="標準 2 3 3" xfId="1238"/>
    <cellStyle name="標準 2 3 3 2" xfId="1239"/>
    <cellStyle name="標準 2 3 3 3" xfId="1240"/>
    <cellStyle name="標準 2 3 4" xfId="1241"/>
    <cellStyle name="標準 2 4" xfId="1242"/>
    <cellStyle name="標準 2 4 2" xfId="1243"/>
    <cellStyle name="標準 2 4 2 2" xfId="1244"/>
    <cellStyle name="標準 2 4 3" xfId="1245"/>
    <cellStyle name="標準 2 5" xfId="1246"/>
    <cellStyle name="標準 2 5 2" xfId="1247"/>
    <cellStyle name="標準 2 5 3" xfId="1248"/>
    <cellStyle name="標準 2 6" xfId="1249"/>
    <cellStyle name="標準 2 6 2" xfId="1250"/>
    <cellStyle name="標準 2 6 3" xfId="1251"/>
    <cellStyle name="標準 2 6 4" xfId="1252"/>
    <cellStyle name="標準 2 7" xfId="1253"/>
    <cellStyle name="標準 2 7 2" xfId="1254"/>
    <cellStyle name="標準 2 8" xfId="1255"/>
    <cellStyle name="標準 2 8 2" xfId="1256"/>
    <cellStyle name="標準 2 9" xfId="1257"/>
    <cellStyle name="標準 2_(別紙1)参加者テスト仕様書(JPN)_ver1.81" xfId="1258"/>
    <cellStyle name="標準 20" xfId="1259"/>
    <cellStyle name="標準 20 2" xfId="1260"/>
    <cellStyle name="標準 20 3" xfId="1261"/>
    <cellStyle name="標準 20 4" xfId="1262"/>
    <cellStyle name="標準 20 5" xfId="1263"/>
    <cellStyle name="標準 21" xfId="1264"/>
    <cellStyle name="標準 21 2" xfId="1265"/>
    <cellStyle name="標準 21 2 2" xfId="1266"/>
    <cellStyle name="標準 21 3" xfId="1267"/>
    <cellStyle name="標準 21 3 2" xfId="1268"/>
    <cellStyle name="標準 21 4" xfId="1269"/>
    <cellStyle name="標準 21 5" xfId="1270"/>
    <cellStyle name="標準 22" xfId="1271"/>
    <cellStyle name="標準 22 2" xfId="1272"/>
    <cellStyle name="標準 22 3" xfId="1273"/>
    <cellStyle name="標準 23" xfId="1274"/>
    <cellStyle name="標準 23 2" xfId="1275"/>
    <cellStyle name="標準 23 3" xfId="1276"/>
    <cellStyle name="標準 24" xfId="1277"/>
    <cellStyle name="標準 24 2" xfId="1278"/>
    <cellStyle name="標準 24 3" xfId="1279"/>
    <cellStyle name="標準 25" xfId="1280"/>
    <cellStyle name="標準 26" xfId="1281"/>
    <cellStyle name="標準 27" xfId="1282"/>
    <cellStyle name="標準 28" xfId="1283"/>
    <cellStyle name="標準 29" xfId="1284"/>
    <cellStyle name="標準 3" xfId="1285"/>
    <cellStyle name="標準 3 10" xfId="1286"/>
    <cellStyle name="標準 3 11" xfId="1287"/>
    <cellStyle name="標準 3 2" xfId="1288"/>
    <cellStyle name="標準 3 2 2" xfId="1289"/>
    <cellStyle name="標準 3 2 2 2" xfId="1290"/>
    <cellStyle name="標準 3 2 2 3" xfId="1291"/>
    <cellStyle name="標準 3 2 3" xfId="1292"/>
    <cellStyle name="標準 3 2 3 2" xfId="1293"/>
    <cellStyle name="標準 3 2 3 3" xfId="1294"/>
    <cellStyle name="標準 3 2 4" xfId="1295"/>
    <cellStyle name="標準 3 2 5" xfId="1296"/>
    <cellStyle name="標準 3 3" xfId="1297"/>
    <cellStyle name="標準 3 4" xfId="1298"/>
    <cellStyle name="標準 3 4 2" xfId="1299"/>
    <cellStyle name="標準 3 4 3" xfId="1300"/>
    <cellStyle name="標準 3 5" xfId="1301"/>
    <cellStyle name="標準 3 5 2" xfId="1302"/>
    <cellStyle name="標準 3 5 3" xfId="1303"/>
    <cellStyle name="標準 3 6" xfId="1304"/>
    <cellStyle name="標準 3 6 2" xfId="1305"/>
    <cellStyle name="標準 3 7" xfId="1306"/>
    <cellStyle name="標準 3 8" xfId="1307"/>
    <cellStyle name="標準 3 9" xfId="1308"/>
    <cellStyle name="標準 3_【Quick取得データ配信ツール(仮)】課題管理表（EUC）_20121210" xfId="1309"/>
    <cellStyle name="標準 30" xfId="1310"/>
    <cellStyle name="標準 31" xfId="1311"/>
    <cellStyle name="標準 31 2" xfId="1312"/>
    <cellStyle name="標準 31 3" xfId="1313"/>
    <cellStyle name="標準 32" xfId="1314"/>
    <cellStyle name="標準 32 2" xfId="1315"/>
    <cellStyle name="標準 32 3" xfId="1316"/>
    <cellStyle name="標準 33" xfId="1317"/>
    <cellStyle name="標準 33 2" xfId="1318"/>
    <cellStyle name="標準 33 3" xfId="1319"/>
    <cellStyle name="標準 34" xfId="1320"/>
    <cellStyle name="標準 34 2" xfId="1321"/>
    <cellStyle name="標準 34 3" xfId="1322"/>
    <cellStyle name="標準 35" xfId="1323"/>
    <cellStyle name="標準 35 2" xfId="1324"/>
    <cellStyle name="標準 35 3" xfId="1325"/>
    <cellStyle name="標準 36" xfId="1326"/>
    <cellStyle name="標準 36 2" xfId="1327"/>
    <cellStyle name="標準 36 3" xfId="1328"/>
    <cellStyle name="標準 37" xfId="1329"/>
    <cellStyle name="標準 37 2" xfId="1330"/>
    <cellStyle name="標準 37 3" xfId="1331"/>
    <cellStyle name="標準 38" xfId="1332"/>
    <cellStyle name="標準 39" xfId="1333"/>
    <cellStyle name="標準 39 2" xfId="1334"/>
    <cellStyle name="標準 39 3" xfId="1335"/>
    <cellStyle name="標準 4" xfId="1336"/>
    <cellStyle name="標準 4 2" xfId="1337"/>
    <cellStyle name="標準 4 2 2" xfId="1338"/>
    <cellStyle name="標準 4 2 2 2" xfId="1339"/>
    <cellStyle name="標準 4 2 2 3" xfId="1340"/>
    <cellStyle name="標準 4 2 3" xfId="1341"/>
    <cellStyle name="標準 4 3" xfId="1342"/>
    <cellStyle name="標準 4 3 2" xfId="1343"/>
    <cellStyle name="標準 4 3 3" xfId="1344"/>
    <cellStyle name="標準 4 4" xfId="1345"/>
    <cellStyle name="標準 4 4 2" xfId="1346"/>
    <cellStyle name="標準 4 4 3" xfId="1347"/>
    <cellStyle name="標準 4 5" xfId="1348"/>
    <cellStyle name="標準 4 6" xfId="1349"/>
    <cellStyle name="標準 4_20121011__1_F⇒O_【証拠金１本化】課題管理（清算）" xfId="1350"/>
    <cellStyle name="標準 40" xfId="1351"/>
    <cellStyle name="標準 41" xfId="1352"/>
    <cellStyle name="標準 42" xfId="1353"/>
    <cellStyle name="標準 43" xfId="1354"/>
    <cellStyle name="標準 44" xfId="1355"/>
    <cellStyle name="標準 45" xfId="1356"/>
    <cellStyle name="標準 46" xfId="1357"/>
    <cellStyle name="標準 47" xfId="1358"/>
    <cellStyle name="標準 48" xfId="1359"/>
    <cellStyle name="標準 49" xfId="1360"/>
    <cellStyle name="標準 5" xfId="1361"/>
    <cellStyle name="標準 5 2" xfId="1362"/>
    <cellStyle name="標準 5 2 2" xfId="1363"/>
    <cellStyle name="標準 5 2 2 2" xfId="1364"/>
    <cellStyle name="標準 5 2 2 3" xfId="1365"/>
    <cellStyle name="標準 5 2 3" xfId="1366"/>
    <cellStyle name="標準 5 2 3 2" xfId="1367"/>
    <cellStyle name="標準 5 2 3 3" xfId="1368"/>
    <cellStyle name="標準 5 3" xfId="1369"/>
    <cellStyle name="標準 5 4" xfId="1370"/>
    <cellStyle name="標準 5 4 2" xfId="1371"/>
    <cellStyle name="標準 5_バックアップセンタ_切替テストスケジュール_20120406~10" xfId="1372"/>
    <cellStyle name="標準 50" xfId="1373"/>
    <cellStyle name="標準 51" xfId="1374"/>
    <cellStyle name="標準 52" xfId="1375"/>
    <cellStyle name="標準 53" xfId="1376"/>
    <cellStyle name="標準 54" xfId="1377"/>
    <cellStyle name="標準 55" xfId="1378"/>
    <cellStyle name="標準 56" xfId="1379"/>
    <cellStyle name="標準 57" xfId="1380"/>
    <cellStyle name="標準 58" xfId="1381"/>
    <cellStyle name="標準 59" xfId="1382"/>
    <cellStyle name="標準 6" xfId="1383"/>
    <cellStyle name="標準 6 2" xfId="1384"/>
    <cellStyle name="標準 6 2 2" xfId="1385"/>
    <cellStyle name="標準 6 2 3" xfId="1386"/>
    <cellStyle name="標準 6 2 4" xfId="1387"/>
    <cellStyle name="標準 6 3" xfId="1388"/>
    <cellStyle name="標準 6_バックアップセンタ_切替テストスケジュール_20120406~10" xfId="1389"/>
    <cellStyle name="標準 60" xfId="1390"/>
    <cellStyle name="標準 61" xfId="1391"/>
    <cellStyle name="標準 62" xfId="1392"/>
    <cellStyle name="標準 63" xfId="1393"/>
    <cellStyle name="標準 64" xfId="1394"/>
    <cellStyle name="標準 65" xfId="1395"/>
    <cellStyle name="標準 66" xfId="1396"/>
    <cellStyle name="標準 67" xfId="1397"/>
    <cellStyle name="標準 68" xfId="1398"/>
    <cellStyle name="標準 69" xfId="1399"/>
    <cellStyle name="標準 69 2" xfId="1400"/>
    <cellStyle name="標準 69 2 2" xfId="1401"/>
    <cellStyle name="標準 69 2 2 2" xfId="1402"/>
    <cellStyle name="標準 69 2 2 3" xfId="1403"/>
    <cellStyle name="標準 69 2 2 4" xfId="1404"/>
    <cellStyle name="標準 69 2 3" xfId="1405"/>
    <cellStyle name="標準 69 2 4" xfId="1406"/>
    <cellStyle name="標準 69 2 5" xfId="1407"/>
    <cellStyle name="標準 69 3" xfId="1408"/>
    <cellStyle name="標準 69 3 2" xfId="1409"/>
    <cellStyle name="標準 69 3 3" xfId="1410"/>
    <cellStyle name="標準 69 3 4" xfId="1411"/>
    <cellStyle name="標準 69 4" xfId="1412"/>
    <cellStyle name="標準 69 5" xfId="1413"/>
    <cellStyle name="標準 69 6" xfId="1414"/>
    <cellStyle name="標準 69 7" xfId="1415"/>
    <cellStyle name="標準 69 8" xfId="1416"/>
    <cellStyle name="標準 7" xfId="1417"/>
    <cellStyle name="標準 7 2" xfId="1418"/>
    <cellStyle name="標準 7 2 2" xfId="1419"/>
    <cellStyle name="標準 7 2 3" xfId="1420"/>
    <cellStyle name="標準 7 3" xfId="1421"/>
    <cellStyle name="標準 7 3 2" xfId="1422"/>
    <cellStyle name="標準 7 3 3" xfId="1423"/>
    <cellStyle name="標準 7 4" xfId="1424"/>
    <cellStyle name="標準 7 4 2" xfId="1425"/>
    <cellStyle name="標準 7 4 3" xfId="1426"/>
    <cellStyle name="標準 7 5" xfId="1427"/>
    <cellStyle name="標準 70" xfId="1428"/>
    <cellStyle name="標準 70 2" xfId="1429"/>
    <cellStyle name="標準 70 2 2" xfId="1430"/>
    <cellStyle name="標準 70 2 2 2" xfId="1431"/>
    <cellStyle name="標準 70 2 2 3" xfId="1432"/>
    <cellStyle name="標準 70 2 2 4" xfId="1433"/>
    <cellStyle name="標準 70 2 3" xfId="1434"/>
    <cellStyle name="標準 70 2 4" xfId="1435"/>
    <cellStyle name="標準 70 2 5" xfId="1436"/>
    <cellStyle name="標準 70 3" xfId="1437"/>
    <cellStyle name="標準 70 3 2" xfId="1438"/>
    <cellStyle name="標準 70 3 3" xfId="1439"/>
    <cellStyle name="標準 70 3 4" xfId="1440"/>
    <cellStyle name="標準 70 4" xfId="1441"/>
    <cellStyle name="標準 70 5" xfId="1442"/>
    <cellStyle name="標準 70 6" xfId="1443"/>
    <cellStyle name="標準 70 7" xfId="1444"/>
    <cellStyle name="標準 70 8" xfId="1445"/>
    <cellStyle name="標準 71" xfId="1446"/>
    <cellStyle name="標準 71 2" xfId="1447"/>
    <cellStyle name="標準 71 2 2" xfId="1448"/>
    <cellStyle name="標準 71 2 2 2" xfId="1449"/>
    <cellStyle name="標準 71 2 2 3" xfId="1450"/>
    <cellStyle name="標準 71 2 2 4" xfId="1451"/>
    <cellStyle name="標準 71 2 3" xfId="1452"/>
    <cellStyle name="標準 71 2 4" xfId="1453"/>
    <cellStyle name="標準 71 2 5" xfId="1454"/>
    <cellStyle name="標準 71 3" xfId="1455"/>
    <cellStyle name="標準 71 3 2" xfId="1456"/>
    <cellStyle name="標準 71 3 3" xfId="1457"/>
    <cellStyle name="標準 71 3 4" xfId="1458"/>
    <cellStyle name="標準 71 4" xfId="1459"/>
    <cellStyle name="標準 71 5" xfId="1460"/>
    <cellStyle name="標準 71 6" xfId="1461"/>
    <cellStyle name="標準 71 7" xfId="1462"/>
    <cellStyle name="標準 71 8" xfId="1463"/>
    <cellStyle name="標準 72" xfId="1464"/>
    <cellStyle name="標準 72 2" xfId="1465"/>
    <cellStyle name="標準 72 2 2" xfId="1466"/>
    <cellStyle name="標準 72 2 2 2" xfId="1467"/>
    <cellStyle name="標準 72 2 2 3" xfId="1468"/>
    <cellStyle name="標準 72 2 2 4" xfId="1469"/>
    <cellStyle name="標準 72 2 3" xfId="1470"/>
    <cellStyle name="標準 72 2 4" xfId="1471"/>
    <cellStyle name="標準 72 2 5" xfId="1472"/>
    <cellStyle name="標準 72 3" xfId="1473"/>
    <cellStyle name="標準 72 3 2" xfId="1474"/>
    <cellStyle name="標準 72 3 3" xfId="1475"/>
    <cellStyle name="標準 72 3 4" xfId="1476"/>
    <cellStyle name="標準 72 4" xfId="1477"/>
    <cellStyle name="標準 72 5" xfId="1478"/>
    <cellStyle name="標準 72 6" xfId="1479"/>
    <cellStyle name="標準 72 7" xfId="1480"/>
    <cellStyle name="標準 72 8" xfId="1481"/>
    <cellStyle name="標準 73" xfId="1482"/>
    <cellStyle name="標準 73 2" xfId="1483"/>
    <cellStyle name="標準 73 2 2" xfId="1484"/>
    <cellStyle name="標準 73 2 2 2" xfId="1485"/>
    <cellStyle name="標準 73 2 2 3" xfId="1486"/>
    <cellStyle name="標準 73 2 2 4" xfId="1487"/>
    <cellStyle name="標準 73 2 3" xfId="1488"/>
    <cellStyle name="標準 73 2 4" xfId="1489"/>
    <cellStyle name="標準 73 2 5" xfId="1490"/>
    <cellStyle name="標準 73 3" xfId="1491"/>
    <cellStyle name="標準 73 3 2" xfId="1492"/>
    <cellStyle name="標準 73 3 3" xfId="1493"/>
    <cellStyle name="標準 73 3 4" xfId="1494"/>
    <cellStyle name="標準 73 4" xfId="1495"/>
    <cellStyle name="標準 73 5" xfId="1496"/>
    <cellStyle name="標準 73 6" xfId="1497"/>
    <cellStyle name="標準 74" xfId="1498"/>
    <cellStyle name="標準 74 2" xfId="1499"/>
    <cellStyle name="標準 74 2 2" xfId="1500"/>
    <cellStyle name="標準 74 2 2 2" xfId="1501"/>
    <cellStyle name="標準 74 2 2 3" xfId="1502"/>
    <cellStyle name="標準 74 2 2 4" xfId="1503"/>
    <cellStyle name="標準 74 2 3" xfId="1504"/>
    <cellStyle name="標準 74 2 4" xfId="1505"/>
    <cellStyle name="標準 74 2 5" xfId="1506"/>
    <cellStyle name="標準 74 3" xfId="1507"/>
    <cellStyle name="標準 74 3 2" xfId="1508"/>
    <cellStyle name="標準 74 3 3" xfId="1509"/>
    <cellStyle name="標準 74 3 4" xfId="1510"/>
    <cellStyle name="標準 74 4" xfId="1511"/>
    <cellStyle name="標準 74 5" xfId="1512"/>
    <cellStyle name="標準 74 6" xfId="1513"/>
    <cellStyle name="標準 75" xfId="1514"/>
    <cellStyle name="標準 75 2" xfId="1515"/>
    <cellStyle name="標準 75 2 2" xfId="1516"/>
    <cellStyle name="標準 75 2 2 2" xfId="1517"/>
    <cellStyle name="標準 75 2 2 3" xfId="1518"/>
    <cellStyle name="標準 75 2 2 4" xfId="1519"/>
    <cellStyle name="標準 75 2 3" xfId="1520"/>
    <cellStyle name="標準 75 2 4" xfId="1521"/>
    <cellStyle name="標準 75 2 5" xfId="1522"/>
    <cellStyle name="標準 75 3" xfId="1523"/>
    <cellStyle name="標準 75 3 2" xfId="1524"/>
    <cellStyle name="標準 75 3 3" xfId="1525"/>
    <cellStyle name="標準 75 3 4" xfId="1526"/>
    <cellStyle name="標準 75 4" xfId="1527"/>
    <cellStyle name="標準 75 5" xfId="1528"/>
    <cellStyle name="標準 75 6" xfId="1529"/>
    <cellStyle name="標準 76" xfId="1530"/>
    <cellStyle name="標準 76 2" xfId="1531"/>
    <cellStyle name="標準 76 2 2" xfId="1532"/>
    <cellStyle name="標準 76 2 2 2" xfId="1533"/>
    <cellStyle name="標準 76 2 2 3" xfId="1534"/>
    <cellStyle name="標準 76 2 2 4" xfId="1535"/>
    <cellStyle name="標準 76 2 3" xfId="1536"/>
    <cellStyle name="標準 76 2 4" xfId="1537"/>
    <cellStyle name="標準 76 2 5" xfId="1538"/>
    <cellStyle name="標準 76 3" xfId="1539"/>
    <cellStyle name="標準 76 3 2" xfId="1540"/>
    <cellStyle name="標準 76 3 3" xfId="1541"/>
    <cellStyle name="標準 76 3 4" xfId="1542"/>
    <cellStyle name="標準 76 4" xfId="1543"/>
    <cellStyle name="標準 76 5" xfId="1544"/>
    <cellStyle name="標準 76 6" xfId="1545"/>
    <cellStyle name="標準 77" xfId="1546"/>
    <cellStyle name="標準 77 2" xfId="1547"/>
    <cellStyle name="標準 77 2 2" xfId="1548"/>
    <cellStyle name="標準 77 2 2 2" xfId="1549"/>
    <cellStyle name="標準 77 2 2 3" xfId="1550"/>
    <cellStyle name="標準 77 2 2 4" xfId="1551"/>
    <cellStyle name="標準 77 2 3" xfId="1552"/>
    <cellStyle name="標準 77 2 4" xfId="1553"/>
    <cellStyle name="標準 77 2 5" xfId="1554"/>
    <cellStyle name="標準 77 3" xfId="1555"/>
    <cellStyle name="標準 77 3 2" xfId="1556"/>
    <cellStyle name="標準 77 3 3" xfId="1557"/>
    <cellStyle name="標準 77 3 4" xfId="1558"/>
    <cellStyle name="標準 77 4" xfId="1559"/>
    <cellStyle name="標準 77 5" xfId="1560"/>
    <cellStyle name="標準 77 6" xfId="1561"/>
    <cellStyle name="標準 78" xfId="1562"/>
    <cellStyle name="標準 78 2" xfId="1563"/>
    <cellStyle name="標準 78 2 2" xfId="1564"/>
    <cellStyle name="標準 78 2 2 2" xfId="1565"/>
    <cellStyle name="標準 78 2 2 3" xfId="1566"/>
    <cellStyle name="標準 78 2 2 4" xfId="1567"/>
    <cellStyle name="標準 78 2 3" xfId="1568"/>
    <cellStyle name="標準 78 2 4" xfId="1569"/>
    <cellStyle name="標準 78 2 5" xfId="1570"/>
    <cellStyle name="標準 78 3" xfId="1571"/>
    <cellStyle name="標準 78 3 2" xfId="1572"/>
    <cellStyle name="標準 78 3 3" xfId="1573"/>
    <cellStyle name="標準 78 3 4" xfId="1574"/>
    <cellStyle name="標準 78 4" xfId="1575"/>
    <cellStyle name="標準 78 5" xfId="1576"/>
    <cellStyle name="標準 78 6" xfId="1577"/>
    <cellStyle name="標準 79" xfId="1578"/>
    <cellStyle name="標準 79 2" xfId="1579"/>
    <cellStyle name="標準 79 2 2" xfId="1580"/>
    <cellStyle name="標準 79 2 2 2" xfId="1581"/>
    <cellStyle name="標準 79 2 2 3" xfId="1582"/>
    <cellStyle name="標準 79 2 2 4" xfId="1583"/>
    <cellStyle name="標準 79 2 3" xfId="1584"/>
    <cellStyle name="標準 79 2 4" xfId="1585"/>
    <cellStyle name="標準 79 2 5" xfId="1586"/>
    <cellStyle name="標準 79 3" xfId="1587"/>
    <cellStyle name="標準 79 3 2" xfId="1588"/>
    <cellStyle name="標準 79 3 3" xfId="1589"/>
    <cellStyle name="標準 79 3 4" xfId="1590"/>
    <cellStyle name="標準 79 4" xfId="1591"/>
    <cellStyle name="標準 79 5" xfId="1592"/>
    <cellStyle name="標準 79 6" xfId="1593"/>
    <cellStyle name="標準 8" xfId="1594"/>
    <cellStyle name="標準 8 2" xfId="1595"/>
    <cellStyle name="標準 8 3" xfId="1596"/>
    <cellStyle name="標準 8 4" xfId="1597"/>
    <cellStyle name="標準 8 5" xfId="1598"/>
    <cellStyle name="標準 8 6" xfId="1599"/>
    <cellStyle name="標準 80" xfId="1600"/>
    <cellStyle name="標準 80 2" xfId="1601"/>
    <cellStyle name="標準 80 2 2" xfId="1602"/>
    <cellStyle name="標準 80 2 2 2" xfId="1603"/>
    <cellStyle name="標準 80 2 2 3" xfId="1604"/>
    <cellStyle name="標準 80 2 2 4" xfId="1605"/>
    <cellStyle name="標準 80 2 3" xfId="1606"/>
    <cellStyle name="標準 80 2 4" xfId="1607"/>
    <cellStyle name="標準 80 2 5" xfId="1608"/>
    <cellStyle name="標準 80 3" xfId="1609"/>
    <cellStyle name="標準 80 3 2" xfId="1610"/>
    <cellStyle name="標準 80 3 3" xfId="1611"/>
    <cellStyle name="標準 80 3 4" xfId="1612"/>
    <cellStyle name="標準 80 4" xfId="1613"/>
    <cellStyle name="標準 80 5" xfId="1614"/>
    <cellStyle name="標準 80 6" xfId="1615"/>
    <cellStyle name="標準 81" xfId="1616"/>
    <cellStyle name="標準 81 2" xfId="1617"/>
    <cellStyle name="標準 81 2 2" xfId="1618"/>
    <cellStyle name="標準 81 2 2 2" xfId="1619"/>
    <cellStyle name="標準 81 2 2 3" xfId="1620"/>
    <cellStyle name="標準 81 2 2 4" xfId="1621"/>
    <cellStyle name="標準 81 2 3" xfId="1622"/>
    <cellStyle name="標準 81 2 4" xfId="1623"/>
    <cellStyle name="標準 81 2 5" xfId="1624"/>
    <cellStyle name="標準 81 3" xfId="1625"/>
    <cellStyle name="標準 81 3 2" xfId="1626"/>
    <cellStyle name="標準 81 3 3" xfId="1627"/>
    <cellStyle name="標準 81 3 4" xfId="1628"/>
    <cellStyle name="標準 81 4" xfId="1629"/>
    <cellStyle name="標準 81 5" xfId="1630"/>
    <cellStyle name="標準 81 6" xfId="1631"/>
    <cellStyle name="標準 82" xfId="1632"/>
    <cellStyle name="標準 82 2" xfId="1633"/>
    <cellStyle name="標準 82 2 2" xfId="1634"/>
    <cellStyle name="標準 82 2 2 2" xfId="1635"/>
    <cellStyle name="標準 82 2 2 3" xfId="1636"/>
    <cellStyle name="標準 82 2 2 4" xfId="1637"/>
    <cellStyle name="標準 82 2 3" xfId="1638"/>
    <cellStyle name="標準 82 2 4" xfId="1639"/>
    <cellStyle name="標準 82 2 5" xfId="1640"/>
    <cellStyle name="標準 82 3" xfId="1641"/>
    <cellStyle name="標準 82 3 2" xfId="1642"/>
    <cellStyle name="標準 82 3 3" xfId="1643"/>
    <cellStyle name="標準 82 3 4" xfId="1644"/>
    <cellStyle name="標準 82 4" xfId="1645"/>
    <cellStyle name="標準 82 5" xfId="1646"/>
    <cellStyle name="標準 82 6" xfId="1647"/>
    <cellStyle name="標準 83" xfId="1648"/>
    <cellStyle name="標準 83 2" xfId="1649"/>
    <cellStyle name="標準 83 2 2" xfId="1650"/>
    <cellStyle name="標準 83 2 2 2" xfId="1651"/>
    <cellStyle name="標準 83 2 2 3" xfId="1652"/>
    <cellStyle name="標準 83 2 2 4" xfId="1653"/>
    <cellStyle name="標準 83 2 3" xfId="1654"/>
    <cellStyle name="標準 83 2 4" xfId="1655"/>
    <cellStyle name="標準 83 2 5" xfId="1656"/>
    <cellStyle name="標準 83 3" xfId="1657"/>
    <cellStyle name="標準 83 3 2" xfId="1658"/>
    <cellStyle name="標準 83 3 3" xfId="1659"/>
    <cellStyle name="標準 83 3 4" xfId="1660"/>
    <cellStyle name="標準 83 4" xfId="1661"/>
    <cellStyle name="標準 83 5" xfId="1662"/>
    <cellStyle name="標準 83 6" xfId="1663"/>
    <cellStyle name="標準 84" xfId="1664"/>
    <cellStyle name="標準 84 2" xfId="1665"/>
    <cellStyle name="標準 84 2 2" xfId="1666"/>
    <cellStyle name="標準 84 2 2 2" xfId="1667"/>
    <cellStyle name="標準 84 2 2 3" xfId="1668"/>
    <cellStyle name="標準 84 2 2 4" xfId="1669"/>
    <cellStyle name="標準 84 2 3" xfId="1670"/>
    <cellStyle name="標準 84 2 4" xfId="1671"/>
    <cellStyle name="標準 84 2 5" xfId="1672"/>
    <cellStyle name="標準 84 3" xfId="1673"/>
    <cellStyle name="標準 84 3 2" xfId="1674"/>
    <cellStyle name="標準 84 3 3" xfId="1675"/>
    <cellStyle name="標準 84 3 4" xfId="1676"/>
    <cellStyle name="標準 84 4" xfId="1677"/>
    <cellStyle name="標準 84 5" xfId="1678"/>
    <cellStyle name="標準 84 6" xfId="1679"/>
    <cellStyle name="標準 85" xfId="1680"/>
    <cellStyle name="標準 85 2" xfId="1681"/>
    <cellStyle name="標準 85 2 2" xfId="1682"/>
    <cellStyle name="標準 85 2 2 2" xfId="1683"/>
    <cellStyle name="標準 85 2 2 3" xfId="1684"/>
    <cellStyle name="標準 85 2 2 4" xfId="1685"/>
    <cellStyle name="標準 85 2 3" xfId="1686"/>
    <cellStyle name="標準 85 2 4" xfId="1687"/>
    <cellStyle name="標準 85 2 5" xfId="1688"/>
    <cellStyle name="標準 85 3" xfId="1689"/>
    <cellStyle name="標準 85 3 2" xfId="1690"/>
    <cellStyle name="標準 85 3 3" xfId="1691"/>
    <cellStyle name="標準 85 3 4" xfId="1692"/>
    <cellStyle name="標準 85 4" xfId="1693"/>
    <cellStyle name="標準 85 5" xfId="1694"/>
    <cellStyle name="標準 85 6" xfId="1695"/>
    <cellStyle name="標準 86" xfId="1696"/>
    <cellStyle name="標準 86 2" xfId="1697"/>
    <cellStyle name="標準 86 2 2" xfId="1698"/>
    <cellStyle name="標準 86 2 2 2" xfId="1699"/>
    <cellStyle name="標準 86 2 2 3" xfId="1700"/>
    <cellStyle name="標準 86 2 2 4" xfId="1701"/>
    <cellStyle name="標準 86 2 3" xfId="1702"/>
    <cellStyle name="標準 86 2 4" xfId="1703"/>
    <cellStyle name="標準 86 2 5" xfId="1704"/>
    <cellStyle name="標準 86 3" xfId="1705"/>
    <cellStyle name="標準 86 3 2" xfId="1706"/>
    <cellStyle name="標準 86 3 3" xfId="1707"/>
    <cellStyle name="標準 86 3 4" xfId="1708"/>
    <cellStyle name="標準 86 4" xfId="1709"/>
    <cellStyle name="標準 86 5" xfId="1710"/>
    <cellStyle name="標準 86 6" xfId="1711"/>
    <cellStyle name="標準 87" xfId="1712"/>
    <cellStyle name="標準 87 2" xfId="1713"/>
    <cellStyle name="標準 87 2 2" xfId="1714"/>
    <cellStyle name="標準 87 2 2 2" xfId="1715"/>
    <cellStyle name="標準 87 2 2 3" xfId="1716"/>
    <cellStyle name="標準 87 2 2 4" xfId="1717"/>
    <cellStyle name="標準 87 2 3" xfId="1718"/>
    <cellStyle name="標準 87 2 4" xfId="1719"/>
    <cellStyle name="標準 87 2 5" xfId="1720"/>
    <cellStyle name="標準 87 3" xfId="1721"/>
    <cellStyle name="標準 87 3 2" xfId="1722"/>
    <cellStyle name="標準 87 3 3" xfId="1723"/>
    <cellStyle name="標準 87 3 4" xfId="1724"/>
    <cellStyle name="標準 87 4" xfId="1725"/>
    <cellStyle name="標準 87 5" xfId="1726"/>
    <cellStyle name="標準 87 6" xfId="1727"/>
    <cellStyle name="標準 88" xfId="1728"/>
    <cellStyle name="標準 88 2" xfId="1729"/>
    <cellStyle name="標準 88 2 2" xfId="1730"/>
    <cellStyle name="標準 88 2 2 2" xfId="1731"/>
    <cellStyle name="標準 88 2 2 3" xfId="1732"/>
    <cellStyle name="標準 88 2 2 4" xfId="1733"/>
    <cellStyle name="標準 88 2 3" xfId="1734"/>
    <cellStyle name="標準 88 2 4" xfId="1735"/>
    <cellStyle name="標準 88 2 5" xfId="1736"/>
    <cellStyle name="標準 88 3" xfId="1737"/>
    <cellStyle name="標準 88 3 2" xfId="1738"/>
    <cellStyle name="標準 88 3 3" xfId="1739"/>
    <cellStyle name="標準 88 3 4" xfId="1740"/>
    <cellStyle name="標準 88 4" xfId="1741"/>
    <cellStyle name="標準 88 5" xfId="1742"/>
    <cellStyle name="標準 88 6" xfId="1743"/>
    <cellStyle name="標準 89" xfId="1744"/>
    <cellStyle name="標準 89 2" xfId="1745"/>
    <cellStyle name="標準 89 2 2" xfId="1746"/>
    <cellStyle name="標準 89 2 2 2" xfId="1747"/>
    <cellStyle name="標準 89 2 2 3" xfId="1748"/>
    <cellStyle name="標準 89 2 2 4" xfId="1749"/>
    <cellStyle name="標準 89 2 3" xfId="1750"/>
    <cellStyle name="標準 89 2 4" xfId="1751"/>
    <cellStyle name="標準 89 2 5" xfId="1752"/>
    <cellStyle name="標準 89 3" xfId="1753"/>
    <cellStyle name="標準 89 3 2" xfId="1754"/>
    <cellStyle name="標準 89 3 3" xfId="1755"/>
    <cellStyle name="標準 89 3 4" xfId="1756"/>
    <cellStyle name="標準 89 4" xfId="1757"/>
    <cellStyle name="標準 89 5" xfId="1758"/>
    <cellStyle name="標準 89 6" xfId="1759"/>
    <cellStyle name="標準 9" xfId="1760"/>
    <cellStyle name="標準 9 2" xfId="1761"/>
    <cellStyle name="標準 9 3" xfId="1762"/>
    <cellStyle name="標準 90" xfId="1763"/>
    <cellStyle name="標準 90 2" xfId="1764"/>
    <cellStyle name="標準 90 2 2" xfId="1765"/>
    <cellStyle name="標準 90 2 2 2" xfId="1766"/>
    <cellStyle name="標準 90 2 2 3" xfId="1767"/>
    <cellStyle name="標準 90 2 2 4" xfId="1768"/>
    <cellStyle name="標準 90 2 3" xfId="1769"/>
    <cellStyle name="標準 90 2 4" xfId="1770"/>
    <cellStyle name="標準 90 2 5" xfId="1771"/>
    <cellStyle name="標準 90 3" xfId="1772"/>
    <cellStyle name="標準 90 3 2" xfId="1773"/>
    <cellStyle name="標準 90 3 3" xfId="1774"/>
    <cellStyle name="標準 90 3 4" xfId="1775"/>
    <cellStyle name="標準 90 4" xfId="1776"/>
    <cellStyle name="標準 90 5" xfId="1777"/>
    <cellStyle name="標準 90 6" xfId="1778"/>
    <cellStyle name="標準 91" xfId="1779"/>
    <cellStyle name="標準 91 2" xfId="1780"/>
    <cellStyle name="標準 91 2 2" xfId="1781"/>
    <cellStyle name="標準 91 2 2 2" xfId="1782"/>
    <cellStyle name="標準 91 2 2 3" xfId="1783"/>
    <cellStyle name="標準 91 2 2 4" xfId="1784"/>
    <cellStyle name="標準 91 2 3" xfId="1785"/>
    <cellStyle name="標準 91 2 4" xfId="1786"/>
    <cellStyle name="標準 91 2 5" xfId="1787"/>
    <cellStyle name="標準 91 3" xfId="1788"/>
    <cellStyle name="標準 91 3 2" xfId="1789"/>
    <cellStyle name="標準 91 3 3" xfId="1790"/>
    <cellStyle name="標準 91 3 4" xfId="1791"/>
    <cellStyle name="標準 91 4" xfId="1792"/>
    <cellStyle name="標準 91 5" xfId="1793"/>
    <cellStyle name="標準 91 6" xfId="1794"/>
    <cellStyle name="標準 92" xfId="1795"/>
    <cellStyle name="標準 92 2" xfId="1796"/>
    <cellStyle name="標準 92 2 2" xfId="1797"/>
    <cellStyle name="標準 92 2 2 2" xfId="1798"/>
    <cellStyle name="標準 92 2 2 3" xfId="1799"/>
    <cellStyle name="標準 92 2 2 4" xfId="1800"/>
    <cellStyle name="標準 92 2 3" xfId="1801"/>
    <cellStyle name="標準 92 2 4" xfId="1802"/>
    <cellStyle name="標準 92 2 5" xfId="1803"/>
    <cellStyle name="標準 92 3" xfId="1804"/>
    <cellStyle name="標準 92 3 2" xfId="1805"/>
    <cellStyle name="標準 92 3 3" xfId="1806"/>
    <cellStyle name="標準 92 3 4" xfId="1807"/>
    <cellStyle name="標準 92 4" xfId="1808"/>
    <cellStyle name="標準 92 5" xfId="1809"/>
    <cellStyle name="標準 92 6" xfId="1810"/>
    <cellStyle name="標準 93" xfId="1811"/>
    <cellStyle name="標準 93 2" xfId="1812"/>
    <cellStyle name="標準 93 2 2" xfId="1813"/>
    <cellStyle name="標準 93 2 2 2" xfId="1814"/>
    <cellStyle name="標準 93 2 2 3" xfId="1815"/>
    <cellStyle name="標準 93 2 2 4" xfId="1816"/>
    <cellStyle name="標準 93 2 3" xfId="1817"/>
    <cellStyle name="標準 93 2 4" xfId="1818"/>
    <cellStyle name="標準 93 2 5" xfId="1819"/>
    <cellStyle name="標準 93 3" xfId="1820"/>
    <cellStyle name="標準 93 3 2" xfId="1821"/>
    <cellStyle name="標準 93 3 3" xfId="1822"/>
    <cellStyle name="標準 93 3 4" xfId="1823"/>
    <cellStyle name="標準 93 4" xfId="1824"/>
    <cellStyle name="標準 93 5" xfId="1825"/>
    <cellStyle name="標準 93 6" xfId="1826"/>
    <cellStyle name="標準 94" xfId="1827"/>
    <cellStyle name="標準 94 2" xfId="1828"/>
    <cellStyle name="標準 94 2 2" xfId="1829"/>
    <cellStyle name="標準 94 2 2 2" xfId="1830"/>
    <cellStyle name="標準 94 2 2 3" xfId="1831"/>
    <cellStyle name="標準 94 2 2 4" xfId="1832"/>
    <cellStyle name="標準 94 2 3" xfId="1833"/>
    <cellStyle name="標準 94 2 4" xfId="1834"/>
    <cellStyle name="標準 94 2 5" xfId="1835"/>
    <cellStyle name="標準 94 3" xfId="1836"/>
    <cellStyle name="標準 94 3 2" xfId="1837"/>
    <cellStyle name="標準 94 3 3" xfId="1838"/>
    <cellStyle name="標準 94 3 4" xfId="1839"/>
    <cellStyle name="標準 94 4" xfId="1840"/>
    <cellStyle name="標準 94 5" xfId="1841"/>
    <cellStyle name="標準 94 6" xfId="1842"/>
    <cellStyle name="標準 95" xfId="1843"/>
    <cellStyle name="標準 95 2" xfId="1844"/>
    <cellStyle name="標準 95 2 2" xfId="1845"/>
    <cellStyle name="標準 95 2 2 2" xfId="1846"/>
    <cellStyle name="標準 95 2 2 3" xfId="1847"/>
    <cellStyle name="標準 95 2 2 4" xfId="1848"/>
    <cellStyle name="標準 95 2 3" xfId="1849"/>
    <cellStyle name="標準 95 2 4" xfId="1850"/>
    <cellStyle name="標準 95 2 5" xfId="1851"/>
    <cellStyle name="標準 95 3" xfId="1852"/>
    <cellStyle name="標準 95 3 2" xfId="1853"/>
    <cellStyle name="標準 95 3 3" xfId="1854"/>
    <cellStyle name="標準 95 3 4" xfId="1855"/>
    <cellStyle name="標準 95 4" xfId="1856"/>
    <cellStyle name="標準 95 5" xfId="1857"/>
    <cellStyle name="標準 95 6" xfId="1858"/>
    <cellStyle name="標準 96" xfId="1859"/>
    <cellStyle name="標準 96 2" xfId="1860"/>
    <cellStyle name="標準 96 2 2" xfId="1861"/>
    <cellStyle name="標準 96 2 2 2" xfId="1862"/>
    <cellStyle name="標準 96 2 2 3" xfId="1863"/>
    <cellStyle name="標準 96 2 2 4" xfId="1864"/>
    <cellStyle name="標準 96 2 3" xfId="1865"/>
    <cellStyle name="標準 96 2 4" xfId="1866"/>
    <cellStyle name="標準 96 2 5" xfId="1867"/>
    <cellStyle name="標準 96 3" xfId="1868"/>
    <cellStyle name="標準 96 3 2" xfId="1869"/>
    <cellStyle name="標準 96 3 3" xfId="1870"/>
    <cellStyle name="標準 96 3 4" xfId="1871"/>
    <cellStyle name="標準 96 4" xfId="1872"/>
    <cellStyle name="標準 96 5" xfId="1873"/>
    <cellStyle name="標準 96 6" xfId="1874"/>
    <cellStyle name="標準 97" xfId="1875"/>
    <cellStyle name="標準 97 2" xfId="1876"/>
    <cellStyle name="標準 97 2 2" xfId="1877"/>
    <cellStyle name="標準 97 2 2 2" xfId="1878"/>
    <cellStyle name="標準 97 2 2 3" xfId="1879"/>
    <cellStyle name="標準 97 2 2 4" xfId="1880"/>
    <cellStyle name="標準 97 2 3" xfId="1881"/>
    <cellStyle name="標準 97 2 4" xfId="1882"/>
    <cellStyle name="標準 97 2 5" xfId="1883"/>
    <cellStyle name="標準 97 3" xfId="1884"/>
    <cellStyle name="標準 97 3 2" xfId="1885"/>
    <cellStyle name="標準 97 3 3" xfId="1886"/>
    <cellStyle name="標準 97 3 4" xfId="1887"/>
    <cellStyle name="標準 97 4" xfId="1888"/>
    <cellStyle name="標準 97 5" xfId="1889"/>
    <cellStyle name="標準 97 6" xfId="1890"/>
    <cellStyle name="標準 98" xfId="1891"/>
    <cellStyle name="標準 98 2" xfId="1892"/>
    <cellStyle name="標準 98 2 2" xfId="1893"/>
    <cellStyle name="標準 98 2 2 2" xfId="1894"/>
    <cellStyle name="標準 98 2 2 3" xfId="1895"/>
    <cellStyle name="標準 98 2 2 4" xfId="1896"/>
    <cellStyle name="標準 98 2 3" xfId="1897"/>
    <cellStyle name="標準 98 2 4" xfId="1898"/>
    <cellStyle name="標準 98 2 5" xfId="1899"/>
    <cellStyle name="標準 98 3" xfId="1900"/>
    <cellStyle name="標準 98 3 2" xfId="1901"/>
    <cellStyle name="標準 98 3 3" xfId="1902"/>
    <cellStyle name="標準 98 3 4" xfId="1903"/>
    <cellStyle name="標準 98 4" xfId="1904"/>
    <cellStyle name="標準 98 5" xfId="1905"/>
    <cellStyle name="標準 98 6" xfId="1906"/>
    <cellStyle name="標準 99" xfId="1907"/>
    <cellStyle name="標準 99 2" xfId="1908"/>
    <cellStyle name="標準 99 2 2" xfId="1909"/>
    <cellStyle name="標準 99 2 2 2" xfId="1910"/>
    <cellStyle name="標準 99 2 2 3" xfId="1911"/>
    <cellStyle name="標準 99 2 2 4" xfId="1912"/>
    <cellStyle name="標準 99 2 3" xfId="1913"/>
    <cellStyle name="標準 99 2 4" xfId="1914"/>
    <cellStyle name="標準 99 2 5" xfId="1915"/>
    <cellStyle name="標準 99 3" xfId="1916"/>
    <cellStyle name="標準 99 3 2" xfId="1917"/>
    <cellStyle name="標準 99 3 3" xfId="1918"/>
    <cellStyle name="標準 99 3 4" xfId="1919"/>
    <cellStyle name="標準 99 4" xfId="1920"/>
    <cellStyle name="標準 99 5" xfId="1921"/>
    <cellStyle name="標準 99 6" xfId="1922"/>
    <cellStyle name="標準１" xfId="1923"/>
    <cellStyle name="標準10" xfId="1924"/>
    <cellStyle name="標準12" xfId="1925"/>
    <cellStyle name="文字列" xfId="1926"/>
    <cellStyle name="未定義" xfId="1927"/>
    <cellStyle name="未定義 2" xfId="1928"/>
    <cellStyle name="未定義 3" xfId="1929"/>
    <cellStyle name="未定義_030_上場有価証券総括表_詳細設計書_府令改正対応" xfId="1930"/>
    <cellStyle name="良い 2" xfId="1931"/>
    <cellStyle name="良い 3" xfId="1932"/>
    <cellStyle name="良い 4" xfId="1933"/>
    <cellStyle name="良い 5" xfId="1934"/>
    <cellStyle name="良い 6" xfId="1935"/>
    <cellStyle name="良い 7" xfId="1936"/>
    <cellStyle name="良い 8" xfId="1937"/>
    <cellStyle name="良い 9" xfId="1938"/>
    <cellStyle name="표준_4.3.1_取引処理（取引処理制御１－１）" xfId="1939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AE189"/>
  <sheetViews>
    <sheetView showGridLines="0" tabSelected="1" view="pageBreakPreview" workbookViewId="0" zoomScaleNormal="70" zoomScaleSheetLayoutView="100">
      <pane activePane="bottomLeft" state="frozen" topLeftCell="A10" ySplit="9"/>
      <selection activeCell="A10" pane="bottomLeft" sqref="A10"/>
    </sheetView>
  </sheetViews>
  <sheetFormatPr defaultRowHeight="13.5"/>
  <cols>
    <col min="1" max="1" customWidth="true" style="3" width="6.5" collapsed="false"/>
    <col min="2" max="2" customWidth="true" style="3" width="30.625" collapsed="false"/>
    <col min="3" max="3" customWidth="true" style="4" width="30.625" collapsed="false"/>
    <col min="4" max="4" customWidth="true" style="3" width="4.625" collapsed="false"/>
    <col min="5" max="5" customWidth="true" style="3" width="22.625" collapsed="false"/>
    <col min="6" max="6" customWidth="true" style="3" width="4.625" collapsed="false"/>
    <col min="7" max="7" customWidth="true" style="3" width="22.625" collapsed="false"/>
    <col min="8" max="8" customWidth="true" style="3" width="4.625" collapsed="false"/>
    <col min="9" max="9" customWidth="true" style="3" width="22.625" collapsed="false"/>
    <col min="10" max="10" customWidth="true" style="3" width="4.625" collapsed="false"/>
    <col min="11" max="11" customWidth="true" style="3" width="22.625" collapsed="false"/>
    <col min="12" max="12" customWidth="true" style="3" width="4.625" collapsed="false"/>
    <col min="13" max="13" customWidth="true" style="3" width="22.625" collapsed="false"/>
    <col min="14" max="14" customWidth="true" style="3" width="4.625" collapsed="false"/>
    <col min="15" max="18" customWidth="true" style="3" width="22.625" collapsed="false"/>
    <col min="19" max="19" customWidth="true" style="3" width="4.625" collapsed="false"/>
    <col min="20" max="20" customWidth="true" style="3" width="22.625" collapsed="false"/>
    <col min="21" max="21" customWidth="true" style="3" width="4.625" collapsed="false"/>
    <col min="22" max="22" customWidth="true" style="3" width="22.625" collapsed="false"/>
    <col min="23" max="23" customWidth="true" style="3" width="4.625" collapsed="false"/>
    <col min="24" max="24" customWidth="true" style="3" width="22.625" collapsed="false"/>
    <col min="25" max="25" customWidth="true" style="3" width="4.625" collapsed="false"/>
    <col min="26" max="26" customWidth="true" style="3" width="22.625" collapsed="false"/>
    <col min="27" max="27" customWidth="true" style="3" width="4.625" collapsed="false"/>
    <col min="28" max="28" customWidth="true" style="3" width="22.625" collapsed="false"/>
    <col min="29" max="29" customWidth="true" style="3" width="4.625" collapsed="false"/>
    <col min="30" max="30" customWidth="true" style="3" width="22.625" collapsed="false"/>
    <col min="31" max="31" customWidth="true" style="1" width="9.0" collapsed="false"/>
    <col min="32" max="16384" style="1" width="9.0" collapsed="false"/>
  </cols>
  <sheetData>
    <row customFormat="1" customHeight="1" ht="30" r="1" s="6" spans="1:3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</row>
    <row customFormat="1" customHeight="1" ht="30" r="2" s="8" spans="1:30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</row>
    <row customFormat="1" customHeight="1" ht="15" r="3" s="8" spans="1:30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</row>
    <row customFormat="1" customHeight="1" ht="17.100000000000001" r="4" s="12" spans="1:30">
      <c r="A4" s="9" t="s">
        <v>2</v>
      </c>
      <c r="B4" s="9"/>
      <c r="C4" s="9"/>
      <c r="D4" s="9"/>
      <c r="E4" s="9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1" t="s">
        <v>3</v>
      </c>
    </row>
    <row customFormat="1" customHeight="1" ht="17.100000000000001" r="5" s="12" spans="1:30">
      <c r="A5" s="46" t="s">
        <v>4</v>
      </c>
      <c r="B5" s="46" t="s">
        <v>5</v>
      </c>
      <c r="C5" s="33" t="s">
        <v>6</v>
      </c>
      <c r="D5" s="33" t="s">
        <v>7</v>
      </c>
      <c r="E5" s="34"/>
      <c r="F5" s="34" t="s">
        <v>8</v>
      </c>
      <c r="G5" s="34"/>
      <c r="H5" s="34" t="s">
        <v>8</v>
      </c>
      <c r="I5" s="35"/>
      <c r="J5" s="33" t="s">
        <v>9</v>
      </c>
      <c r="K5" s="34"/>
      <c r="L5" s="34" t="s">
        <v>8</v>
      </c>
      <c r="M5" s="34"/>
      <c r="N5" s="34" t="s">
        <v>8</v>
      </c>
      <c r="O5" s="35"/>
      <c r="P5" s="34" t="s">
        <v>10</v>
      </c>
      <c r="Q5" s="34"/>
      <c r="R5" s="35"/>
      <c r="S5" s="33" t="s">
        <v>11</v>
      </c>
      <c r="T5" s="34"/>
      <c r="U5" s="34" t="s">
        <v>8</v>
      </c>
      <c r="V5" s="34"/>
      <c r="W5" s="34" t="s">
        <v>8</v>
      </c>
      <c r="X5" s="35"/>
      <c r="Y5" s="33" t="s">
        <v>12</v>
      </c>
      <c r="Z5" s="34"/>
      <c r="AA5" s="34" t="s">
        <v>8</v>
      </c>
      <c r="AB5" s="34"/>
      <c r="AC5" s="34" t="s">
        <v>8</v>
      </c>
      <c r="AD5" s="35"/>
    </row>
    <row customFormat="1" customHeight="1" ht="17.100000000000001" r="6" s="12" spans="1:30">
      <c r="A6" s="41"/>
      <c r="B6" s="41"/>
      <c r="C6" s="47"/>
      <c r="D6" s="36" t="s">
        <v>13</v>
      </c>
      <c r="E6" s="37"/>
      <c r="F6" s="38" t="s">
        <v>14</v>
      </c>
      <c r="G6" s="39"/>
      <c r="H6" s="37" t="s">
        <v>15</v>
      </c>
      <c r="I6" s="40"/>
      <c r="J6" s="36" t="s">
        <v>13</v>
      </c>
      <c r="K6" s="37"/>
      <c r="L6" s="38" t="s">
        <v>14</v>
      </c>
      <c r="M6" s="39"/>
      <c r="N6" s="37" t="s">
        <v>15</v>
      </c>
      <c r="O6" s="40"/>
      <c r="P6" s="13" t="s">
        <v>13</v>
      </c>
      <c r="Q6" s="14" t="s">
        <v>14</v>
      </c>
      <c r="R6" s="15" t="s">
        <v>16</v>
      </c>
      <c r="S6" s="36" t="s">
        <v>13</v>
      </c>
      <c r="T6" s="37"/>
      <c r="U6" s="38" t="s">
        <v>14</v>
      </c>
      <c r="V6" s="39"/>
      <c r="W6" s="37" t="s">
        <v>15</v>
      </c>
      <c r="X6" s="40"/>
      <c r="Y6" s="36" t="s">
        <v>13</v>
      </c>
      <c r="Z6" s="37"/>
      <c r="AA6" s="38" t="s">
        <v>14</v>
      </c>
      <c r="AB6" s="39"/>
      <c r="AC6" s="37" t="s">
        <v>15</v>
      </c>
      <c r="AD6" s="40"/>
    </row>
    <row customFormat="1" customHeight="1" ht="1.5" r="7" s="12" spans="1:30">
      <c r="A7" s="16"/>
      <c r="B7" s="41"/>
      <c r="C7" s="4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8"/>
    </row>
    <row customFormat="1" customHeight="1" ht="17.100000000000001" r="8" s="12" spans="1:30">
      <c r="A8" s="41" t="s">
        <v>17</v>
      </c>
      <c r="B8" s="41"/>
      <c r="C8" s="47"/>
      <c r="D8" s="43" t="s">
        <v>18</v>
      </c>
      <c r="E8" s="44"/>
      <c r="F8" s="44"/>
      <c r="G8" s="44"/>
      <c r="H8" s="44"/>
      <c r="I8" s="45"/>
      <c r="J8" s="43" t="s">
        <v>19</v>
      </c>
      <c r="K8" s="44"/>
      <c r="L8" s="44"/>
      <c r="M8" s="44"/>
      <c r="N8" s="44"/>
      <c r="O8" s="45"/>
      <c r="P8" s="44" t="s">
        <v>20</v>
      </c>
      <c r="Q8" s="44"/>
      <c r="R8" s="45"/>
      <c r="S8" s="43" t="s">
        <v>21</v>
      </c>
      <c r="T8" s="44"/>
      <c r="U8" s="44"/>
      <c r="V8" s="44"/>
      <c r="W8" s="44"/>
      <c r="X8" s="45"/>
      <c r="Y8" s="43" t="s">
        <v>22</v>
      </c>
      <c r="Z8" s="44"/>
      <c r="AA8" s="44"/>
      <c r="AB8" s="44"/>
      <c r="AC8" s="44"/>
      <c r="AD8" s="45"/>
    </row>
    <row customFormat="1" customHeight="1" ht="17.100000000000001" r="9" s="12" spans="1:30">
      <c r="A9" s="42"/>
      <c r="B9" s="42"/>
      <c r="C9" s="31"/>
      <c r="D9" s="31" t="s">
        <v>23</v>
      </c>
      <c r="E9" s="48"/>
      <c r="F9" s="49" t="s">
        <v>24</v>
      </c>
      <c r="G9" s="50"/>
      <c r="H9" s="48" t="s">
        <v>25</v>
      </c>
      <c r="I9" s="51"/>
      <c r="J9" s="31" t="s">
        <v>23</v>
      </c>
      <c r="K9" s="32"/>
      <c r="L9" s="52" t="s">
        <v>24</v>
      </c>
      <c r="M9" s="50"/>
      <c r="N9" s="48" t="s">
        <v>25</v>
      </c>
      <c r="O9" s="51"/>
      <c r="P9" s="19" t="s">
        <v>23</v>
      </c>
      <c r="Q9" s="20" t="s">
        <v>24</v>
      </c>
      <c r="R9" s="21" t="s">
        <v>25</v>
      </c>
      <c r="S9" s="31" t="s">
        <v>23</v>
      </c>
      <c r="T9" s="32"/>
      <c r="U9" s="52" t="s">
        <v>24</v>
      </c>
      <c r="V9" s="50"/>
      <c r="W9" s="48" t="s">
        <v>25</v>
      </c>
      <c r="X9" s="51"/>
      <c r="Y9" s="31" t="s">
        <v>23</v>
      </c>
      <c r="Z9" s="32"/>
      <c r="AA9" s="52" t="s">
        <v>24</v>
      </c>
      <c r="AB9" s="50"/>
      <c r="AC9" s="48" t="s">
        <v>25</v>
      </c>
      <c r="AD9" s="51"/>
    </row>
    <row customFormat="1" customHeight="1" ht="13.5" r="10" s="2" spans="1:30">
      <c r="A10" s="30" t="s">
        <v>26</v>
      </c>
      <c r="B10" s="22" t="s">
        <v>27</v>
      </c>
      <c r="C10" s="22" t="s">
        <v>28</v>
      </c>
      <c r="D10" s="24"/>
      <c r="E10" s="25" t="n">
        <f>57193</f>
        <v>57193.0</v>
      </c>
      <c r="F10" s="23"/>
      <c r="G10" s="25" t="n">
        <f>31501</f>
        <v>31501.0</v>
      </c>
      <c r="H10" s="23"/>
      <c r="I10" s="26" t="n">
        <f>88694</f>
        <v>88694.0</v>
      </c>
      <c r="J10" s="24"/>
      <c r="K10" s="25" t="n">
        <f>13230107800</f>
        <v>1.32301078E10</v>
      </c>
      <c r="L10" s="23"/>
      <c r="M10" s="25" t="n">
        <f>7806511015</f>
        <v>7.806511015E9</v>
      </c>
      <c r="N10" s="23"/>
      <c r="O10" s="26" t="n">
        <f>21036618815</f>
        <v>2.1036618815E10</v>
      </c>
      <c r="P10" s="27" t="str">
        <f>"－"</f>
        <v>－</v>
      </c>
      <c r="Q10" s="28" t="str">
        <f>"－"</f>
        <v>－</v>
      </c>
      <c r="R10" s="29" t="str">
        <f>"－"</f>
        <v>－</v>
      </c>
      <c r="S10" s="24"/>
      <c r="T10" s="25" t="n">
        <f>19866</f>
        <v>19866.0</v>
      </c>
      <c r="U10" s="23"/>
      <c r="V10" s="25" t="n">
        <f>6067</f>
        <v>6067.0</v>
      </c>
      <c r="W10" s="23"/>
      <c r="X10" s="26" t="n">
        <f>25933</f>
        <v>25933.0</v>
      </c>
      <c r="Y10" s="24"/>
      <c r="Z10" s="25" t="n">
        <f>887546</f>
        <v>887546.0</v>
      </c>
      <c r="AA10" s="23"/>
      <c r="AB10" s="25" t="n">
        <f>503404</f>
        <v>503404.0</v>
      </c>
      <c r="AC10" s="23"/>
      <c r="AD10" s="26" t="n">
        <f>1390950</f>
        <v>1390950.0</v>
      </c>
    </row>
    <row r="11">
      <c r="A11" s="30" t="s">
        <v>29</v>
      </c>
      <c r="B11" s="22" t="s">
        <v>27</v>
      </c>
      <c r="C11" s="22" t="s">
        <v>28</v>
      </c>
      <c r="D11" s="24"/>
      <c r="E11" s="25" t="n">
        <f>50867</f>
        <v>50867.0</v>
      </c>
      <c r="F11" s="23"/>
      <c r="G11" s="25" t="n">
        <f>28258</f>
        <v>28258.0</v>
      </c>
      <c r="H11" s="23"/>
      <c r="I11" s="26" t="n">
        <f>79125</f>
        <v>79125.0</v>
      </c>
      <c r="J11" s="24"/>
      <c r="K11" s="25" t="n">
        <f>11411574601</f>
        <v>1.1411574601E10</v>
      </c>
      <c r="L11" s="23"/>
      <c r="M11" s="25" t="n">
        <f>7282958880</f>
        <v>7.28295888E9</v>
      </c>
      <c r="N11" s="23"/>
      <c r="O11" s="26" t="n">
        <f>18694533481</f>
        <v>1.8694533481E10</v>
      </c>
      <c r="P11" s="27" t="str">
        <f>"－"</f>
        <v>－</v>
      </c>
      <c r="Q11" s="28" t="str">
        <f>"－"</f>
        <v>－</v>
      </c>
      <c r="R11" s="29" t="str">
        <f>"－"</f>
        <v>－</v>
      </c>
      <c r="S11" s="24"/>
      <c r="T11" s="25" t="n">
        <f>14203</f>
        <v>14203.0</v>
      </c>
      <c r="U11" s="23"/>
      <c r="V11" s="25" t="n">
        <f>7215</f>
        <v>7215.0</v>
      </c>
      <c r="W11" s="23"/>
      <c r="X11" s="26" t="n">
        <f>21418</f>
        <v>21418.0</v>
      </c>
      <c r="Y11" s="24"/>
      <c r="Z11" s="25" t="n">
        <f>899783</f>
        <v>899783.0</v>
      </c>
      <c r="AA11" s="23"/>
      <c r="AB11" s="25" t="n">
        <f>508343</f>
        <v>508343.0</v>
      </c>
      <c r="AC11" s="23"/>
      <c r="AD11" s="26" t="n">
        <f>1408126</f>
        <v>1408126.0</v>
      </c>
    </row>
    <row r="12">
      <c r="A12" s="30" t="s">
        <v>30</v>
      </c>
      <c r="B12" s="22" t="s">
        <v>27</v>
      </c>
      <c r="C12" s="22" t="s">
        <v>28</v>
      </c>
      <c r="D12" s="24"/>
      <c r="E12" s="25" t="n">
        <f>51668</f>
        <v>51668.0</v>
      </c>
      <c r="F12" s="23"/>
      <c r="G12" s="25" t="n">
        <f>33068</f>
        <v>33068.0</v>
      </c>
      <c r="H12" s="23"/>
      <c r="I12" s="26" t="n">
        <f>84736</f>
        <v>84736.0</v>
      </c>
      <c r="J12" s="24"/>
      <c r="K12" s="25" t="n">
        <f>10523954410</f>
        <v>1.052395441E10</v>
      </c>
      <c r="L12" s="23" t="s">
        <v>31</v>
      </c>
      <c r="M12" s="25" t="n">
        <f>5921115500</f>
        <v>5.9211155E9</v>
      </c>
      <c r="N12" s="23"/>
      <c r="O12" s="26" t="n">
        <f>16445069910</f>
        <v>1.644506991E10</v>
      </c>
      <c r="P12" s="27" t="str">
        <f>"－"</f>
        <v>－</v>
      </c>
      <c r="Q12" s="28" t="str">
        <f>"－"</f>
        <v>－</v>
      </c>
      <c r="R12" s="29" t="str">
        <f>"－"</f>
        <v>－</v>
      </c>
      <c r="S12" s="24"/>
      <c r="T12" s="25" t="n">
        <f>14389</f>
        <v>14389.0</v>
      </c>
      <c r="U12" s="23"/>
      <c r="V12" s="25" t="n">
        <f>9027</f>
        <v>9027.0</v>
      </c>
      <c r="W12" s="23"/>
      <c r="X12" s="26" t="n">
        <f>23416</f>
        <v>23416.0</v>
      </c>
      <c r="Y12" s="24"/>
      <c r="Z12" s="25" t="n">
        <f>906225</f>
        <v>906225.0</v>
      </c>
      <c r="AA12" s="23"/>
      <c r="AB12" s="25" t="n">
        <f>512473</f>
        <v>512473.0</v>
      </c>
      <c r="AC12" s="23"/>
      <c r="AD12" s="26" t="n">
        <f>1418698</f>
        <v>1418698.0</v>
      </c>
    </row>
    <row r="13">
      <c r="A13" s="30" t="s">
        <v>32</v>
      </c>
      <c r="B13" s="22" t="s">
        <v>27</v>
      </c>
      <c r="C13" s="22" t="s">
        <v>28</v>
      </c>
      <c r="D13" s="24"/>
      <c r="E13" s="25"/>
      <c r="F13" s="23"/>
      <c r="G13" s="25"/>
      <c r="H13" s="23"/>
      <c r="I13" s="26"/>
      <c r="J13" s="24"/>
      <c r="K13" s="25"/>
      <c r="L13" s="23"/>
      <c r="M13" s="25"/>
      <c r="N13" s="23"/>
      <c r="O13" s="26"/>
      <c r="P13" s="27"/>
      <c r="Q13" s="28"/>
      <c r="R13" s="29"/>
      <c r="S13" s="24"/>
      <c r="T13" s="25"/>
      <c r="U13" s="23"/>
      <c r="V13" s="25"/>
      <c r="W13" s="23"/>
      <c r="X13" s="26"/>
      <c r="Y13" s="24"/>
      <c r="Z13" s="25"/>
      <c r="AA13" s="23"/>
      <c r="AB13" s="25"/>
      <c r="AC13" s="23"/>
      <c r="AD13" s="26"/>
    </row>
    <row r="14">
      <c r="A14" s="30" t="s">
        <v>33</v>
      </c>
      <c r="B14" s="22" t="s">
        <v>27</v>
      </c>
      <c r="C14" s="22" t="s">
        <v>28</v>
      </c>
      <c r="D14" s="24"/>
      <c r="E14" s="25"/>
      <c r="F14" s="23"/>
      <c r="G14" s="25"/>
      <c r="H14" s="23"/>
      <c r="I14" s="26"/>
      <c r="J14" s="24"/>
      <c r="K14" s="25"/>
      <c r="L14" s="23"/>
      <c r="M14" s="25"/>
      <c r="N14" s="23"/>
      <c r="O14" s="26"/>
      <c r="P14" s="27"/>
      <c r="Q14" s="28"/>
      <c r="R14" s="29"/>
      <c r="S14" s="24"/>
      <c r="T14" s="25"/>
      <c r="U14" s="23"/>
      <c r="V14" s="25"/>
      <c r="W14" s="23"/>
      <c r="X14" s="26"/>
      <c r="Y14" s="24"/>
      <c r="Z14" s="25"/>
      <c r="AA14" s="23"/>
      <c r="AB14" s="25"/>
      <c r="AC14" s="23"/>
      <c r="AD14" s="26"/>
    </row>
    <row r="15">
      <c r="A15" s="30" t="s">
        <v>34</v>
      </c>
      <c r="B15" s="22" t="s">
        <v>27</v>
      </c>
      <c r="C15" s="22" t="s">
        <v>28</v>
      </c>
      <c r="D15" s="24"/>
      <c r="E15" s="25" t="n">
        <f>64772</f>
        <v>64772.0</v>
      </c>
      <c r="F15" s="23"/>
      <c r="G15" s="25" t="n">
        <f>41694</f>
        <v>41694.0</v>
      </c>
      <c r="H15" s="23"/>
      <c r="I15" s="26" t="n">
        <f>106466</f>
        <v>106466.0</v>
      </c>
      <c r="J15" s="24"/>
      <c r="K15" s="25" t="n">
        <f>9503652505</f>
        <v>9.503652505E9</v>
      </c>
      <c r="L15" s="23"/>
      <c r="M15" s="25" t="n">
        <f>9360715166</f>
        <v>9.360715166E9</v>
      </c>
      <c r="N15" s="23"/>
      <c r="O15" s="26" t="n">
        <f>18864367671</f>
        <v>1.8864367671E10</v>
      </c>
      <c r="P15" s="27" t="str">
        <f>"－"</f>
        <v>－</v>
      </c>
      <c r="Q15" s="28" t="str">
        <f>"－"</f>
        <v>－</v>
      </c>
      <c r="R15" s="29" t="str">
        <f>"－"</f>
        <v>－</v>
      </c>
      <c r="S15" s="24"/>
      <c r="T15" s="25" t="n">
        <f>14264</f>
        <v>14264.0</v>
      </c>
      <c r="U15" s="23"/>
      <c r="V15" s="25" t="n">
        <f>6098</f>
        <v>6098.0</v>
      </c>
      <c r="W15" s="23"/>
      <c r="X15" s="26" t="n">
        <f>20362</f>
        <v>20362.0</v>
      </c>
      <c r="Y15" s="24"/>
      <c r="Z15" s="25" t="n">
        <f>918901</f>
        <v>918901.0</v>
      </c>
      <c r="AA15" s="23"/>
      <c r="AB15" s="25" t="n">
        <f>515206</f>
        <v>515206.0</v>
      </c>
      <c r="AC15" s="23"/>
      <c r="AD15" s="26" t="n">
        <f>1434107</f>
        <v>1434107.0</v>
      </c>
    </row>
    <row r="16">
      <c r="A16" s="30" t="s">
        <v>35</v>
      </c>
      <c r="B16" s="22" t="s">
        <v>27</v>
      </c>
      <c r="C16" s="22" t="s">
        <v>28</v>
      </c>
      <c r="D16" s="24"/>
      <c r="E16" s="25" t="n">
        <f>66861</f>
        <v>66861.0</v>
      </c>
      <c r="F16" s="23" t="s">
        <v>36</v>
      </c>
      <c r="G16" s="25" t="n">
        <f>62161</f>
        <v>62161.0</v>
      </c>
      <c r="H16" s="23"/>
      <c r="I16" s="26" t="n">
        <f>129022</f>
        <v>129022.0</v>
      </c>
      <c r="J16" s="24"/>
      <c r="K16" s="25" t="n">
        <f>20624604190</f>
        <v>2.062460419E10</v>
      </c>
      <c r="L16" s="23" t="s">
        <v>36</v>
      </c>
      <c r="M16" s="25" t="n">
        <f>15459092117</f>
        <v>1.5459092117E10</v>
      </c>
      <c r="N16" s="23"/>
      <c r="O16" s="26" t="n">
        <f>36083696307</f>
        <v>3.6083696307E10</v>
      </c>
      <c r="P16" s="27" t="str">
        <f>"－"</f>
        <v>－</v>
      </c>
      <c r="Q16" s="28" t="str">
        <f>"－"</f>
        <v>－</v>
      </c>
      <c r="R16" s="29" t="str">
        <f>"－"</f>
        <v>－</v>
      </c>
      <c r="S16" s="24"/>
      <c r="T16" s="25" t="n">
        <f>11931</f>
        <v>11931.0</v>
      </c>
      <c r="U16" s="23"/>
      <c r="V16" s="25" t="n">
        <f>17742</f>
        <v>17742.0</v>
      </c>
      <c r="W16" s="23"/>
      <c r="X16" s="26" t="n">
        <f>29673</f>
        <v>29673.0</v>
      </c>
      <c r="Y16" s="24"/>
      <c r="Z16" s="25" t="n">
        <f>933681</f>
        <v>933681.0</v>
      </c>
      <c r="AA16" s="23"/>
      <c r="AB16" s="25" t="n">
        <f>522686</f>
        <v>522686.0</v>
      </c>
      <c r="AC16" s="23"/>
      <c r="AD16" s="26" t="n">
        <f>1456367</f>
        <v>1456367.0</v>
      </c>
    </row>
    <row r="17">
      <c r="A17" s="30" t="s">
        <v>37</v>
      </c>
      <c r="B17" s="22" t="s">
        <v>27</v>
      </c>
      <c r="C17" s="22" t="s">
        <v>28</v>
      </c>
      <c r="D17" s="24"/>
      <c r="E17" s="25" t="n">
        <f>64333</f>
        <v>64333.0</v>
      </c>
      <c r="F17" s="23"/>
      <c r="G17" s="25" t="n">
        <f>44223</f>
        <v>44223.0</v>
      </c>
      <c r="H17" s="23"/>
      <c r="I17" s="26" t="n">
        <f>108556</f>
        <v>108556.0</v>
      </c>
      <c r="J17" s="24"/>
      <c r="K17" s="25" t="n">
        <f>19121434210</f>
        <v>1.912143421E10</v>
      </c>
      <c r="L17" s="23"/>
      <c r="M17" s="25" t="n">
        <f>10675128980</f>
        <v>1.067512898E10</v>
      </c>
      <c r="N17" s="23"/>
      <c r="O17" s="26" t="n">
        <f>29796563190</f>
        <v>2.979656319E10</v>
      </c>
      <c r="P17" s="27" t="str">
        <f>"－"</f>
        <v>－</v>
      </c>
      <c r="Q17" s="28" t="str">
        <f>"－"</f>
        <v>－</v>
      </c>
      <c r="R17" s="29" t="str">
        <f>"－"</f>
        <v>－</v>
      </c>
      <c r="S17" s="24"/>
      <c r="T17" s="25" t="n">
        <f>16890</f>
        <v>16890.0</v>
      </c>
      <c r="U17" s="23"/>
      <c r="V17" s="25" t="n">
        <f>7887</f>
        <v>7887.0</v>
      </c>
      <c r="W17" s="23"/>
      <c r="X17" s="26" t="n">
        <f>24777</f>
        <v>24777.0</v>
      </c>
      <c r="Y17" s="24"/>
      <c r="Z17" s="25" t="n">
        <f>943392</f>
        <v>943392.0</v>
      </c>
      <c r="AA17" s="23"/>
      <c r="AB17" s="25" t="n">
        <f>526163</f>
        <v>526163.0</v>
      </c>
      <c r="AC17" s="23"/>
      <c r="AD17" s="26" t="n">
        <f>1469555</f>
        <v>1469555.0</v>
      </c>
    </row>
    <row r="18">
      <c r="A18" s="30" t="s">
        <v>38</v>
      </c>
      <c r="B18" s="22" t="s">
        <v>27</v>
      </c>
      <c r="C18" s="22" t="s">
        <v>28</v>
      </c>
      <c r="D18" s="24"/>
      <c r="E18" s="25" t="n">
        <f>67479</f>
        <v>67479.0</v>
      </c>
      <c r="F18" s="23"/>
      <c r="G18" s="25" t="n">
        <f>43250</f>
        <v>43250.0</v>
      </c>
      <c r="H18" s="23"/>
      <c r="I18" s="26" t="n">
        <f>110729</f>
        <v>110729.0</v>
      </c>
      <c r="J18" s="24"/>
      <c r="K18" s="25" t="n">
        <f>14806576448</f>
        <v>1.4806576448E10</v>
      </c>
      <c r="L18" s="23"/>
      <c r="M18" s="25" t="n">
        <f>8692803590</f>
        <v>8.69280359E9</v>
      </c>
      <c r="N18" s="23"/>
      <c r="O18" s="26" t="n">
        <f>23499380038</f>
        <v>2.3499380038E10</v>
      </c>
      <c r="P18" s="27" t="str">
        <f>"－"</f>
        <v>－</v>
      </c>
      <c r="Q18" s="28" t="str">
        <f>"－"</f>
        <v>－</v>
      </c>
      <c r="R18" s="29" t="str">
        <f>"－"</f>
        <v>－</v>
      </c>
      <c r="S18" s="24"/>
      <c r="T18" s="25" t="n">
        <f>14643</f>
        <v>14643.0</v>
      </c>
      <c r="U18" s="23"/>
      <c r="V18" s="25" t="n">
        <f>4774</f>
        <v>4774.0</v>
      </c>
      <c r="W18" s="23"/>
      <c r="X18" s="26" t="n">
        <f>19417</f>
        <v>19417.0</v>
      </c>
      <c r="Y18" s="24" t="s">
        <v>36</v>
      </c>
      <c r="Z18" s="25" t="n">
        <f>959170</f>
        <v>959170.0</v>
      </c>
      <c r="AA18" s="23" t="s">
        <v>36</v>
      </c>
      <c r="AB18" s="25" t="n">
        <f>530161</f>
        <v>530161.0</v>
      </c>
      <c r="AC18" s="23" t="s">
        <v>36</v>
      </c>
      <c r="AD18" s="26" t="n">
        <f>1489331</f>
        <v>1489331.0</v>
      </c>
    </row>
    <row r="19">
      <c r="A19" s="30" t="s">
        <v>39</v>
      </c>
      <c r="B19" s="22" t="s">
        <v>27</v>
      </c>
      <c r="C19" s="22" t="s">
        <v>28</v>
      </c>
      <c r="D19" s="24"/>
      <c r="E19" s="25" t="n">
        <f>37770</f>
        <v>37770.0</v>
      </c>
      <c r="F19" s="23" t="s">
        <v>31</v>
      </c>
      <c r="G19" s="25" t="n">
        <f>26714</f>
        <v>26714.0</v>
      </c>
      <c r="H19" s="23"/>
      <c r="I19" s="26" t="n">
        <f>64484</f>
        <v>64484.0</v>
      </c>
      <c r="J19" s="24"/>
      <c r="K19" s="25" t="n">
        <f>10020236510</f>
        <v>1.002023651E10</v>
      </c>
      <c r="L19" s="23"/>
      <c r="M19" s="25" t="n">
        <f>8096641130</f>
        <v>8.09664113E9</v>
      </c>
      <c r="N19" s="23"/>
      <c r="O19" s="26" t="n">
        <f>18116877640</f>
        <v>1.811687764E10</v>
      </c>
      <c r="P19" s="27" t="n">
        <f>18439</f>
        <v>18439.0</v>
      </c>
      <c r="Q19" s="28" t="n">
        <f>65152</f>
        <v>65152.0</v>
      </c>
      <c r="R19" s="29" t="n">
        <f>83591</f>
        <v>83591.0</v>
      </c>
      <c r="S19" s="24"/>
      <c r="T19" s="25" t="n">
        <f>7125</f>
        <v>7125.0</v>
      </c>
      <c r="U19" s="23"/>
      <c r="V19" s="25" t="n">
        <f>3643</f>
        <v>3643.0</v>
      </c>
      <c r="W19" s="23"/>
      <c r="X19" s="26" t="n">
        <f>10768</f>
        <v>10768.0</v>
      </c>
      <c r="Y19" s="24" t="s">
        <v>31</v>
      </c>
      <c r="Z19" s="25" t="n">
        <f>720868</f>
        <v>720868.0</v>
      </c>
      <c r="AA19" s="23" t="s">
        <v>31</v>
      </c>
      <c r="AB19" s="25" t="n">
        <f>390673</f>
        <v>390673.0</v>
      </c>
      <c r="AC19" s="23" t="s">
        <v>31</v>
      </c>
      <c r="AD19" s="26" t="n">
        <f>1111541</f>
        <v>1111541.0</v>
      </c>
    </row>
    <row r="20">
      <c r="A20" s="30" t="s">
        <v>40</v>
      </c>
      <c r="B20" s="22" t="s">
        <v>27</v>
      </c>
      <c r="C20" s="22" t="s">
        <v>28</v>
      </c>
      <c r="D20" s="24"/>
      <c r="E20" s="25"/>
      <c r="F20" s="23"/>
      <c r="G20" s="25"/>
      <c r="H20" s="23"/>
      <c r="I20" s="26"/>
      <c r="J20" s="24"/>
      <c r="K20" s="25"/>
      <c r="L20" s="23"/>
      <c r="M20" s="25"/>
      <c r="N20" s="23"/>
      <c r="O20" s="26"/>
      <c r="P20" s="27"/>
      <c r="Q20" s="28"/>
      <c r="R20" s="29"/>
      <c r="S20" s="24"/>
      <c r="T20" s="25"/>
      <c r="U20" s="23"/>
      <c r="V20" s="25"/>
      <c r="W20" s="23"/>
      <c r="X20" s="26"/>
      <c r="Y20" s="24"/>
      <c r="Z20" s="25"/>
      <c r="AA20" s="23"/>
      <c r="AB20" s="25"/>
      <c r="AC20" s="23"/>
      <c r="AD20" s="26"/>
    </row>
    <row r="21">
      <c r="A21" s="30" t="s">
        <v>41</v>
      </c>
      <c r="B21" s="22" t="s">
        <v>27</v>
      </c>
      <c r="C21" s="22" t="s">
        <v>28</v>
      </c>
      <c r="D21" s="24"/>
      <c r="E21" s="25"/>
      <c r="F21" s="23"/>
      <c r="G21" s="25"/>
      <c r="H21" s="23"/>
      <c r="I21" s="26"/>
      <c r="J21" s="24"/>
      <c r="K21" s="25"/>
      <c r="L21" s="23"/>
      <c r="M21" s="25"/>
      <c r="N21" s="23"/>
      <c r="O21" s="26"/>
      <c r="P21" s="27"/>
      <c r="Q21" s="28"/>
      <c r="R21" s="29"/>
      <c r="S21" s="24"/>
      <c r="T21" s="25"/>
      <c r="U21" s="23"/>
      <c r="V21" s="25"/>
      <c r="W21" s="23"/>
      <c r="X21" s="26"/>
      <c r="Y21" s="24"/>
      <c r="Z21" s="25"/>
      <c r="AA21" s="23"/>
      <c r="AB21" s="25"/>
      <c r="AC21" s="23"/>
      <c r="AD21" s="26"/>
    </row>
    <row r="22">
      <c r="A22" s="30" t="s">
        <v>42</v>
      </c>
      <c r="B22" s="22" t="s">
        <v>27</v>
      </c>
      <c r="C22" s="22" t="s">
        <v>28</v>
      </c>
      <c r="D22" s="24" t="s">
        <v>36</v>
      </c>
      <c r="E22" s="25" t="n">
        <f>89954</f>
        <v>89954.0</v>
      </c>
      <c r="F22" s="23"/>
      <c r="G22" s="25" t="n">
        <f>57796</f>
        <v>57796.0</v>
      </c>
      <c r="H22" s="23" t="s">
        <v>36</v>
      </c>
      <c r="I22" s="26" t="n">
        <f>147750</f>
        <v>147750.0</v>
      </c>
      <c r="J22" s="24" t="s">
        <v>36</v>
      </c>
      <c r="K22" s="25" t="n">
        <f>29544815190</f>
        <v>2.954481519E10</v>
      </c>
      <c r="L22" s="23"/>
      <c r="M22" s="25" t="n">
        <f>12155274869</f>
        <v>1.2155274869E10</v>
      </c>
      <c r="N22" s="23"/>
      <c r="O22" s="26" t="n">
        <f>41700090059</f>
        <v>4.1700090059E10</v>
      </c>
      <c r="P22" s="27" t="str">
        <f>"－"</f>
        <v>－</v>
      </c>
      <c r="Q22" s="28" t="str">
        <f>"－"</f>
        <v>－</v>
      </c>
      <c r="R22" s="29" t="str">
        <f>"－"</f>
        <v>－</v>
      </c>
      <c r="S22" s="24" t="s">
        <v>36</v>
      </c>
      <c r="T22" s="25" t="n">
        <f>29516</f>
        <v>29516.0</v>
      </c>
      <c r="U22" s="23" t="s">
        <v>36</v>
      </c>
      <c r="V22" s="25" t="n">
        <f>18861</f>
        <v>18861.0</v>
      </c>
      <c r="W22" s="23" t="s">
        <v>36</v>
      </c>
      <c r="X22" s="26" t="n">
        <f>48377</f>
        <v>48377.0</v>
      </c>
      <c r="Y22" s="24"/>
      <c r="Z22" s="25" t="n">
        <f>734315</f>
        <v>734315.0</v>
      </c>
      <c r="AA22" s="23"/>
      <c r="AB22" s="25" t="n">
        <f>398936</f>
        <v>398936.0</v>
      </c>
      <c r="AC22" s="23"/>
      <c r="AD22" s="26" t="n">
        <f>1133251</f>
        <v>1133251.0</v>
      </c>
    </row>
    <row r="23">
      <c r="A23" s="30" t="s">
        <v>43</v>
      </c>
      <c r="B23" s="22" t="s">
        <v>27</v>
      </c>
      <c r="C23" s="22" t="s">
        <v>28</v>
      </c>
      <c r="D23" s="24"/>
      <c r="E23" s="25" t="n">
        <f>71836</f>
        <v>71836.0</v>
      </c>
      <c r="F23" s="23"/>
      <c r="G23" s="25" t="n">
        <f>45241</f>
        <v>45241.0</v>
      </c>
      <c r="H23" s="23"/>
      <c r="I23" s="26" t="n">
        <f>117077</f>
        <v>117077.0</v>
      </c>
      <c r="J23" s="24"/>
      <c r="K23" s="25" t="n">
        <f>27244382380</f>
        <v>2.724438238E10</v>
      </c>
      <c r="L23" s="23"/>
      <c r="M23" s="25" t="n">
        <f>12742703400</f>
        <v>1.27427034E10</v>
      </c>
      <c r="N23" s="23"/>
      <c r="O23" s="26" t="n">
        <f>39987085780</f>
        <v>3.998708578E10</v>
      </c>
      <c r="P23" s="27" t="str">
        <f>"－"</f>
        <v>－</v>
      </c>
      <c r="Q23" s="28" t="str">
        <f>"－"</f>
        <v>－</v>
      </c>
      <c r="R23" s="29" t="str">
        <f>"－"</f>
        <v>－</v>
      </c>
      <c r="S23" s="24"/>
      <c r="T23" s="25" t="n">
        <f>12980</f>
        <v>12980.0</v>
      </c>
      <c r="U23" s="23"/>
      <c r="V23" s="25" t="n">
        <f>5674</f>
        <v>5674.0</v>
      </c>
      <c r="W23" s="23"/>
      <c r="X23" s="26" t="n">
        <f>18654</f>
        <v>18654.0</v>
      </c>
      <c r="Y23" s="24"/>
      <c r="Z23" s="25" t="n">
        <f>750027</f>
        <v>750027.0</v>
      </c>
      <c r="AA23" s="23"/>
      <c r="AB23" s="25" t="n">
        <f>412661</f>
        <v>412661.0</v>
      </c>
      <c r="AC23" s="23"/>
      <c r="AD23" s="26" t="n">
        <f>1162688</f>
        <v>1162688.0</v>
      </c>
    </row>
    <row r="24">
      <c r="A24" s="30" t="s">
        <v>44</v>
      </c>
      <c r="B24" s="22" t="s">
        <v>27</v>
      </c>
      <c r="C24" s="22" t="s">
        <v>28</v>
      </c>
      <c r="D24" s="24"/>
      <c r="E24" s="25" t="n">
        <f>49228</f>
        <v>49228.0</v>
      </c>
      <c r="F24" s="23"/>
      <c r="G24" s="25" t="n">
        <f>45331</f>
        <v>45331.0</v>
      </c>
      <c r="H24" s="23"/>
      <c r="I24" s="26" t="n">
        <f>94559</f>
        <v>94559.0</v>
      </c>
      <c r="J24" s="24"/>
      <c r="K24" s="25" t="n">
        <f>18040363320</f>
        <v>1.804036332E10</v>
      </c>
      <c r="L24" s="23"/>
      <c r="M24" s="25" t="n">
        <f>13011691053</f>
        <v>1.3011691053E10</v>
      </c>
      <c r="N24" s="23"/>
      <c r="O24" s="26" t="n">
        <f>31052054373</f>
        <v>3.1052054373E10</v>
      </c>
      <c r="P24" s="27" t="str">
        <f>"－"</f>
        <v>－</v>
      </c>
      <c r="Q24" s="28" t="str">
        <f>"－"</f>
        <v>－</v>
      </c>
      <c r="R24" s="29" t="str">
        <f>"－"</f>
        <v>－</v>
      </c>
      <c r="S24" s="24"/>
      <c r="T24" s="25" t="n">
        <f>8609</f>
        <v>8609.0</v>
      </c>
      <c r="U24" s="23"/>
      <c r="V24" s="25" t="n">
        <f>7738</f>
        <v>7738.0</v>
      </c>
      <c r="W24" s="23"/>
      <c r="X24" s="26" t="n">
        <f>16347</f>
        <v>16347.0</v>
      </c>
      <c r="Y24" s="24"/>
      <c r="Z24" s="25" t="n">
        <f>756997</f>
        <v>756997.0</v>
      </c>
      <c r="AA24" s="23"/>
      <c r="AB24" s="25" t="n">
        <f>424127</f>
        <v>424127.0</v>
      </c>
      <c r="AC24" s="23"/>
      <c r="AD24" s="26" t="n">
        <f>1181124</f>
        <v>1181124.0</v>
      </c>
    </row>
    <row r="25">
      <c r="A25" s="30" t="s">
        <v>45</v>
      </c>
      <c r="B25" s="22" t="s">
        <v>27</v>
      </c>
      <c r="C25" s="22" t="s">
        <v>28</v>
      </c>
      <c r="D25" s="24"/>
      <c r="E25" s="25" t="n">
        <f>54104</f>
        <v>54104.0</v>
      </c>
      <c r="F25" s="23"/>
      <c r="G25" s="25" t="n">
        <f>53724</f>
        <v>53724.0</v>
      </c>
      <c r="H25" s="23"/>
      <c r="I25" s="26" t="n">
        <f>107828</f>
        <v>107828.0</v>
      </c>
      <c r="J25" s="24"/>
      <c r="K25" s="25" t="n">
        <f>17601895795</f>
        <v>1.7601895795E10</v>
      </c>
      <c r="L25" s="23"/>
      <c r="M25" s="25" t="n">
        <f>11217817000</f>
        <v>1.1217817E10</v>
      </c>
      <c r="N25" s="23"/>
      <c r="O25" s="26" t="n">
        <f>28819712795</f>
        <v>2.8819712795E10</v>
      </c>
      <c r="P25" s="27" t="str">
        <f>"－"</f>
        <v>－</v>
      </c>
      <c r="Q25" s="28" t="str">
        <f>"－"</f>
        <v>－</v>
      </c>
      <c r="R25" s="29" t="str">
        <f>"－"</f>
        <v>－</v>
      </c>
      <c r="S25" s="24"/>
      <c r="T25" s="25" t="n">
        <f>9229</f>
        <v>9229.0</v>
      </c>
      <c r="U25" s="23"/>
      <c r="V25" s="25" t="n">
        <f>9226</f>
        <v>9226.0</v>
      </c>
      <c r="W25" s="23"/>
      <c r="X25" s="26" t="n">
        <f>18455</f>
        <v>18455.0</v>
      </c>
      <c r="Y25" s="24"/>
      <c r="Z25" s="25" t="n">
        <f>758085</f>
        <v>758085.0</v>
      </c>
      <c r="AA25" s="23"/>
      <c r="AB25" s="25" t="n">
        <f>425859</f>
        <v>425859.0</v>
      </c>
      <c r="AC25" s="23"/>
      <c r="AD25" s="26" t="n">
        <f>1183944</f>
        <v>1183944.0</v>
      </c>
    </row>
    <row r="26">
      <c r="A26" s="30" t="s">
        <v>46</v>
      </c>
      <c r="B26" s="22" t="s">
        <v>27</v>
      </c>
      <c r="C26" s="22" t="s">
        <v>28</v>
      </c>
      <c r="D26" s="24"/>
      <c r="E26" s="25" t="n">
        <f>82389</f>
        <v>82389.0</v>
      </c>
      <c r="F26" s="23"/>
      <c r="G26" s="25" t="n">
        <f>57149</f>
        <v>57149.0</v>
      </c>
      <c r="H26" s="23"/>
      <c r="I26" s="26" t="n">
        <f>139538</f>
        <v>139538.0</v>
      </c>
      <c r="J26" s="24"/>
      <c r="K26" s="25" t="n">
        <f>29422868750</f>
        <v>2.942286875E10</v>
      </c>
      <c r="L26" s="23"/>
      <c r="M26" s="25" t="n">
        <f>12948334630</f>
        <v>1.294833463E10</v>
      </c>
      <c r="N26" s="23" t="s">
        <v>36</v>
      </c>
      <c r="O26" s="26" t="n">
        <f>42371203380</f>
        <v>4.237120338E10</v>
      </c>
      <c r="P26" s="27" t="str">
        <f>"－"</f>
        <v>－</v>
      </c>
      <c r="Q26" s="28" t="str">
        <f>"－"</f>
        <v>－</v>
      </c>
      <c r="R26" s="29" t="str">
        <f>"－"</f>
        <v>－</v>
      </c>
      <c r="S26" s="24"/>
      <c r="T26" s="25" t="n">
        <f>15545</f>
        <v>15545.0</v>
      </c>
      <c r="U26" s="23"/>
      <c r="V26" s="25" t="n">
        <f>10990</f>
        <v>10990.0</v>
      </c>
      <c r="W26" s="23"/>
      <c r="X26" s="26" t="n">
        <f>26535</f>
        <v>26535.0</v>
      </c>
      <c r="Y26" s="24"/>
      <c r="Z26" s="25" t="n">
        <f>763746</f>
        <v>763746.0</v>
      </c>
      <c r="AA26" s="23"/>
      <c r="AB26" s="25" t="n">
        <f>436987</f>
        <v>436987.0</v>
      </c>
      <c r="AC26" s="23"/>
      <c r="AD26" s="26" t="n">
        <f>1200733</f>
        <v>1200733.0</v>
      </c>
    </row>
    <row r="27">
      <c r="A27" s="30" t="s">
        <v>47</v>
      </c>
      <c r="B27" s="22" t="s">
        <v>27</v>
      </c>
      <c r="C27" s="22" t="s">
        <v>28</v>
      </c>
      <c r="D27" s="24"/>
      <c r="E27" s="25"/>
      <c r="F27" s="23"/>
      <c r="G27" s="25"/>
      <c r="H27" s="23"/>
      <c r="I27" s="26"/>
      <c r="J27" s="24"/>
      <c r="K27" s="25"/>
      <c r="L27" s="23"/>
      <c r="M27" s="25"/>
      <c r="N27" s="23"/>
      <c r="O27" s="26"/>
      <c r="P27" s="27"/>
      <c r="Q27" s="28"/>
      <c r="R27" s="29"/>
      <c r="S27" s="24"/>
      <c r="T27" s="25"/>
      <c r="U27" s="23"/>
      <c r="V27" s="25"/>
      <c r="W27" s="23"/>
      <c r="X27" s="26"/>
      <c r="Y27" s="24"/>
      <c r="Z27" s="25"/>
      <c r="AA27" s="23"/>
      <c r="AB27" s="25"/>
      <c r="AC27" s="23"/>
      <c r="AD27" s="26"/>
    </row>
    <row r="28">
      <c r="A28" s="30" t="s">
        <v>48</v>
      </c>
      <c r="B28" s="22" t="s">
        <v>27</v>
      </c>
      <c r="C28" s="22" t="s">
        <v>28</v>
      </c>
      <c r="D28" s="24"/>
      <c r="E28" s="25"/>
      <c r="F28" s="23"/>
      <c r="G28" s="25"/>
      <c r="H28" s="23"/>
      <c r="I28" s="26"/>
      <c r="J28" s="24"/>
      <c r="K28" s="25"/>
      <c r="L28" s="23"/>
      <c r="M28" s="25"/>
      <c r="N28" s="23"/>
      <c r="O28" s="26"/>
      <c r="P28" s="27"/>
      <c r="Q28" s="28"/>
      <c r="R28" s="29"/>
      <c r="S28" s="24"/>
      <c r="T28" s="25"/>
      <c r="U28" s="23"/>
      <c r="V28" s="25"/>
      <c r="W28" s="23"/>
      <c r="X28" s="26"/>
      <c r="Y28" s="24"/>
      <c r="Z28" s="25"/>
      <c r="AA28" s="23"/>
      <c r="AB28" s="25"/>
      <c r="AC28" s="23"/>
      <c r="AD28" s="26"/>
    </row>
    <row r="29">
      <c r="A29" s="30" t="s">
        <v>49</v>
      </c>
      <c r="B29" s="22" t="s">
        <v>27</v>
      </c>
      <c r="C29" s="22" t="s">
        <v>28</v>
      </c>
      <c r="D29" s="24"/>
      <c r="E29" s="25" t="n">
        <f>52687</f>
        <v>52687.0</v>
      </c>
      <c r="F29" s="23"/>
      <c r="G29" s="25" t="n">
        <f>39096</f>
        <v>39096.0</v>
      </c>
      <c r="H29" s="23"/>
      <c r="I29" s="26" t="n">
        <f>91783</f>
        <v>91783.0</v>
      </c>
      <c r="J29" s="24"/>
      <c r="K29" s="25" t="n">
        <f>23478954043</f>
        <v>2.3478954043E10</v>
      </c>
      <c r="L29" s="23"/>
      <c r="M29" s="25" t="n">
        <f>9928647890</f>
        <v>9.92864789E9</v>
      </c>
      <c r="N29" s="23"/>
      <c r="O29" s="26" t="n">
        <f>33407601933</f>
        <v>3.3407601933E10</v>
      </c>
      <c r="P29" s="27" t="str">
        <f>"－"</f>
        <v>－</v>
      </c>
      <c r="Q29" s="28" t="str">
        <f>"－"</f>
        <v>－</v>
      </c>
      <c r="R29" s="29" t="str">
        <f>"－"</f>
        <v>－</v>
      </c>
      <c r="S29" s="24"/>
      <c r="T29" s="25" t="n">
        <f>11774</f>
        <v>11774.0</v>
      </c>
      <c r="U29" s="23"/>
      <c r="V29" s="25" t="n">
        <f>7494</f>
        <v>7494.0</v>
      </c>
      <c r="W29" s="23"/>
      <c r="X29" s="26" t="n">
        <f>19268</f>
        <v>19268.0</v>
      </c>
      <c r="Y29" s="24"/>
      <c r="Z29" s="25" t="n">
        <f>770119</f>
        <v>770119.0</v>
      </c>
      <c r="AA29" s="23"/>
      <c r="AB29" s="25" t="n">
        <f>444884</f>
        <v>444884.0</v>
      </c>
      <c r="AC29" s="23"/>
      <c r="AD29" s="26" t="n">
        <f>1215003</f>
        <v>1215003.0</v>
      </c>
    </row>
    <row r="30">
      <c r="A30" s="30" t="s">
        <v>50</v>
      </c>
      <c r="B30" s="22" t="s">
        <v>27</v>
      </c>
      <c r="C30" s="22" t="s">
        <v>28</v>
      </c>
      <c r="D30" s="24"/>
      <c r="E30" s="25" t="n">
        <f>37959</f>
        <v>37959.0</v>
      </c>
      <c r="F30" s="23"/>
      <c r="G30" s="25" t="n">
        <f>40151</f>
        <v>40151.0</v>
      </c>
      <c r="H30" s="23"/>
      <c r="I30" s="26" t="n">
        <f>78110</f>
        <v>78110.0</v>
      </c>
      <c r="J30" s="24"/>
      <c r="K30" s="25" t="n">
        <f>12065371718</f>
        <v>1.2065371718E10</v>
      </c>
      <c r="L30" s="23"/>
      <c r="M30" s="25" t="n">
        <f>13725475300</f>
        <v>1.37254753E10</v>
      </c>
      <c r="N30" s="23"/>
      <c r="O30" s="26" t="n">
        <f>25790847018</f>
        <v>2.5790847018E10</v>
      </c>
      <c r="P30" s="27" t="str">
        <f>"－"</f>
        <v>－</v>
      </c>
      <c r="Q30" s="28" t="str">
        <f>"－"</f>
        <v>－</v>
      </c>
      <c r="R30" s="29" t="str">
        <f>"－"</f>
        <v>－</v>
      </c>
      <c r="S30" s="24"/>
      <c r="T30" s="25" t="n">
        <f>7317</f>
        <v>7317.0</v>
      </c>
      <c r="U30" s="23"/>
      <c r="V30" s="25" t="n">
        <f>4821</f>
        <v>4821.0</v>
      </c>
      <c r="W30" s="23"/>
      <c r="X30" s="26" t="n">
        <f>12138</f>
        <v>12138.0</v>
      </c>
      <c r="Y30" s="24"/>
      <c r="Z30" s="25" t="n">
        <f>773921</f>
        <v>773921.0</v>
      </c>
      <c r="AA30" s="23"/>
      <c r="AB30" s="25" t="n">
        <f>451542</f>
        <v>451542.0</v>
      </c>
      <c r="AC30" s="23"/>
      <c r="AD30" s="26" t="n">
        <f>1225463</f>
        <v>1225463.0</v>
      </c>
    </row>
    <row r="31">
      <c r="A31" s="30" t="s">
        <v>51</v>
      </c>
      <c r="B31" s="22" t="s">
        <v>27</v>
      </c>
      <c r="C31" s="22" t="s">
        <v>28</v>
      </c>
      <c r="D31" s="24"/>
      <c r="E31" s="25" t="n">
        <f>42658</f>
        <v>42658.0</v>
      </c>
      <c r="F31" s="23"/>
      <c r="G31" s="25" t="n">
        <f>30952</f>
        <v>30952.0</v>
      </c>
      <c r="H31" s="23"/>
      <c r="I31" s="26" t="n">
        <f>73610</f>
        <v>73610.0</v>
      </c>
      <c r="J31" s="24"/>
      <c r="K31" s="25" t="n">
        <f>13451983820</f>
        <v>1.345198382E10</v>
      </c>
      <c r="L31" s="23"/>
      <c r="M31" s="25" t="n">
        <f>8134680300</f>
        <v>8.1346803E9</v>
      </c>
      <c r="N31" s="23"/>
      <c r="O31" s="26" t="n">
        <f>21586664120</f>
        <v>2.158666412E10</v>
      </c>
      <c r="P31" s="27" t="str">
        <f>"－"</f>
        <v>－</v>
      </c>
      <c r="Q31" s="28" t="str">
        <f>"－"</f>
        <v>－</v>
      </c>
      <c r="R31" s="29" t="str">
        <f>"－"</f>
        <v>－</v>
      </c>
      <c r="S31" s="24" t="s">
        <v>31</v>
      </c>
      <c r="T31" s="25" t="n">
        <f>4274</f>
        <v>4274.0</v>
      </c>
      <c r="U31" s="23"/>
      <c r="V31" s="25" t="n">
        <f>5328</f>
        <v>5328.0</v>
      </c>
      <c r="W31" s="23" t="s">
        <v>31</v>
      </c>
      <c r="X31" s="26" t="n">
        <f>9602</f>
        <v>9602.0</v>
      </c>
      <c r="Y31" s="24"/>
      <c r="Z31" s="25" t="n">
        <f>782236</f>
        <v>782236.0</v>
      </c>
      <c r="AA31" s="23"/>
      <c r="AB31" s="25" t="n">
        <f>455759</f>
        <v>455759.0</v>
      </c>
      <c r="AC31" s="23"/>
      <c r="AD31" s="26" t="n">
        <f>1237995</f>
        <v>1237995.0</v>
      </c>
    </row>
    <row r="32">
      <c r="A32" s="30" t="s">
        <v>52</v>
      </c>
      <c r="B32" s="22" t="s">
        <v>27</v>
      </c>
      <c r="C32" s="22" t="s">
        <v>28</v>
      </c>
      <c r="D32" s="24"/>
      <c r="E32" s="25" t="n">
        <f>45646</f>
        <v>45646.0</v>
      </c>
      <c r="F32" s="23"/>
      <c r="G32" s="25" t="n">
        <f>31814</f>
        <v>31814.0</v>
      </c>
      <c r="H32" s="23"/>
      <c r="I32" s="26" t="n">
        <f>77460</f>
        <v>77460.0</v>
      </c>
      <c r="J32" s="24"/>
      <c r="K32" s="25" t="n">
        <f>12839285497</f>
        <v>1.2839285497E10</v>
      </c>
      <c r="L32" s="23"/>
      <c r="M32" s="25" t="n">
        <f>6198651660</f>
        <v>6.19865166E9</v>
      </c>
      <c r="N32" s="23"/>
      <c r="O32" s="26" t="n">
        <f>19037937157</f>
        <v>1.9037937157E10</v>
      </c>
      <c r="P32" s="27" t="str">
        <f>"－"</f>
        <v>－</v>
      </c>
      <c r="Q32" s="28" t="str">
        <f>"－"</f>
        <v>－</v>
      </c>
      <c r="R32" s="29" t="str">
        <f>"－"</f>
        <v>－</v>
      </c>
      <c r="S32" s="24"/>
      <c r="T32" s="25" t="n">
        <f>9878</f>
        <v>9878.0</v>
      </c>
      <c r="U32" s="23" t="s">
        <v>31</v>
      </c>
      <c r="V32" s="25" t="n">
        <f>3131</f>
        <v>3131.0</v>
      </c>
      <c r="W32" s="23"/>
      <c r="X32" s="26" t="n">
        <f>13009</f>
        <v>13009.0</v>
      </c>
      <c r="Y32" s="24"/>
      <c r="Z32" s="25" t="n">
        <f>788481</f>
        <v>788481.0</v>
      </c>
      <c r="AA32" s="23"/>
      <c r="AB32" s="25" t="n">
        <f>458098</f>
        <v>458098.0</v>
      </c>
      <c r="AC32" s="23"/>
      <c r="AD32" s="26" t="n">
        <f>1246579</f>
        <v>1246579.0</v>
      </c>
    </row>
    <row r="33">
      <c r="A33" s="30" t="s">
        <v>53</v>
      </c>
      <c r="B33" s="22" t="s">
        <v>27</v>
      </c>
      <c r="C33" s="22" t="s">
        <v>28</v>
      </c>
      <c r="D33" s="24" t="s">
        <v>31</v>
      </c>
      <c r="E33" s="25" t="n">
        <f>34149</f>
        <v>34149.0</v>
      </c>
      <c r="F33" s="23"/>
      <c r="G33" s="25" t="n">
        <f>30214</f>
        <v>30214.0</v>
      </c>
      <c r="H33" s="23" t="s">
        <v>31</v>
      </c>
      <c r="I33" s="26" t="n">
        <f>64363</f>
        <v>64363.0</v>
      </c>
      <c r="J33" s="24" t="s">
        <v>31</v>
      </c>
      <c r="K33" s="25" t="n">
        <f>8299022055</f>
        <v>8.299022055E9</v>
      </c>
      <c r="L33" s="23"/>
      <c r="M33" s="25" t="n">
        <f>7209927819</f>
        <v>7.209927819E9</v>
      </c>
      <c r="N33" s="23" t="s">
        <v>31</v>
      </c>
      <c r="O33" s="26" t="n">
        <f>15508949874</f>
        <v>1.5508949874E10</v>
      </c>
      <c r="P33" s="27" t="str">
        <f>"－"</f>
        <v>－</v>
      </c>
      <c r="Q33" s="28" t="str">
        <f>"－"</f>
        <v>－</v>
      </c>
      <c r="R33" s="29" t="str">
        <f>"－"</f>
        <v>－</v>
      </c>
      <c r="S33" s="24"/>
      <c r="T33" s="25" t="n">
        <f>5265</f>
        <v>5265.0</v>
      </c>
      <c r="U33" s="23"/>
      <c r="V33" s="25" t="n">
        <f>5158</f>
        <v>5158.0</v>
      </c>
      <c r="W33" s="23"/>
      <c r="X33" s="26" t="n">
        <f>10423</f>
        <v>10423.0</v>
      </c>
      <c r="Y33" s="24"/>
      <c r="Z33" s="25" t="n">
        <f>792357</f>
        <v>792357.0</v>
      </c>
      <c r="AA33" s="23"/>
      <c r="AB33" s="25" t="n">
        <f>464015</f>
        <v>464015.0</v>
      </c>
      <c r="AC33" s="23"/>
      <c r="AD33" s="26" t="n">
        <f>1256372</f>
        <v>1256372.0</v>
      </c>
    </row>
    <row r="34">
      <c r="A34" s="30" t="s">
        <v>54</v>
      </c>
      <c r="B34" s="22" t="s">
        <v>27</v>
      </c>
      <c r="C34" s="22" t="s">
        <v>28</v>
      </c>
      <c r="D34" s="24"/>
      <c r="E34" s="25"/>
      <c r="F34" s="23"/>
      <c r="G34" s="25"/>
      <c r="H34" s="23"/>
      <c r="I34" s="26"/>
      <c r="J34" s="24"/>
      <c r="K34" s="25"/>
      <c r="L34" s="23"/>
      <c r="M34" s="25"/>
      <c r="N34" s="23"/>
      <c r="O34" s="26"/>
      <c r="P34" s="27"/>
      <c r="Q34" s="28"/>
      <c r="R34" s="29"/>
      <c r="S34" s="24"/>
      <c r="T34" s="25"/>
      <c r="U34" s="23"/>
      <c r="V34" s="25"/>
      <c r="W34" s="23"/>
      <c r="X34" s="26"/>
      <c r="Y34" s="24"/>
      <c r="Z34" s="25"/>
      <c r="AA34" s="23"/>
      <c r="AB34" s="25"/>
      <c r="AC34" s="23"/>
      <c r="AD34" s="26"/>
    </row>
    <row r="35">
      <c r="A35" s="30" t="s">
        <v>55</v>
      </c>
      <c r="B35" s="22" t="s">
        <v>27</v>
      </c>
      <c r="C35" s="22" t="s">
        <v>28</v>
      </c>
      <c r="D35" s="24"/>
      <c r="E35" s="25"/>
      <c r="F35" s="23"/>
      <c r="G35" s="25"/>
      <c r="H35" s="23"/>
      <c r="I35" s="26"/>
      <c r="J35" s="24"/>
      <c r="K35" s="25"/>
      <c r="L35" s="23"/>
      <c r="M35" s="25"/>
      <c r="N35" s="23"/>
      <c r="O35" s="26"/>
      <c r="P35" s="27"/>
      <c r="Q35" s="28"/>
      <c r="R35" s="29"/>
      <c r="S35" s="24"/>
      <c r="T35" s="25"/>
      <c r="U35" s="23"/>
      <c r="V35" s="25"/>
      <c r="W35" s="23"/>
      <c r="X35" s="26"/>
      <c r="Y35" s="24"/>
      <c r="Z35" s="25"/>
      <c r="AA35" s="23"/>
      <c r="AB35" s="25"/>
      <c r="AC35" s="23"/>
      <c r="AD35" s="26"/>
    </row>
    <row r="36">
      <c r="A36" s="30" t="s">
        <v>56</v>
      </c>
      <c r="B36" s="22" t="s">
        <v>27</v>
      </c>
      <c r="C36" s="22" t="s">
        <v>28</v>
      </c>
      <c r="D36" s="24"/>
      <c r="E36" s="25" t="n">
        <f>51291</f>
        <v>51291.0</v>
      </c>
      <c r="F36" s="23"/>
      <c r="G36" s="25" t="n">
        <f>42445</f>
        <v>42445.0</v>
      </c>
      <c r="H36" s="23"/>
      <c r="I36" s="26" t="n">
        <f>93736</f>
        <v>93736.0</v>
      </c>
      <c r="J36" s="24"/>
      <c r="K36" s="25" t="n">
        <f>11542899269</f>
        <v>1.1542899269E10</v>
      </c>
      <c r="L36" s="23"/>
      <c r="M36" s="25" t="n">
        <f>8666224030</f>
        <v>8.66622403E9</v>
      </c>
      <c r="N36" s="23"/>
      <c r="O36" s="26" t="n">
        <f>20209123299</f>
        <v>2.0209123299E10</v>
      </c>
      <c r="P36" s="27" t="str">
        <f>"－"</f>
        <v>－</v>
      </c>
      <c r="Q36" s="28" t="str">
        <f>"－"</f>
        <v>－</v>
      </c>
      <c r="R36" s="29" t="str">
        <f>"－"</f>
        <v>－</v>
      </c>
      <c r="S36" s="24"/>
      <c r="T36" s="25" t="n">
        <f>13665</f>
        <v>13665.0</v>
      </c>
      <c r="U36" s="23"/>
      <c r="V36" s="25" t="n">
        <f>3919</f>
        <v>3919.0</v>
      </c>
      <c r="W36" s="23"/>
      <c r="X36" s="26" t="n">
        <f>17584</f>
        <v>17584.0</v>
      </c>
      <c r="Y36" s="24"/>
      <c r="Z36" s="25" t="n">
        <f>797295</f>
        <v>797295.0</v>
      </c>
      <c r="AA36" s="23"/>
      <c r="AB36" s="25" t="n">
        <f>467335</f>
        <v>467335.0</v>
      </c>
      <c r="AC36" s="23"/>
      <c r="AD36" s="26" t="n">
        <f>1264630</f>
        <v>1264630.0</v>
      </c>
    </row>
    <row r="37">
      <c r="A37" s="30" t="s">
        <v>57</v>
      </c>
      <c r="B37" s="22" t="s">
        <v>27</v>
      </c>
      <c r="C37" s="22" t="s">
        <v>28</v>
      </c>
      <c r="D37" s="24"/>
      <c r="E37" s="25" t="n">
        <f>59179</f>
        <v>59179.0</v>
      </c>
      <c r="F37" s="23"/>
      <c r="G37" s="25" t="n">
        <f>31179</f>
        <v>31179.0</v>
      </c>
      <c r="H37" s="23"/>
      <c r="I37" s="26" t="n">
        <f>90358</f>
        <v>90358.0</v>
      </c>
      <c r="J37" s="24"/>
      <c r="K37" s="25" t="n">
        <f>15262506250</f>
        <v>1.526250625E10</v>
      </c>
      <c r="L37" s="23"/>
      <c r="M37" s="25" t="n">
        <f>7627050350</f>
        <v>7.62705035E9</v>
      </c>
      <c r="N37" s="23"/>
      <c r="O37" s="26" t="n">
        <f>22889556600</f>
        <v>2.28895566E10</v>
      </c>
      <c r="P37" s="27" t="str">
        <f>"－"</f>
        <v>－</v>
      </c>
      <c r="Q37" s="28" t="str">
        <f>"－"</f>
        <v>－</v>
      </c>
      <c r="R37" s="29" t="str">
        <f>"－"</f>
        <v>－</v>
      </c>
      <c r="S37" s="24"/>
      <c r="T37" s="25" t="n">
        <f>9864</f>
        <v>9864.0</v>
      </c>
      <c r="U37" s="23"/>
      <c r="V37" s="25" t="n">
        <f>4420</f>
        <v>4420.0</v>
      </c>
      <c r="W37" s="23"/>
      <c r="X37" s="26" t="n">
        <f>14284</f>
        <v>14284.0</v>
      </c>
      <c r="Y37" s="24"/>
      <c r="Z37" s="25" t="n">
        <f>805054</f>
        <v>805054.0</v>
      </c>
      <c r="AA37" s="23"/>
      <c r="AB37" s="25" t="n">
        <f>470136</f>
        <v>470136.0</v>
      </c>
      <c r="AC37" s="23"/>
      <c r="AD37" s="26" t="n">
        <f>1275190</f>
        <v>1275190.0</v>
      </c>
    </row>
    <row r="38">
      <c r="A38" s="30" t="s">
        <v>58</v>
      </c>
      <c r="B38" s="22" t="s">
        <v>27</v>
      </c>
      <c r="C38" s="22" t="s">
        <v>28</v>
      </c>
      <c r="D38" s="24"/>
      <c r="E38" s="25" t="n">
        <f>57081</f>
        <v>57081.0</v>
      </c>
      <c r="F38" s="23"/>
      <c r="G38" s="25" t="n">
        <f>44402</f>
        <v>44402.0</v>
      </c>
      <c r="H38" s="23"/>
      <c r="I38" s="26" t="n">
        <f>101483</f>
        <v>101483.0</v>
      </c>
      <c r="J38" s="24"/>
      <c r="K38" s="25" t="n">
        <f>11796141030</f>
        <v>1.179614103E10</v>
      </c>
      <c r="L38" s="23"/>
      <c r="M38" s="25" t="n">
        <f>10769423990</f>
        <v>1.076942399E10</v>
      </c>
      <c r="N38" s="23"/>
      <c r="O38" s="26" t="n">
        <f>22565565020</f>
        <v>2.256556502E10</v>
      </c>
      <c r="P38" s="27" t="str">
        <f>"－"</f>
        <v>－</v>
      </c>
      <c r="Q38" s="28" t="str">
        <f>"－"</f>
        <v>－</v>
      </c>
      <c r="R38" s="29" t="str">
        <f>"－"</f>
        <v>－</v>
      </c>
      <c r="S38" s="24"/>
      <c r="T38" s="25" t="n">
        <f>10399</f>
        <v>10399.0</v>
      </c>
      <c r="U38" s="23"/>
      <c r="V38" s="25" t="n">
        <f>8676</f>
        <v>8676.0</v>
      </c>
      <c r="W38" s="23"/>
      <c r="X38" s="26" t="n">
        <f>19075</f>
        <v>19075.0</v>
      </c>
      <c r="Y38" s="24"/>
      <c r="Z38" s="25" t="n">
        <f>814626</f>
        <v>814626.0</v>
      </c>
      <c r="AA38" s="23"/>
      <c r="AB38" s="25" t="n">
        <f>480007</f>
        <v>480007.0</v>
      </c>
      <c r="AC38" s="23"/>
      <c r="AD38" s="26" t="n">
        <f>1294633</f>
        <v>1294633.0</v>
      </c>
    </row>
    <row r="39">
      <c r="A39" s="30" t="s">
        <v>59</v>
      </c>
      <c r="B39" s="22" t="s">
        <v>27</v>
      </c>
      <c r="C39" s="22" t="s">
        <v>28</v>
      </c>
      <c r="D39" s="24"/>
      <c r="E39" s="25" t="n">
        <f>51350</f>
        <v>51350.0</v>
      </c>
      <c r="F39" s="23"/>
      <c r="G39" s="25" t="n">
        <f>42508</f>
        <v>42508.0</v>
      </c>
      <c r="H39" s="23"/>
      <c r="I39" s="26" t="n">
        <f>93858</f>
        <v>93858.0</v>
      </c>
      <c r="J39" s="24"/>
      <c r="K39" s="25" t="n">
        <f>11956322922</f>
        <v>1.1956322922E10</v>
      </c>
      <c r="L39" s="23"/>
      <c r="M39" s="25" t="n">
        <f>6677681190</f>
        <v>6.67768119E9</v>
      </c>
      <c r="N39" s="23"/>
      <c r="O39" s="26" t="n">
        <f>18634004112</f>
        <v>1.8634004112E10</v>
      </c>
      <c r="P39" s="27" t="str">
        <f>"－"</f>
        <v>－</v>
      </c>
      <c r="Q39" s="28" t="str">
        <f>"－"</f>
        <v>－</v>
      </c>
      <c r="R39" s="29" t="str">
        <f>"－"</f>
        <v>－</v>
      </c>
      <c r="S39" s="24"/>
      <c r="T39" s="25" t="n">
        <f>9633</f>
        <v>9633.0</v>
      </c>
      <c r="U39" s="23"/>
      <c r="V39" s="25" t="n">
        <f>3952</f>
        <v>3952.0</v>
      </c>
      <c r="W39" s="23"/>
      <c r="X39" s="26" t="n">
        <f>13585</f>
        <v>13585.0</v>
      </c>
      <c r="Y39" s="24"/>
      <c r="Z39" s="25" t="n">
        <f>827269</f>
        <v>827269.0</v>
      </c>
      <c r="AA39" s="23"/>
      <c r="AB39" s="25" t="n">
        <f>485259</f>
        <v>485259.0</v>
      </c>
      <c r="AC39" s="23"/>
      <c r="AD39" s="26" t="n">
        <f>1312528</f>
        <v>1312528.0</v>
      </c>
    </row>
    <row r="40">
      <c r="A40" s="30" t="s">
        <v>26</v>
      </c>
      <c r="B40" s="22" t="s">
        <v>60</v>
      </c>
      <c r="C40" s="22" t="s">
        <v>61</v>
      </c>
      <c r="D40" s="24"/>
      <c r="E40" s="25" t="n">
        <f>1751</f>
        <v>1751.0</v>
      </c>
      <c r="F40" s="23"/>
      <c r="G40" s="25" t="n">
        <f>1000</f>
        <v>1000.0</v>
      </c>
      <c r="H40" s="23"/>
      <c r="I40" s="26" t="n">
        <f>2751</f>
        <v>2751.0</v>
      </c>
      <c r="J40" s="24"/>
      <c r="K40" s="25" t="n">
        <f>85071000</f>
        <v>8.5071E7</v>
      </c>
      <c r="L40" s="23"/>
      <c r="M40" s="25" t="n">
        <f>57719000</f>
        <v>5.7719E7</v>
      </c>
      <c r="N40" s="23"/>
      <c r="O40" s="26" t="n">
        <f>142790000</f>
        <v>1.4279E8</v>
      </c>
      <c r="P40" s="27" t="str">
        <f>"－"</f>
        <v>－</v>
      </c>
      <c r="Q40" s="28" t="str">
        <f>"－"</f>
        <v>－</v>
      </c>
      <c r="R40" s="29" t="str">
        <f>"－"</f>
        <v>－</v>
      </c>
      <c r="S40" s="24"/>
      <c r="T40" s="25" t="n">
        <f>136</f>
        <v>136.0</v>
      </c>
      <c r="U40" s="23"/>
      <c r="V40" s="25" t="n">
        <f>138</f>
        <v>138.0</v>
      </c>
      <c r="W40" s="23"/>
      <c r="X40" s="26" t="n">
        <f>274</f>
        <v>274.0</v>
      </c>
      <c r="Y40" s="24"/>
      <c r="Z40" s="25" t="n">
        <f>5072</f>
        <v>5072.0</v>
      </c>
      <c r="AA40" s="23"/>
      <c r="AB40" s="25" t="n">
        <f>3009</f>
        <v>3009.0</v>
      </c>
      <c r="AC40" s="23"/>
      <c r="AD40" s="26" t="n">
        <f>8081</f>
        <v>8081.0</v>
      </c>
    </row>
    <row r="41">
      <c r="A41" s="30" t="s">
        <v>29</v>
      </c>
      <c r="B41" s="22" t="s">
        <v>60</v>
      </c>
      <c r="C41" s="22" t="s">
        <v>61</v>
      </c>
      <c r="D41" s="24"/>
      <c r="E41" s="25" t="n">
        <f>2427</f>
        <v>2427.0</v>
      </c>
      <c r="F41" s="23"/>
      <c r="G41" s="25" t="n">
        <f>2000</f>
        <v>2000.0</v>
      </c>
      <c r="H41" s="23"/>
      <c r="I41" s="26" t="n">
        <f>4427</f>
        <v>4427.0</v>
      </c>
      <c r="J41" s="24"/>
      <c r="K41" s="25" t="n">
        <f>46297000</f>
        <v>4.6297E7</v>
      </c>
      <c r="L41" s="23"/>
      <c r="M41" s="25" t="n">
        <f>91399000</f>
        <v>9.1399E7</v>
      </c>
      <c r="N41" s="23"/>
      <c r="O41" s="26" t="n">
        <f>137696000</f>
        <v>1.37696E8</v>
      </c>
      <c r="P41" s="27" t="str">
        <f>"－"</f>
        <v>－</v>
      </c>
      <c r="Q41" s="28" t="str">
        <f>"－"</f>
        <v>－</v>
      </c>
      <c r="R41" s="29" t="str">
        <f>"－"</f>
        <v>－</v>
      </c>
      <c r="S41" s="24"/>
      <c r="T41" s="25" t="n">
        <f>242</f>
        <v>242.0</v>
      </c>
      <c r="U41" s="23"/>
      <c r="V41" s="25" t="n">
        <f>239</f>
        <v>239.0</v>
      </c>
      <c r="W41" s="23"/>
      <c r="X41" s="26" t="n">
        <f>481</f>
        <v>481.0</v>
      </c>
      <c r="Y41" s="24"/>
      <c r="Z41" s="25" t="n">
        <f>5955</f>
        <v>5955.0</v>
      </c>
      <c r="AA41" s="23"/>
      <c r="AB41" s="25" t="n">
        <f>3055</f>
        <v>3055.0</v>
      </c>
      <c r="AC41" s="23"/>
      <c r="AD41" s="26" t="n">
        <f>9010</f>
        <v>9010.0</v>
      </c>
    </row>
    <row r="42">
      <c r="A42" s="30" t="s">
        <v>30</v>
      </c>
      <c r="B42" s="22" t="s">
        <v>60</v>
      </c>
      <c r="C42" s="22" t="s">
        <v>61</v>
      </c>
      <c r="D42" s="24" t="s">
        <v>31</v>
      </c>
      <c r="E42" s="25" t="n">
        <f>136</f>
        <v>136.0</v>
      </c>
      <c r="F42" s="23"/>
      <c r="G42" s="25" t="n">
        <f>570</f>
        <v>570.0</v>
      </c>
      <c r="H42" s="23"/>
      <c r="I42" s="26" t="n">
        <f>706</f>
        <v>706.0</v>
      </c>
      <c r="J42" s="24" t="s">
        <v>31</v>
      </c>
      <c r="K42" s="25" t="n">
        <f>14399000</f>
        <v>1.4399E7</v>
      </c>
      <c r="L42" s="23"/>
      <c r="M42" s="25" t="n">
        <f>107248000</f>
        <v>1.07248E8</v>
      </c>
      <c r="N42" s="23"/>
      <c r="O42" s="26" t="n">
        <f>121647000</f>
        <v>1.21647E8</v>
      </c>
      <c r="P42" s="27" t="n">
        <f>1</f>
        <v>1.0</v>
      </c>
      <c r="Q42" s="28" t="n">
        <f>1545</f>
        <v>1545.0</v>
      </c>
      <c r="R42" s="29" t="n">
        <f>1546</f>
        <v>1546.0</v>
      </c>
      <c r="S42" s="24"/>
      <c r="T42" s="25" t="n">
        <f>20</f>
        <v>20.0</v>
      </c>
      <c r="U42" s="23"/>
      <c r="V42" s="25" t="n">
        <f>301</f>
        <v>301.0</v>
      </c>
      <c r="W42" s="23"/>
      <c r="X42" s="26" t="n">
        <f>321</f>
        <v>321.0</v>
      </c>
      <c r="Y42" s="24" t="s">
        <v>31</v>
      </c>
      <c r="Z42" s="25" t="n">
        <f>268</f>
        <v>268.0</v>
      </c>
      <c r="AA42" s="23" t="s">
        <v>31</v>
      </c>
      <c r="AB42" s="25" t="n">
        <f>1302</f>
        <v>1302.0</v>
      </c>
      <c r="AC42" s="23" t="s">
        <v>31</v>
      </c>
      <c r="AD42" s="26" t="n">
        <f>1570</f>
        <v>1570.0</v>
      </c>
    </row>
    <row r="43">
      <c r="A43" s="30" t="s">
        <v>32</v>
      </c>
      <c r="B43" s="22" t="s">
        <v>60</v>
      </c>
      <c r="C43" s="22" t="s">
        <v>61</v>
      </c>
      <c r="D43" s="24"/>
      <c r="E43" s="25"/>
      <c r="F43" s="23"/>
      <c r="G43" s="25"/>
      <c r="H43" s="23"/>
      <c r="I43" s="26"/>
      <c r="J43" s="24"/>
      <c r="K43" s="25"/>
      <c r="L43" s="23"/>
      <c r="M43" s="25"/>
      <c r="N43" s="23"/>
      <c r="O43" s="26"/>
      <c r="P43" s="27"/>
      <c r="Q43" s="28"/>
      <c r="R43" s="29"/>
      <c r="S43" s="24"/>
      <c r="T43" s="25"/>
      <c r="U43" s="23"/>
      <c r="V43" s="25"/>
      <c r="W43" s="23"/>
      <c r="X43" s="26"/>
      <c r="Y43" s="24"/>
      <c r="Z43" s="25"/>
      <c r="AA43" s="23"/>
      <c r="AB43" s="25"/>
      <c r="AC43" s="23"/>
      <c r="AD43" s="26"/>
    </row>
    <row r="44">
      <c r="A44" s="30" t="s">
        <v>33</v>
      </c>
      <c r="B44" s="22" t="s">
        <v>60</v>
      </c>
      <c r="C44" s="22" t="s">
        <v>61</v>
      </c>
      <c r="D44" s="24"/>
      <c r="E44" s="25"/>
      <c r="F44" s="23"/>
      <c r="G44" s="25"/>
      <c r="H44" s="23"/>
      <c r="I44" s="26"/>
      <c r="J44" s="24"/>
      <c r="K44" s="25"/>
      <c r="L44" s="23"/>
      <c r="M44" s="25"/>
      <c r="N44" s="23"/>
      <c r="O44" s="26"/>
      <c r="P44" s="27"/>
      <c r="Q44" s="28"/>
      <c r="R44" s="29"/>
      <c r="S44" s="24"/>
      <c r="T44" s="25"/>
      <c r="U44" s="23"/>
      <c r="V44" s="25"/>
      <c r="W44" s="23"/>
      <c r="X44" s="26"/>
      <c r="Y44" s="24"/>
      <c r="Z44" s="25"/>
      <c r="AA44" s="23"/>
      <c r="AB44" s="25"/>
      <c r="AC44" s="23"/>
      <c r="AD44" s="26"/>
    </row>
    <row r="45">
      <c r="A45" s="30" t="s">
        <v>34</v>
      </c>
      <c r="B45" s="22" t="s">
        <v>60</v>
      </c>
      <c r="C45" s="22" t="s">
        <v>61</v>
      </c>
      <c r="D45" s="24"/>
      <c r="E45" s="25" t="n">
        <f>291</f>
        <v>291.0</v>
      </c>
      <c r="F45" s="23"/>
      <c r="G45" s="25" t="n">
        <f>376</f>
        <v>376.0</v>
      </c>
      <c r="H45" s="23" t="s">
        <v>31</v>
      </c>
      <c r="I45" s="26" t="n">
        <f>667</f>
        <v>667.0</v>
      </c>
      <c r="J45" s="24"/>
      <c r="K45" s="25" t="n">
        <f>25687000</f>
        <v>2.5687E7</v>
      </c>
      <c r="L45" s="23"/>
      <c r="M45" s="25" t="n">
        <f>40534000</f>
        <v>4.0534E7</v>
      </c>
      <c r="N45" s="23" t="s">
        <v>31</v>
      </c>
      <c r="O45" s="26" t="n">
        <f>66221000</f>
        <v>6.6221E7</v>
      </c>
      <c r="P45" s="27" t="str">
        <f>"－"</f>
        <v>－</v>
      </c>
      <c r="Q45" s="28" t="str">
        <f>"－"</f>
        <v>－</v>
      </c>
      <c r="R45" s="29" t="str">
        <f>"－"</f>
        <v>－</v>
      </c>
      <c r="S45" s="24"/>
      <c r="T45" s="25" t="n">
        <f>26</f>
        <v>26.0</v>
      </c>
      <c r="U45" s="23"/>
      <c r="V45" s="25" t="n">
        <f>10</f>
        <v>10.0</v>
      </c>
      <c r="W45" s="23"/>
      <c r="X45" s="26" t="n">
        <f>36</f>
        <v>36.0</v>
      </c>
      <c r="Y45" s="24"/>
      <c r="Z45" s="25" t="n">
        <f>370</f>
        <v>370.0</v>
      </c>
      <c r="AA45" s="23"/>
      <c r="AB45" s="25" t="n">
        <f>1609</f>
        <v>1609.0</v>
      </c>
      <c r="AC45" s="23"/>
      <c r="AD45" s="26" t="n">
        <f>1979</f>
        <v>1979.0</v>
      </c>
    </row>
    <row r="46">
      <c r="A46" s="30" t="s">
        <v>35</v>
      </c>
      <c r="B46" s="22" t="s">
        <v>60</v>
      </c>
      <c r="C46" s="22" t="s">
        <v>61</v>
      </c>
      <c r="D46" s="24"/>
      <c r="E46" s="25" t="n">
        <f>769</f>
        <v>769.0</v>
      </c>
      <c r="F46" s="23" t="s">
        <v>31</v>
      </c>
      <c r="G46" s="25" t="n">
        <f>172</f>
        <v>172.0</v>
      </c>
      <c r="H46" s="23"/>
      <c r="I46" s="26" t="n">
        <f>941</f>
        <v>941.0</v>
      </c>
      <c r="J46" s="24"/>
      <c r="K46" s="25" t="n">
        <f>40812000</f>
        <v>4.0812E7</v>
      </c>
      <c r="L46" s="23" t="s">
        <v>31</v>
      </c>
      <c r="M46" s="25" t="n">
        <f>32471000</f>
        <v>3.2471E7</v>
      </c>
      <c r="N46" s="23"/>
      <c r="O46" s="26" t="n">
        <f>73283000</f>
        <v>7.3283E7</v>
      </c>
      <c r="P46" s="27" t="str">
        <f>"－"</f>
        <v>－</v>
      </c>
      <c r="Q46" s="28" t="str">
        <f>"－"</f>
        <v>－</v>
      </c>
      <c r="R46" s="29" t="str">
        <f>"－"</f>
        <v>－</v>
      </c>
      <c r="S46" s="24" t="s">
        <v>31</v>
      </c>
      <c r="T46" s="25" t="n">
        <f>15</f>
        <v>15.0</v>
      </c>
      <c r="U46" s="23"/>
      <c r="V46" s="25" t="n">
        <f>6</f>
        <v>6.0</v>
      </c>
      <c r="W46" s="23" t="s">
        <v>31</v>
      </c>
      <c r="X46" s="26" t="n">
        <f>21</f>
        <v>21.0</v>
      </c>
      <c r="Y46" s="24"/>
      <c r="Z46" s="25" t="n">
        <f>1010</f>
        <v>1010.0</v>
      </c>
      <c r="AA46" s="23"/>
      <c r="AB46" s="25" t="n">
        <f>1680</f>
        <v>1680.0</v>
      </c>
      <c r="AC46" s="23"/>
      <c r="AD46" s="26" t="n">
        <f>2690</f>
        <v>2690.0</v>
      </c>
    </row>
    <row r="47">
      <c r="A47" s="30" t="s">
        <v>37</v>
      </c>
      <c r="B47" s="22" t="s">
        <v>60</v>
      </c>
      <c r="C47" s="22" t="s">
        <v>61</v>
      </c>
      <c r="D47" s="24"/>
      <c r="E47" s="25" t="n">
        <f>644</f>
        <v>644.0</v>
      </c>
      <c r="F47" s="23"/>
      <c r="G47" s="25" t="n">
        <f>260</f>
        <v>260.0</v>
      </c>
      <c r="H47" s="23"/>
      <c r="I47" s="26" t="n">
        <f>904</f>
        <v>904.0</v>
      </c>
      <c r="J47" s="24"/>
      <c r="K47" s="25" t="n">
        <f>89499000</f>
        <v>8.9499E7</v>
      </c>
      <c r="L47" s="23"/>
      <c r="M47" s="25" t="n">
        <f>55516000</f>
        <v>5.5516E7</v>
      </c>
      <c r="N47" s="23"/>
      <c r="O47" s="26" t="n">
        <f>145015000</f>
        <v>1.45015E8</v>
      </c>
      <c r="P47" s="27" t="str">
        <f>"－"</f>
        <v>－</v>
      </c>
      <c r="Q47" s="28" t="str">
        <f>"－"</f>
        <v>－</v>
      </c>
      <c r="R47" s="29" t="str">
        <f>"－"</f>
        <v>－</v>
      </c>
      <c r="S47" s="24"/>
      <c r="T47" s="25" t="n">
        <f>23</f>
        <v>23.0</v>
      </c>
      <c r="U47" s="23" t="s">
        <v>31</v>
      </c>
      <c r="V47" s="25" t="n">
        <f>3</f>
        <v>3.0</v>
      </c>
      <c r="W47" s="23"/>
      <c r="X47" s="26" t="n">
        <f>26</f>
        <v>26.0</v>
      </c>
      <c r="Y47" s="24"/>
      <c r="Z47" s="25" t="n">
        <f>1456</f>
        <v>1456.0</v>
      </c>
      <c r="AA47" s="23"/>
      <c r="AB47" s="25" t="n">
        <f>1870</f>
        <v>1870.0</v>
      </c>
      <c r="AC47" s="23"/>
      <c r="AD47" s="26" t="n">
        <f>3326</f>
        <v>3326.0</v>
      </c>
    </row>
    <row r="48">
      <c r="A48" s="30" t="s">
        <v>38</v>
      </c>
      <c r="B48" s="22" t="s">
        <v>60</v>
      </c>
      <c r="C48" s="22" t="s">
        <v>61</v>
      </c>
      <c r="D48" s="24"/>
      <c r="E48" s="25" t="n">
        <f>1385</f>
        <v>1385.0</v>
      </c>
      <c r="F48" s="23"/>
      <c r="G48" s="25" t="n">
        <f>631</f>
        <v>631.0</v>
      </c>
      <c r="H48" s="23"/>
      <c r="I48" s="26" t="n">
        <f>2016</f>
        <v>2016.0</v>
      </c>
      <c r="J48" s="24"/>
      <c r="K48" s="25" t="n">
        <f>114133000</f>
        <v>1.14133E8</v>
      </c>
      <c r="L48" s="23"/>
      <c r="M48" s="25" t="n">
        <f>73728000</f>
        <v>7.3728E7</v>
      </c>
      <c r="N48" s="23"/>
      <c r="O48" s="26" t="n">
        <f>187861000</f>
        <v>1.87861E8</v>
      </c>
      <c r="P48" s="27" t="str">
        <f>"－"</f>
        <v>－</v>
      </c>
      <c r="Q48" s="28" t="str">
        <f>"－"</f>
        <v>－</v>
      </c>
      <c r="R48" s="29" t="str">
        <f>"－"</f>
        <v>－</v>
      </c>
      <c r="S48" s="24"/>
      <c r="T48" s="25" t="n">
        <f>61</f>
        <v>61.0</v>
      </c>
      <c r="U48" s="23"/>
      <c r="V48" s="25" t="n">
        <f>34</f>
        <v>34.0</v>
      </c>
      <c r="W48" s="23"/>
      <c r="X48" s="26" t="n">
        <f>95</f>
        <v>95.0</v>
      </c>
      <c r="Y48" s="24"/>
      <c r="Z48" s="25" t="n">
        <f>2392</f>
        <v>2392.0</v>
      </c>
      <c r="AA48" s="23"/>
      <c r="AB48" s="25" t="n">
        <f>2228</f>
        <v>2228.0</v>
      </c>
      <c r="AC48" s="23"/>
      <c r="AD48" s="26" t="n">
        <f>4620</f>
        <v>4620.0</v>
      </c>
    </row>
    <row r="49">
      <c r="A49" s="30" t="s">
        <v>39</v>
      </c>
      <c r="B49" s="22" t="s">
        <v>60</v>
      </c>
      <c r="C49" s="22" t="s">
        <v>61</v>
      </c>
      <c r="D49" s="24"/>
      <c r="E49" s="25" t="n">
        <f>2615</f>
        <v>2615.0</v>
      </c>
      <c r="F49" s="23"/>
      <c r="G49" s="25" t="n">
        <f>1770</f>
        <v>1770.0</v>
      </c>
      <c r="H49" s="23"/>
      <c r="I49" s="26" t="n">
        <f>4385</f>
        <v>4385.0</v>
      </c>
      <c r="J49" s="24"/>
      <c r="K49" s="25" t="n">
        <f>428719000</f>
        <v>4.28719E8</v>
      </c>
      <c r="L49" s="23"/>
      <c r="M49" s="25" t="n">
        <f>168312000</f>
        <v>1.68312E8</v>
      </c>
      <c r="N49" s="23"/>
      <c r="O49" s="26" t="n">
        <f>597031000</f>
        <v>5.97031E8</v>
      </c>
      <c r="P49" s="27" t="str">
        <f>"－"</f>
        <v>－</v>
      </c>
      <c r="Q49" s="28" t="str">
        <f>"－"</f>
        <v>－</v>
      </c>
      <c r="R49" s="29" t="str">
        <f>"－"</f>
        <v>－</v>
      </c>
      <c r="S49" s="24"/>
      <c r="T49" s="25" t="n">
        <f>54</f>
        <v>54.0</v>
      </c>
      <c r="U49" s="23"/>
      <c r="V49" s="25" t="n">
        <f>121</f>
        <v>121.0</v>
      </c>
      <c r="W49" s="23"/>
      <c r="X49" s="26" t="n">
        <f>175</f>
        <v>175.0</v>
      </c>
      <c r="Y49" s="24"/>
      <c r="Z49" s="25" t="n">
        <f>3056</f>
        <v>3056.0</v>
      </c>
      <c r="AA49" s="23"/>
      <c r="AB49" s="25" t="n">
        <f>3157</f>
        <v>3157.0</v>
      </c>
      <c r="AC49" s="23"/>
      <c r="AD49" s="26" t="n">
        <f>6213</f>
        <v>6213.0</v>
      </c>
    </row>
    <row r="50">
      <c r="A50" s="30" t="s">
        <v>40</v>
      </c>
      <c r="B50" s="22" t="s">
        <v>60</v>
      </c>
      <c r="C50" s="22" t="s">
        <v>61</v>
      </c>
      <c r="D50" s="24"/>
      <c r="E50" s="25"/>
      <c r="F50" s="23"/>
      <c r="G50" s="25"/>
      <c r="H50" s="23"/>
      <c r="I50" s="26"/>
      <c r="J50" s="24"/>
      <c r="K50" s="25"/>
      <c r="L50" s="23"/>
      <c r="M50" s="25"/>
      <c r="N50" s="23"/>
      <c r="O50" s="26"/>
      <c r="P50" s="27"/>
      <c r="Q50" s="28"/>
      <c r="R50" s="29"/>
      <c r="S50" s="24"/>
      <c r="T50" s="25"/>
      <c r="U50" s="23"/>
      <c r="V50" s="25"/>
      <c r="W50" s="23"/>
      <c r="X50" s="26"/>
      <c r="Y50" s="24"/>
      <c r="Z50" s="25"/>
      <c r="AA50" s="23"/>
      <c r="AB50" s="25"/>
      <c r="AC50" s="23"/>
      <c r="AD50" s="26"/>
    </row>
    <row r="51">
      <c r="A51" s="30" t="s">
        <v>41</v>
      </c>
      <c r="B51" s="22" t="s">
        <v>60</v>
      </c>
      <c r="C51" s="22" t="s">
        <v>61</v>
      </c>
      <c r="D51" s="24"/>
      <c r="E51" s="25"/>
      <c r="F51" s="23"/>
      <c r="G51" s="25"/>
      <c r="H51" s="23"/>
      <c r="I51" s="26"/>
      <c r="J51" s="24"/>
      <c r="K51" s="25"/>
      <c r="L51" s="23"/>
      <c r="M51" s="25"/>
      <c r="N51" s="23"/>
      <c r="O51" s="26"/>
      <c r="P51" s="27"/>
      <c r="Q51" s="28"/>
      <c r="R51" s="29"/>
      <c r="S51" s="24"/>
      <c r="T51" s="25"/>
      <c r="U51" s="23"/>
      <c r="V51" s="25"/>
      <c r="W51" s="23"/>
      <c r="X51" s="26"/>
      <c r="Y51" s="24"/>
      <c r="Z51" s="25"/>
      <c r="AA51" s="23"/>
      <c r="AB51" s="25"/>
      <c r="AC51" s="23"/>
      <c r="AD51" s="26"/>
    </row>
    <row r="52">
      <c r="A52" s="30" t="s">
        <v>42</v>
      </c>
      <c r="B52" s="22" t="s">
        <v>60</v>
      </c>
      <c r="C52" s="22" t="s">
        <v>61</v>
      </c>
      <c r="D52" s="24"/>
      <c r="E52" s="25" t="n">
        <f>3656</f>
        <v>3656.0</v>
      </c>
      <c r="F52" s="23"/>
      <c r="G52" s="25" t="n">
        <f>3489</f>
        <v>3489.0</v>
      </c>
      <c r="H52" s="23"/>
      <c r="I52" s="26" t="n">
        <f>7145</f>
        <v>7145.0</v>
      </c>
      <c r="J52" s="24"/>
      <c r="K52" s="25" t="n">
        <f>362122000</f>
        <v>3.62122E8</v>
      </c>
      <c r="L52" s="23"/>
      <c r="M52" s="25" t="n">
        <f>144013000</f>
        <v>1.44013E8</v>
      </c>
      <c r="N52" s="23"/>
      <c r="O52" s="26" t="n">
        <f>506135000</f>
        <v>5.06135E8</v>
      </c>
      <c r="P52" s="27" t="str">
        <f>"－"</f>
        <v>－</v>
      </c>
      <c r="Q52" s="28" t="str">
        <f>"－"</f>
        <v>－</v>
      </c>
      <c r="R52" s="29" t="str">
        <f>"－"</f>
        <v>－</v>
      </c>
      <c r="S52" s="24"/>
      <c r="T52" s="25" t="n">
        <f>300</f>
        <v>300.0</v>
      </c>
      <c r="U52" s="23"/>
      <c r="V52" s="25" t="n">
        <f>346</f>
        <v>346.0</v>
      </c>
      <c r="W52" s="23"/>
      <c r="X52" s="26" t="n">
        <f>646</f>
        <v>646.0</v>
      </c>
      <c r="Y52" s="24"/>
      <c r="Z52" s="25" t="n">
        <f>4175</f>
        <v>4175.0</v>
      </c>
      <c r="AA52" s="23"/>
      <c r="AB52" s="25" t="n">
        <f>3912</f>
        <v>3912.0</v>
      </c>
      <c r="AC52" s="23"/>
      <c r="AD52" s="26" t="n">
        <f>8087</f>
        <v>8087.0</v>
      </c>
    </row>
    <row r="53">
      <c r="A53" s="30" t="s">
        <v>43</v>
      </c>
      <c r="B53" s="22" t="s">
        <v>60</v>
      </c>
      <c r="C53" s="22" t="s">
        <v>61</v>
      </c>
      <c r="D53" s="24" t="s">
        <v>36</v>
      </c>
      <c r="E53" s="25" t="n">
        <f>6748</f>
        <v>6748.0</v>
      </c>
      <c r="F53" s="23"/>
      <c r="G53" s="25" t="n">
        <f>3654</f>
        <v>3654.0</v>
      </c>
      <c r="H53" s="23" t="s">
        <v>36</v>
      </c>
      <c r="I53" s="26" t="n">
        <f>10402</f>
        <v>10402.0</v>
      </c>
      <c r="J53" s="24" t="s">
        <v>36</v>
      </c>
      <c r="K53" s="25" t="n">
        <f>1004997000</f>
        <v>1.004997E9</v>
      </c>
      <c r="L53" s="23"/>
      <c r="M53" s="25" t="n">
        <f>215913000</f>
        <v>2.15913E8</v>
      </c>
      <c r="N53" s="23" t="s">
        <v>36</v>
      </c>
      <c r="O53" s="26" t="n">
        <f>1220910000</f>
        <v>1.22091E9</v>
      </c>
      <c r="P53" s="27" t="str">
        <f>"－"</f>
        <v>－</v>
      </c>
      <c r="Q53" s="28" t="str">
        <f>"－"</f>
        <v>－</v>
      </c>
      <c r="R53" s="29" t="str">
        <f>"－"</f>
        <v>－</v>
      </c>
      <c r="S53" s="24"/>
      <c r="T53" s="25" t="n">
        <f>185</f>
        <v>185.0</v>
      </c>
      <c r="U53" s="23"/>
      <c r="V53" s="25" t="n">
        <f>434</f>
        <v>434.0</v>
      </c>
      <c r="W53" s="23"/>
      <c r="X53" s="26" t="n">
        <f>619</f>
        <v>619.0</v>
      </c>
      <c r="Y53" s="24"/>
      <c r="Z53" s="25" t="n">
        <f>7486</f>
        <v>7486.0</v>
      </c>
      <c r="AA53" s="23"/>
      <c r="AB53" s="25" t="n">
        <f>4660</f>
        <v>4660.0</v>
      </c>
      <c r="AC53" s="23"/>
      <c r="AD53" s="26" t="n">
        <f>12146</f>
        <v>12146.0</v>
      </c>
    </row>
    <row r="54">
      <c r="A54" s="30" t="s">
        <v>44</v>
      </c>
      <c r="B54" s="22" t="s">
        <v>60</v>
      </c>
      <c r="C54" s="22" t="s">
        <v>61</v>
      </c>
      <c r="D54" s="24"/>
      <c r="E54" s="25" t="n">
        <f>4429</f>
        <v>4429.0</v>
      </c>
      <c r="F54" s="23"/>
      <c r="G54" s="25" t="n">
        <f>2853</f>
        <v>2853.0</v>
      </c>
      <c r="H54" s="23"/>
      <c r="I54" s="26" t="n">
        <f>7282</f>
        <v>7282.0</v>
      </c>
      <c r="J54" s="24"/>
      <c r="K54" s="25" t="n">
        <f>379602000</f>
        <v>3.79602E8</v>
      </c>
      <c r="L54" s="23"/>
      <c r="M54" s="25" t="n">
        <f>120772000</f>
        <v>1.20772E8</v>
      </c>
      <c r="N54" s="23"/>
      <c r="O54" s="26" t="n">
        <f>500374000</f>
        <v>5.00374E8</v>
      </c>
      <c r="P54" s="27" t="str">
        <f>"－"</f>
        <v>－</v>
      </c>
      <c r="Q54" s="28" t="str">
        <f>"－"</f>
        <v>－</v>
      </c>
      <c r="R54" s="29" t="str">
        <f>"－"</f>
        <v>－</v>
      </c>
      <c r="S54" s="24"/>
      <c r="T54" s="25" t="n">
        <f>274</f>
        <v>274.0</v>
      </c>
      <c r="U54" s="23"/>
      <c r="V54" s="25" t="n">
        <f>261</f>
        <v>261.0</v>
      </c>
      <c r="W54" s="23"/>
      <c r="X54" s="26" t="n">
        <f>535</f>
        <v>535.0</v>
      </c>
      <c r="Y54" s="24"/>
      <c r="Z54" s="25" t="n">
        <f>8943</f>
        <v>8943.0</v>
      </c>
      <c r="AA54" s="23"/>
      <c r="AB54" s="25" t="n">
        <f>5150</f>
        <v>5150.0</v>
      </c>
      <c r="AC54" s="23"/>
      <c r="AD54" s="26" t="n">
        <f>14093</f>
        <v>14093.0</v>
      </c>
    </row>
    <row r="55">
      <c r="A55" s="30" t="s">
        <v>45</v>
      </c>
      <c r="B55" s="22" t="s">
        <v>60</v>
      </c>
      <c r="C55" s="22" t="s">
        <v>61</v>
      </c>
      <c r="D55" s="24"/>
      <c r="E55" s="25" t="n">
        <f>5484</f>
        <v>5484.0</v>
      </c>
      <c r="F55" s="23"/>
      <c r="G55" s="25" t="n">
        <f>4408</f>
        <v>4408.0</v>
      </c>
      <c r="H55" s="23"/>
      <c r="I55" s="26" t="n">
        <f>9892</f>
        <v>9892.0</v>
      </c>
      <c r="J55" s="24"/>
      <c r="K55" s="25" t="n">
        <f>255363000</f>
        <v>2.55363E8</v>
      </c>
      <c r="L55" s="23"/>
      <c r="M55" s="25" t="n">
        <f>200870000</f>
        <v>2.0087E8</v>
      </c>
      <c r="N55" s="23"/>
      <c r="O55" s="26" t="n">
        <f>456233000</f>
        <v>4.56233E8</v>
      </c>
      <c r="P55" s="27" t="str">
        <f>"－"</f>
        <v>－</v>
      </c>
      <c r="Q55" s="28" t="str">
        <f>"－"</f>
        <v>－</v>
      </c>
      <c r="R55" s="29" t="str">
        <f>"－"</f>
        <v>－</v>
      </c>
      <c r="S55" s="24"/>
      <c r="T55" s="25" t="n">
        <f>435</f>
        <v>435.0</v>
      </c>
      <c r="U55" s="23"/>
      <c r="V55" s="25" t="n">
        <f>379</f>
        <v>379.0</v>
      </c>
      <c r="W55" s="23"/>
      <c r="X55" s="26" t="n">
        <f>814</f>
        <v>814.0</v>
      </c>
      <c r="Y55" s="24" t="s">
        <v>36</v>
      </c>
      <c r="Z55" s="25" t="n">
        <f>10154</f>
        <v>10154.0</v>
      </c>
      <c r="AA55" s="23"/>
      <c r="AB55" s="25" t="n">
        <f>5565</f>
        <v>5565.0</v>
      </c>
      <c r="AC55" s="23" t="s">
        <v>36</v>
      </c>
      <c r="AD55" s="26" t="n">
        <f>15719</f>
        <v>15719.0</v>
      </c>
    </row>
    <row r="56">
      <c r="A56" s="30" t="s">
        <v>46</v>
      </c>
      <c r="B56" s="22" t="s">
        <v>60</v>
      </c>
      <c r="C56" s="22" t="s">
        <v>61</v>
      </c>
      <c r="D56" s="24"/>
      <c r="E56" s="25" t="n">
        <f>1708</f>
        <v>1708.0</v>
      </c>
      <c r="F56" s="23"/>
      <c r="G56" s="25" t="n">
        <f>2288</f>
        <v>2288.0</v>
      </c>
      <c r="H56" s="23"/>
      <c r="I56" s="26" t="n">
        <f>3996</f>
        <v>3996.0</v>
      </c>
      <c r="J56" s="24"/>
      <c r="K56" s="25" t="n">
        <f>275872000</f>
        <v>2.75872E8</v>
      </c>
      <c r="L56" s="23"/>
      <c r="M56" s="25" t="n">
        <f>275506000</f>
        <v>2.75506E8</v>
      </c>
      <c r="N56" s="23"/>
      <c r="O56" s="26" t="n">
        <f>551378000</f>
        <v>5.51378E8</v>
      </c>
      <c r="P56" s="27" t="n">
        <f>1965</f>
        <v>1965.0</v>
      </c>
      <c r="Q56" s="28" t="str">
        <f>"－"</f>
        <v>－</v>
      </c>
      <c r="R56" s="29" t="n">
        <f>1965</f>
        <v>1965.0</v>
      </c>
      <c r="S56" s="24"/>
      <c r="T56" s="25" t="n">
        <f>88</f>
        <v>88.0</v>
      </c>
      <c r="U56" s="23"/>
      <c r="V56" s="25" t="n">
        <f>443</f>
        <v>443.0</v>
      </c>
      <c r="W56" s="23"/>
      <c r="X56" s="26" t="n">
        <f>531</f>
        <v>531.0</v>
      </c>
      <c r="Y56" s="24"/>
      <c r="Z56" s="25" t="n">
        <f>1379</f>
        <v>1379.0</v>
      </c>
      <c r="AA56" s="23"/>
      <c r="AB56" s="25" t="n">
        <f>2062</f>
        <v>2062.0</v>
      </c>
      <c r="AC56" s="23"/>
      <c r="AD56" s="26" t="n">
        <f>3441</f>
        <v>3441.0</v>
      </c>
    </row>
    <row r="57">
      <c r="A57" s="30" t="s">
        <v>47</v>
      </c>
      <c r="B57" s="22" t="s">
        <v>60</v>
      </c>
      <c r="C57" s="22" t="s">
        <v>61</v>
      </c>
      <c r="D57" s="24"/>
      <c r="E57" s="25"/>
      <c r="F57" s="23"/>
      <c r="G57" s="25"/>
      <c r="H57" s="23"/>
      <c r="I57" s="26"/>
      <c r="J57" s="24"/>
      <c r="K57" s="25"/>
      <c r="L57" s="23"/>
      <c r="M57" s="25"/>
      <c r="N57" s="23"/>
      <c r="O57" s="26"/>
      <c r="P57" s="27"/>
      <c r="Q57" s="28"/>
      <c r="R57" s="29"/>
      <c r="S57" s="24"/>
      <c r="T57" s="25"/>
      <c r="U57" s="23"/>
      <c r="V57" s="25"/>
      <c r="W57" s="23"/>
      <c r="X57" s="26"/>
      <c r="Y57" s="24"/>
      <c r="Z57" s="25"/>
      <c r="AA57" s="23"/>
      <c r="AB57" s="25"/>
      <c r="AC57" s="23"/>
      <c r="AD57" s="26"/>
    </row>
    <row r="58">
      <c r="A58" s="30" t="s">
        <v>48</v>
      </c>
      <c r="B58" s="22" t="s">
        <v>60</v>
      </c>
      <c r="C58" s="22" t="s">
        <v>61</v>
      </c>
      <c r="D58" s="24"/>
      <c r="E58" s="25"/>
      <c r="F58" s="23"/>
      <c r="G58" s="25"/>
      <c r="H58" s="23"/>
      <c r="I58" s="26"/>
      <c r="J58" s="24"/>
      <c r="K58" s="25"/>
      <c r="L58" s="23"/>
      <c r="M58" s="25"/>
      <c r="N58" s="23"/>
      <c r="O58" s="26"/>
      <c r="P58" s="27"/>
      <c r="Q58" s="28"/>
      <c r="R58" s="29"/>
      <c r="S58" s="24"/>
      <c r="T58" s="25"/>
      <c r="U58" s="23"/>
      <c r="V58" s="25"/>
      <c r="W58" s="23"/>
      <c r="X58" s="26"/>
      <c r="Y58" s="24"/>
      <c r="Z58" s="25"/>
      <c r="AA58" s="23"/>
      <c r="AB58" s="25"/>
      <c r="AC58" s="23"/>
      <c r="AD58" s="26"/>
    </row>
    <row r="59">
      <c r="A59" s="30" t="s">
        <v>49</v>
      </c>
      <c r="B59" s="22" t="s">
        <v>60</v>
      </c>
      <c r="C59" s="22" t="s">
        <v>61</v>
      </c>
      <c r="D59" s="24"/>
      <c r="E59" s="25" t="n">
        <f>3075</f>
        <v>3075.0</v>
      </c>
      <c r="F59" s="23"/>
      <c r="G59" s="25" t="n">
        <f>2824</f>
        <v>2824.0</v>
      </c>
      <c r="H59" s="23"/>
      <c r="I59" s="26" t="n">
        <f>5899</f>
        <v>5899.0</v>
      </c>
      <c r="J59" s="24"/>
      <c r="K59" s="25" t="n">
        <f>396803000</f>
        <v>3.96803E8</v>
      </c>
      <c r="L59" s="23"/>
      <c r="M59" s="25" t="n">
        <f>125898000</f>
        <v>1.25898E8</v>
      </c>
      <c r="N59" s="23"/>
      <c r="O59" s="26" t="n">
        <f>522701000</f>
        <v>5.22701E8</v>
      </c>
      <c r="P59" s="27" t="str">
        <f>"－"</f>
        <v>－</v>
      </c>
      <c r="Q59" s="28" t="str">
        <f>"－"</f>
        <v>－</v>
      </c>
      <c r="R59" s="29" t="str">
        <f>"－"</f>
        <v>－</v>
      </c>
      <c r="S59" s="24" t="s">
        <v>36</v>
      </c>
      <c r="T59" s="25" t="n">
        <f>821</f>
        <v>821.0</v>
      </c>
      <c r="U59" s="23"/>
      <c r="V59" s="25" t="n">
        <f>222</f>
        <v>222.0</v>
      </c>
      <c r="W59" s="23"/>
      <c r="X59" s="26" t="n">
        <f>1043</f>
        <v>1043.0</v>
      </c>
      <c r="Y59" s="24"/>
      <c r="Z59" s="25" t="n">
        <f>2655</f>
        <v>2655.0</v>
      </c>
      <c r="AA59" s="23"/>
      <c r="AB59" s="25" t="n">
        <f>3179</f>
        <v>3179.0</v>
      </c>
      <c r="AC59" s="23"/>
      <c r="AD59" s="26" t="n">
        <f>5834</f>
        <v>5834.0</v>
      </c>
    </row>
    <row r="60">
      <c r="A60" s="30" t="s">
        <v>50</v>
      </c>
      <c r="B60" s="22" t="s">
        <v>60</v>
      </c>
      <c r="C60" s="22" t="s">
        <v>61</v>
      </c>
      <c r="D60" s="24"/>
      <c r="E60" s="25" t="n">
        <f>2564</f>
        <v>2564.0</v>
      </c>
      <c r="F60" s="23"/>
      <c r="G60" s="25" t="n">
        <f>1644</f>
        <v>1644.0</v>
      </c>
      <c r="H60" s="23"/>
      <c r="I60" s="26" t="n">
        <f>4208</f>
        <v>4208.0</v>
      </c>
      <c r="J60" s="24"/>
      <c r="K60" s="25" t="n">
        <f>123758000</f>
        <v>1.23758E8</v>
      </c>
      <c r="L60" s="23"/>
      <c r="M60" s="25" t="n">
        <f>107957000</f>
        <v>1.07957E8</v>
      </c>
      <c r="N60" s="23"/>
      <c r="O60" s="26" t="n">
        <f>231715000</f>
        <v>2.31715E8</v>
      </c>
      <c r="P60" s="27" t="str">
        <f>"－"</f>
        <v>－</v>
      </c>
      <c r="Q60" s="28" t="str">
        <f>"－"</f>
        <v>－</v>
      </c>
      <c r="R60" s="29" t="str">
        <f>"－"</f>
        <v>－</v>
      </c>
      <c r="S60" s="24"/>
      <c r="T60" s="25" t="n">
        <f>253</f>
        <v>253.0</v>
      </c>
      <c r="U60" s="23"/>
      <c r="V60" s="25" t="n">
        <f>147</f>
        <v>147.0</v>
      </c>
      <c r="W60" s="23"/>
      <c r="X60" s="26" t="n">
        <f>400</f>
        <v>400.0</v>
      </c>
      <c r="Y60" s="24"/>
      <c r="Z60" s="25" t="n">
        <f>3249</f>
        <v>3249.0</v>
      </c>
      <c r="AA60" s="23"/>
      <c r="AB60" s="25" t="n">
        <f>3395</f>
        <v>3395.0</v>
      </c>
      <c r="AC60" s="23"/>
      <c r="AD60" s="26" t="n">
        <f>6644</f>
        <v>6644.0</v>
      </c>
    </row>
    <row r="61">
      <c r="A61" s="30" t="s">
        <v>51</v>
      </c>
      <c r="B61" s="22" t="s">
        <v>60</v>
      </c>
      <c r="C61" s="22" t="s">
        <v>61</v>
      </c>
      <c r="D61" s="24"/>
      <c r="E61" s="25" t="n">
        <f>2897</f>
        <v>2897.0</v>
      </c>
      <c r="F61" s="23"/>
      <c r="G61" s="25" t="n">
        <f>1666</f>
        <v>1666.0</v>
      </c>
      <c r="H61" s="23"/>
      <c r="I61" s="26" t="n">
        <f>4563</f>
        <v>4563.0</v>
      </c>
      <c r="J61" s="24"/>
      <c r="K61" s="25" t="n">
        <f>97039000</f>
        <v>9.7039E7</v>
      </c>
      <c r="L61" s="23"/>
      <c r="M61" s="25" t="n">
        <f>77934000</f>
        <v>7.7934E7</v>
      </c>
      <c r="N61" s="23"/>
      <c r="O61" s="26" t="n">
        <f>174973000</f>
        <v>1.74973E8</v>
      </c>
      <c r="P61" s="27" t="str">
        <f>"－"</f>
        <v>－</v>
      </c>
      <c r="Q61" s="28" t="str">
        <f>"－"</f>
        <v>－</v>
      </c>
      <c r="R61" s="29" t="str">
        <f>"－"</f>
        <v>－</v>
      </c>
      <c r="S61" s="24"/>
      <c r="T61" s="25" t="n">
        <f>593</f>
        <v>593.0</v>
      </c>
      <c r="U61" s="23"/>
      <c r="V61" s="25" t="n">
        <f>159</f>
        <v>159.0</v>
      </c>
      <c r="W61" s="23"/>
      <c r="X61" s="26" t="n">
        <f>752</f>
        <v>752.0</v>
      </c>
      <c r="Y61" s="24"/>
      <c r="Z61" s="25" t="n">
        <f>3942</f>
        <v>3942.0</v>
      </c>
      <c r="AA61" s="23"/>
      <c r="AB61" s="25" t="n">
        <f>3781</f>
        <v>3781.0</v>
      </c>
      <c r="AC61" s="23"/>
      <c r="AD61" s="26" t="n">
        <f>7723</f>
        <v>7723.0</v>
      </c>
    </row>
    <row r="62">
      <c r="A62" s="30" t="s">
        <v>52</v>
      </c>
      <c r="B62" s="22" t="s">
        <v>60</v>
      </c>
      <c r="C62" s="22" t="s">
        <v>61</v>
      </c>
      <c r="D62" s="24"/>
      <c r="E62" s="25" t="n">
        <f>4398</f>
        <v>4398.0</v>
      </c>
      <c r="F62" s="23" t="s">
        <v>36</v>
      </c>
      <c r="G62" s="25" t="n">
        <f>5157</f>
        <v>5157.0</v>
      </c>
      <c r="H62" s="23"/>
      <c r="I62" s="26" t="n">
        <f>9555</f>
        <v>9555.0</v>
      </c>
      <c r="J62" s="24"/>
      <c r="K62" s="25" t="n">
        <f>224529000</f>
        <v>2.24529E8</v>
      </c>
      <c r="L62" s="23" t="s">
        <v>36</v>
      </c>
      <c r="M62" s="25" t="n">
        <f>302204200</f>
        <v>3.022042E8</v>
      </c>
      <c r="N62" s="23"/>
      <c r="O62" s="26" t="n">
        <f>526733200</f>
        <v>5.267332E8</v>
      </c>
      <c r="P62" s="27" t="str">
        <f>"－"</f>
        <v>－</v>
      </c>
      <c r="Q62" s="28" t="str">
        <f>"－"</f>
        <v>－</v>
      </c>
      <c r="R62" s="29" t="str">
        <f>"－"</f>
        <v>－</v>
      </c>
      <c r="S62" s="24"/>
      <c r="T62" s="25" t="n">
        <f>719</f>
        <v>719.0</v>
      </c>
      <c r="U62" s="23" t="s">
        <v>36</v>
      </c>
      <c r="V62" s="25" t="n">
        <f>1523</f>
        <v>1523.0</v>
      </c>
      <c r="W62" s="23" t="s">
        <v>36</v>
      </c>
      <c r="X62" s="26" t="n">
        <f>2242</f>
        <v>2242.0</v>
      </c>
      <c r="Y62" s="24"/>
      <c r="Z62" s="25" t="n">
        <f>5905</f>
        <v>5905.0</v>
      </c>
      <c r="AA62" s="23" t="s">
        <v>36</v>
      </c>
      <c r="AB62" s="25" t="n">
        <f>6364</f>
        <v>6364.0</v>
      </c>
      <c r="AC62" s="23"/>
      <c r="AD62" s="26" t="n">
        <f>12269</f>
        <v>12269.0</v>
      </c>
    </row>
    <row r="63">
      <c r="A63" s="30" t="s">
        <v>53</v>
      </c>
      <c r="B63" s="22" t="s">
        <v>60</v>
      </c>
      <c r="C63" s="22" t="s">
        <v>61</v>
      </c>
      <c r="D63" s="24"/>
      <c r="E63" s="25" t="n">
        <f>884</f>
        <v>884.0</v>
      </c>
      <c r="F63" s="23"/>
      <c r="G63" s="25" t="n">
        <f>1303</f>
        <v>1303.0</v>
      </c>
      <c r="H63" s="23"/>
      <c r="I63" s="26" t="n">
        <f>2187</f>
        <v>2187.0</v>
      </c>
      <c r="J63" s="24"/>
      <c r="K63" s="25" t="n">
        <f>59966000</f>
        <v>5.9966E7</v>
      </c>
      <c r="L63" s="23"/>
      <c r="M63" s="25" t="n">
        <f>156557000</f>
        <v>1.56557E8</v>
      </c>
      <c r="N63" s="23"/>
      <c r="O63" s="26" t="n">
        <f>216523000</f>
        <v>2.16523E8</v>
      </c>
      <c r="P63" s="27" t="n">
        <f>113</f>
        <v>113.0</v>
      </c>
      <c r="Q63" s="28" t="n">
        <f>84</f>
        <v>84.0</v>
      </c>
      <c r="R63" s="29" t="n">
        <f>197</f>
        <v>197.0</v>
      </c>
      <c r="S63" s="24"/>
      <c r="T63" s="25" t="n">
        <f>46</f>
        <v>46.0</v>
      </c>
      <c r="U63" s="23"/>
      <c r="V63" s="25" t="n">
        <f>369</f>
        <v>369.0</v>
      </c>
      <c r="W63" s="23"/>
      <c r="X63" s="26" t="n">
        <f>415</f>
        <v>415.0</v>
      </c>
      <c r="Y63" s="24"/>
      <c r="Z63" s="25" t="n">
        <f>1531</f>
        <v>1531.0</v>
      </c>
      <c r="AA63" s="23"/>
      <c r="AB63" s="25" t="n">
        <f>3199</f>
        <v>3199.0</v>
      </c>
      <c r="AC63" s="23"/>
      <c r="AD63" s="26" t="n">
        <f>4730</f>
        <v>4730.0</v>
      </c>
    </row>
    <row r="64">
      <c r="A64" s="30" t="s">
        <v>54</v>
      </c>
      <c r="B64" s="22" t="s">
        <v>60</v>
      </c>
      <c r="C64" s="22" t="s">
        <v>61</v>
      </c>
      <c r="D64" s="24"/>
      <c r="E64" s="25"/>
      <c r="F64" s="23"/>
      <c r="G64" s="25"/>
      <c r="H64" s="23"/>
      <c r="I64" s="26"/>
      <c r="J64" s="24"/>
      <c r="K64" s="25"/>
      <c r="L64" s="23"/>
      <c r="M64" s="25"/>
      <c r="N64" s="23"/>
      <c r="O64" s="26"/>
      <c r="P64" s="27"/>
      <c r="Q64" s="28"/>
      <c r="R64" s="29"/>
      <c r="S64" s="24"/>
      <c r="T64" s="25"/>
      <c r="U64" s="23"/>
      <c r="V64" s="25"/>
      <c r="W64" s="23"/>
      <c r="X64" s="26"/>
      <c r="Y64" s="24"/>
      <c r="Z64" s="25"/>
      <c r="AA64" s="23"/>
      <c r="AB64" s="25"/>
      <c r="AC64" s="23"/>
      <c r="AD64" s="26"/>
    </row>
    <row r="65">
      <c r="A65" s="30" t="s">
        <v>55</v>
      </c>
      <c r="B65" s="22" t="s">
        <v>60</v>
      </c>
      <c r="C65" s="22" t="s">
        <v>61</v>
      </c>
      <c r="D65" s="24"/>
      <c r="E65" s="25"/>
      <c r="F65" s="23"/>
      <c r="G65" s="25"/>
      <c r="H65" s="23"/>
      <c r="I65" s="26"/>
      <c r="J65" s="24"/>
      <c r="K65" s="25"/>
      <c r="L65" s="23"/>
      <c r="M65" s="25"/>
      <c r="N65" s="23"/>
      <c r="O65" s="26"/>
      <c r="P65" s="27"/>
      <c r="Q65" s="28"/>
      <c r="R65" s="29"/>
      <c r="S65" s="24"/>
      <c r="T65" s="25"/>
      <c r="U65" s="23"/>
      <c r="V65" s="25"/>
      <c r="W65" s="23"/>
      <c r="X65" s="26"/>
      <c r="Y65" s="24"/>
      <c r="Z65" s="25"/>
      <c r="AA65" s="23"/>
      <c r="AB65" s="25"/>
      <c r="AC65" s="23"/>
      <c r="AD65" s="26"/>
    </row>
    <row r="66">
      <c r="A66" s="30" t="s">
        <v>56</v>
      </c>
      <c r="B66" s="22" t="s">
        <v>60</v>
      </c>
      <c r="C66" s="22" t="s">
        <v>61</v>
      </c>
      <c r="D66" s="24"/>
      <c r="E66" s="25" t="n">
        <f>2477</f>
        <v>2477.0</v>
      </c>
      <c r="F66" s="23"/>
      <c r="G66" s="25" t="n">
        <f>1205</f>
        <v>1205.0</v>
      </c>
      <c r="H66" s="23"/>
      <c r="I66" s="26" t="n">
        <f>3682</f>
        <v>3682.0</v>
      </c>
      <c r="J66" s="24"/>
      <c r="K66" s="25" t="n">
        <f>88641000</f>
        <v>8.8641E7</v>
      </c>
      <c r="L66" s="23"/>
      <c r="M66" s="25" t="n">
        <f>82921000</f>
        <v>8.2921E7</v>
      </c>
      <c r="N66" s="23"/>
      <c r="O66" s="26" t="n">
        <f>171562000</f>
        <v>1.71562E8</v>
      </c>
      <c r="P66" s="27" t="str">
        <f>"－"</f>
        <v>－</v>
      </c>
      <c r="Q66" s="28" t="str">
        <f>"－"</f>
        <v>－</v>
      </c>
      <c r="R66" s="29" t="str">
        <f>"－"</f>
        <v>－</v>
      </c>
      <c r="S66" s="24"/>
      <c r="T66" s="25" t="n">
        <f>246</f>
        <v>246.0</v>
      </c>
      <c r="U66" s="23"/>
      <c r="V66" s="25" t="n">
        <f>81</f>
        <v>81.0</v>
      </c>
      <c r="W66" s="23"/>
      <c r="X66" s="26" t="n">
        <f>327</f>
        <v>327.0</v>
      </c>
      <c r="Y66" s="24"/>
      <c r="Z66" s="25" t="n">
        <f>2479</f>
        <v>2479.0</v>
      </c>
      <c r="AA66" s="23"/>
      <c r="AB66" s="25" t="n">
        <f>3411</f>
        <v>3411.0</v>
      </c>
      <c r="AC66" s="23"/>
      <c r="AD66" s="26" t="n">
        <f>5890</f>
        <v>5890.0</v>
      </c>
    </row>
    <row r="67">
      <c r="A67" s="30" t="s">
        <v>57</v>
      </c>
      <c r="B67" s="22" t="s">
        <v>60</v>
      </c>
      <c r="C67" s="22" t="s">
        <v>61</v>
      </c>
      <c r="D67" s="24"/>
      <c r="E67" s="25" t="n">
        <f>1635</f>
        <v>1635.0</v>
      </c>
      <c r="F67" s="23"/>
      <c r="G67" s="25" t="n">
        <f>1068</f>
        <v>1068.0</v>
      </c>
      <c r="H67" s="23"/>
      <c r="I67" s="26" t="n">
        <f>2703</f>
        <v>2703.0</v>
      </c>
      <c r="J67" s="24"/>
      <c r="K67" s="25" t="n">
        <f>50415000</f>
        <v>5.0415E7</v>
      </c>
      <c r="L67" s="23"/>
      <c r="M67" s="25" t="n">
        <f>64334000</f>
        <v>6.4334E7</v>
      </c>
      <c r="N67" s="23"/>
      <c r="O67" s="26" t="n">
        <f>114749000</f>
        <v>1.14749E8</v>
      </c>
      <c r="P67" s="27" t="str">
        <f>"－"</f>
        <v>－</v>
      </c>
      <c r="Q67" s="28" t="str">
        <f>"－"</f>
        <v>－</v>
      </c>
      <c r="R67" s="29" t="str">
        <f>"－"</f>
        <v>－</v>
      </c>
      <c r="S67" s="24"/>
      <c r="T67" s="25" t="n">
        <f>182</f>
        <v>182.0</v>
      </c>
      <c r="U67" s="23"/>
      <c r="V67" s="25" t="n">
        <f>26</f>
        <v>26.0</v>
      </c>
      <c r="W67" s="23"/>
      <c r="X67" s="26" t="n">
        <f>208</f>
        <v>208.0</v>
      </c>
      <c r="Y67" s="24"/>
      <c r="Z67" s="25" t="n">
        <f>2714</f>
        <v>2714.0</v>
      </c>
      <c r="AA67" s="23"/>
      <c r="AB67" s="25" t="n">
        <f>3506</f>
        <v>3506.0</v>
      </c>
      <c r="AC67" s="23"/>
      <c r="AD67" s="26" t="n">
        <f>6220</f>
        <v>6220.0</v>
      </c>
    </row>
    <row r="68">
      <c r="A68" s="30" t="s">
        <v>58</v>
      </c>
      <c r="B68" s="22" t="s">
        <v>60</v>
      </c>
      <c r="C68" s="22" t="s">
        <v>61</v>
      </c>
      <c r="D68" s="24"/>
      <c r="E68" s="25" t="n">
        <f>2697</f>
        <v>2697.0</v>
      </c>
      <c r="F68" s="23"/>
      <c r="G68" s="25" t="n">
        <f>1859</f>
        <v>1859.0</v>
      </c>
      <c r="H68" s="23"/>
      <c r="I68" s="26" t="n">
        <f>4556</f>
        <v>4556.0</v>
      </c>
      <c r="J68" s="24"/>
      <c r="K68" s="25" t="n">
        <f>118101000</f>
        <v>1.18101E8</v>
      </c>
      <c r="L68" s="23"/>
      <c r="M68" s="25" t="n">
        <f>108579000</f>
        <v>1.08579E8</v>
      </c>
      <c r="N68" s="23"/>
      <c r="O68" s="26" t="n">
        <f>226680000</f>
        <v>2.2668E8</v>
      </c>
      <c r="P68" s="27" t="str">
        <f>"－"</f>
        <v>－</v>
      </c>
      <c r="Q68" s="28" t="str">
        <f>"－"</f>
        <v>－</v>
      </c>
      <c r="R68" s="29" t="str">
        <f>"－"</f>
        <v>－</v>
      </c>
      <c r="S68" s="24"/>
      <c r="T68" s="25" t="n">
        <f>218</f>
        <v>218.0</v>
      </c>
      <c r="U68" s="23"/>
      <c r="V68" s="25" t="n">
        <f>71</f>
        <v>71.0</v>
      </c>
      <c r="W68" s="23"/>
      <c r="X68" s="26" t="n">
        <f>289</f>
        <v>289.0</v>
      </c>
      <c r="Y68" s="24"/>
      <c r="Z68" s="25" t="n">
        <f>3356</f>
        <v>3356.0</v>
      </c>
      <c r="AA68" s="23"/>
      <c r="AB68" s="25" t="n">
        <f>3870</f>
        <v>3870.0</v>
      </c>
      <c r="AC68" s="23"/>
      <c r="AD68" s="26" t="n">
        <f>7226</f>
        <v>7226.0</v>
      </c>
    </row>
    <row r="69">
      <c r="A69" s="30" t="s">
        <v>59</v>
      </c>
      <c r="B69" s="22" t="s">
        <v>60</v>
      </c>
      <c r="C69" s="22" t="s">
        <v>61</v>
      </c>
      <c r="D69" s="24"/>
      <c r="E69" s="25" t="n">
        <f>3766</f>
        <v>3766.0</v>
      </c>
      <c r="F69" s="23"/>
      <c r="G69" s="25" t="n">
        <f>2700</f>
        <v>2700.0</v>
      </c>
      <c r="H69" s="23"/>
      <c r="I69" s="26" t="n">
        <f>6466</f>
        <v>6466.0</v>
      </c>
      <c r="J69" s="24"/>
      <c r="K69" s="25" t="n">
        <f>124380000</f>
        <v>1.2438E8</v>
      </c>
      <c r="L69" s="23"/>
      <c r="M69" s="25" t="n">
        <f>78800000</f>
        <v>7.88E7</v>
      </c>
      <c r="N69" s="23"/>
      <c r="O69" s="26" t="n">
        <f>203180000</f>
        <v>2.0318E8</v>
      </c>
      <c r="P69" s="27" t="str">
        <f>"－"</f>
        <v>－</v>
      </c>
      <c r="Q69" s="28" t="str">
        <f>"－"</f>
        <v>－</v>
      </c>
      <c r="R69" s="29" t="str">
        <f>"－"</f>
        <v>－</v>
      </c>
      <c r="S69" s="24"/>
      <c r="T69" s="25" t="n">
        <f>203</f>
        <v>203.0</v>
      </c>
      <c r="U69" s="23"/>
      <c r="V69" s="25" t="n">
        <f>211</f>
        <v>211.0</v>
      </c>
      <c r="W69" s="23"/>
      <c r="X69" s="26" t="n">
        <f>414</f>
        <v>414.0</v>
      </c>
      <c r="Y69" s="24"/>
      <c r="Z69" s="25" t="n">
        <f>4864</f>
        <v>4864.0</v>
      </c>
      <c r="AA69" s="23"/>
      <c r="AB69" s="25" t="n">
        <f>4522</f>
        <v>4522.0</v>
      </c>
      <c r="AC69" s="23"/>
      <c r="AD69" s="26" t="n">
        <f>9386</f>
        <v>9386.0</v>
      </c>
    </row>
    <row r="70">
      <c r="A70" s="30" t="s">
        <v>26</v>
      </c>
      <c r="B70" s="22" t="s">
        <v>62</v>
      </c>
      <c r="C70" s="22" t="s">
        <v>63</v>
      </c>
      <c r="D70" s="24"/>
      <c r="E70" s="25" t="n">
        <f>300</f>
        <v>300.0</v>
      </c>
      <c r="F70" s="23" t="s">
        <v>31</v>
      </c>
      <c r="G70" s="25" t="str">
        <f>"－"</f>
        <v>－</v>
      </c>
      <c r="H70" s="23"/>
      <c r="I70" s="26" t="n">
        <f>300</f>
        <v>300.0</v>
      </c>
      <c r="J70" s="24"/>
      <c r="K70" s="25" t="n">
        <f>47689700</f>
        <v>4.76897E7</v>
      </c>
      <c r="L70" s="23" t="s">
        <v>31</v>
      </c>
      <c r="M70" s="25" t="str">
        <f>"－"</f>
        <v>－</v>
      </c>
      <c r="N70" s="23"/>
      <c r="O70" s="26" t="n">
        <f>47689700</f>
        <v>4.76897E7</v>
      </c>
      <c r="P70" s="27" t="str">
        <f>"－"</f>
        <v>－</v>
      </c>
      <c r="Q70" s="28" t="str">
        <f>"－"</f>
        <v>－</v>
      </c>
      <c r="R70" s="29" t="str">
        <f>"－"</f>
        <v>－</v>
      </c>
      <c r="S70" s="24"/>
      <c r="T70" s="25" t="n">
        <f>200</f>
        <v>200.0</v>
      </c>
      <c r="U70" s="23" t="s">
        <v>31</v>
      </c>
      <c r="V70" s="25" t="str">
        <f>"－"</f>
        <v>－</v>
      </c>
      <c r="W70" s="23"/>
      <c r="X70" s="26" t="n">
        <f>200</f>
        <v>200.0</v>
      </c>
      <c r="Y70" s="24"/>
      <c r="Z70" s="25" t="n">
        <f>78953</f>
        <v>78953.0</v>
      </c>
      <c r="AA70" s="23"/>
      <c r="AB70" s="25" t="n">
        <f>12691</f>
        <v>12691.0</v>
      </c>
      <c r="AC70" s="23"/>
      <c r="AD70" s="26" t="n">
        <f>91644</f>
        <v>91644.0</v>
      </c>
    </row>
    <row r="71">
      <c r="A71" s="30" t="s">
        <v>29</v>
      </c>
      <c r="B71" s="22" t="s">
        <v>62</v>
      </c>
      <c r="C71" s="22" t="s">
        <v>63</v>
      </c>
      <c r="D71" s="24" t="s">
        <v>36</v>
      </c>
      <c r="E71" s="25" t="n">
        <f>6965</f>
        <v>6965.0</v>
      </c>
      <c r="F71" s="23"/>
      <c r="G71" s="25" t="n">
        <f>200</f>
        <v>200.0</v>
      </c>
      <c r="H71" s="23" t="s">
        <v>36</v>
      </c>
      <c r="I71" s="26" t="n">
        <f>7165</f>
        <v>7165.0</v>
      </c>
      <c r="J71" s="24"/>
      <c r="K71" s="25" t="n">
        <f>817229745</f>
        <v>8.17229745E8</v>
      </c>
      <c r="L71" s="23"/>
      <c r="M71" s="25" t="n">
        <f>1500000</f>
        <v>1500000.0</v>
      </c>
      <c r="N71" s="23"/>
      <c r="O71" s="26" t="n">
        <f>818729745</f>
        <v>8.18729745E8</v>
      </c>
      <c r="P71" s="27" t="str">
        <f>"－"</f>
        <v>－</v>
      </c>
      <c r="Q71" s="28" t="str">
        <f>"－"</f>
        <v>－</v>
      </c>
      <c r="R71" s="29" t="str">
        <f>"－"</f>
        <v>－</v>
      </c>
      <c r="S71" s="24"/>
      <c r="T71" s="25" t="n">
        <f>1845</f>
        <v>1845.0</v>
      </c>
      <c r="U71" s="23"/>
      <c r="V71" s="25" t="str">
        <f>"－"</f>
        <v>－</v>
      </c>
      <c r="W71" s="23"/>
      <c r="X71" s="26" t="n">
        <f>1845</f>
        <v>1845.0</v>
      </c>
      <c r="Y71" s="24"/>
      <c r="Z71" s="25" t="n">
        <f>80718</f>
        <v>80718.0</v>
      </c>
      <c r="AA71" s="23"/>
      <c r="AB71" s="25" t="n">
        <f>12691</f>
        <v>12691.0</v>
      </c>
      <c r="AC71" s="23"/>
      <c r="AD71" s="26" t="n">
        <f>93409</f>
        <v>93409.0</v>
      </c>
    </row>
    <row r="72">
      <c r="A72" s="30" t="s">
        <v>30</v>
      </c>
      <c r="B72" s="22" t="s">
        <v>62</v>
      </c>
      <c r="C72" s="22" t="s">
        <v>63</v>
      </c>
      <c r="D72" s="24"/>
      <c r="E72" s="25" t="n">
        <f>4732</f>
        <v>4732.0</v>
      </c>
      <c r="F72" s="23"/>
      <c r="G72" s="25" t="str">
        <f>"－"</f>
        <v>－</v>
      </c>
      <c r="H72" s="23"/>
      <c r="I72" s="26" t="n">
        <f>4732</f>
        <v>4732.0</v>
      </c>
      <c r="J72" s="24"/>
      <c r="K72" s="25" t="n">
        <f>1622095417</f>
        <v>1.622095417E9</v>
      </c>
      <c r="L72" s="23"/>
      <c r="M72" s="25" t="str">
        <f>"－"</f>
        <v>－</v>
      </c>
      <c r="N72" s="23"/>
      <c r="O72" s="26" t="n">
        <f>1622095417</f>
        <v>1.622095417E9</v>
      </c>
      <c r="P72" s="27" t="str">
        <f>"－"</f>
        <v>－</v>
      </c>
      <c r="Q72" s="28" t="str">
        <f>"－"</f>
        <v>－</v>
      </c>
      <c r="R72" s="29" t="str">
        <f>"－"</f>
        <v>－</v>
      </c>
      <c r="S72" s="24"/>
      <c r="T72" s="25" t="n">
        <f>4732</f>
        <v>4732.0</v>
      </c>
      <c r="U72" s="23"/>
      <c r="V72" s="25" t="str">
        <f>"－"</f>
        <v>－</v>
      </c>
      <c r="W72" s="23"/>
      <c r="X72" s="26" t="n">
        <f>4732</f>
        <v>4732.0</v>
      </c>
      <c r="Y72" s="24"/>
      <c r="Z72" s="25" t="n">
        <f>83084</f>
        <v>83084.0</v>
      </c>
      <c r="AA72" s="23"/>
      <c r="AB72" s="25" t="n">
        <f>12691</f>
        <v>12691.0</v>
      </c>
      <c r="AC72" s="23"/>
      <c r="AD72" s="26" t="n">
        <f>95775</f>
        <v>95775.0</v>
      </c>
    </row>
    <row r="73">
      <c r="A73" s="30" t="s">
        <v>32</v>
      </c>
      <c r="B73" s="22" t="s">
        <v>62</v>
      </c>
      <c r="C73" s="22" t="s">
        <v>63</v>
      </c>
      <c r="D73" s="24"/>
      <c r="E73" s="25"/>
      <c r="F73" s="23"/>
      <c r="G73" s="25"/>
      <c r="H73" s="23"/>
      <c r="I73" s="26"/>
      <c r="J73" s="24"/>
      <c r="K73" s="25"/>
      <c r="L73" s="23"/>
      <c r="M73" s="25"/>
      <c r="N73" s="23"/>
      <c r="O73" s="26"/>
      <c r="P73" s="27"/>
      <c r="Q73" s="28"/>
      <c r="R73" s="29"/>
      <c r="S73" s="24"/>
      <c r="T73" s="25"/>
      <c r="U73" s="23"/>
      <c r="V73" s="25"/>
      <c r="W73" s="23"/>
      <c r="X73" s="26"/>
      <c r="Y73" s="24"/>
      <c r="Z73" s="25"/>
      <c r="AA73" s="23"/>
      <c r="AB73" s="25"/>
      <c r="AC73" s="23"/>
      <c r="AD73" s="26"/>
    </row>
    <row r="74">
      <c r="A74" s="30" t="s">
        <v>33</v>
      </c>
      <c r="B74" s="22" t="s">
        <v>62</v>
      </c>
      <c r="C74" s="22" t="s">
        <v>63</v>
      </c>
      <c r="D74" s="24"/>
      <c r="E74" s="25"/>
      <c r="F74" s="23"/>
      <c r="G74" s="25"/>
      <c r="H74" s="23"/>
      <c r="I74" s="26"/>
      <c r="J74" s="24"/>
      <c r="K74" s="25"/>
      <c r="L74" s="23"/>
      <c r="M74" s="25"/>
      <c r="N74" s="23"/>
      <c r="O74" s="26"/>
      <c r="P74" s="27"/>
      <c r="Q74" s="28"/>
      <c r="R74" s="29"/>
      <c r="S74" s="24"/>
      <c r="T74" s="25"/>
      <c r="U74" s="23"/>
      <c r="V74" s="25"/>
      <c r="W74" s="23"/>
      <c r="X74" s="26"/>
      <c r="Y74" s="24"/>
      <c r="Z74" s="25"/>
      <c r="AA74" s="23"/>
      <c r="AB74" s="25"/>
      <c r="AC74" s="23"/>
      <c r="AD74" s="26"/>
    </row>
    <row r="75">
      <c r="A75" s="30" t="s">
        <v>34</v>
      </c>
      <c r="B75" s="22" t="s">
        <v>62</v>
      </c>
      <c r="C75" s="22" t="s">
        <v>63</v>
      </c>
      <c r="D75" s="24" t="s">
        <v>31</v>
      </c>
      <c r="E75" s="25" t="str">
        <f>"－"</f>
        <v>－</v>
      </c>
      <c r="F75" s="23"/>
      <c r="G75" s="25" t="str">
        <f>"－"</f>
        <v>－</v>
      </c>
      <c r="H75" s="23" t="s">
        <v>31</v>
      </c>
      <c r="I75" s="26" t="str">
        <f>"－"</f>
        <v>－</v>
      </c>
      <c r="J75" s="24" t="s">
        <v>31</v>
      </c>
      <c r="K75" s="25" t="str">
        <f>"－"</f>
        <v>－</v>
      </c>
      <c r="L75" s="23"/>
      <c r="M75" s="25" t="str">
        <f>"－"</f>
        <v>－</v>
      </c>
      <c r="N75" s="23" t="s">
        <v>31</v>
      </c>
      <c r="O75" s="26" t="str">
        <f>"－"</f>
        <v>－</v>
      </c>
      <c r="P75" s="27" t="str">
        <f>"－"</f>
        <v>－</v>
      </c>
      <c r="Q75" s="28" t="str">
        <f>"－"</f>
        <v>－</v>
      </c>
      <c r="R75" s="29" t="str">
        <f>"－"</f>
        <v>－</v>
      </c>
      <c r="S75" s="24" t="s">
        <v>31</v>
      </c>
      <c r="T75" s="25" t="str">
        <f>"－"</f>
        <v>－</v>
      </c>
      <c r="U75" s="23"/>
      <c r="V75" s="25" t="str">
        <f>"－"</f>
        <v>－</v>
      </c>
      <c r="W75" s="23" t="s">
        <v>31</v>
      </c>
      <c r="X75" s="26" t="str">
        <f>"－"</f>
        <v>－</v>
      </c>
      <c r="Y75" s="24"/>
      <c r="Z75" s="25" t="n">
        <f>83084</f>
        <v>83084.0</v>
      </c>
      <c r="AA75" s="23"/>
      <c r="AB75" s="25" t="n">
        <f>12691</f>
        <v>12691.0</v>
      </c>
      <c r="AC75" s="23"/>
      <c r="AD75" s="26" t="n">
        <f>95775</f>
        <v>95775.0</v>
      </c>
    </row>
    <row r="76">
      <c r="A76" s="30" t="s">
        <v>35</v>
      </c>
      <c r="B76" s="22" t="s">
        <v>62</v>
      </c>
      <c r="C76" s="22" t="s">
        <v>63</v>
      </c>
      <c r="D76" s="24"/>
      <c r="E76" s="25" t="n">
        <f>2236</f>
        <v>2236.0</v>
      </c>
      <c r="F76" s="23"/>
      <c r="G76" s="25" t="n">
        <f>436</f>
        <v>436.0</v>
      </c>
      <c r="H76" s="23"/>
      <c r="I76" s="26" t="n">
        <f>2672</f>
        <v>2672.0</v>
      </c>
      <c r="J76" s="24"/>
      <c r="K76" s="25" t="n">
        <f>2010836000</f>
        <v>2.010836E9</v>
      </c>
      <c r="L76" s="23" t="s">
        <v>36</v>
      </c>
      <c r="M76" s="25" t="n">
        <f>2506756000</f>
        <v>2.506756E9</v>
      </c>
      <c r="N76" s="23" t="s">
        <v>36</v>
      </c>
      <c r="O76" s="26" t="n">
        <f>4517592000</f>
        <v>4.517592E9</v>
      </c>
      <c r="P76" s="27" t="str">
        <f>"－"</f>
        <v>－</v>
      </c>
      <c r="Q76" s="28" t="str">
        <f>"－"</f>
        <v>－</v>
      </c>
      <c r="R76" s="29" t="str">
        <f>"－"</f>
        <v>－</v>
      </c>
      <c r="S76" s="24"/>
      <c r="T76" s="25" t="str">
        <f>"－"</f>
        <v>－</v>
      </c>
      <c r="U76" s="23"/>
      <c r="V76" s="25" t="str">
        <f>"－"</f>
        <v>－</v>
      </c>
      <c r="W76" s="23"/>
      <c r="X76" s="26" t="str">
        <f>"－"</f>
        <v>－</v>
      </c>
      <c r="Y76" s="24"/>
      <c r="Z76" s="25" t="n">
        <f>84868</f>
        <v>84868.0</v>
      </c>
      <c r="AA76" s="23"/>
      <c r="AB76" s="25" t="n">
        <f>12675</f>
        <v>12675.0</v>
      </c>
      <c r="AC76" s="23"/>
      <c r="AD76" s="26" t="n">
        <f>97543</f>
        <v>97543.0</v>
      </c>
    </row>
    <row r="77">
      <c r="A77" s="30" t="s">
        <v>37</v>
      </c>
      <c r="B77" s="22" t="s">
        <v>62</v>
      </c>
      <c r="C77" s="22" t="s">
        <v>63</v>
      </c>
      <c r="D77" s="24"/>
      <c r="E77" s="25" t="n">
        <f>4205</f>
        <v>4205.0</v>
      </c>
      <c r="F77" s="23"/>
      <c r="G77" s="25" t="n">
        <f>310</f>
        <v>310.0</v>
      </c>
      <c r="H77" s="23"/>
      <c r="I77" s="26" t="n">
        <f>4515</f>
        <v>4515.0</v>
      </c>
      <c r="J77" s="24"/>
      <c r="K77" s="25" t="n">
        <f>1273534160</f>
        <v>1.27353416E9</v>
      </c>
      <c r="L77" s="23"/>
      <c r="M77" s="25" t="n">
        <f>372914980</f>
        <v>3.7291498E8</v>
      </c>
      <c r="N77" s="23"/>
      <c r="O77" s="26" t="n">
        <f>1646449140</f>
        <v>1.64644914E9</v>
      </c>
      <c r="P77" s="27" t="str">
        <f>"－"</f>
        <v>－</v>
      </c>
      <c r="Q77" s="28" t="str">
        <f>"－"</f>
        <v>－</v>
      </c>
      <c r="R77" s="29" t="str">
        <f>"－"</f>
        <v>－</v>
      </c>
      <c r="S77" s="24"/>
      <c r="T77" s="25" t="n">
        <f>4105</f>
        <v>4105.0</v>
      </c>
      <c r="U77" s="23"/>
      <c r="V77" s="25" t="str">
        <f>"－"</f>
        <v>－</v>
      </c>
      <c r="W77" s="23"/>
      <c r="X77" s="26" t="n">
        <f>4105</f>
        <v>4105.0</v>
      </c>
      <c r="Y77" s="24"/>
      <c r="Z77" s="25" t="n">
        <f>86815</f>
        <v>86815.0</v>
      </c>
      <c r="AA77" s="23" t="s">
        <v>36</v>
      </c>
      <c r="AB77" s="25" t="n">
        <f>12775</f>
        <v>12775.0</v>
      </c>
      <c r="AC77" s="23"/>
      <c r="AD77" s="26" t="n">
        <f>99590</f>
        <v>99590.0</v>
      </c>
    </row>
    <row r="78">
      <c r="A78" s="30" t="s">
        <v>38</v>
      </c>
      <c r="B78" s="22" t="s">
        <v>62</v>
      </c>
      <c r="C78" s="22" t="s">
        <v>63</v>
      </c>
      <c r="D78" s="24"/>
      <c r="E78" s="25" t="n">
        <f>500</f>
        <v>500.0</v>
      </c>
      <c r="F78" s="23"/>
      <c r="G78" s="25" t="str">
        <f>"－"</f>
        <v>－</v>
      </c>
      <c r="H78" s="23"/>
      <c r="I78" s="26" t="n">
        <f>500</f>
        <v>500.0</v>
      </c>
      <c r="J78" s="24"/>
      <c r="K78" s="25" t="n">
        <f>159630000</f>
        <v>1.5963E8</v>
      </c>
      <c r="L78" s="23"/>
      <c r="M78" s="25" t="str">
        <f>"－"</f>
        <v>－</v>
      </c>
      <c r="N78" s="23"/>
      <c r="O78" s="26" t="n">
        <f>159630000</f>
        <v>1.5963E8</v>
      </c>
      <c r="P78" s="27" t="str">
        <f>"－"</f>
        <v>－</v>
      </c>
      <c r="Q78" s="28" t="str">
        <f>"－"</f>
        <v>－</v>
      </c>
      <c r="R78" s="29" t="str">
        <f>"－"</f>
        <v>－</v>
      </c>
      <c r="S78" s="24"/>
      <c r="T78" s="25" t="n">
        <f>500</f>
        <v>500.0</v>
      </c>
      <c r="U78" s="23"/>
      <c r="V78" s="25" t="str">
        <f>"－"</f>
        <v>－</v>
      </c>
      <c r="W78" s="23"/>
      <c r="X78" s="26" t="n">
        <f>500</f>
        <v>500.0</v>
      </c>
      <c r="Y78" s="24" t="s">
        <v>36</v>
      </c>
      <c r="Z78" s="25" t="n">
        <f>87015</f>
        <v>87015.0</v>
      </c>
      <c r="AA78" s="23"/>
      <c r="AB78" s="25" t="n">
        <f>12775</f>
        <v>12775.0</v>
      </c>
      <c r="AC78" s="23" t="s">
        <v>36</v>
      </c>
      <c r="AD78" s="26" t="n">
        <f>99790</f>
        <v>99790.0</v>
      </c>
    </row>
    <row r="79">
      <c r="A79" s="30" t="s">
        <v>39</v>
      </c>
      <c r="B79" s="22" t="s">
        <v>62</v>
      </c>
      <c r="C79" s="22" t="s">
        <v>63</v>
      </c>
      <c r="D79" s="24"/>
      <c r="E79" s="25" t="n">
        <f>6543</f>
        <v>6543.0</v>
      </c>
      <c r="F79" s="23"/>
      <c r="G79" s="25" t="n">
        <f>50</f>
        <v>50.0</v>
      </c>
      <c r="H79" s="23"/>
      <c r="I79" s="26" t="n">
        <f>6593</f>
        <v>6593.0</v>
      </c>
      <c r="J79" s="24"/>
      <c r="K79" s="25" t="n">
        <f>1219927590</f>
        <v>1.21992759E9</v>
      </c>
      <c r="L79" s="23"/>
      <c r="M79" s="25" t="n">
        <f>58000000</f>
        <v>5.8E7</v>
      </c>
      <c r="N79" s="23"/>
      <c r="O79" s="26" t="n">
        <f>1277927590</f>
        <v>1.27792759E9</v>
      </c>
      <c r="P79" s="27" t="n">
        <f>100</f>
        <v>100.0</v>
      </c>
      <c r="Q79" s="28" t="n">
        <f>1137</f>
        <v>1137.0</v>
      </c>
      <c r="R79" s="29" t="n">
        <f>1237</f>
        <v>1237.0</v>
      </c>
      <c r="S79" s="24" t="s">
        <v>36</v>
      </c>
      <c r="T79" s="25" t="n">
        <f>6541</f>
        <v>6541.0</v>
      </c>
      <c r="U79" s="23"/>
      <c r="V79" s="25" t="n">
        <f>50</f>
        <v>50.0</v>
      </c>
      <c r="W79" s="23" t="s">
        <v>36</v>
      </c>
      <c r="X79" s="26" t="n">
        <f>6591</f>
        <v>6591.0</v>
      </c>
      <c r="Y79" s="24" t="s">
        <v>31</v>
      </c>
      <c r="Z79" s="25" t="n">
        <f>68214</f>
        <v>68214.0</v>
      </c>
      <c r="AA79" s="23" t="s">
        <v>31</v>
      </c>
      <c r="AB79" s="25" t="n">
        <f>10661</f>
        <v>10661.0</v>
      </c>
      <c r="AC79" s="23" t="s">
        <v>31</v>
      </c>
      <c r="AD79" s="26" t="n">
        <f>78875</f>
        <v>78875.0</v>
      </c>
    </row>
    <row r="80">
      <c r="A80" s="30" t="s">
        <v>40</v>
      </c>
      <c r="B80" s="22" t="s">
        <v>62</v>
      </c>
      <c r="C80" s="22" t="s">
        <v>63</v>
      </c>
      <c r="D80" s="24"/>
      <c r="E80" s="25"/>
      <c r="F80" s="23"/>
      <c r="G80" s="25"/>
      <c r="H80" s="23"/>
      <c r="I80" s="26"/>
      <c r="J80" s="24"/>
      <c r="K80" s="25"/>
      <c r="L80" s="23"/>
      <c r="M80" s="25"/>
      <c r="N80" s="23"/>
      <c r="O80" s="26"/>
      <c r="P80" s="27"/>
      <c r="Q80" s="28"/>
      <c r="R80" s="29"/>
      <c r="S80" s="24"/>
      <c r="T80" s="25"/>
      <c r="U80" s="23"/>
      <c r="V80" s="25"/>
      <c r="W80" s="23"/>
      <c r="X80" s="26"/>
      <c r="Y80" s="24"/>
      <c r="Z80" s="25"/>
      <c r="AA80" s="23"/>
      <c r="AB80" s="25"/>
      <c r="AC80" s="23"/>
      <c r="AD80" s="26"/>
    </row>
    <row r="81">
      <c r="A81" s="30" t="s">
        <v>41</v>
      </c>
      <c r="B81" s="22" t="s">
        <v>62</v>
      </c>
      <c r="C81" s="22" t="s">
        <v>63</v>
      </c>
      <c r="D81" s="24"/>
      <c r="E81" s="25"/>
      <c r="F81" s="23"/>
      <c r="G81" s="25"/>
      <c r="H81" s="23"/>
      <c r="I81" s="26"/>
      <c r="J81" s="24"/>
      <c r="K81" s="25"/>
      <c r="L81" s="23"/>
      <c r="M81" s="25"/>
      <c r="N81" s="23"/>
      <c r="O81" s="26"/>
      <c r="P81" s="27"/>
      <c r="Q81" s="28"/>
      <c r="R81" s="29"/>
      <c r="S81" s="24"/>
      <c r="T81" s="25"/>
      <c r="U81" s="23"/>
      <c r="V81" s="25"/>
      <c r="W81" s="23"/>
      <c r="X81" s="26"/>
      <c r="Y81" s="24"/>
      <c r="Z81" s="25"/>
      <c r="AA81" s="23"/>
      <c r="AB81" s="25"/>
      <c r="AC81" s="23"/>
      <c r="AD81" s="26"/>
    </row>
    <row r="82">
      <c r="A82" s="30" t="s">
        <v>42</v>
      </c>
      <c r="B82" s="22" t="s">
        <v>62</v>
      </c>
      <c r="C82" s="22" t="s">
        <v>63</v>
      </c>
      <c r="D82" s="24"/>
      <c r="E82" s="25" t="n">
        <f>2216</f>
        <v>2216.0</v>
      </c>
      <c r="F82" s="23"/>
      <c r="G82" s="25" t="str">
        <f>"－"</f>
        <v>－</v>
      </c>
      <c r="H82" s="23"/>
      <c r="I82" s="26" t="n">
        <f>2216</f>
        <v>2216.0</v>
      </c>
      <c r="J82" s="24"/>
      <c r="K82" s="25" t="n">
        <f>257842700</f>
        <v>2.578427E8</v>
      </c>
      <c r="L82" s="23"/>
      <c r="M82" s="25" t="str">
        <f>"－"</f>
        <v>－</v>
      </c>
      <c r="N82" s="23"/>
      <c r="O82" s="26" t="n">
        <f>257842700</f>
        <v>2.578427E8</v>
      </c>
      <c r="P82" s="27" t="str">
        <f>"－"</f>
        <v>－</v>
      </c>
      <c r="Q82" s="28" t="str">
        <f>"－"</f>
        <v>－</v>
      </c>
      <c r="R82" s="29" t="str">
        <f>"－"</f>
        <v>－</v>
      </c>
      <c r="S82" s="24"/>
      <c r="T82" s="25" t="n">
        <f>2216</f>
        <v>2216.0</v>
      </c>
      <c r="U82" s="23"/>
      <c r="V82" s="25" t="str">
        <f>"－"</f>
        <v>－</v>
      </c>
      <c r="W82" s="23"/>
      <c r="X82" s="26" t="n">
        <f>2216</f>
        <v>2216.0</v>
      </c>
      <c r="Y82" s="24"/>
      <c r="Z82" s="25" t="n">
        <f>70430</f>
        <v>70430.0</v>
      </c>
      <c r="AA82" s="23"/>
      <c r="AB82" s="25" t="n">
        <f>10661</f>
        <v>10661.0</v>
      </c>
      <c r="AC82" s="23"/>
      <c r="AD82" s="26" t="n">
        <f>81091</f>
        <v>81091.0</v>
      </c>
    </row>
    <row r="83">
      <c r="A83" s="30" t="s">
        <v>43</v>
      </c>
      <c r="B83" s="22" t="s">
        <v>62</v>
      </c>
      <c r="C83" s="22" t="s">
        <v>63</v>
      </c>
      <c r="D83" s="24"/>
      <c r="E83" s="25" t="n">
        <f>582</f>
        <v>582.0</v>
      </c>
      <c r="F83" s="23" t="s">
        <v>36</v>
      </c>
      <c r="G83" s="25" t="n">
        <f>1220</f>
        <v>1220.0</v>
      </c>
      <c r="H83" s="23"/>
      <c r="I83" s="26" t="n">
        <f>1802</f>
        <v>1802.0</v>
      </c>
      <c r="J83" s="24"/>
      <c r="K83" s="25" t="n">
        <f>29634390</f>
        <v>2.963439E7</v>
      </c>
      <c r="L83" s="23"/>
      <c r="M83" s="25" t="n">
        <f>144746880</f>
        <v>1.4474688E8</v>
      </c>
      <c r="N83" s="23"/>
      <c r="O83" s="26" t="n">
        <f>174381270</f>
        <v>1.7438127E8</v>
      </c>
      <c r="P83" s="27" t="str">
        <f>"－"</f>
        <v>－</v>
      </c>
      <c r="Q83" s="28" t="str">
        <f>"－"</f>
        <v>－</v>
      </c>
      <c r="R83" s="29" t="str">
        <f>"－"</f>
        <v>－</v>
      </c>
      <c r="S83" s="24"/>
      <c r="T83" s="25" t="n">
        <f>282</f>
        <v>282.0</v>
      </c>
      <c r="U83" s="23" t="s">
        <v>36</v>
      </c>
      <c r="V83" s="25" t="n">
        <f>1020</f>
        <v>1020.0</v>
      </c>
      <c r="W83" s="23"/>
      <c r="X83" s="26" t="n">
        <f>1302</f>
        <v>1302.0</v>
      </c>
      <c r="Y83" s="24"/>
      <c r="Z83" s="25" t="n">
        <f>70730</f>
        <v>70730.0</v>
      </c>
      <c r="AA83" s="23"/>
      <c r="AB83" s="25" t="n">
        <f>10861</f>
        <v>10861.0</v>
      </c>
      <c r="AC83" s="23"/>
      <c r="AD83" s="26" t="n">
        <f>81591</f>
        <v>81591.0</v>
      </c>
    </row>
    <row r="84">
      <c r="A84" s="30" t="s">
        <v>44</v>
      </c>
      <c r="B84" s="22" t="s">
        <v>62</v>
      </c>
      <c r="C84" s="22" t="s">
        <v>63</v>
      </c>
      <c r="D84" s="24"/>
      <c r="E84" s="25" t="n">
        <f>815</f>
        <v>815.0</v>
      </c>
      <c r="F84" s="23"/>
      <c r="G84" s="25" t="n">
        <f>505</f>
        <v>505.0</v>
      </c>
      <c r="H84" s="23"/>
      <c r="I84" s="26" t="n">
        <f>1320</f>
        <v>1320.0</v>
      </c>
      <c r="J84" s="24"/>
      <c r="K84" s="25" t="n">
        <f>367559865</f>
        <v>3.67559865E8</v>
      </c>
      <c r="L84" s="23"/>
      <c r="M84" s="25" t="n">
        <f>251094500</f>
        <v>2.510945E8</v>
      </c>
      <c r="N84" s="23"/>
      <c r="O84" s="26" t="n">
        <f>618654365</f>
        <v>6.18654365E8</v>
      </c>
      <c r="P84" s="27" t="str">
        <f>"－"</f>
        <v>－</v>
      </c>
      <c r="Q84" s="28" t="str">
        <f>"－"</f>
        <v>－</v>
      </c>
      <c r="R84" s="29" t="str">
        <f>"－"</f>
        <v>－</v>
      </c>
      <c r="S84" s="24"/>
      <c r="T84" s="25" t="n">
        <f>815</f>
        <v>815.0</v>
      </c>
      <c r="U84" s="23"/>
      <c r="V84" s="25" t="n">
        <f>305</f>
        <v>305.0</v>
      </c>
      <c r="W84" s="23"/>
      <c r="X84" s="26" t="n">
        <f>1120</f>
        <v>1120.0</v>
      </c>
      <c r="Y84" s="24"/>
      <c r="Z84" s="25" t="n">
        <f>71245</f>
        <v>71245.0</v>
      </c>
      <c r="AA84" s="23"/>
      <c r="AB84" s="25" t="n">
        <f>11066</f>
        <v>11066.0</v>
      </c>
      <c r="AC84" s="23"/>
      <c r="AD84" s="26" t="n">
        <f>82311</f>
        <v>82311.0</v>
      </c>
    </row>
    <row r="85">
      <c r="A85" s="30" t="s">
        <v>45</v>
      </c>
      <c r="B85" s="22" t="s">
        <v>62</v>
      </c>
      <c r="C85" s="22" t="s">
        <v>63</v>
      </c>
      <c r="D85" s="24"/>
      <c r="E85" s="25" t="n">
        <f>1084</f>
        <v>1084.0</v>
      </c>
      <c r="F85" s="23"/>
      <c r="G85" s="25" t="str">
        <f>"－"</f>
        <v>－</v>
      </c>
      <c r="H85" s="23"/>
      <c r="I85" s="26" t="n">
        <f>1084</f>
        <v>1084.0</v>
      </c>
      <c r="J85" s="24"/>
      <c r="K85" s="25" t="n">
        <f>770946220</f>
        <v>7.7094622E8</v>
      </c>
      <c r="L85" s="23"/>
      <c r="M85" s="25" t="str">
        <f>"－"</f>
        <v>－</v>
      </c>
      <c r="N85" s="23"/>
      <c r="O85" s="26" t="n">
        <f>770946220</f>
        <v>7.7094622E8</v>
      </c>
      <c r="P85" s="27" t="str">
        <f>"－"</f>
        <v>－</v>
      </c>
      <c r="Q85" s="28" t="str">
        <f>"－"</f>
        <v>－</v>
      </c>
      <c r="R85" s="29" t="str">
        <f>"－"</f>
        <v>－</v>
      </c>
      <c r="S85" s="24"/>
      <c r="T85" s="25" t="n">
        <f>1084</f>
        <v>1084.0</v>
      </c>
      <c r="U85" s="23"/>
      <c r="V85" s="25" t="str">
        <f>"－"</f>
        <v>－</v>
      </c>
      <c r="W85" s="23"/>
      <c r="X85" s="26" t="n">
        <f>1084</f>
        <v>1084.0</v>
      </c>
      <c r="Y85" s="24"/>
      <c r="Z85" s="25" t="n">
        <f>71499</f>
        <v>71499.0</v>
      </c>
      <c r="AA85" s="23"/>
      <c r="AB85" s="25" t="n">
        <f>11066</f>
        <v>11066.0</v>
      </c>
      <c r="AC85" s="23"/>
      <c r="AD85" s="26" t="n">
        <f>82565</f>
        <v>82565.0</v>
      </c>
    </row>
    <row r="86">
      <c r="A86" s="30" t="s">
        <v>46</v>
      </c>
      <c r="B86" s="22" t="s">
        <v>62</v>
      </c>
      <c r="C86" s="22" t="s">
        <v>63</v>
      </c>
      <c r="D86" s="24"/>
      <c r="E86" s="25" t="n">
        <f>5600</f>
        <v>5600.0</v>
      </c>
      <c r="F86" s="23"/>
      <c r="G86" s="25" t="str">
        <f>"－"</f>
        <v>－</v>
      </c>
      <c r="H86" s="23"/>
      <c r="I86" s="26" t="n">
        <f>5600</f>
        <v>5600.0</v>
      </c>
      <c r="J86" s="24" t="s">
        <v>36</v>
      </c>
      <c r="K86" s="25" t="n">
        <f>2101762600</f>
        <v>2.1017626E9</v>
      </c>
      <c r="L86" s="23"/>
      <c r="M86" s="25" t="str">
        <f>"－"</f>
        <v>－</v>
      </c>
      <c r="N86" s="23"/>
      <c r="O86" s="26" t="n">
        <f>2101762600</f>
        <v>2.1017626E9</v>
      </c>
      <c r="P86" s="27" t="str">
        <f>"－"</f>
        <v>－</v>
      </c>
      <c r="Q86" s="28" t="str">
        <f>"－"</f>
        <v>－</v>
      </c>
      <c r="R86" s="29" t="str">
        <f>"－"</f>
        <v>－</v>
      </c>
      <c r="S86" s="24"/>
      <c r="T86" s="25" t="str">
        <f>"－"</f>
        <v>－</v>
      </c>
      <c r="U86" s="23"/>
      <c r="V86" s="25" t="str">
        <f>"－"</f>
        <v>－</v>
      </c>
      <c r="W86" s="23"/>
      <c r="X86" s="26" t="str">
        <f>"－"</f>
        <v>－</v>
      </c>
      <c r="Y86" s="24"/>
      <c r="Z86" s="25" t="n">
        <f>71499</f>
        <v>71499.0</v>
      </c>
      <c r="AA86" s="23"/>
      <c r="AB86" s="25" t="n">
        <f>11066</f>
        <v>11066.0</v>
      </c>
      <c r="AC86" s="23"/>
      <c r="AD86" s="26" t="n">
        <f>82565</f>
        <v>82565.0</v>
      </c>
    </row>
    <row r="87">
      <c r="A87" s="30" t="s">
        <v>47</v>
      </c>
      <c r="B87" s="22" t="s">
        <v>62</v>
      </c>
      <c r="C87" s="22" t="s">
        <v>63</v>
      </c>
      <c r="D87" s="24"/>
      <c r="E87" s="25"/>
      <c r="F87" s="23"/>
      <c r="G87" s="25"/>
      <c r="H87" s="23"/>
      <c r="I87" s="26"/>
      <c r="J87" s="24"/>
      <c r="K87" s="25"/>
      <c r="L87" s="23"/>
      <c r="M87" s="25"/>
      <c r="N87" s="23"/>
      <c r="O87" s="26"/>
      <c r="P87" s="27"/>
      <c r="Q87" s="28"/>
      <c r="R87" s="29"/>
      <c r="S87" s="24"/>
      <c r="T87" s="25"/>
      <c r="U87" s="23"/>
      <c r="V87" s="25"/>
      <c r="W87" s="23"/>
      <c r="X87" s="26"/>
      <c r="Y87" s="24"/>
      <c r="Z87" s="25"/>
      <c r="AA87" s="23"/>
      <c r="AB87" s="25"/>
      <c r="AC87" s="23"/>
      <c r="AD87" s="26"/>
    </row>
    <row r="88">
      <c r="A88" s="30" t="s">
        <v>48</v>
      </c>
      <c r="B88" s="22" t="s">
        <v>62</v>
      </c>
      <c r="C88" s="22" t="s">
        <v>63</v>
      </c>
      <c r="D88" s="24"/>
      <c r="E88" s="25"/>
      <c r="F88" s="23"/>
      <c r="G88" s="25"/>
      <c r="H88" s="23"/>
      <c r="I88" s="26"/>
      <c r="J88" s="24"/>
      <c r="K88" s="25"/>
      <c r="L88" s="23"/>
      <c r="M88" s="25"/>
      <c r="N88" s="23"/>
      <c r="O88" s="26"/>
      <c r="P88" s="27"/>
      <c r="Q88" s="28"/>
      <c r="R88" s="29"/>
      <c r="S88" s="24"/>
      <c r="T88" s="25"/>
      <c r="U88" s="23"/>
      <c r="V88" s="25"/>
      <c r="W88" s="23"/>
      <c r="X88" s="26"/>
      <c r="Y88" s="24"/>
      <c r="Z88" s="25"/>
      <c r="AA88" s="23"/>
      <c r="AB88" s="25"/>
      <c r="AC88" s="23"/>
      <c r="AD88" s="26"/>
    </row>
    <row r="89">
      <c r="A89" s="30" t="s">
        <v>49</v>
      </c>
      <c r="B89" s="22" t="s">
        <v>62</v>
      </c>
      <c r="C89" s="22" t="s">
        <v>63</v>
      </c>
      <c r="D89" s="24"/>
      <c r="E89" s="25" t="n">
        <f>336</f>
        <v>336.0</v>
      </c>
      <c r="F89" s="23"/>
      <c r="G89" s="25" t="n">
        <f>244</f>
        <v>244.0</v>
      </c>
      <c r="H89" s="23"/>
      <c r="I89" s="26" t="n">
        <f>580</f>
        <v>580.0</v>
      </c>
      <c r="J89" s="24"/>
      <c r="K89" s="25" t="n">
        <f>264360000</f>
        <v>2.6436E8</v>
      </c>
      <c r="L89" s="23"/>
      <c r="M89" s="25" t="n">
        <f>275842306</f>
        <v>2.75842306E8</v>
      </c>
      <c r="N89" s="23"/>
      <c r="O89" s="26" t="n">
        <f>540202306</f>
        <v>5.40202306E8</v>
      </c>
      <c r="P89" s="27" t="str">
        <f>"－"</f>
        <v>－</v>
      </c>
      <c r="Q89" s="28" t="str">
        <f>"－"</f>
        <v>－</v>
      </c>
      <c r="R89" s="29" t="str">
        <f>"－"</f>
        <v>－</v>
      </c>
      <c r="S89" s="24"/>
      <c r="T89" s="25" t="n">
        <f>336</f>
        <v>336.0</v>
      </c>
      <c r="U89" s="23"/>
      <c r="V89" s="25" t="n">
        <f>244</f>
        <v>244.0</v>
      </c>
      <c r="W89" s="23"/>
      <c r="X89" s="26" t="n">
        <f>580</f>
        <v>580.0</v>
      </c>
      <c r="Y89" s="24"/>
      <c r="Z89" s="25" t="n">
        <f>71768</f>
        <v>71768.0</v>
      </c>
      <c r="AA89" s="23"/>
      <c r="AB89" s="25" t="n">
        <f>11310</f>
        <v>11310.0</v>
      </c>
      <c r="AC89" s="23"/>
      <c r="AD89" s="26" t="n">
        <f>83078</f>
        <v>83078.0</v>
      </c>
    </row>
    <row r="90">
      <c r="A90" s="30" t="s">
        <v>50</v>
      </c>
      <c r="B90" s="22" t="s">
        <v>62</v>
      </c>
      <c r="C90" s="22" t="s">
        <v>63</v>
      </c>
      <c r="D90" s="24"/>
      <c r="E90" s="25" t="n">
        <f>3953</f>
        <v>3953.0</v>
      </c>
      <c r="F90" s="23"/>
      <c r="G90" s="25" t="n">
        <f>55</f>
        <v>55.0</v>
      </c>
      <c r="H90" s="23"/>
      <c r="I90" s="26" t="n">
        <f>4008</f>
        <v>4008.0</v>
      </c>
      <c r="J90" s="24"/>
      <c r="K90" s="25" t="n">
        <f>350787500</f>
        <v>3.507875E8</v>
      </c>
      <c r="L90" s="23"/>
      <c r="M90" s="25" t="n">
        <f>207240000</f>
        <v>2.0724E8</v>
      </c>
      <c r="N90" s="23"/>
      <c r="O90" s="26" t="n">
        <f>558027500</f>
        <v>5.580275E8</v>
      </c>
      <c r="P90" s="27" t="str">
        <f>"－"</f>
        <v>－</v>
      </c>
      <c r="Q90" s="28" t="str">
        <f>"－"</f>
        <v>－</v>
      </c>
      <c r="R90" s="29" t="str">
        <f>"－"</f>
        <v>－</v>
      </c>
      <c r="S90" s="24"/>
      <c r="T90" s="25" t="n">
        <f>3898</f>
        <v>3898.0</v>
      </c>
      <c r="U90" s="23"/>
      <c r="V90" s="25" t="str">
        <f>"－"</f>
        <v>－</v>
      </c>
      <c r="W90" s="23"/>
      <c r="X90" s="26" t="n">
        <f>3898</f>
        <v>3898.0</v>
      </c>
      <c r="Y90" s="24"/>
      <c r="Z90" s="25" t="n">
        <f>69497</f>
        <v>69497.0</v>
      </c>
      <c r="AA90" s="23"/>
      <c r="AB90" s="25" t="n">
        <f>11255</f>
        <v>11255.0</v>
      </c>
      <c r="AC90" s="23"/>
      <c r="AD90" s="26" t="n">
        <f>80752</f>
        <v>80752.0</v>
      </c>
    </row>
    <row r="91">
      <c r="A91" s="30" t="s">
        <v>51</v>
      </c>
      <c r="B91" s="22" t="s">
        <v>62</v>
      </c>
      <c r="C91" s="22" t="s">
        <v>63</v>
      </c>
      <c r="D91" s="24"/>
      <c r="E91" s="25" t="n">
        <f>835</f>
        <v>835.0</v>
      </c>
      <c r="F91" s="23"/>
      <c r="G91" s="25" t="n">
        <f>735</f>
        <v>735.0</v>
      </c>
      <c r="H91" s="23"/>
      <c r="I91" s="26" t="n">
        <f>1570</f>
        <v>1570.0</v>
      </c>
      <c r="J91" s="24"/>
      <c r="K91" s="25" t="n">
        <f>196411100</f>
        <v>1.964111E8</v>
      </c>
      <c r="L91" s="23"/>
      <c r="M91" s="25" t="n">
        <f>124950000</f>
        <v>1.2495E8</v>
      </c>
      <c r="N91" s="23"/>
      <c r="O91" s="26" t="n">
        <f>321361100</f>
        <v>3.213611E8</v>
      </c>
      <c r="P91" s="27" t="str">
        <f>"－"</f>
        <v>－</v>
      </c>
      <c r="Q91" s="28" t="str">
        <f>"－"</f>
        <v>－</v>
      </c>
      <c r="R91" s="29" t="str">
        <f>"－"</f>
        <v>－</v>
      </c>
      <c r="S91" s="24"/>
      <c r="T91" s="25" t="n">
        <f>735</f>
        <v>735.0</v>
      </c>
      <c r="U91" s="23"/>
      <c r="V91" s="25" t="n">
        <f>735</f>
        <v>735.0</v>
      </c>
      <c r="W91" s="23"/>
      <c r="X91" s="26" t="n">
        <f>1470</f>
        <v>1470.0</v>
      </c>
      <c r="Y91" s="24"/>
      <c r="Z91" s="25" t="n">
        <f>70332</f>
        <v>70332.0</v>
      </c>
      <c r="AA91" s="23"/>
      <c r="AB91" s="25" t="n">
        <f>11990</f>
        <v>11990.0</v>
      </c>
      <c r="AC91" s="23"/>
      <c r="AD91" s="26" t="n">
        <f>82322</f>
        <v>82322.0</v>
      </c>
    </row>
    <row r="92">
      <c r="A92" s="30" t="s">
        <v>52</v>
      </c>
      <c r="B92" s="22" t="s">
        <v>62</v>
      </c>
      <c r="C92" s="22" t="s">
        <v>63</v>
      </c>
      <c r="D92" s="24"/>
      <c r="E92" s="25" t="n">
        <f>200</f>
        <v>200.0</v>
      </c>
      <c r="F92" s="23"/>
      <c r="G92" s="25" t="str">
        <f>"－"</f>
        <v>－</v>
      </c>
      <c r="H92" s="23"/>
      <c r="I92" s="26" t="n">
        <f>200</f>
        <v>200.0</v>
      </c>
      <c r="J92" s="24"/>
      <c r="K92" s="25" t="n">
        <f>106000000</f>
        <v>1.06E8</v>
      </c>
      <c r="L92" s="23"/>
      <c r="M92" s="25" t="str">
        <f>"－"</f>
        <v>－</v>
      </c>
      <c r="N92" s="23"/>
      <c r="O92" s="26" t="n">
        <f>106000000</f>
        <v>1.06E8</v>
      </c>
      <c r="P92" s="27" t="str">
        <f>"－"</f>
        <v>－</v>
      </c>
      <c r="Q92" s="28" t="str">
        <f>"－"</f>
        <v>－</v>
      </c>
      <c r="R92" s="29" t="str">
        <f>"－"</f>
        <v>－</v>
      </c>
      <c r="S92" s="24"/>
      <c r="T92" s="25" t="n">
        <f>200</f>
        <v>200.0</v>
      </c>
      <c r="U92" s="23"/>
      <c r="V92" s="25" t="str">
        <f>"－"</f>
        <v>－</v>
      </c>
      <c r="W92" s="23"/>
      <c r="X92" s="26" t="n">
        <f>200</f>
        <v>200.0</v>
      </c>
      <c r="Y92" s="24"/>
      <c r="Z92" s="25" t="n">
        <f>70532</f>
        <v>70532.0</v>
      </c>
      <c r="AA92" s="23"/>
      <c r="AB92" s="25" t="n">
        <f>11990</f>
        <v>11990.0</v>
      </c>
      <c r="AC92" s="23"/>
      <c r="AD92" s="26" t="n">
        <f>82522</f>
        <v>82522.0</v>
      </c>
    </row>
    <row r="93">
      <c r="A93" s="30" t="s">
        <v>53</v>
      </c>
      <c r="B93" s="22" t="s">
        <v>62</v>
      </c>
      <c r="C93" s="22" t="s">
        <v>63</v>
      </c>
      <c r="D93" s="24"/>
      <c r="E93" s="25" t="n">
        <f>889</f>
        <v>889.0</v>
      </c>
      <c r="F93" s="23"/>
      <c r="G93" s="25" t="str">
        <f>"－"</f>
        <v>－</v>
      </c>
      <c r="H93" s="23"/>
      <c r="I93" s="26" t="n">
        <f>889</f>
        <v>889.0</v>
      </c>
      <c r="J93" s="24"/>
      <c r="K93" s="25" t="n">
        <f>498506190</f>
        <v>4.9850619E8</v>
      </c>
      <c r="L93" s="23"/>
      <c r="M93" s="25" t="str">
        <f>"－"</f>
        <v>－</v>
      </c>
      <c r="N93" s="23"/>
      <c r="O93" s="26" t="n">
        <f>498506190</f>
        <v>4.9850619E8</v>
      </c>
      <c r="P93" s="27" t="str">
        <f>"－"</f>
        <v>－</v>
      </c>
      <c r="Q93" s="28" t="str">
        <f>"－"</f>
        <v>－</v>
      </c>
      <c r="R93" s="29" t="str">
        <f>"－"</f>
        <v>－</v>
      </c>
      <c r="S93" s="24"/>
      <c r="T93" s="25" t="n">
        <f>789</f>
        <v>789.0</v>
      </c>
      <c r="U93" s="23"/>
      <c r="V93" s="25" t="str">
        <f>"－"</f>
        <v>－</v>
      </c>
      <c r="W93" s="23"/>
      <c r="X93" s="26" t="n">
        <f>789</f>
        <v>789.0</v>
      </c>
      <c r="Y93" s="24"/>
      <c r="Z93" s="25" t="n">
        <f>70519</f>
        <v>70519.0</v>
      </c>
      <c r="AA93" s="23"/>
      <c r="AB93" s="25" t="n">
        <f>11990</f>
        <v>11990.0</v>
      </c>
      <c r="AC93" s="23"/>
      <c r="AD93" s="26" t="n">
        <f>82509</f>
        <v>82509.0</v>
      </c>
    </row>
    <row r="94">
      <c r="A94" s="30" t="s">
        <v>54</v>
      </c>
      <c r="B94" s="22" t="s">
        <v>62</v>
      </c>
      <c r="C94" s="22" t="s">
        <v>63</v>
      </c>
      <c r="D94" s="24"/>
      <c r="E94" s="25"/>
      <c r="F94" s="23"/>
      <c r="G94" s="25"/>
      <c r="H94" s="23"/>
      <c r="I94" s="26"/>
      <c r="J94" s="24"/>
      <c r="K94" s="25"/>
      <c r="L94" s="23"/>
      <c r="M94" s="25"/>
      <c r="N94" s="23"/>
      <c r="O94" s="26"/>
      <c r="P94" s="27"/>
      <c r="Q94" s="28"/>
      <c r="R94" s="29"/>
      <c r="S94" s="24"/>
      <c r="T94" s="25"/>
      <c r="U94" s="23"/>
      <c r="V94" s="25"/>
      <c r="W94" s="23"/>
      <c r="X94" s="26"/>
      <c r="Y94" s="24"/>
      <c r="Z94" s="25"/>
      <c r="AA94" s="23"/>
      <c r="AB94" s="25"/>
      <c r="AC94" s="23"/>
      <c r="AD94" s="26"/>
    </row>
    <row r="95">
      <c r="A95" s="30" t="s">
        <v>55</v>
      </c>
      <c r="B95" s="22" t="s">
        <v>62</v>
      </c>
      <c r="C95" s="22" t="s">
        <v>63</v>
      </c>
      <c r="D95" s="24"/>
      <c r="E95" s="25"/>
      <c r="F95" s="23"/>
      <c r="G95" s="25"/>
      <c r="H95" s="23"/>
      <c r="I95" s="26"/>
      <c r="J95" s="24"/>
      <c r="K95" s="25"/>
      <c r="L95" s="23"/>
      <c r="M95" s="25"/>
      <c r="N95" s="23"/>
      <c r="O95" s="26"/>
      <c r="P95" s="27"/>
      <c r="Q95" s="28"/>
      <c r="R95" s="29"/>
      <c r="S95" s="24"/>
      <c r="T95" s="25"/>
      <c r="U95" s="23"/>
      <c r="V95" s="25"/>
      <c r="W95" s="23"/>
      <c r="X95" s="26"/>
      <c r="Y95" s="24"/>
      <c r="Z95" s="25"/>
      <c r="AA95" s="23"/>
      <c r="AB95" s="25"/>
      <c r="AC95" s="23"/>
      <c r="AD95" s="26"/>
    </row>
    <row r="96">
      <c r="A96" s="30" t="s">
        <v>56</v>
      </c>
      <c r="B96" s="22" t="s">
        <v>62</v>
      </c>
      <c r="C96" s="22" t="s">
        <v>63</v>
      </c>
      <c r="D96" s="24"/>
      <c r="E96" s="25" t="n">
        <f>4200</f>
        <v>4200.0</v>
      </c>
      <c r="F96" s="23"/>
      <c r="G96" s="25" t="str">
        <f>"－"</f>
        <v>－</v>
      </c>
      <c r="H96" s="23"/>
      <c r="I96" s="26" t="n">
        <f>4200</f>
        <v>4200.0</v>
      </c>
      <c r="J96" s="24"/>
      <c r="K96" s="25" t="n">
        <f>986610800</f>
        <v>9.866108E8</v>
      </c>
      <c r="L96" s="23"/>
      <c r="M96" s="25" t="str">
        <f>"－"</f>
        <v>－</v>
      </c>
      <c r="N96" s="23"/>
      <c r="O96" s="26" t="n">
        <f>986610800</f>
        <v>9.866108E8</v>
      </c>
      <c r="P96" s="27" t="str">
        <f>"－"</f>
        <v>－</v>
      </c>
      <c r="Q96" s="28" t="str">
        <f>"－"</f>
        <v>－</v>
      </c>
      <c r="R96" s="29" t="str">
        <f>"－"</f>
        <v>－</v>
      </c>
      <c r="S96" s="24"/>
      <c r="T96" s="25" t="str">
        <f>"－"</f>
        <v>－</v>
      </c>
      <c r="U96" s="23"/>
      <c r="V96" s="25" t="str">
        <f>"－"</f>
        <v>－</v>
      </c>
      <c r="W96" s="23"/>
      <c r="X96" s="26" t="str">
        <f>"－"</f>
        <v>－</v>
      </c>
      <c r="Y96" s="24"/>
      <c r="Z96" s="25" t="n">
        <f>71919</f>
        <v>71919.0</v>
      </c>
      <c r="AA96" s="23"/>
      <c r="AB96" s="25" t="n">
        <f>11990</f>
        <v>11990.0</v>
      </c>
      <c r="AC96" s="23"/>
      <c r="AD96" s="26" t="n">
        <f>83909</f>
        <v>83909.0</v>
      </c>
    </row>
    <row r="97">
      <c r="A97" s="30" t="s">
        <v>57</v>
      </c>
      <c r="B97" s="22" t="s">
        <v>62</v>
      </c>
      <c r="C97" s="22" t="s">
        <v>63</v>
      </c>
      <c r="D97" s="24"/>
      <c r="E97" s="25" t="n">
        <f>200</f>
        <v>200.0</v>
      </c>
      <c r="F97" s="23"/>
      <c r="G97" s="25" t="str">
        <f>"－"</f>
        <v>－</v>
      </c>
      <c r="H97" s="23"/>
      <c r="I97" s="26" t="n">
        <f>200</f>
        <v>200.0</v>
      </c>
      <c r="J97" s="24"/>
      <c r="K97" s="25" t="n">
        <f>10390000</f>
        <v>1.039E7</v>
      </c>
      <c r="L97" s="23"/>
      <c r="M97" s="25" t="str">
        <f>"－"</f>
        <v>－</v>
      </c>
      <c r="N97" s="23"/>
      <c r="O97" s="26" t="n">
        <f>10390000</f>
        <v>1.039E7</v>
      </c>
      <c r="P97" s="27" t="str">
        <f>"－"</f>
        <v>－</v>
      </c>
      <c r="Q97" s="28" t="str">
        <f>"－"</f>
        <v>－</v>
      </c>
      <c r="R97" s="29" t="str">
        <f>"－"</f>
        <v>－</v>
      </c>
      <c r="S97" s="24"/>
      <c r="T97" s="25" t="str">
        <f>"－"</f>
        <v>－</v>
      </c>
      <c r="U97" s="23"/>
      <c r="V97" s="25" t="str">
        <f>"－"</f>
        <v>－</v>
      </c>
      <c r="W97" s="23"/>
      <c r="X97" s="26" t="str">
        <f>"－"</f>
        <v>－</v>
      </c>
      <c r="Y97" s="24"/>
      <c r="Z97" s="25" t="n">
        <f>72119</f>
        <v>72119.0</v>
      </c>
      <c r="AA97" s="23"/>
      <c r="AB97" s="25" t="n">
        <f>11990</f>
        <v>11990.0</v>
      </c>
      <c r="AC97" s="23"/>
      <c r="AD97" s="26" t="n">
        <f>84109</f>
        <v>84109.0</v>
      </c>
    </row>
    <row r="98">
      <c r="A98" s="30" t="s">
        <v>58</v>
      </c>
      <c r="B98" s="22" t="s">
        <v>62</v>
      </c>
      <c r="C98" s="22" t="s">
        <v>63</v>
      </c>
      <c r="D98" s="24"/>
      <c r="E98" s="25" t="n">
        <f>2704</f>
        <v>2704.0</v>
      </c>
      <c r="F98" s="23"/>
      <c r="G98" s="25" t="str">
        <f>"－"</f>
        <v>－</v>
      </c>
      <c r="H98" s="23"/>
      <c r="I98" s="26" t="n">
        <f>2704</f>
        <v>2704.0</v>
      </c>
      <c r="J98" s="24"/>
      <c r="K98" s="25" t="n">
        <f>861875640</f>
        <v>8.6187564E8</v>
      </c>
      <c r="L98" s="23"/>
      <c r="M98" s="25" t="str">
        <f>"－"</f>
        <v>－</v>
      </c>
      <c r="N98" s="23"/>
      <c r="O98" s="26" t="n">
        <f>861875640</f>
        <v>8.6187564E8</v>
      </c>
      <c r="P98" s="27" t="str">
        <f>"－"</f>
        <v>－</v>
      </c>
      <c r="Q98" s="28" t="str">
        <f>"－"</f>
        <v>－</v>
      </c>
      <c r="R98" s="29" t="str">
        <f>"－"</f>
        <v>－</v>
      </c>
      <c r="S98" s="24"/>
      <c r="T98" s="25" t="n">
        <f>2704</f>
        <v>2704.0</v>
      </c>
      <c r="U98" s="23"/>
      <c r="V98" s="25" t="str">
        <f>"－"</f>
        <v>－</v>
      </c>
      <c r="W98" s="23"/>
      <c r="X98" s="26" t="n">
        <f>2704</f>
        <v>2704.0</v>
      </c>
      <c r="Y98" s="24"/>
      <c r="Z98" s="25" t="n">
        <f>74045</f>
        <v>74045.0</v>
      </c>
      <c r="AA98" s="23"/>
      <c r="AB98" s="25" t="n">
        <f>11990</f>
        <v>11990.0</v>
      </c>
      <c r="AC98" s="23"/>
      <c r="AD98" s="26" t="n">
        <f>86035</f>
        <v>86035.0</v>
      </c>
    </row>
    <row r="99">
      <c r="A99" s="30" t="s">
        <v>59</v>
      </c>
      <c r="B99" s="22" t="s">
        <v>62</v>
      </c>
      <c r="C99" s="22" t="s">
        <v>63</v>
      </c>
      <c r="D99" s="24"/>
      <c r="E99" s="25" t="n">
        <f>700</f>
        <v>700.0</v>
      </c>
      <c r="F99" s="23"/>
      <c r="G99" s="25" t="str">
        <f>"－"</f>
        <v>－</v>
      </c>
      <c r="H99" s="23"/>
      <c r="I99" s="26" t="n">
        <f>700</f>
        <v>700.0</v>
      </c>
      <c r="J99" s="24"/>
      <c r="K99" s="25" t="n">
        <f>134750000</f>
        <v>1.3475E8</v>
      </c>
      <c r="L99" s="23"/>
      <c r="M99" s="25" t="str">
        <f>"－"</f>
        <v>－</v>
      </c>
      <c r="N99" s="23"/>
      <c r="O99" s="26" t="n">
        <f>134750000</f>
        <v>1.3475E8</v>
      </c>
      <c r="P99" s="27" t="str">
        <f>"－"</f>
        <v>－</v>
      </c>
      <c r="Q99" s="28" t="str">
        <f>"－"</f>
        <v>－</v>
      </c>
      <c r="R99" s="29" t="str">
        <f>"－"</f>
        <v>－</v>
      </c>
      <c r="S99" s="24"/>
      <c r="T99" s="25" t="n">
        <f>700</f>
        <v>700.0</v>
      </c>
      <c r="U99" s="23"/>
      <c r="V99" s="25" t="str">
        <f>"－"</f>
        <v>－</v>
      </c>
      <c r="W99" s="23"/>
      <c r="X99" s="26" t="n">
        <f>700</f>
        <v>700.0</v>
      </c>
      <c r="Y99" s="24"/>
      <c r="Z99" s="25" t="n">
        <f>74645</f>
        <v>74645.0</v>
      </c>
      <c r="AA99" s="23"/>
      <c r="AB99" s="25" t="n">
        <f>11990</f>
        <v>11990.0</v>
      </c>
      <c r="AC99" s="23"/>
      <c r="AD99" s="26" t="n">
        <f>86635</f>
        <v>86635.0</v>
      </c>
    </row>
    <row r="100">
      <c r="A100" s="30" t="s">
        <v>26</v>
      </c>
      <c r="B100" s="22" t="s">
        <v>64</v>
      </c>
      <c r="C100" s="22" t="s">
        <v>65</v>
      </c>
      <c r="D100" s="24" t="s">
        <v>66</v>
      </c>
      <c r="E100" s="25" t="str">
        <f>"－"</f>
        <v>－</v>
      </c>
      <c r="F100" s="23" t="s">
        <v>66</v>
      </c>
      <c r="G100" s="25" t="str">
        <f>"－"</f>
        <v>－</v>
      </c>
      <c r="H100" s="23" t="s">
        <v>66</v>
      </c>
      <c r="I100" s="26" t="str">
        <f>"－"</f>
        <v>－</v>
      </c>
      <c r="J100" s="24" t="s">
        <v>66</v>
      </c>
      <c r="K100" s="25" t="str">
        <f>"－"</f>
        <v>－</v>
      </c>
      <c r="L100" s="23" t="s">
        <v>66</v>
      </c>
      <c r="M100" s="25" t="str">
        <f>"－"</f>
        <v>－</v>
      </c>
      <c r="N100" s="23" t="s">
        <v>66</v>
      </c>
      <c r="O100" s="26" t="str">
        <f>"－"</f>
        <v>－</v>
      </c>
      <c r="P100" s="27" t="str">
        <f>"－"</f>
        <v>－</v>
      </c>
      <c r="Q100" s="28" t="str">
        <f>"－"</f>
        <v>－</v>
      </c>
      <c r="R100" s="29" t="str">
        <f>"－"</f>
        <v>－</v>
      </c>
      <c r="S100" s="24" t="s">
        <v>66</v>
      </c>
      <c r="T100" s="25" t="str">
        <f>"－"</f>
        <v>－</v>
      </c>
      <c r="U100" s="23" t="s">
        <v>66</v>
      </c>
      <c r="V100" s="25" t="str">
        <f>"－"</f>
        <v>－</v>
      </c>
      <c r="W100" s="23" t="s">
        <v>66</v>
      </c>
      <c r="X100" s="26" t="str">
        <f>"－"</f>
        <v>－</v>
      </c>
      <c r="Y100" s="24" t="s">
        <v>66</v>
      </c>
      <c r="Z100" s="25" t="str">
        <f>"－"</f>
        <v>－</v>
      </c>
      <c r="AA100" s="23" t="s">
        <v>66</v>
      </c>
      <c r="AB100" s="25" t="str">
        <f>"－"</f>
        <v>－</v>
      </c>
      <c r="AC100" s="23" t="s">
        <v>66</v>
      </c>
      <c r="AD100" s="26" t="str">
        <f>"－"</f>
        <v>－</v>
      </c>
    </row>
    <row r="101">
      <c r="A101" s="30" t="s">
        <v>29</v>
      </c>
      <c r="B101" s="22" t="s">
        <v>64</v>
      </c>
      <c r="C101" s="22" t="s">
        <v>65</v>
      </c>
      <c r="D101" s="24"/>
      <c r="E101" s="25" t="str">
        <f>"－"</f>
        <v>－</v>
      </c>
      <c r="F101" s="23"/>
      <c r="G101" s="25" t="str">
        <f>"－"</f>
        <v>－</v>
      </c>
      <c r="H101" s="23"/>
      <c r="I101" s="26" t="str">
        <f>"－"</f>
        <v>－</v>
      </c>
      <c r="J101" s="24"/>
      <c r="K101" s="25" t="str">
        <f>"－"</f>
        <v>－</v>
      </c>
      <c r="L101" s="23"/>
      <c r="M101" s="25" t="str">
        <f>"－"</f>
        <v>－</v>
      </c>
      <c r="N101" s="23"/>
      <c r="O101" s="26" t="str">
        <f>"－"</f>
        <v>－</v>
      </c>
      <c r="P101" s="27" t="str">
        <f>"－"</f>
        <v>－</v>
      </c>
      <c r="Q101" s="28" t="str">
        <f>"－"</f>
        <v>－</v>
      </c>
      <c r="R101" s="29" t="str">
        <f>"－"</f>
        <v>－</v>
      </c>
      <c r="S101" s="24"/>
      <c r="T101" s="25" t="str">
        <f>"－"</f>
        <v>－</v>
      </c>
      <c r="U101" s="23"/>
      <c r="V101" s="25" t="str">
        <f>"－"</f>
        <v>－</v>
      </c>
      <c r="W101" s="23"/>
      <c r="X101" s="26" t="str">
        <f>"－"</f>
        <v>－</v>
      </c>
      <c r="Y101" s="24"/>
      <c r="Z101" s="25" t="str">
        <f>"－"</f>
        <v>－</v>
      </c>
      <c r="AA101" s="23"/>
      <c r="AB101" s="25" t="str">
        <f>"－"</f>
        <v>－</v>
      </c>
      <c r="AC101" s="23"/>
      <c r="AD101" s="26" t="str">
        <f>"－"</f>
        <v>－</v>
      </c>
    </row>
    <row r="102">
      <c r="A102" s="30" t="s">
        <v>30</v>
      </c>
      <c r="B102" s="22" t="s">
        <v>64</v>
      </c>
      <c r="C102" s="22" t="s">
        <v>65</v>
      </c>
      <c r="D102" s="24"/>
      <c r="E102" s="25" t="str">
        <f>"－"</f>
        <v>－</v>
      </c>
      <c r="F102" s="23"/>
      <c r="G102" s="25" t="str">
        <f>"－"</f>
        <v>－</v>
      </c>
      <c r="H102" s="23"/>
      <c r="I102" s="26" t="str">
        <f>"－"</f>
        <v>－</v>
      </c>
      <c r="J102" s="24"/>
      <c r="K102" s="25" t="str">
        <f>"－"</f>
        <v>－</v>
      </c>
      <c r="L102" s="23"/>
      <c r="M102" s="25" t="str">
        <f>"－"</f>
        <v>－</v>
      </c>
      <c r="N102" s="23"/>
      <c r="O102" s="26" t="str">
        <f>"－"</f>
        <v>－</v>
      </c>
      <c r="P102" s="27" t="str">
        <f>"－"</f>
        <v>－</v>
      </c>
      <c r="Q102" s="28" t="str">
        <f>"－"</f>
        <v>－</v>
      </c>
      <c r="R102" s="29" t="str">
        <f>"－"</f>
        <v>－</v>
      </c>
      <c r="S102" s="24"/>
      <c r="T102" s="25" t="str">
        <f>"－"</f>
        <v>－</v>
      </c>
      <c r="U102" s="23"/>
      <c r="V102" s="25" t="str">
        <f>"－"</f>
        <v>－</v>
      </c>
      <c r="W102" s="23"/>
      <c r="X102" s="26" t="str">
        <f>"－"</f>
        <v>－</v>
      </c>
      <c r="Y102" s="24"/>
      <c r="Z102" s="25" t="str">
        <f>"－"</f>
        <v>－</v>
      </c>
      <c r="AA102" s="23"/>
      <c r="AB102" s="25" t="str">
        <f>"－"</f>
        <v>－</v>
      </c>
      <c r="AC102" s="23"/>
      <c r="AD102" s="26" t="str">
        <f>"－"</f>
        <v>－</v>
      </c>
    </row>
    <row r="103">
      <c r="A103" s="30" t="s">
        <v>32</v>
      </c>
      <c r="B103" s="22" t="s">
        <v>64</v>
      </c>
      <c r="C103" s="22" t="s">
        <v>65</v>
      </c>
      <c r="D103" s="24"/>
      <c r="E103" s="25"/>
      <c r="F103" s="23"/>
      <c r="G103" s="25"/>
      <c r="H103" s="23"/>
      <c r="I103" s="26"/>
      <c r="J103" s="24"/>
      <c r="K103" s="25"/>
      <c r="L103" s="23"/>
      <c r="M103" s="25"/>
      <c r="N103" s="23"/>
      <c r="O103" s="26"/>
      <c r="P103" s="27"/>
      <c r="Q103" s="28"/>
      <c r="R103" s="29"/>
      <c r="S103" s="24"/>
      <c r="T103" s="25"/>
      <c r="U103" s="23"/>
      <c r="V103" s="25"/>
      <c r="W103" s="23"/>
      <c r="X103" s="26"/>
      <c r="Y103" s="24"/>
      <c r="Z103" s="25"/>
      <c r="AA103" s="23"/>
      <c r="AB103" s="25"/>
      <c r="AC103" s="23"/>
      <c r="AD103" s="26"/>
    </row>
    <row r="104">
      <c r="A104" s="30" t="s">
        <v>33</v>
      </c>
      <c r="B104" s="22" t="s">
        <v>64</v>
      </c>
      <c r="C104" s="22" t="s">
        <v>65</v>
      </c>
      <c r="D104" s="24"/>
      <c r="E104" s="25"/>
      <c r="F104" s="23"/>
      <c r="G104" s="25"/>
      <c r="H104" s="23"/>
      <c r="I104" s="26"/>
      <c r="J104" s="24"/>
      <c r="K104" s="25"/>
      <c r="L104" s="23"/>
      <c r="M104" s="25"/>
      <c r="N104" s="23"/>
      <c r="O104" s="26"/>
      <c r="P104" s="27"/>
      <c r="Q104" s="28"/>
      <c r="R104" s="29"/>
      <c r="S104" s="24"/>
      <c r="T104" s="25"/>
      <c r="U104" s="23"/>
      <c r="V104" s="25"/>
      <c r="W104" s="23"/>
      <c r="X104" s="26"/>
      <c r="Y104" s="24"/>
      <c r="Z104" s="25"/>
      <c r="AA104" s="23"/>
      <c r="AB104" s="25"/>
      <c r="AC104" s="23"/>
      <c r="AD104" s="26"/>
    </row>
    <row r="105">
      <c r="A105" s="30" t="s">
        <v>34</v>
      </c>
      <c r="B105" s="22" t="s">
        <v>64</v>
      </c>
      <c r="C105" s="22" t="s">
        <v>65</v>
      </c>
      <c r="D105" s="24"/>
      <c r="E105" s="25" t="str">
        <f>"－"</f>
        <v>－</v>
      </c>
      <c r="F105" s="23"/>
      <c r="G105" s="25" t="str">
        <f>"－"</f>
        <v>－</v>
      </c>
      <c r="H105" s="23"/>
      <c r="I105" s="26" t="str">
        <f>"－"</f>
        <v>－</v>
      </c>
      <c r="J105" s="24"/>
      <c r="K105" s="25" t="str">
        <f>"－"</f>
        <v>－</v>
      </c>
      <c r="L105" s="23"/>
      <c r="M105" s="25" t="str">
        <f>"－"</f>
        <v>－</v>
      </c>
      <c r="N105" s="23"/>
      <c r="O105" s="26" t="str">
        <f>"－"</f>
        <v>－</v>
      </c>
      <c r="P105" s="27" t="str">
        <f>"－"</f>
        <v>－</v>
      </c>
      <c r="Q105" s="28" t="str">
        <f>"－"</f>
        <v>－</v>
      </c>
      <c r="R105" s="29" t="str">
        <f>"－"</f>
        <v>－</v>
      </c>
      <c r="S105" s="24"/>
      <c r="T105" s="25" t="str">
        <f>"－"</f>
        <v>－</v>
      </c>
      <c r="U105" s="23"/>
      <c r="V105" s="25" t="str">
        <f>"－"</f>
        <v>－</v>
      </c>
      <c r="W105" s="23"/>
      <c r="X105" s="26" t="str">
        <f>"－"</f>
        <v>－</v>
      </c>
      <c r="Y105" s="24"/>
      <c r="Z105" s="25" t="str">
        <f>"－"</f>
        <v>－</v>
      </c>
      <c r="AA105" s="23"/>
      <c r="AB105" s="25" t="str">
        <f>"－"</f>
        <v>－</v>
      </c>
      <c r="AC105" s="23"/>
      <c r="AD105" s="26" t="str">
        <f>"－"</f>
        <v>－</v>
      </c>
    </row>
    <row r="106">
      <c r="A106" s="30" t="s">
        <v>35</v>
      </c>
      <c r="B106" s="22" t="s">
        <v>64</v>
      </c>
      <c r="C106" s="22" t="s">
        <v>65</v>
      </c>
      <c r="D106" s="24"/>
      <c r="E106" s="25" t="str">
        <f>"－"</f>
        <v>－</v>
      </c>
      <c r="F106" s="23"/>
      <c r="G106" s="25" t="str">
        <f>"－"</f>
        <v>－</v>
      </c>
      <c r="H106" s="23"/>
      <c r="I106" s="26" t="str">
        <f>"－"</f>
        <v>－</v>
      </c>
      <c r="J106" s="24"/>
      <c r="K106" s="25" t="str">
        <f>"－"</f>
        <v>－</v>
      </c>
      <c r="L106" s="23"/>
      <c r="M106" s="25" t="str">
        <f>"－"</f>
        <v>－</v>
      </c>
      <c r="N106" s="23"/>
      <c r="O106" s="26" t="str">
        <f>"－"</f>
        <v>－</v>
      </c>
      <c r="P106" s="27" t="str">
        <f>"－"</f>
        <v>－</v>
      </c>
      <c r="Q106" s="28" t="str">
        <f>"－"</f>
        <v>－</v>
      </c>
      <c r="R106" s="29" t="str">
        <f>"－"</f>
        <v>－</v>
      </c>
      <c r="S106" s="24"/>
      <c r="T106" s="25" t="str">
        <f>"－"</f>
        <v>－</v>
      </c>
      <c r="U106" s="23"/>
      <c r="V106" s="25" t="str">
        <f>"－"</f>
        <v>－</v>
      </c>
      <c r="W106" s="23"/>
      <c r="X106" s="26" t="str">
        <f>"－"</f>
        <v>－</v>
      </c>
      <c r="Y106" s="24"/>
      <c r="Z106" s="25" t="str">
        <f>"－"</f>
        <v>－</v>
      </c>
      <c r="AA106" s="23"/>
      <c r="AB106" s="25" t="str">
        <f>"－"</f>
        <v>－</v>
      </c>
      <c r="AC106" s="23"/>
      <c r="AD106" s="26" t="str">
        <f>"－"</f>
        <v>－</v>
      </c>
    </row>
    <row r="107">
      <c r="A107" s="30" t="s">
        <v>37</v>
      </c>
      <c r="B107" s="22" t="s">
        <v>64</v>
      </c>
      <c r="C107" s="22" t="s">
        <v>65</v>
      </c>
      <c r="D107" s="24"/>
      <c r="E107" s="25" t="str">
        <f>"－"</f>
        <v>－</v>
      </c>
      <c r="F107" s="23"/>
      <c r="G107" s="25" t="str">
        <f>"－"</f>
        <v>－</v>
      </c>
      <c r="H107" s="23"/>
      <c r="I107" s="26" t="str">
        <f>"－"</f>
        <v>－</v>
      </c>
      <c r="J107" s="24"/>
      <c r="K107" s="25" t="str">
        <f>"－"</f>
        <v>－</v>
      </c>
      <c r="L107" s="23"/>
      <c r="M107" s="25" t="str">
        <f>"－"</f>
        <v>－</v>
      </c>
      <c r="N107" s="23"/>
      <c r="O107" s="26" t="str">
        <f>"－"</f>
        <v>－</v>
      </c>
      <c r="P107" s="27" t="str">
        <f>"－"</f>
        <v>－</v>
      </c>
      <c r="Q107" s="28" t="str">
        <f>"－"</f>
        <v>－</v>
      </c>
      <c r="R107" s="29" t="str">
        <f>"－"</f>
        <v>－</v>
      </c>
      <c r="S107" s="24"/>
      <c r="T107" s="25" t="str">
        <f>"－"</f>
        <v>－</v>
      </c>
      <c r="U107" s="23"/>
      <c r="V107" s="25" t="str">
        <f>"－"</f>
        <v>－</v>
      </c>
      <c r="W107" s="23"/>
      <c r="X107" s="26" t="str">
        <f>"－"</f>
        <v>－</v>
      </c>
      <c r="Y107" s="24"/>
      <c r="Z107" s="25" t="str">
        <f>"－"</f>
        <v>－</v>
      </c>
      <c r="AA107" s="23"/>
      <c r="AB107" s="25" t="str">
        <f>"－"</f>
        <v>－</v>
      </c>
      <c r="AC107" s="23"/>
      <c r="AD107" s="26" t="str">
        <f>"－"</f>
        <v>－</v>
      </c>
    </row>
    <row r="108">
      <c r="A108" s="30" t="s">
        <v>38</v>
      </c>
      <c r="B108" s="22" t="s">
        <v>64</v>
      </c>
      <c r="C108" s="22" t="s">
        <v>65</v>
      </c>
      <c r="D108" s="24"/>
      <c r="E108" s="25" t="str">
        <f>"－"</f>
        <v>－</v>
      </c>
      <c r="F108" s="23"/>
      <c r="G108" s="25" t="str">
        <f>"－"</f>
        <v>－</v>
      </c>
      <c r="H108" s="23"/>
      <c r="I108" s="26" t="str">
        <f>"－"</f>
        <v>－</v>
      </c>
      <c r="J108" s="24"/>
      <c r="K108" s="25" t="str">
        <f>"－"</f>
        <v>－</v>
      </c>
      <c r="L108" s="23"/>
      <c r="M108" s="25" t="str">
        <f>"－"</f>
        <v>－</v>
      </c>
      <c r="N108" s="23"/>
      <c r="O108" s="26" t="str">
        <f>"－"</f>
        <v>－</v>
      </c>
      <c r="P108" s="27" t="str">
        <f>"－"</f>
        <v>－</v>
      </c>
      <c r="Q108" s="28" t="str">
        <f>"－"</f>
        <v>－</v>
      </c>
      <c r="R108" s="29" t="str">
        <f>"－"</f>
        <v>－</v>
      </c>
      <c r="S108" s="24"/>
      <c r="T108" s="25" t="str">
        <f>"－"</f>
        <v>－</v>
      </c>
      <c r="U108" s="23"/>
      <c r="V108" s="25" t="str">
        <f>"－"</f>
        <v>－</v>
      </c>
      <c r="W108" s="23"/>
      <c r="X108" s="26" t="str">
        <f>"－"</f>
        <v>－</v>
      </c>
      <c r="Y108" s="24"/>
      <c r="Z108" s="25" t="str">
        <f>"－"</f>
        <v>－</v>
      </c>
      <c r="AA108" s="23"/>
      <c r="AB108" s="25" t="str">
        <f>"－"</f>
        <v>－</v>
      </c>
      <c r="AC108" s="23"/>
      <c r="AD108" s="26" t="str">
        <f>"－"</f>
        <v>－</v>
      </c>
    </row>
    <row r="109">
      <c r="A109" s="30" t="s">
        <v>39</v>
      </c>
      <c r="B109" s="22" t="s">
        <v>64</v>
      </c>
      <c r="C109" s="22" t="s">
        <v>65</v>
      </c>
      <c r="D109" s="24"/>
      <c r="E109" s="25" t="str">
        <f>"－"</f>
        <v>－</v>
      </c>
      <c r="F109" s="23"/>
      <c r="G109" s="25" t="str">
        <f>"－"</f>
        <v>－</v>
      </c>
      <c r="H109" s="23"/>
      <c r="I109" s="26" t="str">
        <f>"－"</f>
        <v>－</v>
      </c>
      <c r="J109" s="24"/>
      <c r="K109" s="25" t="str">
        <f>"－"</f>
        <v>－</v>
      </c>
      <c r="L109" s="23"/>
      <c r="M109" s="25" t="str">
        <f>"－"</f>
        <v>－</v>
      </c>
      <c r="N109" s="23"/>
      <c r="O109" s="26" t="str">
        <f>"－"</f>
        <v>－</v>
      </c>
      <c r="P109" s="27" t="str">
        <f>"－"</f>
        <v>－</v>
      </c>
      <c r="Q109" s="28" t="str">
        <f>"－"</f>
        <v>－</v>
      </c>
      <c r="R109" s="29" t="str">
        <f>"－"</f>
        <v>－</v>
      </c>
      <c r="S109" s="24"/>
      <c r="T109" s="25" t="str">
        <f>"－"</f>
        <v>－</v>
      </c>
      <c r="U109" s="23"/>
      <c r="V109" s="25" t="str">
        <f>"－"</f>
        <v>－</v>
      </c>
      <c r="W109" s="23"/>
      <c r="X109" s="26" t="str">
        <f>"－"</f>
        <v>－</v>
      </c>
      <c r="Y109" s="24"/>
      <c r="Z109" s="25" t="str">
        <f>"－"</f>
        <v>－</v>
      </c>
      <c r="AA109" s="23"/>
      <c r="AB109" s="25" t="str">
        <f>"－"</f>
        <v>－</v>
      </c>
      <c r="AC109" s="23"/>
      <c r="AD109" s="26" t="str">
        <f>"－"</f>
        <v>－</v>
      </c>
    </row>
    <row r="110">
      <c r="A110" s="30" t="s">
        <v>40</v>
      </c>
      <c r="B110" s="22" t="s">
        <v>64</v>
      </c>
      <c r="C110" s="22" t="s">
        <v>65</v>
      </c>
      <c r="D110" s="24"/>
      <c r="E110" s="25"/>
      <c r="F110" s="23"/>
      <c r="G110" s="25"/>
      <c r="H110" s="23"/>
      <c r="I110" s="26"/>
      <c r="J110" s="24"/>
      <c r="K110" s="25"/>
      <c r="L110" s="23"/>
      <c r="M110" s="25"/>
      <c r="N110" s="23"/>
      <c r="O110" s="26"/>
      <c r="P110" s="27"/>
      <c r="Q110" s="28"/>
      <c r="R110" s="29"/>
      <c r="S110" s="24"/>
      <c r="T110" s="25"/>
      <c r="U110" s="23"/>
      <c r="V110" s="25"/>
      <c r="W110" s="23"/>
      <c r="X110" s="26"/>
      <c r="Y110" s="24"/>
      <c r="Z110" s="25"/>
      <c r="AA110" s="23"/>
      <c r="AB110" s="25"/>
      <c r="AC110" s="23"/>
      <c r="AD110" s="26"/>
    </row>
    <row r="111">
      <c r="A111" s="30" t="s">
        <v>41</v>
      </c>
      <c r="B111" s="22" t="s">
        <v>64</v>
      </c>
      <c r="C111" s="22" t="s">
        <v>65</v>
      </c>
      <c r="D111" s="24"/>
      <c r="E111" s="25"/>
      <c r="F111" s="23"/>
      <c r="G111" s="25"/>
      <c r="H111" s="23"/>
      <c r="I111" s="26"/>
      <c r="J111" s="24"/>
      <c r="K111" s="25"/>
      <c r="L111" s="23"/>
      <c r="M111" s="25"/>
      <c r="N111" s="23"/>
      <c r="O111" s="26"/>
      <c r="P111" s="27"/>
      <c r="Q111" s="28"/>
      <c r="R111" s="29"/>
      <c r="S111" s="24"/>
      <c r="T111" s="25"/>
      <c r="U111" s="23"/>
      <c r="V111" s="25"/>
      <c r="W111" s="23"/>
      <c r="X111" s="26"/>
      <c r="Y111" s="24"/>
      <c r="Z111" s="25"/>
      <c r="AA111" s="23"/>
      <c r="AB111" s="25"/>
      <c r="AC111" s="23"/>
      <c r="AD111" s="26"/>
    </row>
    <row r="112">
      <c r="A112" s="30" t="s">
        <v>42</v>
      </c>
      <c r="B112" s="22" t="s">
        <v>64</v>
      </c>
      <c r="C112" s="22" t="s">
        <v>65</v>
      </c>
      <c r="D112" s="24"/>
      <c r="E112" s="25" t="str">
        <f>"－"</f>
        <v>－</v>
      </c>
      <c r="F112" s="23"/>
      <c r="G112" s="25" t="str">
        <f>"－"</f>
        <v>－</v>
      </c>
      <c r="H112" s="23"/>
      <c r="I112" s="26" t="str">
        <f>"－"</f>
        <v>－</v>
      </c>
      <c r="J112" s="24"/>
      <c r="K112" s="25" t="str">
        <f>"－"</f>
        <v>－</v>
      </c>
      <c r="L112" s="23"/>
      <c r="M112" s="25" t="str">
        <f>"－"</f>
        <v>－</v>
      </c>
      <c r="N112" s="23"/>
      <c r="O112" s="26" t="str">
        <f>"－"</f>
        <v>－</v>
      </c>
      <c r="P112" s="27" t="str">
        <f>"－"</f>
        <v>－</v>
      </c>
      <c r="Q112" s="28" t="str">
        <f>"－"</f>
        <v>－</v>
      </c>
      <c r="R112" s="29" t="str">
        <f>"－"</f>
        <v>－</v>
      </c>
      <c r="S112" s="24"/>
      <c r="T112" s="25" t="str">
        <f>"－"</f>
        <v>－</v>
      </c>
      <c r="U112" s="23"/>
      <c r="V112" s="25" t="str">
        <f>"－"</f>
        <v>－</v>
      </c>
      <c r="W112" s="23"/>
      <c r="X112" s="26" t="str">
        <f>"－"</f>
        <v>－</v>
      </c>
      <c r="Y112" s="24"/>
      <c r="Z112" s="25" t="str">
        <f>"－"</f>
        <v>－</v>
      </c>
      <c r="AA112" s="23"/>
      <c r="AB112" s="25" t="str">
        <f>"－"</f>
        <v>－</v>
      </c>
      <c r="AC112" s="23"/>
      <c r="AD112" s="26" t="str">
        <f>"－"</f>
        <v>－</v>
      </c>
    </row>
    <row r="113">
      <c r="A113" s="30" t="s">
        <v>43</v>
      </c>
      <c r="B113" s="22" t="s">
        <v>64</v>
      </c>
      <c r="C113" s="22" t="s">
        <v>65</v>
      </c>
      <c r="D113" s="24"/>
      <c r="E113" s="25" t="str">
        <f>"－"</f>
        <v>－</v>
      </c>
      <c r="F113" s="23"/>
      <c r="G113" s="25" t="str">
        <f>"－"</f>
        <v>－</v>
      </c>
      <c r="H113" s="23"/>
      <c r="I113" s="26" t="str">
        <f>"－"</f>
        <v>－</v>
      </c>
      <c r="J113" s="24"/>
      <c r="K113" s="25" t="str">
        <f>"－"</f>
        <v>－</v>
      </c>
      <c r="L113" s="23"/>
      <c r="M113" s="25" t="str">
        <f>"－"</f>
        <v>－</v>
      </c>
      <c r="N113" s="23"/>
      <c r="O113" s="26" t="str">
        <f>"－"</f>
        <v>－</v>
      </c>
      <c r="P113" s="27" t="str">
        <f>"－"</f>
        <v>－</v>
      </c>
      <c r="Q113" s="28" t="str">
        <f>"－"</f>
        <v>－</v>
      </c>
      <c r="R113" s="29" t="str">
        <f>"－"</f>
        <v>－</v>
      </c>
      <c r="S113" s="24"/>
      <c r="T113" s="25" t="str">
        <f>"－"</f>
        <v>－</v>
      </c>
      <c r="U113" s="23"/>
      <c r="V113" s="25" t="str">
        <f>"－"</f>
        <v>－</v>
      </c>
      <c r="W113" s="23"/>
      <c r="X113" s="26" t="str">
        <f>"－"</f>
        <v>－</v>
      </c>
      <c r="Y113" s="24"/>
      <c r="Z113" s="25" t="str">
        <f>"－"</f>
        <v>－</v>
      </c>
      <c r="AA113" s="23"/>
      <c r="AB113" s="25" t="str">
        <f>"－"</f>
        <v>－</v>
      </c>
      <c r="AC113" s="23"/>
      <c r="AD113" s="26" t="str">
        <f>"－"</f>
        <v>－</v>
      </c>
    </row>
    <row r="114">
      <c r="A114" s="30" t="s">
        <v>44</v>
      </c>
      <c r="B114" s="22" t="s">
        <v>64</v>
      </c>
      <c r="C114" s="22" t="s">
        <v>65</v>
      </c>
      <c r="D114" s="24"/>
      <c r="E114" s="25" t="str">
        <f>"－"</f>
        <v>－</v>
      </c>
      <c r="F114" s="23"/>
      <c r="G114" s="25" t="str">
        <f>"－"</f>
        <v>－</v>
      </c>
      <c r="H114" s="23"/>
      <c r="I114" s="26" t="str">
        <f>"－"</f>
        <v>－</v>
      </c>
      <c r="J114" s="24"/>
      <c r="K114" s="25" t="str">
        <f>"－"</f>
        <v>－</v>
      </c>
      <c r="L114" s="23"/>
      <c r="M114" s="25" t="str">
        <f>"－"</f>
        <v>－</v>
      </c>
      <c r="N114" s="23"/>
      <c r="O114" s="26" t="str">
        <f>"－"</f>
        <v>－</v>
      </c>
      <c r="P114" s="27" t="str">
        <f>"－"</f>
        <v>－</v>
      </c>
      <c r="Q114" s="28" t="str">
        <f>"－"</f>
        <v>－</v>
      </c>
      <c r="R114" s="29" t="str">
        <f>"－"</f>
        <v>－</v>
      </c>
      <c r="S114" s="24"/>
      <c r="T114" s="25" t="str">
        <f>"－"</f>
        <v>－</v>
      </c>
      <c r="U114" s="23"/>
      <c r="V114" s="25" t="str">
        <f>"－"</f>
        <v>－</v>
      </c>
      <c r="W114" s="23"/>
      <c r="X114" s="26" t="str">
        <f>"－"</f>
        <v>－</v>
      </c>
      <c r="Y114" s="24"/>
      <c r="Z114" s="25" t="str">
        <f>"－"</f>
        <v>－</v>
      </c>
      <c r="AA114" s="23"/>
      <c r="AB114" s="25" t="str">
        <f>"－"</f>
        <v>－</v>
      </c>
      <c r="AC114" s="23"/>
      <c r="AD114" s="26" t="str">
        <f>"－"</f>
        <v>－</v>
      </c>
    </row>
    <row r="115">
      <c r="A115" s="30" t="s">
        <v>45</v>
      </c>
      <c r="B115" s="22" t="s">
        <v>64</v>
      </c>
      <c r="C115" s="22" t="s">
        <v>65</v>
      </c>
      <c r="D115" s="24"/>
      <c r="E115" s="25" t="str">
        <f>"－"</f>
        <v>－</v>
      </c>
      <c r="F115" s="23"/>
      <c r="G115" s="25" t="str">
        <f>"－"</f>
        <v>－</v>
      </c>
      <c r="H115" s="23"/>
      <c r="I115" s="26" t="str">
        <f>"－"</f>
        <v>－</v>
      </c>
      <c r="J115" s="24"/>
      <c r="K115" s="25" t="str">
        <f>"－"</f>
        <v>－</v>
      </c>
      <c r="L115" s="23"/>
      <c r="M115" s="25" t="str">
        <f>"－"</f>
        <v>－</v>
      </c>
      <c r="N115" s="23"/>
      <c r="O115" s="26" t="str">
        <f>"－"</f>
        <v>－</v>
      </c>
      <c r="P115" s="27" t="str">
        <f>"－"</f>
        <v>－</v>
      </c>
      <c r="Q115" s="28" t="str">
        <f>"－"</f>
        <v>－</v>
      </c>
      <c r="R115" s="29" t="str">
        <f>"－"</f>
        <v>－</v>
      </c>
      <c r="S115" s="24"/>
      <c r="T115" s="25" t="str">
        <f>"－"</f>
        <v>－</v>
      </c>
      <c r="U115" s="23"/>
      <c r="V115" s="25" t="str">
        <f>"－"</f>
        <v>－</v>
      </c>
      <c r="W115" s="23"/>
      <c r="X115" s="26" t="str">
        <f>"－"</f>
        <v>－</v>
      </c>
      <c r="Y115" s="24"/>
      <c r="Z115" s="25" t="str">
        <f>"－"</f>
        <v>－</v>
      </c>
      <c r="AA115" s="23"/>
      <c r="AB115" s="25" t="str">
        <f>"－"</f>
        <v>－</v>
      </c>
      <c r="AC115" s="23"/>
      <c r="AD115" s="26" t="str">
        <f>"－"</f>
        <v>－</v>
      </c>
    </row>
    <row r="116">
      <c r="A116" s="30" t="s">
        <v>46</v>
      </c>
      <c r="B116" s="22" t="s">
        <v>64</v>
      </c>
      <c r="C116" s="22" t="s">
        <v>65</v>
      </c>
      <c r="D116" s="24"/>
      <c r="E116" s="25" t="str">
        <f>"－"</f>
        <v>－</v>
      </c>
      <c r="F116" s="23"/>
      <c r="G116" s="25" t="str">
        <f>"－"</f>
        <v>－</v>
      </c>
      <c r="H116" s="23"/>
      <c r="I116" s="26" t="str">
        <f>"－"</f>
        <v>－</v>
      </c>
      <c r="J116" s="24"/>
      <c r="K116" s="25" t="str">
        <f>"－"</f>
        <v>－</v>
      </c>
      <c r="L116" s="23"/>
      <c r="M116" s="25" t="str">
        <f>"－"</f>
        <v>－</v>
      </c>
      <c r="N116" s="23"/>
      <c r="O116" s="26" t="str">
        <f>"－"</f>
        <v>－</v>
      </c>
      <c r="P116" s="27" t="str">
        <f>"－"</f>
        <v>－</v>
      </c>
      <c r="Q116" s="28" t="str">
        <f>"－"</f>
        <v>－</v>
      </c>
      <c r="R116" s="29" t="str">
        <f>"－"</f>
        <v>－</v>
      </c>
      <c r="S116" s="24"/>
      <c r="T116" s="25" t="str">
        <f>"－"</f>
        <v>－</v>
      </c>
      <c r="U116" s="23"/>
      <c r="V116" s="25" t="str">
        <f>"－"</f>
        <v>－</v>
      </c>
      <c r="W116" s="23"/>
      <c r="X116" s="26" t="str">
        <f>"－"</f>
        <v>－</v>
      </c>
      <c r="Y116" s="24"/>
      <c r="Z116" s="25" t="str">
        <f>"－"</f>
        <v>－</v>
      </c>
      <c r="AA116" s="23"/>
      <c r="AB116" s="25" t="str">
        <f>"－"</f>
        <v>－</v>
      </c>
      <c r="AC116" s="23"/>
      <c r="AD116" s="26" t="str">
        <f>"－"</f>
        <v>－</v>
      </c>
    </row>
    <row r="117">
      <c r="A117" s="30" t="s">
        <v>47</v>
      </c>
      <c r="B117" s="22" t="s">
        <v>64</v>
      </c>
      <c r="C117" s="22" t="s">
        <v>65</v>
      </c>
      <c r="D117" s="24"/>
      <c r="E117" s="25"/>
      <c r="F117" s="23"/>
      <c r="G117" s="25"/>
      <c r="H117" s="23"/>
      <c r="I117" s="26"/>
      <c r="J117" s="24"/>
      <c r="K117" s="25"/>
      <c r="L117" s="23"/>
      <c r="M117" s="25"/>
      <c r="N117" s="23"/>
      <c r="O117" s="26"/>
      <c r="P117" s="27"/>
      <c r="Q117" s="28"/>
      <c r="R117" s="29"/>
      <c r="S117" s="24"/>
      <c r="T117" s="25"/>
      <c r="U117" s="23"/>
      <c r="V117" s="25"/>
      <c r="W117" s="23"/>
      <c r="X117" s="26"/>
      <c r="Y117" s="24"/>
      <c r="Z117" s="25"/>
      <c r="AA117" s="23"/>
      <c r="AB117" s="25"/>
      <c r="AC117" s="23"/>
      <c r="AD117" s="26"/>
    </row>
    <row r="118">
      <c r="A118" s="30" t="s">
        <v>48</v>
      </c>
      <c r="B118" s="22" t="s">
        <v>64</v>
      </c>
      <c r="C118" s="22" t="s">
        <v>65</v>
      </c>
      <c r="D118" s="24"/>
      <c r="E118" s="25"/>
      <c r="F118" s="23"/>
      <c r="G118" s="25"/>
      <c r="H118" s="23"/>
      <c r="I118" s="26"/>
      <c r="J118" s="24"/>
      <c r="K118" s="25"/>
      <c r="L118" s="23"/>
      <c r="M118" s="25"/>
      <c r="N118" s="23"/>
      <c r="O118" s="26"/>
      <c r="P118" s="27"/>
      <c r="Q118" s="28"/>
      <c r="R118" s="29"/>
      <c r="S118" s="24"/>
      <c r="T118" s="25"/>
      <c r="U118" s="23"/>
      <c r="V118" s="25"/>
      <c r="W118" s="23"/>
      <c r="X118" s="26"/>
      <c r="Y118" s="24"/>
      <c r="Z118" s="25"/>
      <c r="AA118" s="23"/>
      <c r="AB118" s="25"/>
      <c r="AC118" s="23"/>
      <c r="AD118" s="26"/>
    </row>
    <row r="119">
      <c r="A119" s="30" t="s">
        <v>49</v>
      </c>
      <c r="B119" s="22" t="s">
        <v>64</v>
      </c>
      <c r="C119" s="22" t="s">
        <v>65</v>
      </c>
      <c r="D119" s="24"/>
      <c r="E119" s="25" t="str">
        <f>"－"</f>
        <v>－</v>
      </c>
      <c r="F119" s="23"/>
      <c r="G119" s="25" t="str">
        <f>"－"</f>
        <v>－</v>
      </c>
      <c r="H119" s="23"/>
      <c r="I119" s="26" t="str">
        <f>"－"</f>
        <v>－</v>
      </c>
      <c r="J119" s="24"/>
      <c r="K119" s="25" t="str">
        <f>"－"</f>
        <v>－</v>
      </c>
      <c r="L119" s="23"/>
      <c r="M119" s="25" t="str">
        <f>"－"</f>
        <v>－</v>
      </c>
      <c r="N119" s="23"/>
      <c r="O119" s="26" t="str">
        <f>"－"</f>
        <v>－</v>
      </c>
      <c r="P119" s="27" t="str">
        <f>"－"</f>
        <v>－</v>
      </c>
      <c r="Q119" s="28" t="str">
        <f>"－"</f>
        <v>－</v>
      </c>
      <c r="R119" s="29" t="str">
        <f>"－"</f>
        <v>－</v>
      </c>
      <c r="S119" s="24"/>
      <c r="T119" s="25" t="str">
        <f>"－"</f>
        <v>－</v>
      </c>
      <c r="U119" s="23"/>
      <c r="V119" s="25" t="str">
        <f>"－"</f>
        <v>－</v>
      </c>
      <c r="W119" s="23"/>
      <c r="X119" s="26" t="str">
        <f>"－"</f>
        <v>－</v>
      </c>
      <c r="Y119" s="24"/>
      <c r="Z119" s="25" t="str">
        <f>"－"</f>
        <v>－</v>
      </c>
      <c r="AA119" s="23"/>
      <c r="AB119" s="25" t="str">
        <f>"－"</f>
        <v>－</v>
      </c>
      <c r="AC119" s="23"/>
      <c r="AD119" s="26" t="str">
        <f>"－"</f>
        <v>－</v>
      </c>
    </row>
    <row r="120">
      <c r="A120" s="30" t="s">
        <v>50</v>
      </c>
      <c r="B120" s="22" t="s">
        <v>64</v>
      </c>
      <c r="C120" s="22" t="s">
        <v>65</v>
      </c>
      <c r="D120" s="24"/>
      <c r="E120" s="25" t="str">
        <f>"－"</f>
        <v>－</v>
      </c>
      <c r="F120" s="23"/>
      <c r="G120" s="25" t="str">
        <f>"－"</f>
        <v>－</v>
      </c>
      <c r="H120" s="23"/>
      <c r="I120" s="26" t="str">
        <f>"－"</f>
        <v>－</v>
      </c>
      <c r="J120" s="24"/>
      <c r="K120" s="25" t="str">
        <f>"－"</f>
        <v>－</v>
      </c>
      <c r="L120" s="23"/>
      <c r="M120" s="25" t="str">
        <f>"－"</f>
        <v>－</v>
      </c>
      <c r="N120" s="23"/>
      <c r="O120" s="26" t="str">
        <f>"－"</f>
        <v>－</v>
      </c>
      <c r="P120" s="27" t="str">
        <f>"－"</f>
        <v>－</v>
      </c>
      <c r="Q120" s="28" t="str">
        <f>"－"</f>
        <v>－</v>
      </c>
      <c r="R120" s="29" t="str">
        <f>"－"</f>
        <v>－</v>
      </c>
      <c r="S120" s="24"/>
      <c r="T120" s="25" t="str">
        <f>"－"</f>
        <v>－</v>
      </c>
      <c r="U120" s="23"/>
      <c r="V120" s="25" t="str">
        <f>"－"</f>
        <v>－</v>
      </c>
      <c r="W120" s="23"/>
      <c r="X120" s="26" t="str">
        <f>"－"</f>
        <v>－</v>
      </c>
      <c r="Y120" s="24"/>
      <c r="Z120" s="25" t="str">
        <f>"－"</f>
        <v>－</v>
      </c>
      <c r="AA120" s="23"/>
      <c r="AB120" s="25" t="str">
        <f>"－"</f>
        <v>－</v>
      </c>
      <c r="AC120" s="23"/>
      <c r="AD120" s="26" t="str">
        <f>"－"</f>
        <v>－</v>
      </c>
    </row>
    <row r="121">
      <c r="A121" s="30" t="s">
        <v>51</v>
      </c>
      <c r="B121" s="22" t="s">
        <v>64</v>
      </c>
      <c r="C121" s="22" t="s">
        <v>65</v>
      </c>
      <c r="D121" s="24"/>
      <c r="E121" s="25" t="str">
        <f>"－"</f>
        <v>－</v>
      </c>
      <c r="F121" s="23"/>
      <c r="G121" s="25" t="str">
        <f>"－"</f>
        <v>－</v>
      </c>
      <c r="H121" s="23"/>
      <c r="I121" s="26" t="str">
        <f>"－"</f>
        <v>－</v>
      </c>
      <c r="J121" s="24"/>
      <c r="K121" s="25" t="str">
        <f>"－"</f>
        <v>－</v>
      </c>
      <c r="L121" s="23"/>
      <c r="M121" s="25" t="str">
        <f>"－"</f>
        <v>－</v>
      </c>
      <c r="N121" s="23"/>
      <c r="O121" s="26" t="str">
        <f>"－"</f>
        <v>－</v>
      </c>
      <c r="P121" s="27" t="str">
        <f>"－"</f>
        <v>－</v>
      </c>
      <c r="Q121" s="28" t="str">
        <f>"－"</f>
        <v>－</v>
      </c>
      <c r="R121" s="29" t="str">
        <f>"－"</f>
        <v>－</v>
      </c>
      <c r="S121" s="24"/>
      <c r="T121" s="25" t="str">
        <f>"－"</f>
        <v>－</v>
      </c>
      <c r="U121" s="23"/>
      <c r="V121" s="25" t="str">
        <f>"－"</f>
        <v>－</v>
      </c>
      <c r="W121" s="23"/>
      <c r="X121" s="26" t="str">
        <f>"－"</f>
        <v>－</v>
      </c>
      <c r="Y121" s="24"/>
      <c r="Z121" s="25" t="str">
        <f>"－"</f>
        <v>－</v>
      </c>
      <c r="AA121" s="23"/>
      <c r="AB121" s="25" t="str">
        <f>"－"</f>
        <v>－</v>
      </c>
      <c r="AC121" s="23"/>
      <c r="AD121" s="26" t="str">
        <f>"－"</f>
        <v>－</v>
      </c>
    </row>
    <row r="122">
      <c r="A122" s="30" t="s">
        <v>52</v>
      </c>
      <c r="B122" s="22" t="s">
        <v>64</v>
      </c>
      <c r="C122" s="22" t="s">
        <v>65</v>
      </c>
      <c r="D122" s="24"/>
      <c r="E122" s="25" t="str">
        <f>"－"</f>
        <v>－</v>
      </c>
      <c r="F122" s="23"/>
      <c r="G122" s="25" t="str">
        <f>"－"</f>
        <v>－</v>
      </c>
      <c r="H122" s="23"/>
      <c r="I122" s="26" t="str">
        <f>"－"</f>
        <v>－</v>
      </c>
      <c r="J122" s="24"/>
      <c r="K122" s="25" t="str">
        <f>"－"</f>
        <v>－</v>
      </c>
      <c r="L122" s="23"/>
      <c r="M122" s="25" t="str">
        <f>"－"</f>
        <v>－</v>
      </c>
      <c r="N122" s="23"/>
      <c r="O122" s="26" t="str">
        <f>"－"</f>
        <v>－</v>
      </c>
      <c r="P122" s="27" t="str">
        <f>"－"</f>
        <v>－</v>
      </c>
      <c r="Q122" s="28" t="str">
        <f>"－"</f>
        <v>－</v>
      </c>
      <c r="R122" s="29" t="str">
        <f>"－"</f>
        <v>－</v>
      </c>
      <c r="S122" s="24"/>
      <c r="T122" s="25" t="str">
        <f>"－"</f>
        <v>－</v>
      </c>
      <c r="U122" s="23"/>
      <c r="V122" s="25" t="str">
        <f>"－"</f>
        <v>－</v>
      </c>
      <c r="W122" s="23"/>
      <c r="X122" s="26" t="str">
        <f>"－"</f>
        <v>－</v>
      </c>
      <c r="Y122" s="24"/>
      <c r="Z122" s="25" t="str">
        <f>"－"</f>
        <v>－</v>
      </c>
      <c r="AA122" s="23"/>
      <c r="AB122" s="25" t="str">
        <f>"－"</f>
        <v>－</v>
      </c>
      <c r="AC122" s="23"/>
      <c r="AD122" s="26" t="str">
        <f>"－"</f>
        <v>－</v>
      </c>
    </row>
    <row r="123">
      <c r="A123" s="30" t="s">
        <v>53</v>
      </c>
      <c r="B123" s="22" t="s">
        <v>64</v>
      </c>
      <c r="C123" s="22" t="s">
        <v>65</v>
      </c>
      <c r="D123" s="24"/>
      <c r="E123" s="25" t="str">
        <f>"－"</f>
        <v>－</v>
      </c>
      <c r="F123" s="23"/>
      <c r="G123" s="25" t="str">
        <f>"－"</f>
        <v>－</v>
      </c>
      <c r="H123" s="23"/>
      <c r="I123" s="26" t="str">
        <f>"－"</f>
        <v>－</v>
      </c>
      <c r="J123" s="24"/>
      <c r="K123" s="25" t="str">
        <f>"－"</f>
        <v>－</v>
      </c>
      <c r="L123" s="23"/>
      <c r="M123" s="25" t="str">
        <f>"－"</f>
        <v>－</v>
      </c>
      <c r="N123" s="23"/>
      <c r="O123" s="26" t="str">
        <f>"－"</f>
        <v>－</v>
      </c>
      <c r="P123" s="27" t="str">
        <f>"－"</f>
        <v>－</v>
      </c>
      <c r="Q123" s="28" t="str">
        <f>"－"</f>
        <v>－</v>
      </c>
      <c r="R123" s="29" t="str">
        <f>"－"</f>
        <v>－</v>
      </c>
      <c r="S123" s="24"/>
      <c r="T123" s="25" t="str">
        <f>"－"</f>
        <v>－</v>
      </c>
      <c r="U123" s="23"/>
      <c r="V123" s="25" t="str">
        <f>"－"</f>
        <v>－</v>
      </c>
      <c r="W123" s="23"/>
      <c r="X123" s="26" t="str">
        <f>"－"</f>
        <v>－</v>
      </c>
      <c r="Y123" s="24"/>
      <c r="Z123" s="25" t="str">
        <f>"－"</f>
        <v>－</v>
      </c>
      <c r="AA123" s="23"/>
      <c r="AB123" s="25" t="str">
        <f>"－"</f>
        <v>－</v>
      </c>
      <c r="AC123" s="23"/>
      <c r="AD123" s="26" t="str">
        <f>"－"</f>
        <v>－</v>
      </c>
    </row>
    <row r="124">
      <c r="A124" s="30" t="s">
        <v>54</v>
      </c>
      <c r="B124" s="22" t="s">
        <v>64</v>
      </c>
      <c r="C124" s="22" t="s">
        <v>65</v>
      </c>
      <c r="D124" s="24"/>
      <c r="E124" s="25"/>
      <c r="F124" s="23"/>
      <c r="G124" s="25"/>
      <c r="H124" s="23"/>
      <c r="I124" s="26"/>
      <c r="J124" s="24"/>
      <c r="K124" s="25"/>
      <c r="L124" s="23"/>
      <c r="M124" s="25"/>
      <c r="N124" s="23"/>
      <c r="O124" s="26"/>
      <c r="P124" s="27"/>
      <c r="Q124" s="28"/>
      <c r="R124" s="29"/>
      <c r="S124" s="24"/>
      <c r="T124" s="25"/>
      <c r="U124" s="23"/>
      <c r="V124" s="25"/>
      <c r="W124" s="23"/>
      <c r="X124" s="26"/>
      <c r="Y124" s="24"/>
      <c r="Z124" s="25"/>
      <c r="AA124" s="23"/>
      <c r="AB124" s="25"/>
      <c r="AC124" s="23"/>
      <c r="AD124" s="26"/>
    </row>
    <row r="125">
      <c r="A125" s="30" t="s">
        <v>55</v>
      </c>
      <c r="B125" s="22" t="s">
        <v>64</v>
      </c>
      <c r="C125" s="22" t="s">
        <v>65</v>
      </c>
      <c r="D125" s="24"/>
      <c r="E125" s="25"/>
      <c r="F125" s="23"/>
      <c r="G125" s="25"/>
      <c r="H125" s="23"/>
      <c r="I125" s="26"/>
      <c r="J125" s="24"/>
      <c r="K125" s="25"/>
      <c r="L125" s="23"/>
      <c r="M125" s="25"/>
      <c r="N125" s="23"/>
      <c r="O125" s="26"/>
      <c r="P125" s="27"/>
      <c r="Q125" s="28"/>
      <c r="R125" s="29"/>
      <c r="S125" s="24"/>
      <c r="T125" s="25"/>
      <c r="U125" s="23"/>
      <c r="V125" s="25"/>
      <c r="W125" s="23"/>
      <c r="X125" s="26"/>
      <c r="Y125" s="24"/>
      <c r="Z125" s="25"/>
      <c r="AA125" s="23"/>
      <c r="AB125" s="25"/>
      <c r="AC125" s="23"/>
      <c r="AD125" s="26"/>
    </row>
    <row r="126">
      <c r="A126" s="30" t="s">
        <v>56</v>
      </c>
      <c r="B126" s="22" t="s">
        <v>64</v>
      </c>
      <c r="C126" s="22" t="s">
        <v>65</v>
      </c>
      <c r="D126" s="24"/>
      <c r="E126" s="25" t="str">
        <f>"－"</f>
        <v>－</v>
      </c>
      <c r="F126" s="23"/>
      <c r="G126" s="25" t="str">
        <f>"－"</f>
        <v>－</v>
      </c>
      <c r="H126" s="23"/>
      <c r="I126" s="26" t="str">
        <f>"－"</f>
        <v>－</v>
      </c>
      <c r="J126" s="24"/>
      <c r="K126" s="25" t="str">
        <f>"－"</f>
        <v>－</v>
      </c>
      <c r="L126" s="23"/>
      <c r="M126" s="25" t="str">
        <f>"－"</f>
        <v>－</v>
      </c>
      <c r="N126" s="23"/>
      <c r="O126" s="26" t="str">
        <f>"－"</f>
        <v>－</v>
      </c>
      <c r="P126" s="27" t="str">
        <f>"－"</f>
        <v>－</v>
      </c>
      <c r="Q126" s="28" t="str">
        <f>"－"</f>
        <v>－</v>
      </c>
      <c r="R126" s="29" t="str">
        <f>"－"</f>
        <v>－</v>
      </c>
      <c r="S126" s="24"/>
      <c r="T126" s="25" t="str">
        <f>"－"</f>
        <v>－</v>
      </c>
      <c r="U126" s="23"/>
      <c r="V126" s="25" t="str">
        <f>"－"</f>
        <v>－</v>
      </c>
      <c r="W126" s="23"/>
      <c r="X126" s="26" t="str">
        <f>"－"</f>
        <v>－</v>
      </c>
      <c r="Y126" s="24"/>
      <c r="Z126" s="25" t="str">
        <f>"－"</f>
        <v>－</v>
      </c>
      <c r="AA126" s="23"/>
      <c r="AB126" s="25" t="str">
        <f>"－"</f>
        <v>－</v>
      </c>
      <c r="AC126" s="23"/>
      <c r="AD126" s="26" t="str">
        <f>"－"</f>
        <v>－</v>
      </c>
    </row>
    <row r="127">
      <c r="A127" s="30" t="s">
        <v>57</v>
      </c>
      <c r="B127" s="22" t="s">
        <v>64</v>
      </c>
      <c r="C127" s="22" t="s">
        <v>65</v>
      </c>
      <c r="D127" s="24"/>
      <c r="E127" s="25" t="str">
        <f>"－"</f>
        <v>－</v>
      </c>
      <c r="F127" s="23"/>
      <c r="G127" s="25" t="str">
        <f>"－"</f>
        <v>－</v>
      </c>
      <c r="H127" s="23"/>
      <c r="I127" s="26" t="str">
        <f>"－"</f>
        <v>－</v>
      </c>
      <c r="J127" s="24"/>
      <c r="K127" s="25" t="str">
        <f>"－"</f>
        <v>－</v>
      </c>
      <c r="L127" s="23"/>
      <c r="M127" s="25" t="str">
        <f>"－"</f>
        <v>－</v>
      </c>
      <c r="N127" s="23"/>
      <c r="O127" s="26" t="str">
        <f>"－"</f>
        <v>－</v>
      </c>
      <c r="P127" s="27" t="str">
        <f>"－"</f>
        <v>－</v>
      </c>
      <c r="Q127" s="28" t="str">
        <f>"－"</f>
        <v>－</v>
      </c>
      <c r="R127" s="29" t="str">
        <f>"－"</f>
        <v>－</v>
      </c>
      <c r="S127" s="24"/>
      <c r="T127" s="25" t="str">
        <f>"－"</f>
        <v>－</v>
      </c>
      <c r="U127" s="23"/>
      <c r="V127" s="25" t="str">
        <f>"－"</f>
        <v>－</v>
      </c>
      <c r="W127" s="23"/>
      <c r="X127" s="26" t="str">
        <f>"－"</f>
        <v>－</v>
      </c>
      <c r="Y127" s="24"/>
      <c r="Z127" s="25" t="str">
        <f>"－"</f>
        <v>－</v>
      </c>
      <c r="AA127" s="23"/>
      <c r="AB127" s="25" t="str">
        <f>"－"</f>
        <v>－</v>
      </c>
      <c r="AC127" s="23"/>
      <c r="AD127" s="26" t="str">
        <f>"－"</f>
        <v>－</v>
      </c>
    </row>
    <row r="128">
      <c r="A128" s="30" t="s">
        <v>58</v>
      </c>
      <c r="B128" s="22" t="s">
        <v>64</v>
      </c>
      <c r="C128" s="22" t="s">
        <v>65</v>
      </c>
      <c r="D128" s="24"/>
      <c r="E128" s="25" t="str">
        <f>"－"</f>
        <v>－</v>
      </c>
      <c r="F128" s="23"/>
      <c r="G128" s="25" t="str">
        <f>"－"</f>
        <v>－</v>
      </c>
      <c r="H128" s="23"/>
      <c r="I128" s="26" t="str">
        <f>"－"</f>
        <v>－</v>
      </c>
      <c r="J128" s="24"/>
      <c r="K128" s="25" t="str">
        <f>"－"</f>
        <v>－</v>
      </c>
      <c r="L128" s="23"/>
      <c r="M128" s="25" t="str">
        <f>"－"</f>
        <v>－</v>
      </c>
      <c r="N128" s="23"/>
      <c r="O128" s="26" t="str">
        <f>"－"</f>
        <v>－</v>
      </c>
      <c r="P128" s="27" t="str">
        <f>"－"</f>
        <v>－</v>
      </c>
      <c r="Q128" s="28" t="str">
        <f>"－"</f>
        <v>－</v>
      </c>
      <c r="R128" s="29" t="str">
        <f>"－"</f>
        <v>－</v>
      </c>
      <c r="S128" s="24"/>
      <c r="T128" s="25" t="str">
        <f>"－"</f>
        <v>－</v>
      </c>
      <c r="U128" s="23"/>
      <c r="V128" s="25" t="str">
        <f>"－"</f>
        <v>－</v>
      </c>
      <c r="W128" s="23"/>
      <c r="X128" s="26" t="str">
        <f>"－"</f>
        <v>－</v>
      </c>
      <c r="Y128" s="24"/>
      <c r="Z128" s="25" t="str">
        <f>"－"</f>
        <v>－</v>
      </c>
      <c r="AA128" s="23"/>
      <c r="AB128" s="25" t="str">
        <f>"－"</f>
        <v>－</v>
      </c>
      <c r="AC128" s="23"/>
      <c r="AD128" s="26" t="str">
        <f>"－"</f>
        <v>－</v>
      </c>
    </row>
    <row r="129">
      <c r="A129" s="30" t="s">
        <v>59</v>
      </c>
      <c r="B129" s="22" t="s">
        <v>64</v>
      </c>
      <c r="C129" s="22" t="s">
        <v>65</v>
      </c>
      <c r="D129" s="24"/>
      <c r="E129" s="25" t="str">
        <f>"－"</f>
        <v>－</v>
      </c>
      <c r="F129" s="23"/>
      <c r="G129" s="25" t="str">
        <f>"－"</f>
        <v>－</v>
      </c>
      <c r="H129" s="23"/>
      <c r="I129" s="26" t="str">
        <f>"－"</f>
        <v>－</v>
      </c>
      <c r="J129" s="24"/>
      <c r="K129" s="25" t="str">
        <f>"－"</f>
        <v>－</v>
      </c>
      <c r="L129" s="23"/>
      <c r="M129" s="25" t="str">
        <f>"－"</f>
        <v>－</v>
      </c>
      <c r="N129" s="23"/>
      <c r="O129" s="26" t="str">
        <f>"－"</f>
        <v>－</v>
      </c>
      <c r="P129" s="27" t="str">
        <f>"－"</f>
        <v>－</v>
      </c>
      <c r="Q129" s="28" t="str">
        <f>"－"</f>
        <v>－</v>
      </c>
      <c r="R129" s="29" t="str">
        <f>"－"</f>
        <v>－</v>
      </c>
      <c r="S129" s="24"/>
      <c r="T129" s="25" t="str">
        <f>"－"</f>
        <v>－</v>
      </c>
      <c r="U129" s="23"/>
      <c r="V129" s="25" t="str">
        <f>"－"</f>
        <v>－</v>
      </c>
      <c r="W129" s="23"/>
      <c r="X129" s="26" t="str">
        <f>"－"</f>
        <v>－</v>
      </c>
      <c r="Y129" s="24"/>
      <c r="Z129" s="25" t="str">
        <f>"－"</f>
        <v>－</v>
      </c>
      <c r="AA129" s="23"/>
      <c r="AB129" s="25" t="str">
        <f>"－"</f>
        <v>－</v>
      </c>
      <c r="AC129" s="23"/>
      <c r="AD129" s="26" t="str">
        <f>"－"</f>
        <v>－</v>
      </c>
    </row>
    <row r="130">
      <c r="A130" s="30" t="s">
        <v>26</v>
      </c>
      <c r="B130" s="22" t="s">
        <v>67</v>
      </c>
      <c r="C130" s="22" t="s">
        <v>68</v>
      </c>
      <c r="D130" s="24"/>
      <c r="E130" s="25"/>
      <c r="F130" s="23"/>
      <c r="G130" s="25"/>
      <c r="H130" s="23"/>
      <c r="I130" s="26"/>
      <c r="J130" s="24"/>
      <c r="K130" s="25"/>
      <c r="L130" s="23"/>
      <c r="M130" s="25"/>
      <c r="N130" s="23"/>
      <c r="O130" s="26"/>
      <c r="P130" s="27"/>
      <c r="Q130" s="28"/>
      <c r="R130" s="29"/>
      <c r="S130" s="24"/>
      <c r="T130" s="25"/>
      <c r="U130" s="23"/>
      <c r="V130" s="25"/>
      <c r="W130" s="23"/>
      <c r="X130" s="26"/>
      <c r="Y130" s="24"/>
      <c r="Z130" s="25"/>
      <c r="AA130" s="23"/>
      <c r="AB130" s="25"/>
      <c r="AC130" s="23"/>
      <c r="AD130" s="26"/>
    </row>
    <row r="131">
      <c r="A131" s="30" t="s">
        <v>29</v>
      </c>
      <c r="B131" s="22" t="s">
        <v>67</v>
      </c>
      <c r="C131" s="22" t="s">
        <v>68</v>
      </c>
      <c r="D131" s="24"/>
      <c r="E131" s="25"/>
      <c r="F131" s="23"/>
      <c r="G131" s="25"/>
      <c r="H131" s="23"/>
      <c r="I131" s="26"/>
      <c r="J131" s="24"/>
      <c r="K131" s="25"/>
      <c r="L131" s="23"/>
      <c r="M131" s="25"/>
      <c r="N131" s="23"/>
      <c r="O131" s="26"/>
      <c r="P131" s="27"/>
      <c r="Q131" s="28"/>
      <c r="R131" s="29"/>
      <c r="S131" s="24"/>
      <c r="T131" s="25"/>
      <c r="U131" s="23"/>
      <c r="V131" s="25"/>
      <c r="W131" s="23"/>
      <c r="X131" s="26"/>
      <c r="Y131" s="24"/>
      <c r="Z131" s="25"/>
      <c r="AA131" s="23"/>
      <c r="AB131" s="25"/>
      <c r="AC131" s="23"/>
      <c r="AD131" s="26"/>
    </row>
    <row r="132">
      <c r="A132" s="30" t="s">
        <v>30</v>
      </c>
      <c r="B132" s="22" t="s">
        <v>67</v>
      </c>
      <c r="C132" s="22" t="s">
        <v>68</v>
      </c>
      <c r="D132" s="24"/>
      <c r="E132" s="25"/>
      <c r="F132" s="23"/>
      <c r="G132" s="25"/>
      <c r="H132" s="23"/>
      <c r="I132" s="26"/>
      <c r="J132" s="24"/>
      <c r="K132" s="25"/>
      <c r="L132" s="23"/>
      <c r="M132" s="25"/>
      <c r="N132" s="23"/>
      <c r="O132" s="26"/>
      <c r="P132" s="27"/>
      <c r="Q132" s="28"/>
      <c r="R132" s="29"/>
      <c r="S132" s="24"/>
      <c r="T132" s="25"/>
      <c r="U132" s="23"/>
      <c r="V132" s="25"/>
      <c r="W132" s="23"/>
      <c r="X132" s="26"/>
      <c r="Y132" s="24"/>
      <c r="Z132" s="25"/>
      <c r="AA132" s="23"/>
      <c r="AB132" s="25"/>
      <c r="AC132" s="23"/>
      <c r="AD132" s="26"/>
    </row>
    <row r="133">
      <c r="A133" s="30" t="s">
        <v>32</v>
      </c>
      <c r="B133" s="22" t="s">
        <v>67</v>
      </c>
      <c r="C133" s="22" t="s">
        <v>68</v>
      </c>
      <c r="D133" s="24"/>
      <c r="E133" s="25"/>
      <c r="F133" s="23"/>
      <c r="G133" s="25"/>
      <c r="H133" s="23"/>
      <c r="I133" s="26"/>
      <c r="J133" s="24"/>
      <c r="K133" s="25"/>
      <c r="L133" s="23"/>
      <c r="M133" s="25"/>
      <c r="N133" s="23"/>
      <c r="O133" s="26"/>
      <c r="P133" s="27"/>
      <c r="Q133" s="28"/>
      <c r="R133" s="29"/>
      <c r="S133" s="24"/>
      <c r="T133" s="25"/>
      <c r="U133" s="23"/>
      <c r="V133" s="25"/>
      <c r="W133" s="23"/>
      <c r="X133" s="26"/>
      <c r="Y133" s="24"/>
      <c r="Z133" s="25"/>
      <c r="AA133" s="23"/>
      <c r="AB133" s="25"/>
      <c r="AC133" s="23"/>
      <c r="AD133" s="26"/>
    </row>
    <row r="134">
      <c r="A134" s="30" t="s">
        <v>33</v>
      </c>
      <c r="B134" s="22" t="s">
        <v>67</v>
      </c>
      <c r="C134" s="22" t="s">
        <v>68</v>
      </c>
      <c r="D134" s="24"/>
      <c r="E134" s="25"/>
      <c r="F134" s="23"/>
      <c r="G134" s="25"/>
      <c r="H134" s="23"/>
      <c r="I134" s="26"/>
      <c r="J134" s="24"/>
      <c r="K134" s="25"/>
      <c r="L134" s="23"/>
      <c r="M134" s="25"/>
      <c r="N134" s="23"/>
      <c r="O134" s="26"/>
      <c r="P134" s="27"/>
      <c r="Q134" s="28"/>
      <c r="R134" s="29"/>
      <c r="S134" s="24"/>
      <c r="T134" s="25"/>
      <c r="U134" s="23"/>
      <c r="V134" s="25"/>
      <c r="W134" s="23"/>
      <c r="X134" s="26"/>
      <c r="Y134" s="24"/>
      <c r="Z134" s="25"/>
      <c r="AA134" s="23"/>
      <c r="AB134" s="25"/>
      <c r="AC134" s="23"/>
      <c r="AD134" s="26"/>
    </row>
    <row r="135">
      <c r="A135" s="30" t="s">
        <v>34</v>
      </c>
      <c r="B135" s="22" t="s">
        <v>67</v>
      </c>
      <c r="C135" s="22" t="s">
        <v>68</v>
      </c>
      <c r="D135" s="24"/>
      <c r="E135" s="25"/>
      <c r="F135" s="23"/>
      <c r="G135" s="25"/>
      <c r="H135" s="23"/>
      <c r="I135" s="26"/>
      <c r="J135" s="24"/>
      <c r="K135" s="25"/>
      <c r="L135" s="23"/>
      <c r="M135" s="25"/>
      <c r="N135" s="23"/>
      <c r="O135" s="26"/>
      <c r="P135" s="27"/>
      <c r="Q135" s="28"/>
      <c r="R135" s="29"/>
      <c r="S135" s="24"/>
      <c r="T135" s="25"/>
      <c r="U135" s="23"/>
      <c r="V135" s="25"/>
      <c r="W135" s="23"/>
      <c r="X135" s="26"/>
      <c r="Y135" s="24"/>
      <c r="Z135" s="25"/>
      <c r="AA135" s="23"/>
      <c r="AB135" s="25"/>
      <c r="AC135" s="23"/>
      <c r="AD135" s="26"/>
    </row>
    <row r="136">
      <c r="A136" s="30" t="s">
        <v>35</v>
      </c>
      <c r="B136" s="22" t="s">
        <v>67</v>
      </c>
      <c r="C136" s="22" t="s">
        <v>68</v>
      </c>
      <c r="D136" s="24"/>
      <c r="E136" s="25"/>
      <c r="F136" s="23"/>
      <c r="G136" s="25"/>
      <c r="H136" s="23"/>
      <c r="I136" s="26"/>
      <c r="J136" s="24"/>
      <c r="K136" s="25"/>
      <c r="L136" s="23"/>
      <c r="M136" s="25"/>
      <c r="N136" s="23"/>
      <c r="O136" s="26"/>
      <c r="P136" s="27"/>
      <c r="Q136" s="28"/>
      <c r="R136" s="29"/>
      <c r="S136" s="24"/>
      <c r="T136" s="25"/>
      <c r="U136" s="23"/>
      <c r="V136" s="25"/>
      <c r="W136" s="23"/>
      <c r="X136" s="26"/>
      <c r="Y136" s="24"/>
      <c r="Z136" s="25"/>
      <c r="AA136" s="23"/>
      <c r="AB136" s="25"/>
      <c r="AC136" s="23"/>
      <c r="AD136" s="26"/>
    </row>
    <row r="137">
      <c r="A137" s="30" t="s">
        <v>37</v>
      </c>
      <c r="B137" s="22" t="s">
        <v>67</v>
      </c>
      <c r="C137" s="22" t="s">
        <v>68</v>
      </c>
      <c r="D137" s="24"/>
      <c r="E137" s="25"/>
      <c r="F137" s="23"/>
      <c r="G137" s="25"/>
      <c r="H137" s="23"/>
      <c r="I137" s="26"/>
      <c r="J137" s="24"/>
      <c r="K137" s="25"/>
      <c r="L137" s="23"/>
      <c r="M137" s="25"/>
      <c r="N137" s="23"/>
      <c r="O137" s="26"/>
      <c r="P137" s="27"/>
      <c r="Q137" s="28"/>
      <c r="R137" s="29"/>
      <c r="S137" s="24"/>
      <c r="T137" s="25"/>
      <c r="U137" s="23"/>
      <c r="V137" s="25"/>
      <c r="W137" s="23"/>
      <c r="X137" s="26"/>
      <c r="Y137" s="24"/>
      <c r="Z137" s="25"/>
      <c r="AA137" s="23"/>
      <c r="AB137" s="25"/>
      <c r="AC137" s="23"/>
      <c r="AD137" s="26"/>
    </row>
    <row r="138">
      <c r="A138" s="30" t="s">
        <v>38</v>
      </c>
      <c r="B138" s="22" t="s">
        <v>67</v>
      </c>
      <c r="C138" s="22" t="s">
        <v>68</v>
      </c>
      <c r="D138" s="24"/>
      <c r="E138" s="25"/>
      <c r="F138" s="23"/>
      <c r="G138" s="25"/>
      <c r="H138" s="23"/>
      <c r="I138" s="26"/>
      <c r="J138" s="24"/>
      <c r="K138" s="25"/>
      <c r="L138" s="23"/>
      <c r="M138" s="25"/>
      <c r="N138" s="23"/>
      <c r="O138" s="26"/>
      <c r="P138" s="27"/>
      <c r="Q138" s="28"/>
      <c r="R138" s="29"/>
      <c r="S138" s="24"/>
      <c r="T138" s="25"/>
      <c r="U138" s="23"/>
      <c r="V138" s="25"/>
      <c r="W138" s="23"/>
      <c r="X138" s="26"/>
      <c r="Y138" s="24"/>
      <c r="Z138" s="25"/>
      <c r="AA138" s="23"/>
      <c r="AB138" s="25"/>
      <c r="AC138" s="23"/>
      <c r="AD138" s="26"/>
    </row>
    <row r="139">
      <c r="A139" s="30" t="s">
        <v>39</v>
      </c>
      <c r="B139" s="22" t="s">
        <v>67</v>
      </c>
      <c r="C139" s="22" t="s">
        <v>68</v>
      </c>
      <c r="D139" s="24"/>
      <c r="E139" s="25"/>
      <c r="F139" s="23"/>
      <c r="G139" s="25"/>
      <c r="H139" s="23"/>
      <c r="I139" s="26"/>
      <c r="J139" s="24"/>
      <c r="K139" s="25"/>
      <c r="L139" s="23"/>
      <c r="M139" s="25"/>
      <c r="N139" s="23"/>
      <c r="O139" s="26"/>
      <c r="P139" s="27"/>
      <c r="Q139" s="28"/>
      <c r="R139" s="29"/>
      <c r="S139" s="24"/>
      <c r="T139" s="25"/>
      <c r="U139" s="23"/>
      <c r="V139" s="25"/>
      <c r="W139" s="23"/>
      <c r="X139" s="26"/>
      <c r="Y139" s="24"/>
      <c r="Z139" s="25"/>
      <c r="AA139" s="23"/>
      <c r="AB139" s="25"/>
      <c r="AC139" s="23"/>
      <c r="AD139" s="26"/>
    </row>
    <row r="140">
      <c r="A140" s="30" t="s">
        <v>40</v>
      </c>
      <c r="B140" s="22" t="s">
        <v>67</v>
      </c>
      <c r="C140" s="22" t="s">
        <v>68</v>
      </c>
      <c r="D140" s="24"/>
      <c r="E140" s="25"/>
      <c r="F140" s="23"/>
      <c r="G140" s="25"/>
      <c r="H140" s="23"/>
      <c r="I140" s="26"/>
      <c r="J140" s="24"/>
      <c r="K140" s="25"/>
      <c r="L140" s="23"/>
      <c r="M140" s="25"/>
      <c r="N140" s="23"/>
      <c r="O140" s="26"/>
      <c r="P140" s="27"/>
      <c r="Q140" s="28"/>
      <c r="R140" s="29"/>
      <c r="S140" s="24"/>
      <c r="T140" s="25"/>
      <c r="U140" s="23"/>
      <c r="V140" s="25"/>
      <c r="W140" s="23"/>
      <c r="X140" s="26"/>
      <c r="Y140" s="24"/>
      <c r="Z140" s="25"/>
      <c r="AA140" s="23"/>
      <c r="AB140" s="25"/>
      <c r="AC140" s="23"/>
      <c r="AD140" s="26"/>
    </row>
    <row r="141">
      <c r="A141" s="30" t="s">
        <v>41</v>
      </c>
      <c r="B141" s="22" t="s">
        <v>67</v>
      </c>
      <c r="C141" s="22" t="s">
        <v>68</v>
      </c>
      <c r="D141" s="24"/>
      <c r="E141" s="25"/>
      <c r="F141" s="23"/>
      <c r="G141" s="25"/>
      <c r="H141" s="23"/>
      <c r="I141" s="26"/>
      <c r="J141" s="24"/>
      <c r="K141" s="25"/>
      <c r="L141" s="23"/>
      <c r="M141" s="25"/>
      <c r="N141" s="23"/>
      <c r="O141" s="26"/>
      <c r="P141" s="27"/>
      <c r="Q141" s="28"/>
      <c r="R141" s="29"/>
      <c r="S141" s="24"/>
      <c r="T141" s="25"/>
      <c r="U141" s="23"/>
      <c r="V141" s="25"/>
      <c r="W141" s="23"/>
      <c r="X141" s="26"/>
      <c r="Y141" s="24"/>
      <c r="Z141" s="25"/>
      <c r="AA141" s="23"/>
      <c r="AB141" s="25"/>
      <c r="AC141" s="23"/>
      <c r="AD141" s="26"/>
    </row>
    <row r="142">
      <c r="A142" s="30" t="s">
        <v>42</v>
      </c>
      <c r="B142" s="22" t="s">
        <v>67</v>
      </c>
      <c r="C142" s="22" t="s">
        <v>68</v>
      </c>
      <c r="D142" s="24"/>
      <c r="E142" s="25"/>
      <c r="F142" s="23"/>
      <c r="G142" s="25"/>
      <c r="H142" s="23"/>
      <c r="I142" s="26"/>
      <c r="J142" s="24"/>
      <c r="K142" s="25"/>
      <c r="L142" s="23"/>
      <c r="M142" s="25"/>
      <c r="N142" s="23"/>
      <c r="O142" s="26"/>
      <c r="P142" s="27"/>
      <c r="Q142" s="28"/>
      <c r="R142" s="29"/>
      <c r="S142" s="24"/>
      <c r="T142" s="25"/>
      <c r="U142" s="23"/>
      <c r="V142" s="25"/>
      <c r="W142" s="23"/>
      <c r="X142" s="26"/>
      <c r="Y142" s="24"/>
      <c r="Z142" s="25"/>
      <c r="AA142" s="23"/>
      <c r="AB142" s="25"/>
      <c r="AC142" s="23"/>
      <c r="AD142" s="26"/>
    </row>
    <row r="143">
      <c r="A143" s="30" t="s">
        <v>43</v>
      </c>
      <c r="B143" s="22" t="s">
        <v>67</v>
      </c>
      <c r="C143" s="22" t="s">
        <v>68</v>
      </c>
      <c r="D143" s="24"/>
      <c r="E143" s="25"/>
      <c r="F143" s="23"/>
      <c r="G143" s="25"/>
      <c r="H143" s="23"/>
      <c r="I143" s="26"/>
      <c r="J143" s="24"/>
      <c r="K143" s="25"/>
      <c r="L143" s="23"/>
      <c r="M143" s="25"/>
      <c r="N143" s="23"/>
      <c r="O143" s="26"/>
      <c r="P143" s="27"/>
      <c r="Q143" s="28"/>
      <c r="R143" s="29"/>
      <c r="S143" s="24"/>
      <c r="T143" s="25"/>
      <c r="U143" s="23"/>
      <c r="V143" s="25"/>
      <c r="W143" s="23"/>
      <c r="X143" s="26"/>
      <c r="Y143" s="24"/>
      <c r="Z143" s="25"/>
      <c r="AA143" s="23"/>
      <c r="AB143" s="25"/>
      <c r="AC143" s="23"/>
      <c r="AD143" s="26"/>
    </row>
    <row r="144">
      <c r="A144" s="30" t="s">
        <v>44</v>
      </c>
      <c r="B144" s="22" t="s">
        <v>67</v>
      </c>
      <c r="C144" s="22" t="s">
        <v>68</v>
      </c>
      <c r="D144" s="24"/>
      <c r="E144" s="25"/>
      <c r="F144" s="23"/>
      <c r="G144" s="25"/>
      <c r="H144" s="23"/>
      <c r="I144" s="26"/>
      <c r="J144" s="24"/>
      <c r="K144" s="25"/>
      <c r="L144" s="23"/>
      <c r="M144" s="25"/>
      <c r="N144" s="23"/>
      <c r="O144" s="26"/>
      <c r="P144" s="27"/>
      <c r="Q144" s="28"/>
      <c r="R144" s="29"/>
      <c r="S144" s="24"/>
      <c r="T144" s="25"/>
      <c r="U144" s="23"/>
      <c r="V144" s="25"/>
      <c r="W144" s="23"/>
      <c r="X144" s="26"/>
      <c r="Y144" s="24"/>
      <c r="Z144" s="25"/>
      <c r="AA144" s="23"/>
      <c r="AB144" s="25"/>
      <c r="AC144" s="23"/>
      <c r="AD144" s="26"/>
    </row>
    <row r="145">
      <c r="A145" s="30" t="s">
        <v>45</v>
      </c>
      <c r="B145" s="22" t="s">
        <v>67</v>
      </c>
      <c r="C145" s="22" t="s">
        <v>68</v>
      </c>
      <c r="D145" s="24"/>
      <c r="E145" s="25"/>
      <c r="F145" s="23"/>
      <c r="G145" s="25"/>
      <c r="H145" s="23"/>
      <c r="I145" s="26"/>
      <c r="J145" s="24"/>
      <c r="K145" s="25"/>
      <c r="L145" s="23"/>
      <c r="M145" s="25"/>
      <c r="N145" s="23"/>
      <c r="O145" s="26"/>
      <c r="P145" s="27"/>
      <c r="Q145" s="28"/>
      <c r="R145" s="29"/>
      <c r="S145" s="24"/>
      <c r="T145" s="25"/>
      <c r="U145" s="23"/>
      <c r="V145" s="25"/>
      <c r="W145" s="23"/>
      <c r="X145" s="26"/>
      <c r="Y145" s="24"/>
      <c r="Z145" s="25"/>
      <c r="AA145" s="23"/>
      <c r="AB145" s="25"/>
      <c r="AC145" s="23"/>
      <c r="AD145" s="26"/>
    </row>
    <row r="146">
      <c r="A146" s="30" t="s">
        <v>46</v>
      </c>
      <c r="B146" s="22" t="s">
        <v>67</v>
      </c>
      <c r="C146" s="22" t="s">
        <v>68</v>
      </c>
      <c r="D146" s="24"/>
      <c r="E146" s="25"/>
      <c r="F146" s="23"/>
      <c r="G146" s="25"/>
      <c r="H146" s="23"/>
      <c r="I146" s="26"/>
      <c r="J146" s="24"/>
      <c r="K146" s="25"/>
      <c r="L146" s="23"/>
      <c r="M146" s="25"/>
      <c r="N146" s="23"/>
      <c r="O146" s="26"/>
      <c r="P146" s="27"/>
      <c r="Q146" s="28"/>
      <c r="R146" s="29"/>
      <c r="S146" s="24"/>
      <c r="T146" s="25"/>
      <c r="U146" s="23"/>
      <c r="V146" s="25"/>
      <c r="W146" s="23"/>
      <c r="X146" s="26"/>
      <c r="Y146" s="24"/>
      <c r="Z146" s="25"/>
      <c r="AA146" s="23"/>
      <c r="AB146" s="25"/>
      <c r="AC146" s="23"/>
      <c r="AD146" s="26"/>
    </row>
    <row r="147">
      <c r="A147" s="30" t="s">
        <v>47</v>
      </c>
      <c r="B147" s="22" t="s">
        <v>67</v>
      </c>
      <c r="C147" s="22" t="s">
        <v>68</v>
      </c>
      <c r="D147" s="24"/>
      <c r="E147" s="25"/>
      <c r="F147" s="23"/>
      <c r="G147" s="25"/>
      <c r="H147" s="23"/>
      <c r="I147" s="26"/>
      <c r="J147" s="24"/>
      <c r="K147" s="25"/>
      <c r="L147" s="23"/>
      <c r="M147" s="25"/>
      <c r="N147" s="23"/>
      <c r="O147" s="26"/>
      <c r="P147" s="27"/>
      <c r="Q147" s="28"/>
      <c r="R147" s="29"/>
      <c r="S147" s="24"/>
      <c r="T147" s="25"/>
      <c r="U147" s="23"/>
      <c r="V147" s="25"/>
      <c r="W147" s="23"/>
      <c r="X147" s="26"/>
      <c r="Y147" s="24"/>
      <c r="Z147" s="25"/>
      <c r="AA147" s="23"/>
      <c r="AB147" s="25"/>
      <c r="AC147" s="23"/>
      <c r="AD147" s="26"/>
    </row>
    <row r="148">
      <c r="A148" s="30" t="s">
        <v>48</v>
      </c>
      <c r="B148" s="22" t="s">
        <v>67</v>
      </c>
      <c r="C148" s="22" t="s">
        <v>68</v>
      </c>
      <c r="D148" s="24"/>
      <c r="E148" s="25"/>
      <c r="F148" s="23"/>
      <c r="G148" s="25"/>
      <c r="H148" s="23"/>
      <c r="I148" s="26"/>
      <c r="J148" s="24"/>
      <c r="K148" s="25"/>
      <c r="L148" s="23"/>
      <c r="M148" s="25"/>
      <c r="N148" s="23"/>
      <c r="O148" s="26"/>
      <c r="P148" s="27"/>
      <c r="Q148" s="28"/>
      <c r="R148" s="29"/>
      <c r="S148" s="24"/>
      <c r="T148" s="25"/>
      <c r="U148" s="23"/>
      <c r="V148" s="25"/>
      <c r="W148" s="23"/>
      <c r="X148" s="26"/>
      <c r="Y148" s="24"/>
      <c r="Z148" s="25"/>
      <c r="AA148" s="23"/>
      <c r="AB148" s="25"/>
      <c r="AC148" s="23"/>
      <c r="AD148" s="26"/>
    </row>
    <row r="149">
      <c r="A149" s="30" t="s">
        <v>49</v>
      </c>
      <c r="B149" s="22" t="s">
        <v>67</v>
      </c>
      <c r="C149" s="22" t="s">
        <v>68</v>
      </c>
      <c r="D149" s="24"/>
      <c r="E149" s="25"/>
      <c r="F149" s="23"/>
      <c r="G149" s="25"/>
      <c r="H149" s="23"/>
      <c r="I149" s="26"/>
      <c r="J149" s="24"/>
      <c r="K149" s="25"/>
      <c r="L149" s="23"/>
      <c r="M149" s="25"/>
      <c r="N149" s="23"/>
      <c r="O149" s="26"/>
      <c r="P149" s="27"/>
      <c r="Q149" s="28"/>
      <c r="R149" s="29"/>
      <c r="S149" s="24"/>
      <c r="T149" s="25"/>
      <c r="U149" s="23"/>
      <c r="V149" s="25"/>
      <c r="W149" s="23"/>
      <c r="X149" s="26"/>
      <c r="Y149" s="24"/>
      <c r="Z149" s="25"/>
      <c r="AA149" s="23"/>
      <c r="AB149" s="25"/>
      <c r="AC149" s="23"/>
      <c r="AD149" s="26"/>
    </row>
    <row r="150">
      <c r="A150" s="30" t="s">
        <v>50</v>
      </c>
      <c r="B150" s="22" t="s">
        <v>67</v>
      </c>
      <c r="C150" s="22" t="s">
        <v>68</v>
      </c>
      <c r="D150" s="24"/>
      <c r="E150" s="25"/>
      <c r="F150" s="23"/>
      <c r="G150" s="25"/>
      <c r="H150" s="23"/>
      <c r="I150" s="26"/>
      <c r="J150" s="24"/>
      <c r="K150" s="25"/>
      <c r="L150" s="23"/>
      <c r="M150" s="25"/>
      <c r="N150" s="23"/>
      <c r="O150" s="26"/>
      <c r="P150" s="27"/>
      <c r="Q150" s="28"/>
      <c r="R150" s="29"/>
      <c r="S150" s="24"/>
      <c r="T150" s="25"/>
      <c r="U150" s="23"/>
      <c r="V150" s="25"/>
      <c r="W150" s="23"/>
      <c r="X150" s="26"/>
      <c r="Y150" s="24"/>
      <c r="Z150" s="25"/>
      <c r="AA150" s="23"/>
      <c r="AB150" s="25"/>
      <c r="AC150" s="23"/>
      <c r="AD150" s="26"/>
    </row>
    <row r="151">
      <c r="A151" s="30" t="s">
        <v>51</v>
      </c>
      <c r="B151" s="22" t="s">
        <v>67</v>
      </c>
      <c r="C151" s="22" t="s">
        <v>68</v>
      </c>
      <c r="D151" s="24"/>
      <c r="E151" s="25"/>
      <c r="F151" s="23"/>
      <c r="G151" s="25"/>
      <c r="H151" s="23"/>
      <c r="I151" s="26"/>
      <c r="J151" s="24"/>
      <c r="K151" s="25"/>
      <c r="L151" s="23"/>
      <c r="M151" s="25"/>
      <c r="N151" s="23"/>
      <c r="O151" s="26"/>
      <c r="P151" s="27"/>
      <c r="Q151" s="28"/>
      <c r="R151" s="29"/>
      <c r="S151" s="24"/>
      <c r="T151" s="25"/>
      <c r="U151" s="23"/>
      <c r="V151" s="25"/>
      <c r="W151" s="23"/>
      <c r="X151" s="26"/>
      <c r="Y151" s="24"/>
      <c r="Z151" s="25"/>
      <c r="AA151" s="23"/>
      <c r="AB151" s="25"/>
      <c r="AC151" s="23"/>
      <c r="AD151" s="26"/>
    </row>
    <row r="152">
      <c r="A152" s="30" t="s">
        <v>52</v>
      </c>
      <c r="B152" s="22" t="s">
        <v>67</v>
      </c>
      <c r="C152" s="22" t="s">
        <v>68</v>
      </c>
      <c r="D152" s="24"/>
      <c r="E152" s="25"/>
      <c r="F152" s="23"/>
      <c r="G152" s="25"/>
      <c r="H152" s="23"/>
      <c r="I152" s="26"/>
      <c r="J152" s="24"/>
      <c r="K152" s="25"/>
      <c r="L152" s="23"/>
      <c r="M152" s="25"/>
      <c r="N152" s="23"/>
      <c r="O152" s="26"/>
      <c r="P152" s="27"/>
      <c r="Q152" s="28"/>
      <c r="R152" s="29"/>
      <c r="S152" s="24"/>
      <c r="T152" s="25"/>
      <c r="U152" s="23"/>
      <c r="V152" s="25"/>
      <c r="W152" s="23"/>
      <c r="X152" s="26"/>
      <c r="Y152" s="24"/>
      <c r="Z152" s="25"/>
      <c r="AA152" s="23"/>
      <c r="AB152" s="25"/>
      <c r="AC152" s="23"/>
      <c r="AD152" s="26"/>
    </row>
    <row r="153">
      <c r="A153" s="30" t="s">
        <v>53</v>
      </c>
      <c r="B153" s="22" t="s">
        <v>67</v>
      </c>
      <c r="C153" s="22" t="s">
        <v>68</v>
      </c>
      <c r="D153" s="24"/>
      <c r="E153" s="25"/>
      <c r="F153" s="23"/>
      <c r="G153" s="25"/>
      <c r="H153" s="23"/>
      <c r="I153" s="26"/>
      <c r="J153" s="24"/>
      <c r="K153" s="25"/>
      <c r="L153" s="23"/>
      <c r="M153" s="25"/>
      <c r="N153" s="23"/>
      <c r="O153" s="26"/>
      <c r="P153" s="27"/>
      <c r="Q153" s="28"/>
      <c r="R153" s="29"/>
      <c r="S153" s="24"/>
      <c r="T153" s="25"/>
      <c r="U153" s="23"/>
      <c r="V153" s="25"/>
      <c r="W153" s="23"/>
      <c r="X153" s="26"/>
      <c r="Y153" s="24"/>
      <c r="Z153" s="25"/>
      <c r="AA153" s="23"/>
      <c r="AB153" s="25"/>
      <c r="AC153" s="23"/>
      <c r="AD153" s="26"/>
    </row>
    <row r="154">
      <c r="A154" s="30" t="s">
        <v>54</v>
      </c>
      <c r="B154" s="22" t="s">
        <v>67</v>
      </c>
      <c r="C154" s="22" t="s">
        <v>68</v>
      </c>
      <c r="D154" s="24"/>
      <c r="E154" s="25"/>
      <c r="F154" s="23"/>
      <c r="G154" s="25"/>
      <c r="H154" s="23"/>
      <c r="I154" s="26"/>
      <c r="J154" s="24"/>
      <c r="K154" s="25"/>
      <c r="L154" s="23"/>
      <c r="M154" s="25"/>
      <c r="N154" s="23"/>
      <c r="O154" s="26"/>
      <c r="P154" s="27"/>
      <c r="Q154" s="28"/>
      <c r="R154" s="29"/>
      <c r="S154" s="24"/>
      <c r="T154" s="25"/>
      <c r="U154" s="23"/>
      <c r="V154" s="25"/>
      <c r="W154" s="23"/>
      <c r="X154" s="26"/>
      <c r="Y154" s="24"/>
      <c r="Z154" s="25"/>
      <c r="AA154" s="23"/>
      <c r="AB154" s="25"/>
      <c r="AC154" s="23"/>
      <c r="AD154" s="26"/>
    </row>
    <row r="155">
      <c r="A155" s="30" t="s">
        <v>55</v>
      </c>
      <c r="B155" s="22" t="s">
        <v>67</v>
      </c>
      <c r="C155" s="22" t="s">
        <v>68</v>
      </c>
      <c r="D155" s="24"/>
      <c r="E155" s="25"/>
      <c r="F155" s="23"/>
      <c r="G155" s="25"/>
      <c r="H155" s="23"/>
      <c r="I155" s="26"/>
      <c r="J155" s="24"/>
      <c r="K155" s="25"/>
      <c r="L155" s="23"/>
      <c r="M155" s="25"/>
      <c r="N155" s="23"/>
      <c r="O155" s="26"/>
      <c r="P155" s="27"/>
      <c r="Q155" s="28"/>
      <c r="R155" s="29"/>
      <c r="S155" s="24"/>
      <c r="T155" s="25"/>
      <c r="U155" s="23"/>
      <c r="V155" s="25"/>
      <c r="W155" s="23"/>
      <c r="X155" s="26"/>
      <c r="Y155" s="24"/>
      <c r="Z155" s="25"/>
      <c r="AA155" s="23"/>
      <c r="AB155" s="25"/>
      <c r="AC155" s="23"/>
      <c r="AD155" s="26"/>
    </row>
    <row r="156">
      <c r="A156" s="30" t="s">
        <v>56</v>
      </c>
      <c r="B156" s="22" t="s">
        <v>67</v>
      </c>
      <c r="C156" s="22" t="s">
        <v>68</v>
      </c>
      <c r="D156" s="24"/>
      <c r="E156" s="25"/>
      <c r="F156" s="23"/>
      <c r="G156" s="25"/>
      <c r="H156" s="23"/>
      <c r="I156" s="26"/>
      <c r="J156" s="24"/>
      <c r="K156" s="25"/>
      <c r="L156" s="23"/>
      <c r="M156" s="25"/>
      <c r="N156" s="23"/>
      <c r="O156" s="26"/>
      <c r="P156" s="27"/>
      <c r="Q156" s="28"/>
      <c r="R156" s="29"/>
      <c r="S156" s="24"/>
      <c r="T156" s="25"/>
      <c r="U156" s="23"/>
      <c r="V156" s="25"/>
      <c r="W156" s="23"/>
      <c r="X156" s="26"/>
      <c r="Y156" s="24"/>
      <c r="Z156" s="25"/>
      <c r="AA156" s="23"/>
      <c r="AB156" s="25"/>
      <c r="AC156" s="23"/>
      <c r="AD156" s="26"/>
    </row>
    <row r="157">
      <c r="A157" s="30" t="s">
        <v>57</v>
      </c>
      <c r="B157" s="22" t="s">
        <v>67</v>
      </c>
      <c r="C157" s="22" t="s">
        <v>68</v>
      </c>
      <c r="D157" s="24"/>
      <c r="E157" s="25"/>
      <c r="F157" s="23"/>
      <c r="G157" s="25"/>
      <c r="H157" s="23"/>
      <c r="I157" s="26"/>
      <c r="J157" s="24"/>
      <c r="K157" s="25"/>
      <c r="L157" s="23"/>
      <c r="M157" s="25"/>
      <c r="N157" s="23"/>
      <c r="O157" s="26"/>
      <c r="P157" s="27"/>
      <c r="Q157" s="28"/>
      <c r="R157" s="29"/>
      <c r="S157" s="24"/>
      <c r="T157" s="25"/>
      <c r="U157" s="23"/>
      <c r="V157" s="25"/>
      <c r="W157" s="23"/>
      <c r="X157" s="26"/>
      <c r="Y157" s="24"/>
      <c r="Z157" s="25"/>
      <c r="AA157" s="23"/>
      <c r="AB157" s="25"/>
      <c r="AC157" s="23"/>
      <c r="AD157" s="26"/>
    </row>
    <row r="158">
      <c r="A158" s="30" t="s">
        <v>58</v>
      </c>
      <c r="B158" s="22" t="s">
        <v>67</v>
      </c>
      <c r="C158" s="22" t="s">
        <v>68</v>
      </c>
      <c r="D158" s="24"/>
      <c r="E158" s="25"/>
      <c r="F158" s="23"/>
      <c r="G158" s="25"/>
      <c r="H158" s="23"/>
      <c r="I158" s="26"/>
      <c r="J158" s="24"/>
      <c r="K158" s="25"/>
      <c r="L158" s="23"/>
      <c r="M158" s="25"/>
      <c r="N158" s="23"/>
      <c r="O158" s="26"/>
      <c r="P158" s="27"/>
      <c r="Q158" s="28"/>
      <c r="R158" s="29"/>
      <c r="S158" s="24"/>
      <c r="T158" s="25"/>
      <c r="U158" s="23"/>
      <c r="V158" s="25"/>
      <c r="W158" s="23"/>
      <c r="X158" s="26"/>
      <c r="Y158" s="24"/>
      <c r="Z158" s="25"/>
      <c r="AA158" s="23"/>
      <c r="AB158" s="25"/>
      <c r="AC158" s="23"/>
      <c r="AD158" s="26"/>
    </row>
    <row r="159">
      <c r="A159" s="30" t="s">
        <v>59</v>
      </c>
      <c r="B159" s="22" t="s">
        <v>67</v>
      </c>
      <c r="C159" s="22" t="s">
        <v>68</v>
      </c>
      <c r="D159" s="24"/>
      <c r="E159" s="25"/>
      <c r="F159" s="23"/>
      <c r="G159" s="25"/>
      <c r="H159" s="23"/>
      <c r="I159" s="26"/>
      <c r="J159" s="24"/>
      <c r="K159" s="25"/>
      <c r="L159" s="23"/>
      <c r="M159" s="25"/>
      <c r="N159" s="23"/>
      <c r="O159" s="26"/>
      <c r="P159" s="27"/>
      <c r="Q159" s="28"/>
      <c r="R159" s="29"/>
      <c r="S159" s="24"/>
      <c r="T159" s="25"/>
      <c r="U159" s="23"/>
      <c r="V159" s="25"/>
      <c r="W159" s="23"/>
      <c r="X159" s="26"/>
      <c r="Y159" s="24"/>
      <c r="Z159" s="25"/>
      <c r="AA159" s="23"/>
      <c r="AB159" s="25"/>
      <c r="AC159" s="23"/>
      <c r="AD159" s="26"/>
    </row>
    <row r="160">
      <c r="A160" s="30" t="s">
        <v>26</v>
      </c>
      <c r="B160" s="22" t="s">
        <v>69</v>
      </c>
      <c r="C160" s="22" t="s">
        <v>70</v>
      </c>
      <c r="D160" s="24"/>
      <c r="E160" s="25"/>
      <c r="F160" s="23"/>
      <c r="G160" s="25"/>
      <c r="H160" s="23"/>
      <c r="I160" s="26"/>
      <c r="J160" s="24"/>
      <c r="K160" s="25"/>
      <c r="L160" s="23"/>
      <c r="M160" s="25"/>
      <c r="N160" s="23"/>
      <c r="O160" s="26"/>
      <c r="P160" s="27"/>
      <c r="Q160" s="28"/>
      <c r="R160" s="29"/>
      <c r="S160" s="24"/>
      <c r="T160" s="25"/>
      <c r="U160" s="23"/>
      <c r="V160" s="25"/>
      <c r="W160" s="23"/>
      <c r="X160" s="26"/>
      <c r="Y160" s="24"/>
      <c r="Z160" s="25"/>
      <c r="AA160" s="23"/>
      <c r="AB160" s="25"/>
      <c r="AC160" s="23"/>
      <c r="AD160" s="26"/>
    </row>
    <row r="161">
      <c r="A161" s="30" t="s">
        <v>29</v>
      </c>
      <c r="B161" s="22" t="s">
        <v>69</v>
      </c>
      <c r="C161" s="22" t="s">
        <v>70</v>
      </c>
      <c r="D161" s="24"/>
      <c r="E161" s="25"/>
      <c r="F161" s="23"/>
      <c r="G161" s="25"/>
      <c r="H161" s="23"/>
      <c r="I161" s="26"/>
      <c r="J161" s="24"/>
      <c r="K161" s="25"/>
      <c r="L161" s="23"/>
      <c r="M161" s="25"/>
      <c r="N161" s="23"/>
      <c r="O161" s="26"/>
      <c r="P161" s="27"/>
      <c r="Q161" s="28"/>
      <c r="R161" s="29"/>
      <c r="S161" s="24"/>
      <c r="T161" s="25"/>
      <c r="U161" s="23"/>
      <c r="V161" s="25"/>
      <c r="W161" s="23"/>
      <c r="X161" s="26"/>
      <c r="Y161" s="24"/>
      <c r="Z161" s="25"/>
      <c r="AA161" s="23"/>
      <c r="AB161" s="25"/>
      <c r="AC161" s="23"/>
      <c r="AD161" s="26"/>
    </row>
    <row r="162">
      <c r="A162" s="30" t="s">
        <v>30</v>
      </c>
      <c r="B162" s="22" t="s">
        <v>69</v>
      </c>
      <c r="C162" s="22" t="s">
        <v>70</v>
      </c>
      <c r="D162" s="24"/>
      <c r="E162" s="25"/>
      <c r="F162" s="23"/>
      <c r="G162" s="25"/>
      <c r="H162" s="23"/>
      <c r="I162" s="26"/>
      <c r="J162" s="24"/>
      <c r="K162" s="25"/>
      <c r="L162" s="23"/>
      <c r="M162" s="25"/>
      <c r="N162" s="23"/>
      <c r="O162" s="26"/>
      <c r="P162" s="27"/>
      <c r="Q162" s="28"/>
      <c r="R162" s="29"/>
      <c r="S162" s="24"/>
      <c r="T162" s="25"/>
      <c r="U162" s="23"/>
      <c r="V162" s="25"/>
      <c r="W162" s="23"/>
      <c r="X162" s="26"/>
      <c r="Y162" s="24"/>
      <c r="Z162" s="25"/>
      <c r="AA162" s="23"/>
      <c r="AB162" s="25"/>
      <c r="AC162" s="23"/>
      <c r="AD162" s="26"/>
    </row>
    <row r="163">
      <c r="A163" s="30" t="s">
        <v>32</v>
      </c>
      <c r="B163" s="22" t="s">
        <v>69</v>
      </c>
      <c r="C163" s="22" t="s">
        <v>70</v>
      </c>
      <c r="D163" s="24"/>
      <c r="E163" s="25"/>
      <c r="F163" s="23"/>
      <c r="G163" s="25"/>
      <c r="H163" s="23"/>
      <c r="I163" s="26"/>
      <c r="J163" s="24"/>
      <c r="K163" s="25"/>
      <c r="L163" s="23"/>
      <c r="M163" s="25"/>
      <c r="N163" s="23"/>
      <c r="O163" s="26"/>
      <c r="P163" s="27"/>
      <c r="Q163" s="28"/>
      <c r="R163" s="29"/>
      <c r="S163" s="24"/>
      <c r="T163" s="25"/>
      <c r="U163" s="23"/>
      <c r="V163" s="25"/>
      <c r="W163" s="23"/>
      <c r="X163" s="26"/>
      <c r="Y163" s="24"/>
      <c r="Z163" s="25"/>
      <c r="AA163" s="23"/>
      <c r="AB163" s="25"/>
      <c r="AC163" s="23"/>
      <c r="AD163" s="26"/>
    </row>
    <row r="164">
      <c r="A164" s="30" t="s">
        <v>33</v>
      </c>
      <c r="B164" s="22" t="s">
        <v>69</v>
      </c>
      <c r="C164" s="22" t="s">
        <v>70</v>
      </c>
      <c r="D164" s="24"/>
      <c r="E164" s="25"/>
      <c r="F164" s="23"/>
      <c r="G164" s="25"/>
      <c r="H164" s="23"/>
      <c r="I164" s="26"/>
      <c r="J164" s="24"/>
      <c r="K164" s="25"/>
      <c r="L164" s="23"/>
      <c r="M164" s="25"/>
      <c r="N164" s="23"/>
      <c r="O164" s="26"/>
      <c r="P164" s="27"/>
      <c r="Q164" s="28"/>
      <c r="R164" s="29"/>
      <c r="S164" s="24"/>
      <c r="T164" s="25"/>
      <c r="U164" s="23"/>
      <c r="V164" s="25"/>
      <c r="W164" s="23"/>
      <c r="X164" s="26"/>
      <c r="Y164" s="24"/>
      <c r="Z164" s="25"/>
      <c r="AA164" s="23"/>
      <c r="AB164" s="25"/>
      <c r="AC164" s="23"/>
      <c r="AD164" s="26"/>
    </row>
    <row r="165">
      <c r="A165" s="30" t="s">
        <v>34</v>
      </c>
      <c r="B165" s="22" t="s">
        <v>69</v>
      </c>
      <c r="C165" s="22" t="s">
        <v>70</v>
      </c>
      <c r="D165" s="24"/>
      <c r="E165" s="25"/>
      <c r="F165" s="23"/>
      <c r="G165" s="25"/>
      <c r="H165" s="23"/>
      <c r="I165" s="26"/>
      <c r="J165" s="24"/>
      <c r="K165" s="25"/>
      <c r="L165" s="23"/>
      <c r="M165" s="25"/>
      <c r="N165" s="23"/>
      <c r="O165" s="26"/>
      <c r="P165" s="27"/>
      <c r="Q165" s="28"/>
      <c r="R165" s="29"/>
      <c r="S165" s="24"/>
      <c r="T165" s="25"/>
      <c r="U165" s="23"/>
      <c r="V165" s="25"/>
      <c r="W165" s="23"/>
      <c r="X165" s="26"/>
      <c r="Y165" s="24"/>
      <c r="Z165" s="25"/>
      <c r="AA165" s="23"/>
      <c r="AB165" s="25"/>
      <c r="AC165" s="23"/>
      <c r="AD165" s="26"/>
    </row>
    <row r="166">
      <c r="A166" s="30" t="s">
        <v>35</v>
      </c>
      <c r="B166" s="22" t="s">
        <v>69</v>
      </c>
      <c r="C166" s="22" t="s">
        <v>70</v>
      </c>
      <c r="D166" s="24"/>
      <c r="E166" s="25"/>
      <c r="F166" s="23"/>
      <c r="G166" s="25"/>
      <c r="H166" s="23"/>
      <c r="I166" s="26"/>
      <c r="J166" s="24"/>
      <c r="K166" s="25"/>
      <c r="L166" s="23"/>
      <c r="M166" s="25"/>
      <c r="N166" s="23"/>
      <c r="O166" s="26"/>
      <c r="P166" s="27"/>
      <c r="Q166" s="28"/>
      <c r="R166" s="29"/>
      <c r="S166" s="24"/>
      <c r="T166" s="25"/>
      <c r="U166" s="23"/>
      <c r="V166" s="25"/>
      <c r="W166" s="23"/>
      <c r="X166" s="26"/>
      <c r="Y166" s="24"/>
      <c r="Z166" s="25"/>
      <c r="AA166" s="23"/>
      <c r="AB166" s="25"/>
      <c r="AC166" s="23"/>
      <c r="AD166" s="26"/>
    </row>
    <row r="167">
      <c r="A167" s="30" t="s">
        <v>37</v>
      </c>
      <c r="B167" s="22" t="s">
        <v>69</v>
      </c>
      <c r="C167" s="22" t="s">
        <v>70</v>
      </c>
      <c r="D167" s="24"/>
      <c r="E167" s="25"/>
      <c r="F167" s="23"/>
      <c r="G167" s="25"/>
      <c r="H167" s="23"/>
      <c r="I167" s="26"/>
      <c r="J167" s="24"/>
      <c r="K167" s="25"/>
      <c r="L167" s="23"/>
      <c r="M167" s="25"/>
      <c r="N167" s="23"/>
      <c r="O167" s="26"/>
      <c r="P167" s="27"/>
      <c r="Q167" s="28"/>
      <c r="R167" s="29"/>
      <c r="S167" s="24"/>
      <c r="T167" s="25"/>
      <c r="U167" s="23"/>
      <c r="V167" s="25"/>
      <c r="W167" s="23"/>
      <c r="X167" s="26"/>
      <c r="Y167" s="24"/>
      <c r="Z167" s="25"/>
      <c r="AA167" s="23"/>
      <c r="AB167" s="25"/>
      <c r="AC167" s="23"/>
      <c r="AD167" s="26"/>
    </row>
    <row r="168">
      <c r="A168" s="30" t="s">
        <v>38</v>
      </c>
      <c r="B168" s="22" t="s">
        <v>69</v>
      </c>
      <c r="C168" s="22" t="s">
        <v>70</v>
      </c>
      <c r="D168" s="24"/>
      <c r="E168" s="25"/>
      <c r="F168" s="23"/>
      <c r="G168" s="25"/>
      <c r="H168" s="23"/>
      <c r="I168" s="26"/>
      <c r="J168" s="24"/>
      <c r="K168" s="25"/>
      <c r="L168" s="23"/>
      <c r="M168" s="25"/>
      <c r="N168" s="23"/>
      <c r="O168" s="26"/>
      <c r="P168" s="27"/>
      <c r="Q168" s="28"/>
      <c r="R168" s="29"/>
      <c r="S168" s="24"/>
      <c r="T168" s="25"/>
      <c r="U168" s="23"/>
      <c r="V168" s="25"/>
      <c r="W168" s="23"/>
      <c r="X168" s="26"/>
      <c r="Y168" s="24"/>
      <c r="Z168" s="25"/>
      <c r="AA168" s="23"/>
      <c r="AB168" s="25"/>
      <c r="AC168" s="23"/>
      <c r="AD168" s="26"/>
    </row>
    <row r="169">
      <c r="A169" s="30" t="s">
        <v>39</v>
      </c>
      <c r="B169" s="22" t="s">
        <v>69</v>
      </c>
      <c r="C169" s="22" t="s">
        <v>70</v>
      </c>
      <c r="D169" s="24"/>
      <c r="E169" s="25"/>
      <c r="F169" s="23"/>
      <c r="G169" s="25"/>
      <c r="H169" s="23"/>
      <c r="I169" s="26"/>
      <c r="J169" s="24"/>
      <c r="K169" s="25"/>
      <c r="L169" s="23"/>
      <c r="M169" s="25"/>
      <c r="N169" s="23"/>
      <c r="O169" s="26"/>
      <c r="P169" s="27"/>
      <c r="Q169" s="28"/>
      <c r="R169" s="29"/>
      <c r="S169" s="24"/>
      <c r="T169" s="25"/>
      <c r="U169" s="23"/>
      <c r="V169" s="25"/>
      <c r="W169" s="23"/>
      <c r="X169" s="26"/>
      <c r="Y169" s="24"/>
      <c r="Z169" s="25"/>
      <c r="AA169" s="23"/>
      <c r="AB169" s="25"/>
      <c r="AC169" s="23"/>
      <c r="AD169" s="26"/>
    </row>
    <row r="170">
      <c r="A170" s="30" t="s">
        <v>40</v>
      </c>
      <c r="B170" s="22" t="s">
        <v>69</v>
      </c>
      <c r="C170" s="22" t="s">
        <v>70</v>
      </c>
      <c r="D170" s="24"/>
      <c r="E170" s="25"/>
      <c r="F170" s="23"/>
      <c r="G170" s="25"/>
      <c r="H170" s="23"/>
      <c r="I170" s="26"/>
      <c r="J170" s="24"/>
      <c r="K170" s="25"/>
      <c r="L170" s="23"/>
      <c r="M170" s="25"/>
      <c r="N170" s="23"/>
      <c r="O170" s="26"/>
      <c r="P170" s="27"/>
      <c r="Q170" s="28"/>
      <c r="R170" s="29"/>
      <c r="S170" s="24"/>
      <c r="T170" s="25"/>
      <c r="U170" s="23"/>
      <c r="V170" s="25"/>
      <c r="W170" s="23"/>
      <c r="X170" s="26"/>
      <c r="Y170" s="24"/>
      <c r="Z170" s="25"/>
      <c r="AA170" s="23"/>
      <c r="AB170" s="25"/>
      <c r="AC170" s="23"/>
      <c r="AD170" s="26"/>
    </row>
    <row r="171">
      <c r="A171" s="30" t="s">
        <v>41</v>
      </c>
      <c r="B171" s="22" t="s">
        <v>69</v>
      </c>
      <c r="C171" s="22" t="s">
        <v>70</v>
      </c>
      <c r="D171" s="24"/>
      <c r="E171" s="25"/>
      <c r="F171" s="23"/>
      <c r="G171" s="25"/>
      <c r="H171" s="23"/>
      <c r="I171" s="26"/>
      <c r="J171" s="24"/>
      <c r="K171" s="25"/>
      <c r="L171" s="23"/>
      <c r="M171" s="25"/>
      <c r="N171" s="23"/>
      <c r="O171" s="26"/>
      <c r="P171" s="27"/>
      <c r="Q171" s="28"/>
      <c r="R171" s="29"/>
      <c r="S171" s="24"/>
      <c r="T171" s="25"/>
      <c r="U171" s="23"/>
      <c r="V171" s="25"/>
      <c r="W171" s="23"/>
      <c r="X171" s="26"/>
      <c r="Y171" s="24"/>
      <c r="Z171" s="25"/>
      <c r="AA171" s="23"/>
      <c r="AB171" s="25"/>
      <c r="AC171" s="23"/>
      <c r="AD171" s="26"/>
    </row>
    <row r="172">
      <c r="A172" s="30" t="s">
        <v>42</v>
      </c>
      <c r="B172" s="22" t="s">
        <v>69</v>
      </c>
      <c r="C172" s="22" t="s">
        <v>70</v>
      </c>
      <c r="D172" s="24"/>
      <c r="E172" s="25"/>
      <c r="F172" s="23"/>
      <c r="G172" s="25"/>
      <c r="H172" s="23"/>
      <c r="I172" s="26"/>
      <c r="J172" s="24"/>
      <c r="K172" s="25"/>
      <c r="L172" s="23"/>
      <c r="M172" s="25"/>
      <c r="N172" s="23"/>
      <c r="O172" s="26"/>
      <c r="P172" s="27"/>
      <c r="Q172" s="28"/>
      <c r="R172" s="29"/>
      <c r="S172" s="24"/>
      <c r="T172" s="25"/>
      <c r="U172" s="23"/>
      <c r="V172" s="25"/>
      <c r="W172" s="23"/>
      <c r="X172" s="26"/>
      <c r="Y172" s="24"/>
      <c r="Z172" s="25"/>
      <c r="AA172" s="23"/>
      <c r="AB172" s="25"/>
      <c r="AC172" s="23"/>
      <c r="AD172" s="26"/>
    </row>
    <row r="173">
      <c r="A173" s="30" t="s">
        <v>43</v>
      </c>
      <c r="B173" s="22" t="s">
        <v>69</v>
      </c>
      <c r="C173" s="22" t="s">
        <v>70</v>
      </c>
      <c r="D173" s="24"/>
      <c r="E173" s="25"/>
      <c r="F173" s="23"/>
      <c r="G173" s="25"/>
      <c r="H173" s="23"/>
      <c r="I173" s="26"/>
      <c r="J173" s="24"/>
      <c r="K173" s="25"/>
      <c r="L173" s="23"/>
      <c r="M173" s="25"/>
      <c r="N173" s="23"/>
      <c r="O173" s="26"/>
      <c r="P173" s="27"/>
      <c r="Q173" s="28"/>
      <c r="R173" s="29"/>
      <c r="S173" s="24"/>
      <c r="T173" s="25"/>
      <c r="U173" s="23"/>
      <c r="V173" s="25"/>
      <c r="W173" s="23"/>
      <c r="X173" s="26"/>
      <c r="Y173" s="24"/>
      <c r="Z173" s="25"/>
      <c r="AA173" s="23"/>
      <c r="AB173" s="25"/>
      <c r="AC173" s="23"/>
      <c r="AD173" s="26"/>
    </row>
    <row r="174">
      <c r="A174" s="30" t="s">
        <v>44</v>
      </c>
      <c r="B174" s="22" t="s">
        <v>69</v>
      </c>
      <c r="C174" s="22" t="s">
        <v>70</v>
      </c>
      <c r="D174" s="24"/>
      <c r="E174" s="25"/>
      <c r="F174" s="23"/>
      <c r="G174" s="25"/>
      <c r="H174" s="23"/>
      <c r="I174" s="26"/>
      <c r="J174" s="24"/>
      <c r="K174" s="25"/>
      <c r="L174" s="23"/>
      <c r="M174" s="25"/>
      <c r="N174" s="23"/>
      <c r="O174" s="26"/>
      <c r="P174" s="27"/>
      <c r="Q174" s="28"/>
      <c r="R174" s="29"/>
      <c r="S174" s="24"/>
      <c r="T174" s="25"/>
      <c r="U174" s="23"/>
      <c r="V174" s="25"/>
      <c r="W174" s="23"/>
      <c r="X174" s="26"/>
      <c r="Y174" s="24"/>
      <c r="Z174" s="25"/>
      <c r="AA174" s="23"/>
      <c r="AB174" s="25"/>
      <c r="AC174" s="23"/>
      <c r="AD174" s="26"/>
    </row>
    <row r="175">
      <c r="A175" s="30" t="s">
        <v>45</v>
      </c>
      <c r="B175" s="22" t="s">
        <v>69</v>
      </c>
      <c r="C175" s="22" t="s">
        <v>70</v>
      </c>
      <c r="D175" s="24"/>
      <c r="E175" s="25"/>
      <c r="F175" s="23"/>
      <c r="G175" s="25"/>
      <c r="H175" s="23"/>
      <c r="I175" s="26"/>
      <c r="J175" s="24"/>
      <c r="K175" s="25"/>
      <c r="L175" s="23"/>
      <c r="M175" s="25"/>
      <c r="N175" s="23"/>
      <c r="O175" s="26"/>
      <c r="P175" s="27"/>
      <c r="Q175" s="28"/>
      <c r="R175" s="29"/>
      <c r="S175" s="24"/>
      <c r="T175" s="25"/>
      <c r="U175" s="23"/>
      <c r="V175" s="25"/>
      <c r="W175" s="23"/>
      <c r="X175" s="26"/>
      <c r="Y175" s="24"/>
      <c r="Z175" s="25"/>
      <c r="AA175" s="23"/>
      <c r="AB175" s="25"/>
      <c r="AC175" s="23"/>
      <c r="AD175" s="26"/>
    </row>
    <row r="176">
      <c r="A176" s="30" t="s">
        <v>46</v>
      </c>
      <c r="B176" s="22" t="s">
        <v>69</v>
      </c>
      <c r="C176" s="22" t="s">
        <v>70</v>
      </c>
      <c r="D176" s="24"/>
      <c r="E176" s="25"/>
      <c r="F176" s="23"/>
      <c r="G176" s="25"/>
      <c r="H176" s="23"/>
      <c r="I176" s="26"/>
      <c r="J176" s="24"/>
      <c r="K176" s="25"/>
      <c r="L176" s="23"/>
      <c r="M176" s="25"/>
      <c r="N176" s="23"/>
      <c r="O176" s="26"/>
      <c r="P176" s="27"/>
      <c r="Q176" s="28"/>
      <c r="R176" s="29"/>
      <c r="S176" s="24"/>
      <c r="T176" s="25"/>
      <c r="U176" s="23"/>
      <c r="V176" s="25"/>
      <c r="W176" s="23"/>
      <c r="X176" s="26"/>
      <c r="Y176" s="24"/>
      <c r="Z176" s="25"/>
      <c r="AA176" s="23"/>
      <c r="AB176" s="25"/>
      <c r="AC176" s="23"/>
      <c r="AD176" s="26"/>
    </row>
    <row r="177">
      <c r="A177" s="30" t="s">
        <v>47</v>
      </c>
      <c r="B177" s="22" t="s">
        <v>69</v>
      </c>
      <c r="C177" s="22" t="s">
        <v>70</v>
      </c>
      <c r="D177" s="24"/>
      <c r="E177" s="25"/>
      <c r="F177" s="23"/>
      <c r="G177" s="25"/>
      <c r="H177" s="23"/>
      <c r="I177" s="26"/>
      <c r="J177" s="24"/>
      <c r="K177" s="25"/>
      <c r="L177" s="23"/>
      <c r="M177" s="25"/>
      <c r="N177" s="23"/>
      <c r="O177" s="26"/>
      <c r="P177" s="27"/>
      <c r="Q177" s="28"/>
      <c r="R177" s="29"/>
      <c r="S177" s="24"/>
      <c r="T177" s="25"/>
      <c r="U177" s="23"/>
      <c r="V177" s="25"/>
      <c r="W177" s="23"/>
      <c r="X177" s="26"/>
      <c r="Y177" s="24"/>
      <c r="Z177" s="25"/>
      <c r="AA177" s="23"/>
      <c r="AB177" s="25"/>
      <c r="AC177" s="23"/>
      <c r="AD177" s="26"/>
    </row>
    <row r="178">
      <c r="A178" s="30" t="s">
        <v>48</v>
      </c>
      <c r="B178" s="22" t="s">
        <v>69</v>
      </c>
      <c r="C178" s="22" t="s">
        <v>70</v>
      </c>
      <c r="D178" s="24"/>
      <c r="E178" s="25"/>
      <c r="F178" s="23"/>
      <c r="G178" s="25"/>
      <c r="H178" s="23"/>
      <c r="I178" s="26"/>
      <c r="J178" s="24"/>
      <c r="K178" s="25"/>
      <c r="L178" s="23"/>
      <c r="M178" s="25"/>
      <c r="N178" s="23"/>
      <c r="O178" s="26"/>
      <c r="P178" s="27"/>
      <c r="Q178" s="28"/>
      <c r="R178" s="29"/>
      <c r="S178" s="24"/>
      <c r="T178" s="25"/>
      <c r="U178" s="23"/>
      <c r="V178" s="25"/>
      <c r="W178" s="23"/>
      <c r="X178" s="26"/>
      <c r="Y178" s="24"/>
      <c r="Z178" s="25"/>
      <c r="AA178" s="23"/>
      <c r="AB178" s="25"/>
      <c r="AC178" s="23"/>
      <c r="AD178" s="26"/>
    </row>
    <row r="179">
      <c r="A179" s="30" t="s">
        <v>49</v>
      </c>
      <c r="B179" s="22" t="s">
        <v>69</v>
      </c>
      <c r="C179" s="22" t="s">
        <v>70</v>
      </c>
      <c r="D179" s="24"/>
      <c r="E179" s="25"/>
      <c r="F179" s="23"/>
      <c r="G179" s="25"/>
      <c r="H179" s="23"/>
      <c r="I179" s="26"/>
      <c r="J179" s="24"/>
      <c r="K179" s="25"/>
      <c r="L179" s="23"/>
      <c r="M179" s="25"/>
      <c r="N179" s="23"/>
      <c r="O179" s="26"/>
      <c r="P179" s="27"/>
      <c r="Q179" s="28"/>
      <c r="R179" s="29"/>
      <c r="S179" s="24"/>
      <c r="T179" s="25"/>
      <c r="U179" s="23"/>
      <c r="V179" s="25"/>
      <c r="W179" s="23"/>
      <c r="X179" s="26"/>
      <c r="Y179" s="24"/>
      <c r="Z179" s="25"/>
      <c r="AA179" s="23"/>
      <c r="AB179" s="25"/>
      <c r="AC179" s="23"/>
      <c r="AD179" s="26"/>
    </row>
    <row r="180">
      <c r="A180" s="30" t="s">
        <v>50</v>
      </c>
      <c r="B180" s="22" t="s">
        <v>69</v>
      </c>
      <c r="C180" s="22" t="s">
        <v>70</v>
      </c>
      <c r="D180" s="24"/>
      <c r="E180" s="25"/>
      <c r="F180" s="23"/>
      <c r="G180" s="25"/>
      <c r="H180" s="23"/>
      <c r="I180" s="26"/>
      <c r="J180" s="24"/>
      <c r="K180" s="25"/>
      <c r="L180" s="23"/>
      <c r="M180" s="25"/>
      <c r="N180" s="23"/>
      <c r="O180" s="26"/>
      <c r="P180" s="27"/>
      <c r="Q180" s="28"/>
      <c r="R180" s="29"/>
      <c r="S180" s="24"/>
      <c r="T180" s="25"/>
      <c r="U180" s="23"/>
      <c r="V180" s="25"/>
      <c r="W180" s="23"/>
      <c r="X180" s="26"/>
      <c r="Y180" s="24"/>
      <c r="Z180" s="25"/>
      <c r="AA180" s="23"/>
      <c r="AB180" s="25"/>
      <c r="AC180" s="23"/>
      <c r="AD180" s="26"/>
    </row>
    <row r="181">
      <c r="A181" s="30" t="s">
        <v>51</v>
      </c>
      <c r="B181" s="22" t="s">
        <v>69</v>
      </c>
      <c r="C181" s="22" t="s">
        <v>70</v>
      </c>
      <c r="D181" s="24"/>
      <c r="E181" s="25"/>
      <c r="F181" s="23"/>
      <c r="G181" s="25"/>
      <c r="H181" s="23"/>
      <c r="I181" s="26"/>
      <c r="J181" s="24"/>
      <c r="K181" s="25"/>
      <c r="L181" s="23"/>
      <c r="M181" s="25"/>
      <c r="N181" s="23"/>
      <c r="O181" s="26"/>
      <c r="P181" s="27"/>
      <c r="Q181" s="28"/>
      <c r="R181" s="29"/>
      <c r="S181" s="24"/>
      <c r="T181" s="25"/>
      <c r="U181" s="23"/>
      <c r="V181" s="25"/>
      <c r="W181" s="23"/>
      <c r="X181" s="26"/>
      <c r="Y181" s="24"/>
      <c r="Z181" s="25"/>
      <c r="AA181" s="23"/>
      <c r="AB181" s="25"/>
      <c r="AC181" s="23"/>
      <c r="AD181" s="26"/>
    </row>
    <row r="182">
      <c r="A182" s="30" t="s">
        <v>52</v>
      </c>
      <c r="B182" s="22" t="s">
        <v>69</v>
      </c>
      <c r="C182" s="22" t="s">
        <v>70</v>
      </c>
      <c r="D182" s="24"/>
      <c r="E182" s="25"/>
      <c r="F182" s="23"/>
      <c r="G182" s="25"/>
      <c r="H182" s="23"/>
      <c r="I182" s="26"/>
      <c r="J182" s="24"/>
      <c r="K182" s="25"/>
      <c r="L182" s="23"/>
      <c r="M182" s="25"/>
      <c r="N182" s="23"/>
      <c r="O182" s="26"/>
      <c r="P182" s="27"/>
      <c r="Q182" s="28"/>
      <c r="R182" s="29"/>
      <c r="S182" s="24"/>
      <c r="T182" s="25"/>
      <c r="U182" s="23"/>
      <c r="V182" s="25"/>
      <c r="W182" s="23"/>
      <c r="X182" s="26"/>
      <c r="Y182" s="24"/>
      <c r="Z182" s="25"/>
      <c r="AA182" s="23"/>
      <c r="AB182" s="25"/>
      <c r="AC182" s="23"/>
      <c r="AD182" s="26"/>
    </row>
    <row r="183">
      <c r="A183" s="30" t="s">
        <v>53</v>
      </c>
      <c r="B183" s="22" t="s">
        <v>69</v>
      </c>
      <c r="C183" s="22" t="s">
        <v>70</v>
      </c>
      <c r="D183" s="24"/>
      <c r="E183" s="25"/>
      <c r="F183" s="23"/>
      <c r="G183" s="25"/>
      <c r="H183" s="23"/>
      <c r="I183" s="26"/>
      <c r="J183" s="24"/>
      <c r="K183" s="25"/>
      <c r="L183" s="23"/>
      <c r="M183" s="25"/>
      <c r="N183" s="23"/>
      <c r="O183" s="26"/>
      <c r="P183" s="27"/>
      <c r="Q183" s="28"/>
      <c r="R183" s="29"/>
      <c r="S183" s="24"/>
      <c r="T183" s="25"/>
      <c r="U183" s="23"/>
      <c r="V183" s="25"/>
      <c r="W183" s="23"/>
      <c r="X183" s="26"/>
      <c r="Y183" s="24"/>
      <c r="Z183" s="25"/>
      <c r="AA183" s="23"/>
      <c r="AB183" s="25"/>
      <c r="AC183" s="23"/>
      <c r="AD183" s="26"/>
    </row>
    <row r="184">
      <c r="A184" s="30" t="s">
        <v>54</v>
      </c>
      <c r="B184" s="22" t="s">
        <v>69</v>
      </c>
      <c r="C184" s="22" t="s">
        <v>70</v>
      </c>
      <c r="D184" s="24"/>
      <c r="E184" s="25"/>
      <c r="F184" s="23"/>
      <c r="G184" s="25"/>
      <c r="H184" s="23"/>
      <c r="I184" s="26"/>
      <c r="J184" s="24"/>
      <c r="K184" s="25"/>
      <c r="L184" s="23"/>
      <c r="M184" s="25"/>
      <c r="N184" s="23"/>
      <c r="O184" s="26"/>
      <c r="P184" s="27"/>
      <c r="Q184" s="28"/>
      <c r="R184" s="29"/>
      <c r="S184" s="24"/>
      <c r="T184" s="25"/>
      <c r="U184" s="23"/>
      <c r="V184" s="25"/>
      <c r="W184" s="23"/>
      <c r="X184" s="26"/>
      <c r="Y184" s="24"/>
      <c r="Z184" s="25"/>
      <c r="AA184" s="23"/>
      <c r="AB184" s="25"/>
      <c r="AC184" s="23"/>
      <c r="AD184" s="26"/>
    </row>
    <row r="185">
      <c r="A185" s="30" t="s">
        <v>55</v>
      </c>
      <c r="B185" s="22" t="s">
        <v>69</v>
      </c>
      <c r="C185" s="22" t="s">
        <v>70</v>
      </c>
      <c r="D185" s="24"/>
      <c r="E185" s="25"/>
      <c r="F185" s="23"/>
      <c r="G185" s="25"/>
      <c r="H185" s="23"/>
      <c r="I185" s="26"/>
      <c r="J185" s="24"/>
      <c r="K185" s="25"/>
      <c r="L185" s="23"/>
      <c r="M185" s="25"/>
      <c r="N185" s="23"/>
      <c r="O185" s="26"/>
      <c r="P185" s="27"/>
      <c r="Q185" s="28"/>
      <c r="R185" s="29"/>
      <c r="S185" s="24"/>
      <c r="T185" s="25"/>
      <c r="U185" s="23"/>
      <c r="V185" s="25"/>
      <c r="W185" s="23"/>
      <c r="X185" s="26"/>
      <c r="Y185" s="24"/>
      <c r="Z185" s="25"/>
      <c r="AA185" s="23"/>
      <c r="AB185" s="25"/>
      <c r="AC185" s="23"/>
      <c r="AD185" s="26"/>
    </row>
    <row r="186">
      <c r="A186" s="30" t="s">
        <v>56</v>
      </c>
      <c r="B186" s="22" t="s">
        <v>69</v>
      </c>
      <c r="C186" s="22" t="s">
        <v>70</v>
      </c>
      <c r="D186" s="24"/>
      <c r="E186" s="25"/>
      <c r="F186" s="23"/>
      <c r="G186" s="25"/>
      <c r="H186" s="23"/>
      <c r="I186" s="26"/>
      <c r="J186" s="24"/>
      <c r="K186" s="25"/>
      <c r="L186" s="23"/>
      <c r="M186" s="25"/>
      <c r="N186" s="23"/>
      <c r="O186" s="26"/>
      <c r="P186" s="27"/>
      <c r="Q186" s="28"/>
      <c r="R186" s="29"/>
      <c r="S186" s="24"/>
      <c r="T186" s="25"/>
      <c r="U186" s="23"/>
      <c r="V186" s="25"/>
      <c r="W186" s="23"/>
      <c r="X186" s="26"/>
      <c r="Y186" s="24"/>
      <c r="Z186" s="25"/>
      <c r="AA186" s="23"/>
      <c r="AB186" s="25"/>
      <c r="AC186" s="23"/>
      <c r="AD186" s="26"/>
    </row>
    <row r="187">
      <c r="A187" s="30" t="s">
        <v>57</v>
      </c>
      <c r="B187" s="22" t="s">
        <v>69</v>
      </c>
      <c r="C187" s="22" t="s">
        <v>70</v>
      </c>
      <c r="D187" s="24"/>
      <c r="E187" s="25"/>
      <c r="F187" s="23"/>
      <c r="G187" s="25"/>
      <c r="H187" s="23"/>
      <c r="I187" s="26"/>
      <c r="J187" s="24"/>
      <c r="K187" s="25"/>
      <c r="L187" s="23"/>
      <c r="M187" s="25"/>
      <c r="N187" s="23"/>
      <c r="O187" s="26"/>
      <c r="P187" s="27"/>
      <c r="Q187" s="28"/>
      <c r="R187" s="29"/>
      <c r="S187" s="24"/>
      <c r="T187" s="25"/>
      <c r="U187" s="23"/>
      <c r="V187" s="25"/>
      <c r="W187" s="23"/>
      <c r="X187" s="26"/>
      <c r="Y187" s="24"/>
      <c r="Z187" s="25"/>
      <c r="AA187" s="23"/>
      <c r="AB187" s="25"/>
      <c r="AC187" s="23"/>
      <c r="AD187" s="26"/>
    </row>
    <row r="188">
      <c r="A188" s="30" t="s">
        <v>58</v>
      </c>
      <c r="B188" s="22" t="s">
        <v>69</v>
      </c>
      <c r="C188" s="22" t="s">
        <v>70</v>
      </c>
      <c r="D188" s="24"/>
      <c r="E188" s="25"/>
      <c r="F188" s="23"/>
      <c r="G188" s="25"/>
      <c r="H188" s="23"/>
      <c r="I188" s="26"/>
      <c r="J188" s="24"/>
      <c r="K188" s="25"/>
      <c r="L188" s="23"/>
      <c r="M188" s="25"/>
      <c r="N188" s="23"/>
      <c r="O188" s="26"/>
      <c r="P188" s="27"/>
      <c r="Q188" s="28"/>
      <c r="R188" s="29"/>
      <c r="S188" s="24"/>
      <c r="T188" s="25"/>
      <c r="U188" s="23"/>
      <c r="V188" s="25"/>
      <c r="W188" s="23"/>
      <c r="X188" s="26"/>
      <c r="Y188" s="24"/>
      <c r="Z188" s="25"/>
      <c r="AA188" s="23"/>
      <c r="AB188" s="25"/>
      <c r="AC188" s="23"/>
      <c r="AD188" s="26"/>
    </row>
    <row r="189">
      <c r="A189" s="30" t="s">
        <v>59</v>
      </c>
      <c r="B189" s="22" t="s">
        <v>69</v>
      </c>
      <c r="C189" s="22" t="s">
        <v>70</v>
      </c>
      <c r="D189" s="24"/>
      <c r="E189" s="25"/>
      <c r="F189" s="23"/>
      <c r="G189" s="25"/>
      <c r="H189" s="23"/>
      <c r="I189" s="26"/>
      <c r="J189" s="24"/>
      <c r="K189" s="25"/>
      <c r="L189" s="23"/>
      <c r="M189" s="25"/>
      <c r="N189" s="23"/>
      <c r="O189" s="26"/>
      <c r="P189" s="27"/>
      <c r="Q189" s="28"/>
      <c r="R189" s="29"/>
      <c r="S189" s="24"/>
      <c r="T189" s="25"/>
      <c r="U189" s="23"/>
      <c r="V189" s="25"/>
      <c r="W189" s="23"/>
      <c r="X189" s="26"/>
      <c r="Y189" s="24"/>
      <c r="Z189" s="25"/>
      <c r="AA189" s="23"/>
      <c r="AB189" s="25"/>
      <c r="AC189" s="23"/>
      <c r="AD189" s="26"/>
    </row>
  </sheetData>
  <mergeCells count="38">
    <mergeCell ref="Y9:Z9"/>
    <mergeCell ref="L9:M9"/>
    <mergeCell ref="N9:O9"/>
    <mergeCell ref="S9:T9"/>
    <mergeCell ref="U9:V9"/>
    <mergeCell ref="W9:X9"/>
    <mergeCell ref="AA6:AB6"/>
    <mergeCell ref="AC6:AD6"/>
    <mergeCell ref="A8:A9"/>
    <mergeCell ref="D8:I8"/>
    <mergeCell ref="J8:O8"/>
    <mergeCell ref="P8:R8"/>
    <mergeCell ref="S8:X8"/>
    <mergeCell ref="Y8:AD8"/>
    <mergeCell ref="A5:A6"/>
    <mergeCell ref="B5:B9"/>
    <mergeCell ref="C5:C9"/>
    <mergeCell ref="D9:E9"/>
    <mergeCell ref="F9:G9"/>
    <mergeCell ref="H9:I9"/>
    <mergeCell ref="AA9:AB9"/>
    <mergeCell ref="AC9:AD9"/>
    <mergeCell ref="J9:K9"/>
    <mergeCell ref="S5:X5"/>
    <mergeCell ref="Y5:AD5"/>
    <mergeCell ref="D6:E6"/>
    <mergeCell ref="F6:G6"/>
    <mergeCell ref="H6:I6"/>
    <mergeCell ref="J6:K6"/>
    <mergeCell ref="L6:M6"/>
    <mergeCell ref="N6:O6"/>
    <mergeCell ref="S6:T6"/>
    <mergeCell ref="U6:V6"/>
    <mergeCell ref="D5:I5"/>
    <mergeCell ref="J5:O5"/>
    <mergeCell ref="P5:R5"/>
    <mergeCell ref="W6:X6"/>
    <mergeCell ref="Y6:Z6"/>
  </mergeCells>
  <phoneticPr fontId="4"/>
  <printOptions horizontalCentered="1"/>
  <pageMargins bottom="0.59055118110236227" footer="0.35433070866141736" header="0.35433070866141736" left="0.55118110236220474" right="0.55118110236220474" top="0.59055118110236227"/>
  <pageSetup fitToHeight="0" orientation="landscape" paperSize="9" r:id="rId1" scale="29" useFirstPageNumber="1"/>
  <headerFooter>
    <oddFooter>&amp;C&amp;P / &amp;N&amp;RCopyright (c) Japan Exchange Group, Inc. All Rights Reserved.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BO_DM0032</vt:lpstr>
      <vt:lpstr>BO_DM0032!Print_Titles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2018-09-03T00:18:24Z</dcterms:created>
  <cp:lastPrinted>2018-09-03T04:46:34Z</cp:lastPrinted>
  <dcterms:modified xsi:type="dcterms:W3CDTF">2020-09-02T23:58:52Z</dcterms:modified>
</cp:coreProperties>
</file>