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<sst xmlns="http://schemas.openxmlformats.org/spreadsheetml/2006/main" count="2502" uniqueCount="100">
  <si>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</si>
  <si>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</si>
  <si>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</si>
  <si>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</si>
  <si>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</si>
  <si>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</si>
  <si>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</si>
  <si>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</si>
  <si>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</si>
  <si>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</si>
  <si>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</si>
  <si>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</si>
  <si>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</si>
  <si>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</si>
  <si>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</si>
  <si>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</si>
  <si>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7.1</t>
  </si>
  <si>
    <t>金標準先物</t>
  </si>
  <si>
    <t>Gold Standard Futures</t>
  </si>
  <si>
    <t>◎●</t>
  </si>
  <si>
    <t>●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</si>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</sst>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41310</f>
        <v>41310.0</v>
      </c>
      <c r="F6" s="10"/>
      <c r="G6" s="11" t="n">
        <f>324450097000</f>
        <v>3.24450097E11</v>
      </c>
      <c r="H6" s="10" t="s">
        <v>19</v>
      </c>
      <c r="I6" s="11" t="str">
        <f>"－"</f>
        <v>－</v>
      </c>
      <c r="J6" s="10" t="s">
        <v>20</v>
      </c>
      <c r="K6" s="11" t="n">
        <f>40630</f>
        <v>40630.0</v>
      </c>
    </row>
    <row r="7">
      <c r="A7" s="8" t="s">
        <v>21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22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23</v>
      </c>
      <c r="B9" s="9" t="s">
        <v>17</v>
      </c>
      <c r="C9" s="9" t="s">
        <v>18</v>
      </c>
      <c r="D9" s="10"/>
      <c r="E9" s="11" t="n">
        <f>32129</f>
        <v>32129.0</v>
      </c>
      <c r="F9" s="10"/>
      <c r="G9" s="11" t="n">
        <f>250359702000</f>
        <v>2.50359702E11</v>
      </c>
      <c r="H9" s="10"/>
      <c r="I9" s="11" t="str">
        <f>"－"</f>
        <v>－</v>
      </c>
      <c r="J9" s="10"/>
      <c r="K9" s="11" t="n">
        <f>42063</f>
        <v>42063.0</v>
      </c>
    </row>
    <row r="10">
      <c r="A10" s="8" t="s">
        <v>24</v>
      </c>
      <c r="B10" s="9" t="s">
        <v>17</v>
      </c>
      <c r="C10" s="9" t="s">
        <v>18</v>
      </c>
      <c r="D10" s="10"/>
      <c r="E10" s="11" t="n">
        <f>18581</f>
        <v>18581.0</v>
      </c>
      <c r="F10" s="10"/>
      <c r="G10" s="11" t="n">
        <f>146223937000</f>
        <v>1.46223937E11</v>
      </c>
      <c r="H10" s="10"/>
      <c r="I10" s="11" t="str">
        <f>"－"</f>
        <v>－</v>
      </c>
      <c r="J10" s="10"/>
      <c r="K10" s="11" t="n">
        <f>41919</f>
        <v>41919.0</v>
      </c>
    </row>
    <row r="11">
      <c r="A11" s="8" t="s">
        <v>25</v>
      </c>
      <c r="B11" s="9" t="s">
        <v>17</v>
      </c>
      <c r="C11" s="9" t="s">
        <v>18</v>
      </c>
      <c r="D11" s="10" t="s">
        <v>26</v>
      </c>
      <c r="E11" s="11" t="n">
        <f>51273</f>
        <v>51273.0</v>
      </c>
      <c r="F11" s="10" t="s">
        <v>26</v>
      </c>
      <c r="G11" s="11" t="n">
        <f>396059114000</f>
        <v>3.96059114E11</v>
      </c>
      <c r="H11" s="10"/>
      <c r="I11" s="11" t="str">
        <f>"－"</f>
        <v>－</v>
      </c>
      <c r="J11" s="10"/>
      <c r="K11" s="11" t="n">
        <f>42186</f>
        <v>42186.0</v>
      </c>
    </row>
    <row r="12">
      <c r="A12" s="8" t="s">
        <v>27</v>
      </c>
      <c r="B12" s="9" t="s">
        <v>17</v>
      </c>
      <c r="C12" s="9" t="s">
        <v>18</v>
      </c>
      <c r="D12" s="10"/>
      <c r="E12" s="11" t="n">
        <f>39611</f>
        <v>39611.0</v>
      </c>
      <c r="F12" s="10"/>
      <c r="G12" s="11" t="n">
        <f>300976841000</f>
        <v>3.00976841E11</v>
      </c>
      <c r="H12" s="10"/>
      <c r="I12" s="11" t="str">
        <f>"－"</f>
        <v>－</v>
      </c>
      <c r="J12" s="10"/>
      <c r="K12" s="11" t="n">
        <f>42274</f>
        <v>42274.0</v>
      </c>
    </row>
    <row r="13">
      <c r="A13" s="8" t="s">
        <v>28</v>
      </c>
      <c r="B13" s="9" t="s">
        <v>17</v>
      </c>
      <c r="C13" s="9" t="s">
        <v>18</v>
      </c>
      <c r="D13" s="10"/>
      <c r="E13" s="11" t="n">
        <f>23490</f>
        <v>23490.0</v>
      </c>
      <c r="F13" s="10"/>
      <c r="G13" s="11" t="n">
        <f>178049485000</f>
        <v>1.78049485E11</v>
      </c>
      <c r="H13" s="10"/>
      <c r="I13" s="11" t="str">
        <f>"－"</f>
        <v>－</v>
      </c>
      <c r="J13" s="10"/>
      <c r="K13" s="11" t="n">
        <f>42768</f>
        <v>42768.0</v>
      </c>
    </row>
    <row r="14">
      <c r="A14" s="8" t="s">
        <v>29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30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31</v>
      </c>
      <c r="B16" s="9" t="s">
        <v>17</v>
      </c>
      <c r="C16" s="9" t="s">
        <v>18</v>
      </c>
      <c r="D16" s="10"/>
      <c r="E16" s="11" t="n">
        <f>30634</f>
        <v>30634.0</v>
      </c>
      <c r="F16" s="10"/>
      <c r="G16" s="11" t="n">
        <f>232651878000</f>
        <v>2.32651878E11</v>
      </c>
      <c r="H16" s="10"/>
      <c r="I16" s="11" t="str">
        <f>"－"</f>
        <v>－</v>
      </c>
      <c r="J16" s="10"/>
      <c r="K16" s="11" t="n">
        <f>42728</f>
        <v>42728.0</v>
      </c>
    </row>
    <row r="17">
      <c r="A17" s="8" t="s">
        <v>32</v>
      </c>
      <c r="B17" s="9" t="s">
        <v>17</v>
      </c>
      <c r="C17" s="9" t="s">
        <v>18</v>
      </c>
      <c r="D17" s="10"/>
      <c r="E17" s="11" t="n">
        <f>23066</f>
        <v>23066.0</v>
      </c>
      <c r="F17" s="10"/>
      <c r="G17" s="11" t="n">
        <f>175745838000</f>
        <v>1.75745838E11</v>
      </c>
      <c r="H17" s="10"/>
      <c r="I17" s="11" t="str">
        <f>"－"</f>
        <v>－</v>
      </c>
      <c r="J17" s="10"/>
      <c r="K17" s="11" t="n">
        <f>42351</f>
        <v>42351.0</v>
      </c>
    </row>
    <row r="18">
      <c r="A18" s="8" t="s">
        <v>33</v>
      </c>
      <c r="B18" s="9" t="s">
        <v>17</v>
      </c>
      <c r="C18" s="9" t="s">
        <v>18</v>
      </c>
      <c r="D18" s="10"/>
      <c r="E18" s="11" t="n">
        <f>24518</f>
        <v>24518.0</v>
      </c>
      <c r="F18" s="10"/>
      <c r="G18" s="11" t="n">
        <f>185888542000</f>
        <v>1.85888542E11</v>
      </c>
      <c r="H18" s="10"/>
      <c r="I18" s="11" t="str">
        <f>"－"</f>
        <v>－</v>
      </c>
      <c r="J18" s="10"/>
      <c r="K18" s="11" t="n">
        <f>42440</f>
        <v>42440.0</v>
      </c>
    </row>
    <row r="19">
      <c r="A19" s="8" t="s">
        <v>34</v>
      </c>
      <c r="B19" s="9" t="s">
        <v>17</v>
      </c>
      <c r="C19" s="9" t="s">
        <v>18</v>
      </c>
      <c r="D19" s="10"/>
      <c r="E19" s="11" t="n">
        <f>37748</f>
        <v>37748.0</v>
      </c>
      <c r="F19" s="10"/>
      <c r="G19" s="11" t="n">
        <f>287221988000</f>
        <v>2.87221988E11</v>
      </c>
      <c r="H19" s="10"/>
      <c r="I19" s="11" t="str">
        <f>"－"</f>
        <v>－</v>
      </c>
      <c r="J19" s="10"/>
      <c r="K19" s="11" t="n">
        <f>41350</f>
        <v>41350.0</v>
      </c>
    </row>
    <row r="20">
      <c r="A20" s="8" t="s">
        <v>35</v>
      </c>
      <c r="B20" s="9" t="s">
        <v>17</v>
      </c>
      <c r="C20" s="9" t="s">
        <v>18</v>
      </c>
      <c r="D20" s="10"/>
      <c r="E20" s="11" t="n">
        <f>32698</f>
        <v>32698.0</v>
      </c>
      <c r="F20" s="10"/>
      <c r="G20" s="11" t="n">
        <f>248817783000</f>
        <v>2.48817783E11</v>
      </c>
      <c r="H20" s="10"/>
      <c r="I20" s="11" t="str">
        <f>"－"</f>
        <v>－</v>
      </c>
      <c r="J20" s="10"/>
      <c r="K20" s="11" t="n">
        <f>41686</f>
        <v>41686.0</v>
      </c>
    </row>
    <row r="21">
      <c r="A21" s="8" t="s">
        <v>36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37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38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39</v>
      </c>
      <c r="B24" s="9" t="s">
        <v>17</v>
      </c>
      <c r="C24" s="9" t="s">
        <v>18</v>
      </c>
      <c r="D24" s="10"/>
      <c r="E24" s="11" t="n">
        <f>21362</f>
        <v>21362.0</v>
      </c>
      <c r="F24" s="10"/>
      <c r="G24" s="11" t="n">
        <f>161630420000</f>
        <v>1.6163042E11</v>
      </c>
      <c r="H24" s="10"/>
      <c r="I24" s="11" t="str">
        <f>"－"</f>
        <v>－</v>
      </c>
      <c r="J24" s="10"/>
      <c r="K24" s="11" t="n">
        <f>42305</f>
        <v>42305.0</v>
      </c>
    </row>
    <row r="25">
      <c r="A25" s="8" t="s">
        <v>40</v>
      </c>
      <c r="B25" s="9" t="s">
        <v>17</v>
      </c>
      <c r="C25" s="9" t="s">
        <v>18</v>
      </c>
      <c r="D25" s="10"/>
      <c r="E25" s="11" t="n">
        <f>18434</f>
        <v>18434.0</v>
      </c>
      <c r="F25" s="10"/>
      <c r="G25" s="11" t="n">
        <f>139293499000</f>
        <v>1.39293499E11</v>
      </c>
      <c r="H25" s="10"/>
      <c r="I25" s="11" t="str">
        <f>"－"</f>
        <v>－</v>
      </c>
      <c r="J25" s="10"/>
      <c r="K25" s="11" t="n">
        <f>42756</f>
        <v>42756.0</v>
      </c>
    </row>
    <row r="26">
      <c r="A26" s="8" t="s">
        <v>41</v>
      </c>
      <c r="B26" s="9" t="s">
        <v>17</v>
      </c>
      <c r="C26" s="9" t="s">
        <v>18</v>
      </c>
      <c r="D26" s="10"/>
      <c r="E26" s="11" t="n">
        <f>23266</f>
        <v>23266.0</v>
      </c>
      <c r="F26" s="10"/>
      <c r="G26" s="11" t="n">
        <f>175136762000</f>
        <v>1.75136762E11</v>
      </c>
      <c r="H26" s="10"/>
      <c r="I26" s="11" t="str">
        <f>"－"</f>
        <v>－</v>
      </c>
      <c r="J26" s="10" t="s">
        <v>26</v>
      </c>
      <c r="K26" s="11" t="n">
        <f>42833</f>
        <v>42833.0</v>
      </c>
    </row>
    <row r="27">
      <c r="A27" s="8" t="s">
        <v>42</v>
      </c>
      <c r="B27" s="9" t="s">
        <v>17</v>
      </c>
      <c r="C27" s="9" t="s">
        <v>18</v>
      </c>
      <c r="D27" s="10"/>
      <c r="E27" s="11" t="n">
        <f>33024</f>
        <v>33024.0</v>
      </c>
      <c r="F27" s="10"/>
      <c r="G27" s="11" t="n">
        <f>248876447000</f>
        <v>2.48876447E11</v>
      </c>
      <c r="H27" s="10"/>
      <c r="I27" s="11" t="str">
        <f>"－"</f>
        <v>－</v>
      </c>
      <c r="J27" s="10"/>
      <c r="K27" s="11" t="n">
        <f>42213</f>
        <v>42213.0</v>
      </c>
    </row>
    <row r="28">
      <c r="A28" s="8" t="s">
        <v>43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44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45</v>
      </c>
      <c r="B30" s="9" t="s">
        <v>17</v>
      </c>
      <c r="C30" s="9" t="s">
        <v>18</v>
      </c>
      <c r="D30" s="10"/>
      <c r="E30" s="11" t="n">
        <f>24680</f>
        <v>24680.0</v>
      </c>
      <c r="F30" s="10"/>
      <c r="G30" s="11" t="n">
        <f>186295122000</f>
        <v>1.86295122E11</v>
      </c>
      <c r="H30" s="10"/>
      <c r="I30" s="11" t="str">
        <f>"－"</f>
        <v>－</v>
      </c>
      <c r="J30" s="10"/>
      <c r="K30" s="11" t="n">
        <f>41761</f>
        <v>41761.0</v>
      </c>
    </row>
    <row r="31">
      <c r="A31" s="8" t="s">
        <v>46</v>
      </c>
      <c r="B31" s="9" t="s">
        <v>17</v>
      </c>
      <c r="C31" s="9" t="s">
        <v>18</v>
      </c>
      <c r="D31" s="10"/>
      <c r="E31" s="11" t="n">
        <f>17642</f>
        <v>17642.0</v>
      </c>
      <c r="F31" s="10"/>
      <c r="G31" s="11" t="n">
        <f>132875180000</f>
        <v>1.3287518E11</v>
      </c>
      <c r="H31" s="10"/>
      <c r="I31" s="11" t="str">
        <f>"－"</f>
        <v>－</v>
      </c>
      <c r="J31" s="10"/>
      <c r="K31" s="11" t="n">
        <f>41939</f>
        <v>41939.0</v>
      </c>
    </row>
    <row r="32">
      <c r="A32" s="8" t="s">
        <v>47</v>
      </c>
      <c r="B32" s="9" t="s">
        <v>17</v>
      </c>
      <c r="C32" s="9" t="s">
        <v>18</v>
      </c>
      <c r="D32" s="10" t="s">
        <v>20</v>
      </c>
      <c r="E32" s="11" t="n">
        <f>16611</f>
        <v>16611.0</v>
      </c>
      <c r="F32" s="10" t="s">
        <v>20</v>
      </c>
      <c r="G32" s="11" t="n">
        <f>124997529000</f>
        <v>1.24997529E11</v>
      </c>
      <c r="H32" s="10"/>
      <c r="I32" s="11" t="str">
        <f>"－"</f>
        <v>－</v>
      </c>
      <c r="J32" s="10"/>
      <c r="K32" s="11" t="n">
        <f>41858</f>
        <v>41858.0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27421</f>
        <v>27421.0</v>
      </c>
      <c r="F33" s="10"/>
      <c r="G33" s="11" t="n">
        <f>207089185000</f>
        <v>2.07089185E11</v>
      </c>
      <c r="H33" s="10"/>
      <c r="I33" s="11" t="str">
        <f>"－"</f>
        <v>－</v>
      </c>
      <c r="J33" s="10"/>
      <c r="K33" s="11" t="n">
        <f>41896</f>
        <v>41896.0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28168</f>
        <v>28168.0</v>
      </c>
      <c r="F34" s="10"/>
      <c r="G34" s="11" t="n">
        <f>212406108000</f>
        <v>2.12406108E11</v>
      </c>
      <c r="H34" s="10"/>
      <c r="I34" s="11" t="str">
        <f>"－"</f>
        <v>－</v>
      </c>
      <c r="J34" s="10"/>
      <c r="K34" s="11" t="n">
        <f>42477</f>
        <v>42477.0</v>
      </c>
    </row>
    <row r="35">
      <c r="A35" s="8" t="s">
        <v>50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51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52</v>
      </c>
      <c r="C37" s="9" t="s">
        <v>53</v>
      </c>
      <c r="D37" s="10"/>
      <c r="E37" s="11" t="n">
        <f>10430</f>
        <v>10430.0</v>
      </c>
      <c r="F37" s="10"/>
      <c r="G37" s="11" t="n">
        <f>8199474800</f>
        <v>8.1994748E9</v>
      </c>
      <c r="H37" s="10" t="s">
        <v>19</v>
      </c>
      <c r="I37" s="11" t="str">
        <f>"－"</f>
        <v>－</v>
      </c>
      <c r="J37" s="10" t="s">
        <v>20</v>
      </c>
      <c r="K37" s="11" t="n">
        <f>10120</f>
        <v>10120.0</v>
      </c>
    </row>
    <row r="38">
      <c r="A38" s="8" t="s">
        <v>21</v>
      </c>
      <c r="B38" s="9" t="s">
        <v>52</v>
      </c>
      <c r="C38" s="9" t="s">
        <v>53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22</v>
      </c>
      <c r="B39" s="9" t="s">
        <v>52</v>
      </c>
      <c r="C39" s="9" t="s">
        <v>53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23</v>
      </c>
      <c r="B40" s="9" t="s">
        <v>52</v>
      </c>
      <c r="C40" s="9" t="s">
        <v>53</v>
      </c>
      <c r="D40" s="10"/>
      <c r="E40" s="11" t="n">
        <f>9573</f>
        <v>9573.0</v>
      </c>
      <c r="F40" s="10"/>
      <c r="G40" s="11" t="n">
        <f>7460078700</f>
        <v>7.4600787E9</v>
      </c>
      <c r="H40" s="10"/>
      <c r="I40" s="11" t="str">
        <f>"－"</f>
        <v>－</v>
      </c>
      <c r="J40" s="10"/>
      <c r="K40" s="11" t="n">
        <f>10326</f>
        <v>10326.0</v>
      </c>
    </row>
    <row r="41">
      <c r="A41" s="8" t="s">
        <v>24</v>
      </c>
      <c r="B41" s="9" t="s">
        <v>52</v>
      </c>
      <c r="C41" s="9" t="s">
        <v>53</v>
      </c>
      <c r="D41" s="10"/>
      <c r="E41" s="11" t="n">
        <f>5072</f>
        <v>5072.0</v>
      </c>
      <c r="F41" s="10"/>
      <c r="G41" s="11" t="n">
        <f>3988553150</f>
        <v>3.98855315E9</v>
      </c>
      <c r="H41" s="10"/>
      <c r="I41" s="11" t="str">
        <f>"－"</f>
        <v>－</v>
      </c>
      <c r="J41" s="10"/>
      <c r="K41" s="11" t="n">
        <f>10462</f>
        <v>10462.0</v>
      </c>
    </row>
    <row r="42">
      <c r="A42" s="8" t="s">
        <v>25</v>
      </c>
      <c r="B42" s="9" t="s">
        <v>52</v>
      </c>
      <c r="C42" s="9" t="s">
        <v>53</v>
      </c>
      <c r="D42" s="10" t="s">
        <v>26</v>
      </c>
      <c r="E42" s="11" t="n">
        <f>12014</f>
        <v>12014.0</v>
      </c>
      <c r="F42" s="10" t="s">
        <v>26</v>
      </c>
      <c r="G42" s="11" t="n">
        <f>9297195250</f>
        <v>9.29719525E9</v>
      </c>
      <c r="H42" s="10"/>
      <c r="I42" s="11" t="str">
        <f>"－"</f>
        <v>－</v>
      </c>
      <c r="J42" s="10"/>
      <c r="K42" s="11" t="n">
        <f>10726</f>
        <v>10726.0</v>
      </c>
    </row>
    <row r="43">
      <c r="A43" s="8" t="s">
        <v>27</v>
      </c>
      <c r="B43" s="9" t="s">
        <v>52</v>
      </c>
      <c r="C43" s="9" t="s">
        <v>53</v>
      </c>
      <c r="D43" s="10"/>
      <c r="E43" s="11" t="n">
        <f>8679</f>
        <v>8679.0</v>
      </c>
      <c r="F43" s="10"/>
      <c r="G43" s="11" t="n">
        <f>6598883550</f>
        <v>6.59888355E9</v>
      </c>
      <c r="H43" s="10"/>
      <c r="I43" s="11" t="str">
        <f>"－"</f>
        <v>－</v>
      </c>
      <c r="J43" s="10"/>
      <c r="K43" s="11" t="n">
        <f>10965</f>
        <v>10965.0</v>
      </c>
    </row>
    <row r="44">
      <c r="A44" s="8" t="s">
        <v>28</v>
      </c>
      <c r="B44" s="9" t="s">
        <v>52</v>
      </c>
      <c r="C44" s="9" t="s">
        <v>53</v>
      </c>
      <c r="D44" s="10"/>
      <c r="E44" s="11" t="n">
        <f>5040</f>
        <v>5040.0</v>
      </c>
      <c r="F44" s="10"/>
      <c r="G44" s="11" t="n">
        <f>3820232800</f>
        <v>3.8202328E9</v>
      </c>
      <c r="H44" s="10"/>
      <c r="I44" s="11" t="str">
        <f>"－"</f>
        <v>－</v>
      </c>
      <c r="J44" s="10"/>
      <c r="K44" s="11" t="n">
        <f>11102</f>
        <v>11102.0</v>
      </c>
    </row>
    <row r="45">
      <c r="A45" s="8" t="s">
        <v>29</v>
      </c>
      <c r="B45" s="9" t="s">
        <v>52</v>
      </c>
      <c r="C45" s="9" t="s">
        <v>53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30</v>
      </c>
      <c r="B46" s="9" t="s">
        <v>52</v>
      </c>
      <c r="C46" s="9" t="s">
        <v>53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31</v>
      </c>
      <c r="B47" s="9" t="s">
        <v>52</v>
      </c>
      <c r="C47" s="9" t="s">
        <v>53</v>
      </c>
      <c r="D47" s="10"/>
      <c r="E47" s="11" t="n">
        <f>6441</f>
        <v>6441.0</v>
      </c>
      <c r="F47" s="10"/>
      <c r="G47" s="11" t="n">
        <f>4892238750</f>
        <v>4.89223875E9</v>
      </c>
      <c r="H47" s="10"/>
      <c r="I47" s="11" t="str">
        <f>"－"</f>
        <v>－</v>
      </c>
      <c r="J47" s="10"/>
      <c r="K47" s="11" t="n">
        <f>11035</f>
        <v>11035.0</v>
      </c>
    </row>
    <row r="48">
      <c r="A48" s="8" t="s">
        <v>32</v>
      </c>
      <c r="B48" s="9" t="s">
        <v>52</v>
      </c>
      <c r="C48" s="9" t="s">
        <v>53</v>
      </c>
      <c r="D48" s="10"/>
      <c r="E48" s="11" t="n">
        <f>5852</f>
        <v>5852.0</v>
      </c>
      <c r="F48" s="10"/>
      <c r="G48" s="11" t="n">
        <f>4459281950</f>
        <v>4.45928195E9</v>
      </c>
      <c r="H48" s="10"/>
      <c r="I48" s="11" t="str">
        <f>"－"</f>
        <v>－</v>
      </c>
      <c r="J48" s="10"/>
      <c r="K48" s="11" t="n">
        <f>11101</f>
        <v>11101.0</v>
      </c>
    </row>
    <row r="49">
      <c r="A49" s="8" t="s">
        <v>33</v>
      </c>
      <c r="B49" s="9" t="s">
        <v>52</v>
      </c>
      <c r="C49" s="9" t="s">
        <v>53</v>
      </c>
      <c r="D49" s="10"/>
      <c r="E49" s="11" t="n">
        <f>5178</f>
        <v>5178.0</v>
      </c>
      <c r="F49" s="10"/>
      <c r="G49" s="11" t="n">
        <f>3926331050</f>
        <v>3.92633105E9</v>
      </c>
      <c r="H49" s="10"/>
      <c r="I49" s="11" t="str">
        <f>"－"</f>
        <v>－</v>
      </c>
      <c r="J49" s="10"/>
      <c r="K49" s="11" t="n">
        <f>11184</f>
        <v>11184.0</v>
      </c>
    </row>
    <row r="50">
      <c r="A50" s="8" t="s">
        <v>34</v>
      </c>
      <c r="B50" s="9" t="s">
        <v>52</v>
      </c>
      <c r="C50" s="9" t="s">
        <v>53</v>
      </c>
      <c r="D50" s="10"/>
      <c r="E50" s="11" t="n">
        <f>7130</f>
        <v>7130.0</v>
      </c>
      <c r="F50" s="10"/>
      <c r="G50" s="11" t="n">
        <f>5420624100</f>
        <v>5.4206241E9</v>
      </c>
      <c r="H50" s="10"/>
      <c r="I50" s="11" t="str">
        <f>"－"</f>
        <v>－</v>
      </c>
      <c r="J50" s="10"/>
      <c r="K50" s="11" t="n">
        <f>11329</f>
        <v>11329.0</v>
      </c>
    </row>
    <row r="51">
      <c r="A51" s="8" t="s">
        <v>35</v>
      </c>
      <c r="B51" s="9" t="s">
        <v>52</v>
      </c>
      <c r="C51" s="9" t="s">
        <v>53</v>
      </c>
      <c r="D51" s="10"/>
      <c r="E51" s="11" t="n">
        <f>6693</f>
        <v>6693.0</v>
      </c>
      <c r="F51" s="10"/>
      <c r="G51" s="11" t="n">
        <f>5093962350</f>
        <v>5.09396235E9</v>
      </c>
      <c r="H51" s="10"/>
      <c r="I51" s="11" t="str">
        <f>"－"</f>
        <v>－</v>
      </c>
      <c r="J51" s="10"/>
      <c r="K51" s="11" t="n">
        <f>11354</f>
        <v>11354.0</v>
      </c>
    </row>
    <row r="52">
      <c r="A52" s="8" t="s">
        <v>36</v>
      </c>
      <c r="B52" s="9" t="s">
        <v>52</v>
      </c>
      <c r="C52" s="9" t="s">
        <v>53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37</v>
      </c>
      <c r="B53" s="9" t="s">
        <v>52</v>
      </c>
      <c r="C53" s="9" t="s">
        <v>53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38</v>
      </c>
      <c r="B54" s="9" t="s">
        <v>52</v>
      </c>
      <c r="C54" s="9" t="s">
        <v>53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39</v>
      </c>
      <c r="B55" s="9" t="s">
        <v>52</v>
      </c>
      <c r="C55" s="9" t="s">
        <v>53</v>
      </c>
      <c r="D55" s="10"/>
      <c r="E55" s="11" t="n">
        <f>4498</f>
        <v>4498.0</v>
      </c>
      <c r="F55" s="10"/>
      <c r="G55" s="11" t="n">
        <f>3403949350</f>
        <v>3.40394935E9</v>
      </c>
      <c r="H55" s="10"/>
      <c r="I55" s="11" t="str">
        <f>"－"</f>
        <v>－</v>
      </c>
      <c r="J55" s="10"/>
      <c r="K55" s="11" t="n">
        <f>11585</f>
        <v>11585.0</v>
      </c>
    </row>
    <row r="56">
      <c r="A56" s="8" t="s">
        <v>40</v>
      </c>
      <c r="B56" s="9" t="s">
        <v>52</v>
      </c>
      <c r="C56" s="9" t="s">
        <v>53</v>
      </c>
      <c r="D56" s="10"/>
      <c r="E56" s="11" t="n">
        <f>4057</f>
        <v>4057.0</v>
      </c>
      <c r="F56" s="10"/>
      <c r="G56" s="11" t="n">
        <f>3065468050</f>
        <v>3.06546805E9</v>
      </c>
      <c r="H56" s="10"/>
      <c r="I56" s="11" t="str">
        <f>"－"</f>
        <v>－</v>
      </c>
      <c r="J56" s="10"/>
      <c r="K56" s="11" t="n">
        <f>11878</f>
        <v>11878.0</v>
      </c>
    </row>
    <row r="57">
      <c r="A57" s="8" t="s">
        <v>41</v>
      </c>
      <c r="B57" s="9" t="s">
        <v>52</v>
      </c>
      <c r="C57" s="9" t="s">
        <v>53</v>
      </c>
      <c r="D57" s="10"/>
      <c r="E57" s="11" t="n">
        <f>4509</f>
        <v>4509.0</v>
      </c>
      <c r="F57" s="10"/>
      <c r="G57" s="11" t="n">
        <f>3394536600</f>
        <v>3.3945366E9</v>
      </c>
      <c r="H57" s="10"/>
      <c r="I57" s="11" t="str">
        <f>"－"</f>
        <v>－</v>
      </c>
      <c r="J57" s="10"/>
      <c r="K57" s="11" t="n">
        <f>11797</f>
        <v>11797.0</v>
      </c>
    </row>
    <row r="58">
      <c r="A58" s="8" t="s">
        <v>42</v>
      </c>
      <c r="B58" s="9" t="s">
        <v>52</v>
      </c>
      <c r="C58" s="9" t="s">
        <v>53</v>
      </c>
      <c r="D58" s="10"/>
      <c r="E58" s="11" t="n">
        <f>7587</f>
        <v>7587.0</v>
      </c>
      <c r="F58" s="10"/>
      <c r="G58" s="11" t="n">
        <f>5713890450</f>
        <v>5.71389045E9</v>
      </c>
      <c r="H58" s="10"/>
      <c r="I58" s="11" t="str">
        <f>"－"</f>
        <v>－</v>
      </c>
      <c r="J58" s="10"/>
      <c r="K58" s="11" t="n">
        <f>11765</f>
        <v>11765.0</v>
      </c>
    </row>
    <row r="59">
      <c r="A59" s="8" t="s">
        <v>43</v>
      </c>
      <c r="B59" s="9" t="s">
        <v>52</v>
      </c>
      <c r="C59" s="9" t="s">
        <v>53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44</v>
      </c>
      <c r="B60" s="9" t="s">
        <v>52</v>
      </c>
      <c r="C60" s="9" t="s">
        <v>53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45</v>
      </c>
      <c r="B61" s="9" t="s">
        <v>52</v>
      </c>
      <c r="C61" s="9" t="s">
        <v>53</v>
      </c>
      <c r="D61" s="10"/>
      <c r="E61" s="11" t="n">
        <f>5255</f>
        <v>5255.0</v>
      </c>
      <c r="F61" s="10"/>
      <c r="G61" s="11" t="n">
        <f>3966537300</f>
        <v>3.9665373E9</v>
      </c>
      <c r="H61" s="10"/>
      <c r="I61" s="11" t="str">
        <f>"－"</f>
        <v>－</v>
      </c>
      <c r="J61" s="10"/>
      <c r="K61" s="11" t="n">
        <f>11797</f>
        <v>11797.0</v>
      </c>
    </row>
    <row r="62">
      <c r="A62" s="8" t="s">
        <v>46</v>
      </c>
      <c r="B62" s="9" t="s">
        <v>52</v>
      </c>
      <c r="C62" s="9" t="s">
        <v>53</v>
      </c>
      <c r="D62" s="10" t="s">
        <v>20</v>
      </c>
      <c r="E62" s="11" t="n">
        <f>3933</f>
        <v>3933.0</v>
      </c>
      <c r="F62" s="10" t="s">
        <v>20</v>
      </c>
      <c r="G62" s="11" t="n">
        <f>2962639950</f>
        <v>2.96263995E9</v>
      </c>
      <c r="H62" s="10"/>
      <c r="I62" s="11" t="str">
        <f>"－"</f>
        <v>－</v>
      </c>
      <c r="J62" s="10"/>
      <c r="K62" s="11" t="n">
        <f>11884</f>
        <v>11884.0</v>
      </c>
    </row>
    <row r="63">
      <c r="A63" s="8" t="s">
        <v>47</v>
      </c>
      <c r="B63" s="9" t="s">
        <v>52</v>
      </c>
      <c r="C63" s="9" t="s">
        <v>53</v>
      </c>
      <c r="D63" s="10"/>
      <c r="E63" s="11" t="n">
        <f>4078</f>
        <v>4078.0</v>
      </c>
      <c r="F63" s="10"/>
      <c r="G63" s="11" t="n">
        <f>3068220050</f>
        <v>3.06822005E9</v>
      </c>
      <c r="H63" s="10"/>
      <c r="I63" s="11" t="str">
        <f>"－"</f>
        <v>－</v>
      </c>
      <c r="J63" s="10" t="s">
        <v>26</v>
      </c>
      <c r="K63" s="11" t="n">
        <f>12022</f>
        <v>12022.0</v>
      </c>
    </row>
    <row r="64">
      <c r="A64" s="8" t="s">
        <v>48</v>
      </c>
      <c r="B64" s="9" t="s">
        <v>52</v>
      </c>
      <c r="C64" s="9" t="s">
        <v>53</v>
      </c>
      <c r="D64" s="10"/>
      <c r="E64" s="11" t="n">
        <f>6360</f>
        <v>6360.0</v>
      </c>
      <c r="F64" s="10"/>
      <c r="G64" s="11" t="n">
        <f>4800300700</f>
        <v>4.8003007E9</v>
      </c>
      <c r="H64" s="10"/>
      <c r="I64" s="11" t="str">
        <f>"－"</f>
        <v>－</v>
      </c>
      <c r="J64" s="10"/>
      <c r="K64" s="11" t="n">
        <f>11958</f>
        <v>11958.0</v>
      </c>
    </row>
    <row r="65">
      <c r="A65" s="8" t="s">
        <v>49</v>
      </c>
      <c r="B65" s="9" t="s">
        <v>52</v>
      </c>
      <c r="C65" s="9" t="s">
        <v>53</v>
      </c>
      <c r="D65" s="10"/>
      <c r="E65" s="11" t="n">
        <f>7336</f>
        <v>7336.0</v>
      </c>
      <c r="F65" s="10"/>
      <c r="G65" s="11" t="n">
        <f>5533350600</f>
        <v>5.5333506E9</v>
      </c>
      <c r="H65" s="10"/>
      <c r="I65" s="11" t="str">
        <f>"－"</f>
        <v>－</v>
      </c>
      <c r="J65" s="10"/>
      <c r="K65" s="11" t="n">
        <f>11993</f>
        <v>11993.0</v>
      </c>
    </row>
    <row r="66">
      <c r="A66" s="8" t="s">
        <v>50</v>
      </c>
      <c r="B66" s="9" t="s">
        <v>52</v>
      </c>
      <c r="C66" s="9" t="s">
        <v>53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51</v>
      </c>
      <c r="B67" s="9" t="s">
        <v>52</v>
      </c>
      <c r="C67" s="9" t="s">
        <v>53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5721</f>
        <v>5721.0</v>
      </c>
      <c r="F68" s="10"/>
      <c r="G68" s="11" t="n">
        <f>4504172500</f>
        <v>4.5041725E9</v>
      </c>
      <c r="H68" s="10" t="s">
        <v>19</v>
      </c>
      <c r="I68" s="11" t="str">
        <f>"－"</f>
        <v>－</v>
      </c>
      <c r="J68" s="10"/>
      <c r="K68" s="11" t="n">
        <f>57339</f>
        <v>57339.0</v>
      </c>
    </row>
    <row r="69">
      <c r="A69" s="8" t="s">
        <v>21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22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23</v>
      </c>
      <c r="B71" s="9" t="s">
        <v>54</v>
      </c>
      <c r="C71" s="9" t="s">
        <v>55</v>
      </c>
      <c r="D71" s="10"/>
      <c r="E71" s="11" t="n">
        <f>5700</f>
        <v>5700.0</v>
      </c>
      <c r="F71" s="10"/>
      <c r="G71" s="11" t="n">
        <f>4463892100</f>
        <v>4.4638921E9</v>
      </c>
      <c r="H71" s="10"/>
      <c r="I71" s="11" t="str">
        <f>"－"</f>
        <v>－</v>
      </c>
      <c r="J71" s="10" t="s">
        <v>26</v>
      </c>
      <c r="K71" s="11" t="n">
        <f>57976</f>
        <v>57976.0</v>
      </c>
    </row>
    <row r="72">
      <c r="A72" s="8" t="s">
        <v>24</v>
      </c>
      <c r="B72" s="9" t="s">
        <v>54</v>
      </c>
      <c r="C72" s="9" t="s">
        <v>55</v>
      </c>
      <c r="D72" s="10"/>
      <c r="E72" s="11" t="n">
        <f>2957</f>
        <v>2957.0</v>
      </c>
      <c r="F72" s="10"/>
      <c r="G72" s="11" t="n">
        <f>2338962800</f>
        <v>2.3389628E9</v>
      </c>
      <c r="H72" s="10"/>
      <c r="I72" s="11" t="str">
        <f>"－"</f>
        <v>－</v>
      </c>
      <c r="J72" s="10"/>
      <c r="K72" s="11" t="n">
        <f>57176</f>
        <v>57176.0</v>
      </c>
    </row>
    <row r="73">
      <c r="A73" s="8" t="s">
        <v>25</v>
      </c>
      <c r="B73" s="9" t="s">
        <v>54</v>
      </c>
      <c r="C73" s="9" t="s">
        <v>55</v>
      </c>
      <c r="D73" s="10" t="s">
        <v>26</v>
      </c>
      <c r="E73" s="11" t="n">
        <f>6730</f>
        <v>6730.0</v>
      </c>
      <c r="F73" s="10" t="s">
        <v>26</v>
      </c>
      <c r="G73" s="11" t="n">
        <f>5223402400</f>
        <v>5.2234024E9</v>
      </c>
      <c r="H73" s="10"/>
      <c r="I73" s="11" t="str">
        <f>"－"</f>
        <v>－</v>
      </c>
      <c r="J73" s="10"/>
      <c r="K73" s="11" t="n">
        <f>57259</f>
        <v>57259.0</v>
      </c>
    </row>
    <row r="74">
      <c r="A74" s="8" t="s">
        <v>27</v>
      </c>
      <c r="B74" s="9" t="s">
        <v>54</v>
      </c>
      <c r="C74" s="9" t="s">
        <v>55</v>
      </c>
      <c r="D74" s="10"/>
      <c r="E74" s="11" t="n">
        <f>5580</f>
        <v>5580.0</v>
      </c>
      <c r="F74" s="10"/>
      <c r="G74" s="11" t="n">
        <f>4259642200</f>
        <v>4.2596422E9</v>
      </c>
      <c r="H74" s="10"/>
      <c r="I74" s="11" t="str">
        <f>"－"</f>
        <v>－</v>
      </c>
      <c r="J74" s="10"/>
      <c r="K74" s="11" t="n">
        <f>57353</f>
        <v>57353.0</v>
      </c>
    </row>
    <row r="75">
      <c r="A75" s="8" t="s">
        <v>28</v>
      </c>
      <c r="B75" s="9" t="s">
        <v>54</v>
      </c>
      <c r="C75" s="9" t="s">
        <v>55</v>
      </c>
      <c r="D75" s="10"/>
      <c r="E75" s="11" t="n">
        <f>4150</f>
        <v>4150.0</v>
      </c>
      <c r="F75" s="10"/>
      <c r="G75" s="11" t="n">
        <f>3164279800</f>
        <v>3.1642798E9</v>
      </c>
      <c r="H75" s="10"/>
      <c r="I75" s="11" t="str">
        <f>"－"</f>
        <v>－</v>
      </c>
      <c r="J75" s="10"/>
      <c r="K75" s="11" t="n">
        <f>56883</f>
        <v>56883.0</v>
      </c>
    </row>
    <row r="76">
      <c r="A76" s="8" t="s">
        <v>29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30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31</v>
      </c>
      <c r="B78" s="9" t="s">
        <v>54</v>
      </c>
      <c r="C78" s="9" t="s">
        <v>55</v>
      </c>
      <c r="D78" s="10"/>
      <c r="E78" s="11" t="n">
        <f>2703</f>
        <v>2703.0</v>
      </c>
      <c r="F78" s="10"/>
      <c r="G78" s="11" t="n">
        <f>2067534800</f>
        <v>2.0675348E9</v>
      </c>
      <c r="H78" s="10"/>
      <c r="I78" s="11" t="str">
        <f>"－"</f>
        <v>－</v>
      </c>
      <c r="J78" s="10"/>
      <c r="K78" s="11" t="n">
        <f>56484</f>
        <v>56484.0</v>
      </c>
    </row>
    <row r="79">
      <c r="A79" s="8" t="s">
        <v>32</v>
      </c>
      <c r="B79" s="9" t="s">
        <v>54</v>
      </c>
      <c r="C79" s="9" t="s">
        <v>55</v>
      </c>
      <c r="D79" s="10"/>
      <c r="E79" s="11" t="n">
        <f>2989</f>
        <v>2989.0</v>
      </c>
      <c r="F79" s="10"/>
      <c r="G79" s="11" t="n">
        <f>2288515600</f>
        <v>2.2885156E9</v>
      </c>
      <c r="H79" s="10"/>
      <c r="I79" s="11" t="str">
        <f>"－"</f>
        <v>－</v>
      </c>
      <c r="J79" s="10"/>
      <c r="K79" s="11" t="n">
        <f>56107</f>
        <v>56107.0</v>
      </c>
    </row>
    <row r="80">
      <c r="A80" s="8" t="s">
        <v>33</v>
      </c>
      <c r="B80" s="9" t="s">
        <v>54</v>
      </c>
      <c r="C80" s="9" t="s">
        <v>55</v>
      </c>
      <c r="D80" s="10"/>
      <c r="E80" s="11" t="n">
        <f>3129</f>
        <v>3129.0</v>
      </c>
      <c r="F80" s="10"/>
      <c r="G80" s="11" t="n">
        <f>2383135800</f>
        <v>2.3831358E9</v>
      </c>
      <c r="H80" s="10"/>
      <c r="I80" s="11" t="str">
        <f>"－"</f>
        <v>－</v>
      </c>
      <c r="J80" s="10"/>
      <c r="K80" s="11" t="n">
        <f>55907</f>
        <v>55907.0</v>
      </c>
    </row>
    <row r="81">
      <c r="A81" s="8" t="s">
        <v>34</v>
      </c>
      <c r="B81" s="9" t="s">
        <v>54</v>
      </c>
      <c r="C81" s="9" t="s">
        <v>55</v>
      </c>
      <c r="D81" s="10"/>
      <c r="E81" s="11" t="n">
        <f>3644</f>
        <v>3644.0</v>
      </c>
      <c r="F81" s="10"/>
      <c r="G81" s="11" t="n">
        <f>2785252500</f>
        <v>2.7852525E9</v>
      </c>
      <c r="H81" s="10"/>
      <c r="I81" s="11" t="str">
        <f>"－"</f>
        <v>－</v>
      </c>
      <c r="J81" s="10"/>
      <c r="K81" s="11" t="n">
        <f>55466</f>
        <v>55466.0</v>
      </c>
    </row>
    <row r="82">
      <c r="A82" s="8" t="s">
        <v>35</v>
      </c>
      <c r="B82" s="9" t="s">
        <v>54</v>
      </c>
      <c r="C82" s="9" t="s">
        <v>55</v>
      </c>
      <c r="D82" s="10"/>
      <c r="E82" s="11" t="n">
        <f>2276</f>
        <v>2276.0</v>
      </c>
      <c r="F82" s="10"/>
      <c r="G82" s="11" t="n">
        <f>1740022600</f>
        <v>1.7400226E9</v>
      </c>
      <c r="H82" s="10"/>
      <c r="I82" s="11" t="str">
        <f>"－"</f>
        <v>－</v>
      </c>
      <c r="J82" s="10"/>
      <c r="K82" s="11" t="n">
        <f>55616</f>
        <v>55616.0</v>
      </c>
    </row>
    <row r="83">
      <c r="A83" s="8" t="s">
        <v>36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37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38</v>
      </c>
      <c r="B85" s="9" t="s">
        <v>54</v>
      </c>
      <c r="C85" s="9" t="s">
        <v>55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39</v>
      </c>
      <c r="B86" s="9" t="s">
        <v>54</v>
      </c>
      <c r="C86" s="9" t="s">
        <v>55</v>
      </c>
      <c r="D86" s="10"/>
      <c r="E86" s="11" t="n">
        <f>2453</f>
        <v>2453.0</v>
      </c>
      <c r="F86" s="10"/>
      <c r="G86" s="11" t="n">
        <f>1865178700</f>
        <v>1.8651787E9</v>
      </c>
      <c r="H86" s="10"/>
      <c r="I86" s="11" t="str">
        <f>"－"</f>
        <v>－</v>
      </c>
      <c r="J86" s="10"/>
      <c r="K86" s="11" t="n">
        <f>55372</f>
        <v>55372.0</v>
      </c>
    </row>
    <row r="87">
      <c r="A87" s="8" t="s">
        <v>40</v>
      </c>
      <c r="B87" s="9" t="s">
        <v>54</v>
      </c>
      <c r="C87" s="9" t="s">
        <v>55</v>
      </c>
      <c r="D87" s="10"/>
      <c r="E87" s="11" t="n">
        <f>2018</f>
        <v>2018.0</v>
      </c>
      <c r="F87" s="10"/>
      <c r="G87" s="11" t="n">
        <f>1533581100</f>
        <v>1.5335811E9</v>
      </c>
      <c r="H87" s="10"/>
      <c r="I87" s="11" t="str">
        <f>"－"</f>
        <v>－</v>
      </c>
      <c r="J87" s="10"/>
      <c r="K87" s="11" t="n">
        <f>55461</f>
        <v>55461.0</v>
      </c>
    </row>
    <row r="88">
      <c r="A88" s="8" t="s">
        <v>41</v>
      </c>
      <c r="B88" s="9" t="s">
        <v>54</v>
      </c>
      <c r="C88" s="9" t="s">
        <v>55</v>
      </c>
      <c r="D88" s="10"/>
      <c r="E88" s="11" t="n">
        <f>4244</f>
        <v>4244.0</v>
      </c>
      <c r="F88" s="10"/>
      <c r="G88" s="11" t="n">
        <f>3203417600</f>
        <v>3.2034176E9</v>
      </c>
      <c r="H88" s="10"/>
      <c r="I88" s="11" t="str">
        <f>"－"</f>
        <v>－</v>
      </c>
      <c r="J88" s="10"/>
      <c r="K88" s="11" t="n">
        <f>55313</f>
        <v>55313.0</v>
      </c>
    </row>
    <row r="89">
      <c r="A89" s="8" t="s">
        <v>42</v>
      </c>
      <c r="B89" s="9" t="s">
        <v>54</v>
      </c>
      <c r="C89" s="9" t="s">
        <v>55</v>
      </c>
      <c r="D89" s="10"/>
      <c r="E89" s="11" t="n">
        <f>4964</f>
        <v>4964.0</v>
      </c>
      <c r="F89" s="10"/>
      <c r="G89" s="11" t="n">
        <f>3759823000</f>
        <v>3.759823E9</v>
      </c>
      <c r="H89" s="10"/>
      <c r="I89" s="11" t="str">
        <f>"－"</f>
        <v>－</v>
      </c>
      <c r="J89" s="10"/>
      <c r="K89" s="11" t="n">
        <f>55253</f>
        <v>55253.0</v>
      </c>
    </row>
    <row r="90">
      <c r="A90" s="8" t="s">
        <v>43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44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45</v>
      </c>
      <c r="B92" s="9" t="s">
        <v>54</v>
      </c>
      <c r="C92" s="9" t="s">
        <v>55</v>
      </c>
      <c r="D92" s="10"/>
      <c r="E92" s="11" t="n">
        <f>2985</f>
        <v>2985.0</v>
      </c>
      <c r="F92" s="10"/>
      <c r="G92" s="11" t="n">
        <f>2261030000</f>
        <v>2.26103E9</v>
      </c>
      <c r="H92" s="10"/>
      <c r="I92" s="11" t="str">
        <f>"－"</f>
        <v>－</v>
      </c>
      <c r="J92" s="10" t="s">
        <v>20</v>
      </c>
      <c r="K92" s="11" t="n">
        <f>54871</f>
        <v>54871.0</v>
      </c>
    </row>
    <row r="93">
      <c r="A93" s="8" t="s">
        <v>46</v>
      </c>
      <c r="B93" s="9" t="s">
        <v>54</v>
      </c>
      <c r="C93" s="9" t="s">
        <v>55</v>
      </c>
      <c r="D93" s="10"/>
      <c r="E93" s="11" t="n">
        <f>2682</f>
        <v>2682.0</v>
      </c>
      <c r="F93" s="10"/>
      <c r="G93" s="11" t="n">
        <f>2030113000</f>
        <v>2.030113E9</v>
      </c>
      <c r="H93" s="10"/>
      <c r="I93" s="11" t="str">
        <f>"－"</f>
        <v>－</v>
      </c>
      <c r="J93" s="10"/>
      <c r="K93" s="11" t="n">
        <f>55083</f>
        <v>55083.0</v>
      </c>
    </row>
    <row r="94">
      <c r="A94" s="8" t="s">
        <v>47</v>
      </c>
      <c r="B94" s="9" t="s">
        <v>54</v>
      </c>
      <c r="C94" s="9" t="s">
        <v>55</v>
      </c>
      <c r="D94" s="10" t="s">
        <v>20</v>
      </c>
      <c r="E94" s="11" t="n">
        <f>1913</f>
        <v>1913.0</v>
      </c>
      <c r="F94" s="10" t="s">
        <v>20</v>
      </c>
      <c r="G94" s="11" t="n">
        <f>1447259000</f>
        <v>1.447259E9</v>
      </c>
      <c r="H94" s="10"/>
      <c r="I94" s="11" t="str">
        <f>"－"</f>
        <v>－</v>
      </c>
      <c r="J94" s="10"/>
      <c r="K94" s="11" t="n">
        <f>55282</f>
        <v>55282.0</v>
      </c>
    </row>
    <row r="95">
      <c r="A95" s="8" t="s">
        <v>48</v>
      </c>
      <c r="B95" s="9" t="s">
        <v>54</v>
      </c>
      <c r="C95" s="9" t="s">
        <v>55</v>
      </c>
      <c r="D95" s="10"/>
      <c r="E95" s="11" t="n">
        <f>3419</f>
        <v>3419.0</v>
      </c>
      <c r="F95" s="10"/>
      <c r="G95" s="11" t="n">
        <f>2591837900</f>
        <v>2.5918379E9</v>
      </c>
      <c r="H95" s="10"/>
      <c r="I95" s="11" t="str">
        <f>"－"</f>
        <v>－</v>
      </c>
      <c r="J95" s="10"/>
      <c r="K95" s="11" t="n">
        <f>56063</f>
        <v>56063.0</v>
      </c>
    </row>
    <row r="96">
      <c r="A96" s="8" t="s">
        <v>49</v>
      </c>
      <c r="B96" s="9" t="s">
        <v>54</v>
      </c>
      <c r="C96" s="9" t="s">
        <v>55</v>
      </c>
      <c r="D96" s="10"/>
      <c r="E96" s="11" t="n">
        <f>2397</f>
        <v>2397.0</v>
      </c>
      <c r="F96" s="10"/>
      <c r="G96" s="11" t="n">
        <f>1817710300</f>
        <v>1.8177103E9</v>
      </c>
      <c r="H96" s="10"/>
      <c r="I96" s="11" t="str">
        <f>"－"</f>
        <v>－</v>
      </c>
      <c r="J96" s="10"/>
      <c r="K96" s="11" t="n">
        <f>56325</f>
        <v>56325.0</v>
      </c>
    </row>
    <row r="97">
      <c r="A97" s="8" t="s">
        <v>50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51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282</f>
        <v>282.0</v>
      </c>
      <c r="F99" s="10"/>
      <c r="G99" s="11" t="n">
        <f>248215000</f>
        <v>2.48215E8</v>
      </c>
      <c r="H99" s="10" t="s">
        <v>19</v>
      </c>
      <c r="I99" s="11" t="str">
        <f>"－"</f>
        <v>－</v>
      </c>
      <c r="J99" s="10"/>
      <c r="K99" s="11" t="n">
        <f>2291</f>
        <v>2291.0</v>
      </c>
    </row>
    <row r="100">
      <c r="A100" s="8" t="s">
        <v>21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22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23</v>
      </c>
      <c r="B102" s="9" t="s">
        <v>56</v>
      </c>
      <c r="C102" s="9" t="s">
        <v>57</v>
      </c>
      <c r="D102" s="10"/>
      <c r="E102" s="11" t="n">
        <f>302</f>
        <v>302.0</v>
      </c>
      <c r="F102" s="10"/>
      <c r="G102" s="11" t="n">
        <f>260337000</f>
        <v>2.60337E8</v>
      </c>
      <c r="H102" s="10"/>
      <c r="I102" s="11" t="str">
        <f>"－"</f>
        <v>－</v>
      </c>
      <c r="J102" s="10"/>
      <c r="K102" s="11" t="n">
        <f>2311</f>
        <v>2311.0</v>
      </c>
    </row>
    <row r="103">
      <c r="A103" s="8" t="s">
        <v>24</v>
      </c>
      <c r="B103" s="9" t="s">
        <v>56</v>
      </c>
      <c r="C103" s="9" t="s">
        <v>57</v>
      </c>
      <c r="D103" s="10"/>
      <c r="E103" s="11" t="n">
        <f>104</f>
        <v>104.0</v>
      </c>
      <c r="F103" s="10"/>
      <c r="G103" s="11" t="n">
        <f>90691000</f>
        <v>9.0691E7</v>
      </c>
      <c r="H103" s="10"/>
      <c r="I103" s="11" t="str">
        <f>"－"</f>
        <v>－</v>
      </c>
      <c r="J103" s="10" t="s">
        <v>26</v>
      </c>
      <c r="K103" s="11" t="n">
        <f>2335</f>
        <v>2335.0</v>
      </c>
    </row>
    <row r="104">
      <c r="A104" s="8" t="s">
        <v>25</v>
      </c>
      <c r="B104" s="9" t="s">
        <v>56</v>
      </c>
      <c r="C104" s="9" t="s">
        <v>57</v>
      </c>
      <c r="D104" s="10"/>
      <c r="E104" s="11" t="n">
        <f>539</f>
        <v>539.0</v>
      </c>
      <c r="F104" s="10"/>
      <c r="G104" s="11" t="n">
        <f>442968000</f>
        <v>4.42968E8</v>
      </c>
      <c r="H104" s="10"/>
      <c r="I104" s="11" t="str">
        <f>"－"</f>
        <v>－</v>
      </c>
      <c r="J104" s="10"/>
      <c r="K104" s="11" t="n">
        <f>2275</f>
        <v>2275.0</v>
      </c>
    </row>
    <row r="105">
      <c r="A105" s="8" t="s">
        <v>27</v>
      </c>
      <c r="B105" s="9" t="s">
        <v>56</v>
      </c>
      <c r="C105" s="9" t="s">
        <v>57</v>
      </c>
      <c r="D105" s="10" t="s">
        <v>26</v>
      </c>
      <c r="E105" s="11" t="n">
        <f>798</f>
        <v>798.0</v>
      </c>
      <c r="F105" s="10" t="s">
        <v>26</v>
      </c>
      <c r="G105" s="11" t="n">
        <f>634877000</f>
        <v>6.34877E8</v>
      </c>
      <c r="H105" s="10"/>
      <c r="I105" s="11" t="str">
        <f>"－"</f>
        <v>－</v>
      </c>
      <c r="J105" s="10"/>
      <c r="K105" s="11" t="n">
        <f>2216</f>
        <v>2216.0</v>
      </c>
    </row>
    <row r="106">
      <c r="A106" s="8" t="s">
        <v>28</v>
      </c>
      <c r="B106" s="9" t="s">
        <v>56</v>
      </c>
      <c r="C106" s="9" t="s">
        <v>57</v>
      </c>
      <c r="D106" s="10"/>
      <c r="E106" s="11" t="n">
        <f>210</f>
        <v>210.0</v>
      </c>
      <c r="F106" s="10"/>
      <c r="G106" s="11" t="n">
        <f>169073000</f>
        <v>1.69073E8</v>
      </c>
      <c r="H106" s="10"/>
      <c r="I106" s="11" t="str">
        <f>"－"</f>
        <v>－</v>
      </c>
      <c r="J106" s="10"/>
      <c r="K106" s="11" t="n">
        <f>2185</f>
        <v>2185.0</v>
      </c>
    </row>
    <row r="107">
      <c r="A107" s="8" t="s">
        <v>29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30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31</v>
      </c>
      <c r="B109" s="9" t="s">
        <v>56</v>
      </c>
      <c r="C109" s="9" t="s">
        <v>57</v>
      </c>
      <c r="D109" s="10"/>
      <c r="E109" s="11" t="n">
        <f>137</f>
        <v>137.0</v>
      </c>
      <c r="F109" s="10"/>
      <c r="G109" s="11" t="n">
        <f>110727000</f>
        <v>1.10727E8</v>
      </c>
      <c r="H109" s="10"/>
      <c r="I109" s="11" t="str">
        <f>"－"</f>
        <v>－</v>
      </c>
      <c r="J109" s="10"/>
      <c r="K109" s="11" t="n">
        <f>2194</f>
        <v>2194.0</v>
      </c>
    </row>
    <row r="110">
      <c r="A110" s="8" t="s">
        <v>32</v>
      </c>
      <c r="B110" s="9" t="s">
        <v>56</v>
      </c>
      <c r="C110" s="9" t="s">
        <v>57</v>
      </c>
      <c r="D110" s="10"/>
      <c r="E110" s="11" t="n">
        <f>80</f>
        <v>80.0</v>
      </c>
      <c r="F110" s="10"/>
      <c r="G110" s="11" t="n">
        <f>65066000</f>
        <v>6.5066E7</v>
      </c>
      <c r="H110" s="10"/>
      <c r="I110" s="11" t="str">
        <f>"－"</f>
        <v>－</v>
      </c>
      <c r="J110" s="10"/>
      <c r="K110" s="11" t="n">
        <f>2207</f>
        <v>2207.0</v>
      </c>
    </row>
    <row r="111">
      <c r="A111" s="8" t="s">
        <v>33</v>
      </c>
      <c r="B111" s="9" t="s">
        <v>56</v>
      </c>
      <c r="C111" s="9" t="s">
        <v>57</v>
      </c>
      <c r="D111" s="10"/>
      <c r="E111" s="11" t="n">
        <f>83</f>
        <v>83.0</v>
      </c>
      <c r="F111" s="10"/>
      <c r="G111" s="11" t="n">
        <f>65421000</f>
        <v>6.5421E7</v>
      </c>
      <c r="H111" s="10"/>
      <c r="I111" s="11" t="str">
        <f>"－"</f>
        <v>－</v>
      </c>
      <c r="J111" s="10"/>
      <c r="K111" s="11" t="n">
        <f>2187</f>
        <v>2187.0</v>
      </c>
    </row>
    <row r="112">
      <c r="A112" s="8" t="s">
        <v>34</v>
      </c>
      <c r="B112" s="9" t="s">
        <v>56</v>
      </c>
      <c r="C112" s="9" t="s">
        <v>57</v>
      </c>
      <c r="D112" s="10"/>
      <c r="E112" s="11" t="n">
        <f>91</f>
        <v>91.0</v>
      </c>
      <c r="F112" s="10"/>
      <c r="G112" s="11" t="n">
        <f>72446000</f>
        <v>7.2446E7</v>
      </c>
      <c r="H112" s="10"/>
      <c r="I112" s="11" t="str">
        <f>"－"</f>
        <v>－</v>
      </c>
      <c r="J112" s="10"/>
      <c r="K112" s="11" t="n">
        <f>2165</f>
        <v>2165.0</v>
      </c>
    </row>
    <row r="113">
      <c r="A113" s="8" t="s">
        <v>35</v>
      </c>
      <c r="B113" s="9" t="s">
        <v>56</v>
      </c>
      <c r="C113" s="9" t="s">
        <v>57</v>
      </c>
      <c r="D113" s="10"/>
      <c r="E113" s="11" t="n">
        <f>67</f>
        <v>67.0</v>
      </c>
      <c r="F113" s="10"/>
      <c r="G113" s="11" t="n">
        <f>53797000</f>
        <v>5.3797E7</v>
      </c>
      <c r="H113" s="10"/>
      <c r="I113" s="11" t="str">
        <f>"－"</f>
        <v>－</v>
      </c>
      <c r="J113" s="10"/>
      <c r="K113" s="11" t="n">
        <f>2155</f>
        <v>2155.0</v>
      </c>
    </row>
    <row r="114">
      <c r="A114" s="8" t="s">
        <v>36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37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38</v>
      </c>
      <c r="B116" s="9" t="s">
        <v>56</v>
      </c>
      <c r="C116" s="9" t="s">
        <v>57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39</v>
      </c>
      <c r="B117" s="9" t="s">
        <v>56</v>
      </c>
      <c r="C117" s="9" t="s">
        <v>57</v>
      </c>
      <c r="D117" s="10"/>
      <c r="E117" s="11" t="n">
        <f>106</f>
        <v>106.0</v>
      </c>
      <c r="F117" s="10"/>
      <c r="G117" s="11" t="n">
        <f>82623000</f>
        <v>8.2623E7</v>
      </c>
      <c r="H117" s="10"/>
      <c r="I117" s="11" t="str">
        <f>"－"</f>
        <v>－</v>
      </c>
      <c r="J117" s="10"/>
      <c r="K117" s="11" t="n">
        <f>2127</f>
        <v>2127.0</v>
      </c>
    </row>
    <row r="118">
      <c r="A118" s="8" t="s">
        <v>40</v>
      </c>
      <c r="B118" s="9" t="s">
        <v>56</v>
      </c>
      <c r="C118" s="9" t="s">
        <v>57</v>
      </c>
      <c r="D118" s="10"/>
      <c r="E118" s="11" t="n">
        <f>57</f>
        <v>57.0</v>
      </c>
      <c r="F118" s="10"/>
      <c r="G118" s="11" t="n">
        <f>45206000</f>
        <v>4.5206E7</v>
      </c>
      <c r="H118" s="10"/>
      <c r="I118" s="11" t="str">
        <f>"－"</f>
        <v>－</v>
      </c>
      <c r="J118" s="10"/>
      <c r="K118" s="11" t="n">
        <f>2137</f>
        <v>2137.0</v>
      </c>
    </row>
    <row r="119">
      <c r="A119" s="8" t="s">
        <v>41</v>
      </c>
      <c r="B119" s="9" t="s">
        <v>56</v>
      </c>
      <c r="C119" s="9" t="s">
        <v>57</v>
      </c>
      <c r="D119" s="10"/>
      <c r="E119" s="11" t="n">
        <f>111</f>
        <v>111.0</v>
      </c>
      <c r="F119" s="10"/>
      <c r="G119" s="11" t="n">
        <f>87026000</f>
        <v>8.7026E7</v>
      </c>
      <c r="H119" s="10"/>
      <c r="I119" s="11" t="str">
        <f>"－"</f>
        <v>－</v>
      </c>
      <c r="J119" s="10"/>
      <c r="K119" s="11" t="n">
        <f>2085</f>
        <v>2085.0</v>
      </c>
    </row>
    <row r="120">
      <c r="A120" s="8" t="s">
        <v>42</v>
      </c>
      <c r="B120" s="9" t="s">
        <v>56</v>
      </c>
      <c r="C120" s="9" t="s">
        <v>57</v>
      </c>
      <c r="D120" s="10"/>
      <c r="E120" s="11" t="n">
        <f>82</f>
        <v>82.0</v>
      </c>
      <c r="F120" s="10"/>
      <c r="G120" s="11" t="n">
        <f>65171000</f>
        <v>6.5171E7</v>
      </c>
      <c r="H120" s="10"/>
      <c r="I120" s="11" t="str">
        <f>"－"</f>
        <v>－</v>
      </c>
      <c r="J120" s="10"/>
      <c r="K120" s="11" t="n">
        <f>2078</f>
        <v>2078.0</v>
      </c>
    </row>
    <row r="121">
      <c r="A121" s="8" t="s">
        <v>43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44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45</v>
      </c>
      <c r="B123" s="9" t="s">
        <v>56</v>
      </c>
      <c r="C123" s="9" t="s">
        <v>57</v>
      </c>
      <c r="D123" s="10"/>
      <c r="E123" s="11" t="n">
        <f>104</f>
        <v>104.0</v>
      </c>
      <c r="F123" s="10"/>
      <c r="G123" s="11" t="n">
        <f>82057000</f>
        <v>8.2057E7</v>
      </c>
      <c r="H123" s="10"/>
      <c r="I123" s="11" t="str">
        <f>"－"</f>
        <v>－</v>
      </c>
      <c r="J123" s="10"/>
      <c r="K123" s="11" t="n">
        <f>2061</f>
        <v>2061.0</v>
      </c>
    </row>
    <row r="124">
      <c r="A124" s="8" t="s">
        <v>46</v>
      </c>
      <c r="B124" s="9" t="s">
        <v>56</v>
      </c>
      <c r="C124" s="9" t="s">
        <v>57</v>
      </c>
      <c r="D124" s="10"/>
      <c r="E124" s="11" t="n">
        <f>24</f>
        <v>24.0</v>
      </c>
      <c r="F124" s="10"/>
      <c r="G124" s="11" t="n">
        <f>18723000</f>
        <v>1.8723E7</v>
      </c>
      <c r="H124" s="10"/>
      <c r="I124" s="11" t="str">
        <f>"－"</f>
        <v>－</v>
      </c>
      <c r="J124" s="10"/>
      <c r="K124" s="11" t="n">
        <f>2058</f>
        <v>2058.0</v>
      </c>
    </row>
    <row r="125">
      <c r="A125" s="8" t="s">
        <v>47</v>
      </c>
      <c r="B125" s="9" t="s">
        <v>56</v>
      </c>
      <c r="C125" s="9" t="s">
        <v>57</v>
      </c>
      <c r="D125" s="10" t="s">
        <v>20</v>
      </c>
      <c r="E125" s="11" t="n">
        <f>8</f>
        <v>8.0</v>
      </c>
      <c r="F125" s="10" t="s">
        <v>20</v>
      </c>
      <c r="G125" s="11" t="n">
        <f>6338000</f>
        <v>6338000.0</v>
      </c>
      <c r="H125" s="10"/>
      <c r="I125" s="11" t="str">
        <f>"－"</f>
        <v>－</v>
      </c>
      <c r="J125" s="10"/>
      <c r="K125" s="11" t="n">
        <f>2055</f>
        <v>2055.0</v>
      </c>
    </row>
    <row r="126">
      <c r="A126" s="8" t="s">
        <v>48</v>
      </c>
      <c r="B126" s="9" t="s">
        <v>56</v>
      </c>
      <c r="C126" s="9" t="s">
        <v>57</v>
      </c>
      <c r="D126" s="10"/>
      <c r="E126" s="11" t="n">
        <f>73</f>
        <v>73.0</v>
      </c>
      <c r="F126" s="10"/>
      <c r="G126" s="11" t="n">
        <f>58735000</f>
        <v>5.8735E7</v>
      </c>
      <c r="H126" s="10"/>
      <c r="I126" s="11" t="str">
        <f>"－"</f>
        <v>－</v>
      </c>
      <c r="J126" s="10"/>
      <c r="K126" s="11" t="n">
        <f>2063</f>
        <v>2063.0</v>
      </c>
    </row>
    <row r="127">
      <c r="A127" s="8" t="s">
        <v>49</v>
      </c>
      <c r="B127" s="9" t="s">
        <v>56</v>
      </c>
      <c r="C127" s="9" t="s">
        <v>57</v>
      </c>
      <c r="D127" s="10"/>
      <c r="E127" s="11" t="n">
        <f>126</f>
        <v>126.0</v>
      </c>
      <c r="F127" s="10"/>
      <c r="G127" s="11" t="n">
        <f>103343000</f>
        <v>1.03343E8</v>
      </c>
      <c r="H127" s="10"/>
      <c r="I127" s="11" t="str">
        <f>"－"</f>
        <v>－</v>
      </c>
      <c r="J127" s="10" t="s">
        <v>20</v>
      </c>
      <c r="K127" s="11" t="n">
        <f>2000</f>
        <v>2000.0</v>
      </c>
    </row>
    <row r="128">
      <c r="A128" s="8" t="s">
        <v>50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51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 t="s">
        <v>26</v>
      </c>
      <c r="E130" s="11" t="n">
        <f>17671</f>
        <v>17671.0</v>
      </c>
      <c r="F130" s="10" t="s">
        <v>26</v>
      </c>
      <c r="G130" s="11" t="n">
        <f>34130973000</f>
        <v>3.4130973E10</v>
      </c>
      <c r="H130" s="10" t="s">
        <v>26</v>
      </c>
      <c r="I130" s="11" t="n">
        <f>2</f>
        <v>2.0</v>
      </c>
      <c r="J130" s="10" t="s">
        <v>20</v>
      </c>
      <c r="K130" s="11" t="n">
        <f>31096</f>
        <v>31096.0</v>
      </c>
    </row>
    <row r="131">
      <c r="A131" s="8" t="s">
        <v>21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22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23</v>
      </c>
      <c r="B133" s="9" t="s">
        <v>58</v>
      </c>
      <c r="C133" s="9" t="s">
        <v>59</v>
      </c>
      <c r="D133" s="10"/>
      <c r="E133" s="11" t="n">
        <f>14194</f>
        <v>14194.0</v>
      </c>
      <c r="F133" s="10"/>
      <c r="G133" s="11" t="n">
        <f>26750213000</f>
        <v>2.6750213E10</v>
      </c>
      <c r="H133" s="10" t="s">
        <v>20</v>
      </c>
      <c r="I133" s="11" t="str">
        <f>"－"</f>
        <v>－</v>
      </c>
      <c r="J133" s="10"/>
      <c r="K133" s="11" t="n">
        <f>32540</f>
        <v>32540.0</v>
      </c>
    </row>
    <row r="134">
      <c r="A134" s="8" t="s">
        <v>24</v>
      </c>
      <c r="B134" s="9" t="s">
        <v>58</v>
      </c>
      <c r="C134" s="9" t="s">
        <v>59</v>
      </c>
      <c r="D134" s="10" t="s">
        <v>20</v>
      </c>
      <c r="E134" s="11" t="n">
        <f>6135</f>
        <v>6135.0</v>
      </c>
      <c r="F134" s="10" t="s">
        <v>20</v>
      </c>
      <c r="G134" s="11" t="n">
        <f>11678548500</f>
        <v>1.16785485E10</v>
      </c>
      <c r="H134" s="10"/>
      <c r="I134" s="11" t="str">
        <f>"－"</f>
        <v>－</v>
      </c>
      <c r="J134" s="10"/>
      <c r="K134" s="11" t="n">
        <f>32713</f>
        <v>32713.0</v>
      </c>
    </row>
    <row r="135">
      <c r="A135" s="8" t="s">
        <v>25</v>
      </c>
      <c r="B135" s="9" t="s">
        <v>58</v>
      </c>
      <c r="C135" s="9" t="s">
        <v>59</v>
      </c>
      <c r="D135" s="10"/>
      <c r="E135" s="11" t="n">
        <f>17005</f>
        <v>17005.0</v>
      </c>
      <c r="F135" s="10"/>
      <c r="G135" s="11" t="n">
        <f>31545650000</f>
        <v>3.154565E10</v>
      </c>
      <c r="H135" s="10"/>
      <c r="I135" s="11" t="str">
        <f>"－"</f>
        <v>－</v>
      </c>
      <c r="J135" s="10"/>
      <c r="K135" s="11" t="n">
        <f>32705</f>
        <v>32705.0</v>
      </c>
    </row>
    <row r="136">
      <c r="A136" s="8" t="s">
        <v>27</v>
      </c>
      <c r="B136" s="9" t="s">
        <v>58</v>
      </c>
      <c r="C136" s="9" t="s">
        <v>59</v>
      </c>
      <c r="D136" s="10"/>
      <c r="E136" s="11" t="n">
        <f>8767</f>
        <v>8767.0</v>
      </c>
      <c r="F136" s="10"/>
      <c r="G136" s="11" t="n">
        <f>16107848000</f>
        <v>1.6107848E10</v>
      </c>
      <c r="H136" s="10"/>
      <c r="I136" s="11" t="str">
        <f>"－"</f>
        <v>－</v>
      </c>
      <c r="J136" s="10"/>
      <c r="K136" s="11" t="n">
        <f>32718</f>
        <v>32718.0</v>
      </c>
    </row>
    <row r="137">
      <c r="A137" s="8" t="s">
        <v>28</v>
      </c>
      <c r="B137" s="9" t="s">
        <v>58</v>
      </c>
      <c r="C137" s="9" t="s">
        <v>59</v>
      </c>
      <c r="D137" s="10"/>
      <c r="E137" s="11" t="n">
        <f>9861</f>
        <v>9861.0</v>
      </c>
      <c r="F137" s="10"/>
      <c r="G137" s="11" t="n">
        <f>18409973500</f>
        <v>1.84099735E10</v>
      </c>
      <c r="H137" s="10"/>
      <c r="I137" s="11" t="str">
        <f>"－"</f>
        <v>－</v>
      </c>
      <c r="J137" s="10"/>
      <c r="K137" s="11" t="n">
        <f>31867</f>
        <v>31867.0</v>
      </c>
    </row>
    <row r="138">
      <c r="A138" s="8" t="s">
        <v>29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30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31</v>
      </c>
      <c r="B140" s="9" t="s">
        <v>58</v>
      </c>
      <c r="C140" s="9" t="s">
        <v>59</v>
      </c>
      <c r="D140" s="10"/>
      <c r="E140" s="11" t="n">
        <f>11039</f>
        <v>11039.0</v>
      </c>
      <c r="F140" s="10"/>
      <c r="G140" s="11" t="n">
        <f>20920390000</f>
        <v>2.092039E10</v>
      </c>
      <c r="H140" s="10"/>
      <c r="I140" s="11" t="str">
        <f>"－"</f>
        <v>－</v>
      </c>
      <c r="J140" s="10"/>
      <c r="K140" s="11" t="n">
        <f>31310</f>
        <v>31310.0</v>
      </c>
    </row>
    <row r="141">
      <c r="A141" s="8" t="s">
        <v>32</v>
      </c>
      <c r="B141" s="9" t="s">
        <v>58</v>
      </c>
      <c r="C141" s="9" t="s">
        <v>59</v>
      </c>
      <c r="D141" s="10"/>
      <c r="E141" s="11" t="n">
        <f>9422</f>
        <v>9422.0</v>
      </c>
      <c r="F141" s="10"/>
      <c r="G141" s="11" t="n">
        <f>17628720500</f>
        <v>1.76287205E10</v>
      </c>
      <c r="H141" s="10"/>
      <c r="I141" s="11" t="str">
        <f>"－"</f>
        <v>－</v>
      </c>
      <c r="J141" s="10"/>
      <c r="K141" s="11" t="n">
        <f>31204</f>
        <v>31204.0</v>
      </c>
    </row>
    <row r="142">
      <c r="A142" s="8" t="s">
        <v>33</v>
      </c>
      <c r="B142" s="9" t="s">
        <v>58</v>
      </c>
      <c r="C142" s="9" t="s">
        <v>59</v>
      </c>
      <c r="D142" s="10"/>
      <c r="E142" s="11" t="n">
        <f>10194</f>
        <v>10194.0</v>
      </c>
      <c r="F142" s="10"/>
      <c r="G142" s="11" t="n">
        <f>18593101000</f>
        <v>1.8593101E10</v>
      </c>
      <c r="H142" s="10"/>
      <c r="I142" s="11" t="str">
        <f>"－"</f>
        <v>－</v>
      </c>
      <c r="J142" s="10"/>
      <c r="K142" s="11" t="n">
        <f>31856</f>
        <v>31856.0</v>
      </c>
    </row>
    <row r="143">
      <c r="A143" s="8" t="s">
        <v>34</v>
      </c>
      <c r="B143" s="9" t="s">
        <v>58</v>
      </c>
      <c r="C143" s="9" t="s">
        <v>59</v>
      </c>
      <c r="D143" s="10"/>
      <c r="E143" s="11" t="n">
        <f>9060</f>
        <v>9060.0</v>
      </c>
      <c r="F143" s="10"/>
      <c r="G143" s="11" t="n">
        <f>16568140000</f>
        <v>1.656814E10</v>
      </c>
      <c r="H143" s="10"/>
      <c r="I143" s="11" t="str">
        <f>"－"</f>
        <v>－</v>
      </c>
      <c r="J143" s="10"/>
      <c r="K143" s="11" t="n">
        <f>31666</f>
        <v>31666.0</v>
      </c>
    </row>
    <row r="144">
      <c r="A144" s="8" t="s">
        <v>35</v>
      </c>
      <c r="B144" s="9" t="s">
        <v>58</v>
      </c>
      <c r="C144" s="9" t="s">
        <v>59</v>
      </c>
      <c r="D144" s="10"/>
      <c r="E144" s="11" t="n">
        <f>9076</f>
        <v>9076.0</v>
      </c>
      <c r="F144" s="10"/>
      <c r="G144" s="11" t="n">
        <f>16535424500</f>
        <v>1.65354245E10</v>
      </c>
      <c r="H144" s="10"/>
      <c r="I144" s="11" t="str">
        <f>"－"</f>
        <v>－</v>
      </c>
      <c r="J144" s="10"/>
      <c r="K144" s="11" t="n">
        <f>31976</f>
        <v>31976.0</v>
      </c>
    </row>
    <row r="145">
      <c r="A145" s="8" t="s">
        <v>36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37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38</v>
      </c>
      <c r="B147" s="9" t="s">
        <v>58</v>
      </c>
      <c r="C147" s="9" t="s">
        <v>59</v>
      </c>
      <c r="D147" s="10"/>
      <c r="E147" s="11"/>
      <c r="F147" s="10"/>
      <c r="G147" s="11"/>
      <c r="H147" s="10"/>
      <c r="I147" s="11"/>
      <c r="J147" s="10"/>
      <c r="K147" s="11"/>
    </row>
    <row r="148">
      <c r="A148" s="8" t="s">
        <v>39</v>
      </c>
      <c r="B148" s="9" t="s">
        <v>58</v>
      </c>
      <c r="C148" s="9" t="s">
        <v>59</v>
      </c>
      <c r="D148" s="10"/>
      <c r="E148" s="11" t="n">
        <f>8330</f>
        <v>8330.0</v>
      </c>
      <c r="F148" s="10"/>
      <c r="G148" s="11" t="n">
        <f>15355532500</f>
        <v>1.53555325E10</v>
      </c>
      <c r="H148" s="10"/>
      <c r="I148" s="11" t="n">
        <f>2</f>
        <v>2.0</v>
      </c>
      <c r="J148" s="10"/>
      <c r="K148" s="11" t="n">
        <f>31647</f>
        <v>31647.0</v>
      </c>
    </row>
    <row r="149">
      <c r="A149" s="8" t="s">
        <v>40</v>
      </c>
      <c r="B149" s="9" t="s">
        <v>58</v>
      </c>
      <c r="C149" s="9" t="s">
        <v>59</v>
      </c>
      <c r="D149" s="10"/>
      <c r="E149" s="11" t="n">
        <f>8098</f>
        <v>8098.0</v>
      </c>
      <c r="F149" s="10"/>
      <c r="G149" s="11" t="n">
        <f>15295895000</f>
        <v>1.5295895E10</v>
      </c>
      <c r="H149" s="10"/>
      <c r="I149" s="11" t="str">
        <f>"－"</f>
        <v>－</v>
      </c>
      <c r="J149" s="10"/>
      <c r="K149" s="11" t="n">
        <f>31373</f>
        <v>31373.0</v>
      </c>
    </row>
    <row r="150">
      <c r="A150" s="8" t="s">
        <v>41</v>
      </c>
      <c r="B150" s="9" t="s">
        <v>58</v>
      </c>
      <c r="C150" s="9" t="s">
        <v>59</v>
      </c>
      <c r="D150" s="10"/>
      <c r="E150" s="11" t="n">
        <f>8998</f>
        <v>8998.0</v>
      </c>
      <c r="F150" s="10"/>
      <c r="G150" s="11" t="n">
        <f>16808131500</f>
        <v>1.68081315E10</v>
      </c>
      <c r="H150" s="10"/>
      <c r="I150" s="11" t="str">
        <f>"－"</f>
        <v>－</v>
      </c>
      <c r="J150" s="10"/>
      <c r="K150" s="11" t="n">
        <f>31557</f>
        <v>31557.0</v>
      </c>
    </row>
    <row r="151">
      <c r="A151" s="8" t="s">
        <v>42</v>
      </c>
      <c r="B151" s="9" t="s">
        <v>58</v>
      </c>
      <c r="C151" s="9" t="s">
        <v>59</v>
      </c>
      <c r="D151" s="10"/>
      <c r="E151" s="11" t="n">
        <f>8371</f>
        <v>8371.0</v>
      </c>
      <c r="F151" s="10"/>
      <c r="G151" s="11" t="n">
        <f>15632078500</f>
        <v>1.56320785E10</v>
      </c>
      <c r="H151" s="10"/>
      <c r="I151" s="11" t="str">
        <f>"－"</f>
        <v>－</v>
      </c>
      <c r="J151" s="10"/>
      <c r="K151" s="11" t="n">
        <f>31868</f>
        <v>31868.0</v>
      </c>
    </row>
    <row r="152">
      <c r="A152" s="8" t="s">
        <v>43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44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45</v>
      </c>
      <c r="B154" s="9" t="s">
        <v>58</v>
      </c>
      <c r="C154" s="9" t="s">
        <v>59</v>
      </c>
      <c r="D154" s="10"/>
      <c r="E154" s="11" t="n">
        <f>7103</f>
        <v>7103.0</v>
      </c>
      <c r="F154" s="10"/>
      <c r="G154" s="11" t="n">
        <f>13324696500</f>
        <v>1.33246965E10</v>
      </c>
      <c r="H154" s="10"/>
      <c r="I154" s="11" t="str">
        <f>"－"</f>
        <v>－</v>
      </c>
      <c r="J154" s="10"/>
      <c r="K154" s="11" t="n">
        <f>32021</f>
        <v>32021.0</v>
      </c>
    </row>
    <row r="155">
      <c r="A155" s="8" t="s">
        <v>46</v>
      </c>
      <c r="B155" s="9" t="s">
        <v>58</v>
      </c>
      <c r="C155" s="9" t="s">
        <v>59</v>
      </c>
      <c r="D155" s="10"/>
      <c r="E155" s="11" t="n">
        <f>9084</f>
        <v>9084.0</v>
      </c>
      <c r="F155" s="10"/>
      <c r="G155" s="11" t="n">
        <f>17161329500</f>
        <v>1.71613295E10</v>
      </c>
      <c r="H155" s="10"/>
      <c r="I155" s="11" t="str">
        <f>"－"</f>
        <v>－</v>
      </c>
      <c r="J155" s="10"/>
      <c r="K155" s="11" t="n">
        <f>31975</f>
        <v>31975.0</v>
      </c>
    </row>
    <row r="156">
      <c r="A156" s="8" t="s">
        <v>47</v>
      </c>
      <c r="B156" s="9" t="s">
        <v>58</v>
      </c>
      <c r="C156" s="9" t="s">
        <v>59</v>
      </c>
      <c r="D156" s="10"/>
      <c r="E156" s="11" t="n">
        <f>7269</f>
        <v>7269.0</v>
      </c>
      <c r="F156" s="10"/>
      <c r="G156" s="11" t="n">
        <f>13684583500</f>
        <v>1.36845835E10</v>
      </c>
      <c r="H156" s="10"/>
      <c r="I156" s="11" t="str">
        <f>"－"</f>
        <v>－</v>
      </c>
      <c r="J156" s="10"/>
      <c r="K156" s="11" t="n">
        <f>32189</f>
        <v>32189.0</v>
      </c>
    </row>
    <row r="157">
      <c r="A157" s="8" t="s">
        <v>48</v>
      </c>
      <c r="B157" s="9" t="s">
        <v>58</v>
      </c>
      <c r="C157" s="9" t="s">
        <v>59</v>
      </c>
      <c r="D157" s="10"/>
      <c r="E157" s="11" t="n">
        <f>8236</f>
        <v>8236.0</v>
      </c>
      <c r="F157" s="10"/>
      <c r="G157" s="11" t="n">
        <f>15649102000</f>
        <v>1.5649102E10</v>
      </c>
      <c r="H157" s="10"/>
      <c r="I157" s="11" t="str">
        <f>"－"</f>
        <v>－</v>
      </c>
      <c r="J157" s="10"/>
      <c r="K157" s="11" t="n">
        <f>32359</f>
        <v>32359.0</v>
      </c>
    </row>
    <row r="158">
      <c r="A158" s="8" t="s">
        <v>49</v>
      </c>
      <c r="B158" s="9" t="s">
        <v>58</v>
      </c>
      <c r="C158" s="9" t="s">
        <v>59</v>
      </c>
      <c r="D158" s="10"/>
      <c r="E158" s="11" t="n">
        <f>10583</f>
        <v>10583.0</v>
      </c>
      <c r="F158" s="10"/>
      <c r="G158" s="11" t="n">
        <f>19984264000</f>
        <v>1.9984264E10</v>
      </c>
      <c r="H158" s="10"/>
      <c r="I158" s="11" t="str">
        <f>"－"</f>
        <v>－</v>
      </c>
      <c r="J158" s="10" t="s">
        <v>26</v>
      </c>
      <c r="K158" s="11" t="n">
        <f>32730</f>
        <v>32730.0</v>
      </c>
    </row>
    <row r="159">
      <c r="A159" s="8" t="s">
        <v>50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51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2876</f>
        <v>2876.0</v>
      </c>
      <c r="F161" s="10"/>
      <c r="G161" s="11" t="n">
        <f>1113000500</f>
        <v>1.1130005E9</v>
      </c>
      <c r="H161" s="10" t="s">
        <v>19</v>
      </c>
      <c r="I161" s="11" t="str">
        <f>"－"</f>
        <v>－</v>
      </c>
      <c r="J161" s="10" t="s">
        <v>20</v>
      </c>
      <c r="K161" s="11" t="n">
        <f>3004</f>
        <v>3004.0</v>
      </c>
    </row>
    <row r="162">
      <c r="A162" s="8" t="s">
        <v>21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22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23</v>
      </c>
      <c r="B164" s="9" t="s">
        <v>60</v>
      </c>
      <c r="C164" s="9" t="s">
        <v>61</v>
      </c>
      <c r="D164" s="10"/>
      <c r="E164" s="11" t="n">
        <f>1910</f>
        <v>1910.0</v>
      </c>
      <c r="F164" s="10"/>
      <c r="G164" s="11" t="n">
        <f>719099250</f>
        <v>7.1909925E8</v>
      </c>
      <c r="H164" s="10"/>
      <c r="I164" s="11" t="str">
        <f>"－"</f>
        <v>－</v>
      </c>
      <c r="J164" s="10"/>
      <c r="K164" s="11" t="n">
        <f>3057</f>
        <v>3057.0</v>
      </c>
    </row>
    <row r="165">
      <c r="A165" s="8" t="s">
        <v>24</v>
      </c>
      <c r="B165" s="9" t="s">
        <v>60</v>
      </c>
      <c r="C165" s="9" t="s">
        <v>61</v>
      </c>
      <c r="D165" s="10" t="s">
        <v>20</v>
      </c>
      <c r="E165" s="11" t="n">
        <f>1121</f>
        <v>1121.0</v>
      </c>
      <c r="F165" s="10" t="s">
        <v>20</v>
      </c>
      <c r="G165" s="11" t="n">
        <f>426340650</f>
        <v>4.2634065E8</v>
      </c>
      <c r="H165" s="10"/>
      <c r="I165" s="11" t="str">
        <f>"－"</f>
        <v>－</v>
      </c>
      <c r="J165" s="10"/>
      <c r="K165" s="11" t="n">
        <f>3111</f>
        <v>3111.0</v>
      </c>
    </row>
    <row r="166">
      <c r="A166" s="8" t="s">
        <v>25</v>
      </c>
      <c r="B166" s="9" t="s">
        <v>60</v>
      </c>
      <c r="C166" s="9" t="s">
        <v>61</v>
      </c>
      <c r="D166" s="10"/>
      <c r="E166" s="11" t="n">
        <f>2797</f>
        <v>2797.0</v>
      </c>
      <c r="F166" s="10"/>
      <c r="G166" s="11" t="n">
        <f>1036864550</f>
        <v>1.03686455E9</v>
      </c>
      <c r="H166" s="10"/>
      <c r="I166" s="11" t="str">
        <f>"－"</f>
        <v>－</v>
      </c>
      <c r="J166" s="10"/>
      <c r="K166" s="11" t="n">
        <f>3160</f>
        <v>3160.0</v>
      </c>
    </row>
    <row r="167">
      <c r="A167" s="8" t="s">
        <v>27</v>
      </c>
      <c r="B167" s="9" t="s">
        <v>60</v>
      </c>
      <c r="C167" s="9" t="s">
        <v>61</v>
      </c>
      <c r="D167" s="10"/>
      <c r="E167" s="11" t="n">
        <f>2679</f>
        <v>2679.0</v>
      </c>
      <c r="F167" s="10"/>
      <c r="G167" s="11" t="n">
        <f>984129300</f>
        <v>9.841293E8</v>
      </c>
      <c r="H167" s="10"/>
      <c r="I167" s="11" t="str">
        <f>"－"</f>
        <v>－</v>
      </c>
      <c r="J167" s="10"/>
      <c r="K167" s="11" t="n">
        <f>3592</f>
        <v>3592.0</v>
      </c>
    </row>
    <row r="168">
      <c r="A168" s="8" t="s">
        <v>28</v>
      </c>
      <c r="B168" s="9" t="s">
        <v>60</v>
      </c>
      <c r="C168" s="9" t="s">
        <v>61</v>
      </c>
      <c r="D168" s="10"/>
      <c r="E168" s="11" t="n">
        <f>1292</f>
        <v>1292.0</v>
      </c>
      <c r="F168" s="10"/>
      <c r="G168" s="11" t="n">
        <f>481571150</f>
        <v>4.8157115E8</v>
      </c>
      <c r="H168" s="10"/>
      <c r="I168" s="11" t="str">
        <f>"－"</f>
        <v>－</v>
      </c>
      <c r="J168" s="10" t="s">
        <v>26</v>
      </c>
      <c r="K168" s="11" t="n">
        <f>3624</f>
        <v>3624.0</v>
      </c>
    </row>
    <row r="169">
      <c r="A169" s="8" t="s">
        <v>29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30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31</v>
      </c>
      <c r="B171" s="9" t="s">
        <v>60</v>
      </c>
      <c r="C171" s="9" t="s">
        <v>61</v>
      </c>
      <c r="D171" s="10"/>
      <c r="E171" s="11" t="n">
        <f>1332</f>
        <v>1332.0</v>
      </c>
      <c r="F171" s="10"/>
      <c r="G171" s="11" t="n">
        <f>503993000</f>
        <v>5.03993E8</v>
      </c>
      <c r="H171" s="10"/>
      <c r="I171" s="11" t="str">
        <f>"－"</f>
        <v>－</v>
      </c>
      <c r="J171" s="10"/>
      <c r="K171" s="11" t="n">
        <f>3518</f>
        <v>3518.0</v>
      </c>
    </row>
    <row r="172">
      <c r="A172" s="8" t="s">
        <v>32</v>
      </c>
      <c r="B172" s="9" t="s">
        <v>60</v>
      </c>
      <c r="C172" s="9" t="s">
        <v>61</v>
      </c>
      <c r="D172" s="10"/>
      <c r="E172" s="11" t="n">
        <f>1722</f>
        <v>1722.0</v>
      </c>
      <c r="F172" s="10"/>
      <c r="G172" s="11" t="n">
        <f>643439000</f>
        <v>6.43439E8</v>
      </c>
      <c r="H172" s="10"/>
      <c r="I172" s="11" t="str">
        <f>"－"</f>
        <v>－</v>
      </c>
      <c r="J172" s="10"/>
      <c r="K172" s="11" t="n">
        <f>3255</f>
        <v>3255.0</v>
      </c>
    </row>
    <row r="173">
      <c r="A173" s="8" t="s">
        <v>33</v>
      </c>
      <c r="B173" s="9" t="s">
        <v>60</v>
      </c>
      <c r="C173" s="9" t="s">
        <v>61</v>
      </c>
      <c r="D173" s="10"/>
      <c r="E173" s="11" t="n">
        <f>1895</f>
        <v>1895.0</v>
      </c>
      <c r="F173" s="10"/>
      <c r="G173" s="11" t="n">
        <f>691058850</f>
        <v>6.9105885E8</v>
      </c>
      <c r="H173" s="10"/>
      <c r="I173" s="11" t="str">
        <f>"－"</f>
        <v>－</v>
      </c>
      <c r="J173" s="10"/>
      <c r="K173" s="11" t="n">
        <f>3371</f>
        <v>3371.0</v>
      </c>
    </row>
    <row r="174">
      <c r="A174" s="8" t="s">
        <v>34</v>
      </c>
      <c r="B174" s="9" t="s">
        <v>60</v>
      </c>
      <c r="C174" s="9" t="s">
        <v>61</v>
      </c>
      <c r="D174" s="10"/>
      <c r="E174" s="11" t="n">
        <f>1183</f>
        <v>1183.0</v>
      </c>
      <c r="F174" s="10"/>
      <c r="G174" s="11" t="n">
        <f>431958800</f>
        <v>4.319588E8</v>
      </c>
      <c r="H174" s="10"/>
      <c r="I174" s="11" t="str">
        <f>"－"</f>
        <v>－</v>
      </c>
      <c r="J174" s="10"/>
      <c r="K174" s="11" t="n">
        <f>3401</f>
        <v>3401.0</v>
      </c>
    </row>
    <row r="175">
      <c r="A175" s="8" t="s">
        <v>35</v>
      </c>
      <c r="B175" s="9" t="s">
        <v>60</v>
      </c>
      <c r="C175" s="9" t="s">
        <v>61</v>
      </c>
      <c r="D175" s="10"/>
      <c r="E175" s="11" t="n">
        <f>1558</f>
        <v>1558.0</v>
      </c>
      <c r="F175" s="10"/>
      <c r="G175" s="11" t="n">
        <f>567889000</f>
        <v>5.67889E8</v>
      </c>
      <c r="H175" s="10"/>
      <c r="I175" s="11" t="str">
        <f>"－"</f>
        <v>－</v>
      </c>
      <c r="J175" s="10"/>
      <c r="K175" s="11" t="n">
        <f>3259</f>
        <v>3259.0</v>
      </c>
    </row>
    <row r="176">
      <c r="A176" s="8" t="s">
        <v>36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37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38</v>
      </c>
      <c r="B178" s="9" t="s">
        <v>60</v>
      </c>
      <c r="C178" s="9" t="s">
        <v>61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39</v>
      </c>
      <c r="B179" s="9" t="s">
        <v>60</v>
      </c>
      <c r="C179" s="9" t="s">
        <v>61</v>
      </c>
      <c r="D179" s="10" t="s">
        <v>26</v>
      </c>
      <c r="E179" s="11" t="n">
        <f>3139</f>
        <v>3139.0</v>
      </c>
      <c r="F179" s="10" t="s">
        <v>26</v>
      </c>
      <c r="G179" s="11" t="n">
        <f>1156825900</f>
        <v>1.1568259E9</v>
      </c>
      <c r="H179" s="10"/>
      <c r="I179" s="11" t="str">
        <f>"－"</f>
        <v>－</v>
      </c>
      <c r="J179" s="10"/>
      <c r="K179" s="11" t="n">
        <f>3187</f>
        <v>3187.0</v>
      </c>
    </row>
    <row r="180">
      <c r="A180" s="8" t="s">
        <v>40</v>
      </c>
      <c r="B180" s="9" t="s">
        <v>60</v>
      </c>
      <c r="C180" s="9" t="s">
        <v>61</v>
      </c>
      <c r="D180" s="10"/>
      <c r="E180" s="11" t="n">
        <f>2042</f>
        <v>2042.0</v>
      </c>
      <c r="F180" s="10"/>
      <c r="G180" s="11" t="n">
        <f>769014050</f>
        <v>7.6901405E8</v>
      </c>
      <c r="H180" s="10"/>
      <c r="I180" s="11" t="str">
        <f>"－"</f>
        <v>－</v>
      </c>
      <c r="J180" s="10"/>
      <c r="K180" s="11" t="n">
        <f>3127</f>
        <v>3127.0</v>
      </c>
    </row>
    <row r="181">
      <c r="A181" s="8" t="s">
        <v>41</v>
      </c>
      <c r="B181" s="9" t="s">
        <v>60</v>
      </c>
      <c r="C181" s="9" t="s">
        <v>61</v>
      </c>
      <c r="D181" s="10"/>
      <c r="E181" s="11" t="n">
        <f>1617</f>
        <v>1617.0</v>
      </c>
      <c r="F181" s="10"/>
      <c r="G181" s="11" t="n">
        <f>604389650</f>
        <v>6.0438965E8</v>
      </c>
      <c r="H181" s="10"/>
      <c r="I181" s="11" t="str">
        <f>"－"</f>
        <v>－</v>
      </c>
      <c r="J181" s="10"/>
      <c r="K181" s="11" t="n">
        <f>3197</f>
        <v>3197.0</v>
      </c>
    </row>
    <row r="182">
      <c r="A182" s="8" t="s">
        <v>42</v>
      </c>
      <c r="B182" s="9" t="s">
        <v>60</v>
      </c>
      <c r="C182" s="9" t="s">
        <v>61</v>
      </c>
      <c r="D182" s="10"/>
      <c r="E182" s="11" t="n">
        <f>2321</f>
        <v>2321.0</v>
      </c>
      <c r="F182" s="10"/>
      <c r="G182" s="11" t="n">
        <f>867715750</f>
        <v>8.6771575E8</v>
      </c>
      <c r="H182" s="10"/>
      <c r="I182" s="11" t="str">
        <f>"－"</f>
        <v>－</v>
      </c>
      <c r="J182" s="10"/>
      <c r="K182" s="11" t="n">
        <f>3272</f>
        <v>3272.0</v>
      </c>
    </row>
    <row r="183">
      <c r="A183" s="8" t="s">
        <v>43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44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45</v>
      </c>
      <c r="B185" s="9" t="s">
        <v>60</v>
      </c>
      <c r="C185" s="9" t="s">
        <v>61</v>
      </c>
      <c r="D185" s="10"/>
      <c r="E185" s="11" t="n">
        <f>2319</f>
        <v>2319.0</v>
      </c>
      <c r="F185" s="10"/>
      <c r="G185" s="11" t="n">
        <f>870055200</f>
        <v>8.700552E8</v>
      </c>
      <c r="H185" s="10"/>
      <c r="I185" s="11" t="str">
        <f>"－"</f>
        <v>－</v>
      </c>
      <c r="J185" s="10"/>
      <c r="K185" s="11" t="n">
        <f>3237</f>
        <v>3237.0</v>
      </c>
    </row>
    <row r="186">
      <c r="A186" s="8" t="s">
        <v>46</v>
      </c>
      <c r="B186" s="9" t="s">
        <v>60</v>
      </c>
      <c r="C186" s="9" t="s">
        <v>61</v>
      </c>
      <c r="D186" s="10"/>
      <c r="E186" s="11" t="n">
        <f>2300</f>
        <v>2300.0</v>
      </c>
      <c r="F186" s="10"/>
      <c r="G186" s="11" t="n">
        <f>866834150</f>
        <v>8.6683415E8</v>
      </c>
      <c r="H186" s="10"/>
      <c r="I186" s="11" t="str">
        <f>"－"</f>
        <v>－</v>
      </c>
      <c r="J186" s="10"/>
      <c r="K186" s="11" t="n">
        <f>3560</f>
        <v>3560.0</v>
      </c>
    </row>
    <row r="187">
      <c r="A187" s="8" t="s">
        <v>47</v>
      </c>
      <c r="B187" s="9" t="s">
        <v>60</v>
      </c>
      <c r="C187" s="9" t="s">
        <v>61</v>
      </c>
      <c r="D187" s="10"/>
      <c r="E187" s="11" t="n">
        <f>2444</f>
        <v>2444.0</v>
      </c>
      <c r="F187" s="10"/>
      <c r="G187" s="11" t="n">
        <f>915801300</f>
        <v>9.158013E8</v>
      </c>
      <c r="H187" s="10"/>
      <c r="I187" s="11" t="str">
        <f>"－"</f>
        <v>－</v>
      </c>
      <c r="J187" s="10"/>
      <c r="K187" s="11" t="n">
        <f>3106</f>
        <v>3106.0</v>
      </c>
    </row>
    <row r="188">
      <c r="A188" s="8" t="s">
        <v>48</v>
      </c>
      <c r="B188" s="9" t="s">
        <v>60</v>
      </c>
      <c r="C188" s="9" t="s">
        <v>61</v>
      </c>
      <c r="D188" s="10"/>
      <c r="E188" s="11" t="n">
        <f>2253</f>
        <v>2253.0</v>
      </c>
      <c r="F188" s="10"/>
      <c r="G188" s="11" t="n">
        <f>855422650</f>
        <v>8.5542265E8</v>
      </c>
      <c r="H188" s="10"/>
      <c r="I188" s="11" t="str">
        <f>"－"</f>
        <v>－</v>
      </c>
      <c r="J188" s="10"/>
      <c r="K188" s="11" t="n">
        <f>3594</f>
        <v>3594.0</v>
      </c>
    </row>
    <row r="189">
      <c r="A189" s="8" t="s">
        <v>49</v>
      </c>
      <c r="B189" s="9" t="s">
        <v>60</v>
      </c>
      <c r="C189" s="9" t="s">
        <v>61</v>
      </c>
      <c r="D189" s="10"/>
      <c r="E189" s="11" t="n">
        <f>2261</f>
        <v>2261.0</v>
      </c>
      <c r="F189" s="10"/>
      <c r="G189" s="11" t="n">
        <f>852059850</f>
        <v>8.5205985E8</v>
      </c>
      <c r="H189" s="10"/>
      <c r="I189" s="11" t="str">
        <f>"－"</f>
        <v>－</v>
      </c>
      <c r="J189" s="10"/>
      <c r="K189" s="11" t="n">
        <f>3296</f>
        <v>3296.0</v>
      </c>
    </row>
    <row r="190">
      <c r="A190" s="8" t="s">
        <v>50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51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1466</f>
        <v>1466.0</v>
      </c>
      <c r="F192" s="10" t="s">
        <v>26</v>
      </c>
      <c r="G192" s="11" t="n">
        <f>578181600</f>
        <v>5.781816E8</v>
      </c>
      <c r="H192" s="10" t="s">
        <v>19</v>
      </c>
      <c r="I192" s="11" t="str">
        <f>"－"</f>
        <v>－</v>
      </c>
      <c r="J192" s="10" t="s">
        <v>20</v>
      </c>
      <c r="K192" s="11" t="n">
        <f>14866</f>
        <v>14866.0</v>
      </c>
    </row>
    <row r="193">
      <c r="A193" s="8" t="s">
        <v>21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22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23</v>
      </c>
      <c r="B195" s="9" t="s">
        <v>62</v>
      </c>
      <c r="C195" s="9" t="s">
        <v>63</v>
      </c>
      <c r="D195" s="10"/>
      <c r="E195" s="11" t="n">
        <f>1078</f>
        <v>1078.0</v>
      </c>
      <c r="F195" s="10"/>
      <c r="G195" s="11" t="n">
        <f>416392800</f>
        <v>4.163928E8</v>
      </c>
      <c r="H195" s="10"/>
      <c r="I195" s="11" t="str">
        <f>"－"</f>
        <v>－</v>
      </c>
      <c r="J195" s="10"/>
      <c r="K195" s="11" t="n">
        <f>15080</f>
        <v>15080.0</v>
      </c>
    </row>
    <row r="196">
      <c r="A196" s="8" t="s">
        <v>24</v>
      </c>
      <c r="B196" s="9" t="s">
        <v>62</v>
      </c>
      <c r="C196" s="9" t="s">
        <v>63</v>
      </c>
      <c r="D196" s="10"/>
      <c r="E196" s="11" t="n">
        <f>611</f>
        <v>611.0</v>
      </c>
      <c r="F196" s="10"/>
      <c r="G196" s="11" t="n">
        <f>237715100</f>
        <v>2.377151E8</v>
      </c>
      <c r="H196" s="10"/>
      <c r="I196" s="11" t="str">
        <f>"－"</f>
        <v>－</v>
      </c>
      <c r="J196" s="10"/>
      <c r="K196" s="11" t="n">
        <f>15075</f>
        <v>15075.0</v>
      </c>
    </row>
    <row r="197">
      <c r="A197" s="8" t="s">
        <v>25</v>
      </c>
      <c r="B197" s="9" t="s">
        <v>62</v>
      </c>
      <c r="C197" s="9" t="s">
        <v>63</v>
      </c>
      <c r="D197" s="10"/>
      <c r="E197" s="11" t="n">
        <f>1253</f>
        <v>1253.0</v>
      </c>
      <c r="F197" s="10"/>
      <c r="G197" s="11" t="n">
        <f>476781000</f>
        <v>4.76781E8</v>
      </c>
      <c r="H197" s="10"/>
      <c r="I197" s="11" t="str">
        <f>"－"</f>
        <v>－</v>
      </c>
      <c r="J197" s="10"/>
      <c r="K197" s="11" t="n">
        <f>15266</f>
        <v>15266.0</v>
      </c>
    </row>
    <row r="198">
      <c r="A198" s="8" t="s">
        <v>27</v>
      </c>
      <c r="B198" s="9" t="s">
        <v>62</v>
      </c>
      <c r="C198" s="9" t="s">
        <v>63</v>
      </c>
      <c r="D198" s="10"/>
      <c r="E198" s="11" t="n">
        <f>900</f>
        <v>900.0</v>
      </c>
      <c r="F198" s="10"/>
      <c r="G198" s="11" t="n">
        <f>339257500</f>
        <v>3.392575E8</v>
      </c>
      <c r="H198" s="10"/>
      <c r="I198" s="11" t="str">
        <f>"－"</f>
        <v>－</v>
      </c>
      <c r="J198" s="10"/>
      <c r="K198" s="11" t="n">
        <f>15346</f>
        <v>15346.0</v>
      </c>
    </row>
    <row r="199">
      <c r="A199" s="8" t="s">
        <v>28</v>
      </c>
      <c r="B199" s="9" t="s">
        <v>62</v>
      </c>
      <c r="C199" s="9" t="s">
        <v>63</v>
      </c>
      <c r="D199" s="10"/>
      <c r="E199" s="11" t="n">
        <f>918</f>
        <v>918.0</v>
      </c>
      <c r="F199" s="10"/>
      <c r="G199" s="11" t="n">
        <f>350228900</f>
        <v>3.502289E8</v>
      </c>
      <c r="H199" s="10"/>
      <c r="I199" s="11" t="str">
        <f>"－"</f>
        <v>－</v>
      </c>
      <c r="J199" s="10"/>
      <c r="K199" s="11" t="n">
        <f>15176</f>
        <v>15176.0</v>
      </c>
    </row>
    <row r="200">
      <c r="A200" s="8" t="s">
        <v>29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30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31</v>
      </c>
      <c r="B202" s="9" t="s">
        <v>62</v>
      </c>
      <c r="C202" s="9" t="s">
        <v>63</v>
      </c>
      <c r="D202" s="10"/>
      <c r="E202" s="11" t="n">
        <f>1204</f>
        <v>1204.0</v>
      </c>
      <c r="F202" s="10"/>
      <c r="G202" s="11" t="n">
        <f>466028500</f>
        <v>4.660285E8</v>
      </c>
      <c r="H202" s="10"/>
      <c r="I202" s="11" t="str">
        <f>"－"</f>
        <v>－</v>
      </c>
      <c r="J202" s="10"/>
      <c r="K202" s="11" t="n">
        <f>15178</f>
        <v>15178.0</v>
      </c>
    </row>
    <row r="203">
      <c r="A203" s="8" t="s">
        <v>32</v>
      </c>
      <c r="B203" s="9" t="s">
        <v>62</v>
      </c>
      <c r="C203" s="9" t="s">
        <v>63</v>
      </c>
      <c r="D203" s="10"/>
      <c r="E203" s="11" t="n">
        <f>878</f>
        <v>878.0</v>
      </c>
      <c r="F203" s="10"/>
      <c r="G203" s="11" t="n">
        <f>334321900</f>
        <v>3.343219E8</v>
      </c>
      <c r="H203" s="10"/>
      <c r="I203" s="11" t="str">
        <f>"－"</f>
        <v>－</v>
      </c>
      <c r="J203" s="10"/>
      <c r="K203" s="11" t="n">
        <f>15254</f>
        <v>15254.0</v>
      </c>
    </row>
    <row r="204">
      <c r="A204" s="8" t="s">
        <v>33</v>
      </c>
      <c r="B204" s="9" t="s">
        <v>62</v>
      </c>
      <c r="C204" s="9" t="s">
        <v>63</v>
      </c>
      <c r="D204" s="10"/>
      <c r="E204" s="11" t="n">
        <f>1001</f>
        <v>1001.0</v>
      </c>
      <c r="F204" s="10"/>
      <c r="G204" s="11" t="n">
        <f>373541100</f>
        <v>3.735411E8</v>
      </c>
      <c r="H204" s="10"/>
      <c r="I204" s="11" t="str">
        <f>"－"</f>
        <v>－</v>
      </c>
      <c r="J204" s="10"/>
      <c r="K204" s="11" t="n">
        <f>15449</f>
        <v>15449.0</v>
      </c>
    </row>
    <row r="205">
      <c r="A205" s="8" t="s">
        <v>34</v>
      </c>
      <c r="B205" s="9" t="s">
        <v>62</v>
      </c>
      <c r="C205" s="9" t="s">
        <v>63</v>
      </c>
      <c r="D205" s="10"/>
      <c r="E205" s="11" t="n">
        <f>730</f>
        <v>730.0</v>
      </c>
      <c r="F205" s="10"/>
      <c r="G205" s="11" t="n">
        <f>274249900</f>
        <v>2.742499E8</v>
      </c>
      <c r="H205" s="10"/>
      <c r="I205" s="11" t="str">
        <f>"－"</f>
        <v>－</v>
      </c>
      <c r="J205" s="10"/>
      <c r="K205" s="11" t="n">
        <f>15590</f>
        <v>15590.0</v>
      </c>
    </row>
    <row r="206">
      <c r="A206" s="8" t="s">
        <v>35</v>
      </c>
      <c r="B206" s="9" t="s">
        <v>62</v>
      </c>
      <c r="C206" s="9" t="s">
        <v>63</v>
      </c>
      <c r="D206" s="10"/>
      <c r="E206" s="11" t="n">
        <f>505</f>
        <v>505.0</v>
      </c>
      <c r="F206" s="10"/>
      <c r="G206" s="11" t="n">
        <f>188843600</f>
        <v>1.888436E8</v>
      </c>
      <c r="H206" s="10"/>
      <c r="I206" s="11" t="str">
        <f>"－"</f>
        <v>－</v>
      </c>
      <c r="J206" s="10"/>
      <c r="K206" s="11" t="n">
        <f>15554</f>
        <v>15554.0</v>
      </c>
    </row>
    <row r="207">
      <c r="A207" s="8" t="s">
        <v>36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37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38</v>
      </c>
      <c r="B209" s="9" t="s">
        <v>62</v>
      </c>
      <c r="C209" s="9" t="s">
        <v>63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39</v>
      </c>
      <c r="B210" s="9" t="s">
        <v>62</v>
      </c>
      <c r="C210" s="9" t="s">
        <v>63</v>
      </c>
      <c r="D210" s="10"/>
      <c r="E210" s="11" t="n">
        <f>810</f>
        <v>810.0</v>
      </c>
      <c r="F210" s="10"/>
      <c r="G210" s="11" t="n">
        <f>306857100</f>
        <v>3.068571E8</v>
      </c>
      <c r="H210" s="10"/>
      <c r="I210" s="11" t="str">
        <f>"－"</f>
        <v>－</v>
      </c>
      <c r="J210" s="10"/>
      <c r="K210" s="11" t="n">
        <f>15787</f>
        <v>15787.0</v>
      </c>
    </row>
    <row r="211">
      <c r="A211" s="8" t="s">
        <v>40</v>
      </c>
      <c r="B211" s="9" t="s">
        <v>62</v>
      </c>
      <c r="C211" s="9" t="s">
        <v>63</v>
      </c>
      <c r="D211" s="10"/>
      <c r="E211" s="11" t="n">
        <f>1086</f>
        <v>1086.0</v>
      </c>
      <c r="F211" s="10"/>
      <c r="G211" s="11" t="n">
        <f>421114500</f>
        <v>4.211145E8</v>
      </c>
      <c r="H211" s="10"/>
      <c r="I211" s="11" t="str">
        <f>"－"</f>
        <v>－</v>
      </c>
      <c r="J211" s="10"/>
      <c r="K211" s="11" t="n">
        <f>15827</f>
        <v>15827.0</v>
      </c>
    </row>
    <row r="212">
      <c r="A212" s="8" t="s">
        <v>41</v>
      </c>
      <c r="B212" s="9" t="s">
        <v>62</v>
      </c>
      <c r="C212" s="9" t="s">
        <v>63</v>
      </c>
      <c r="D212" s="10" t="s">
        <v>26</v>
      </c>
      <c r="E212" s="11" t="n">
        <f>1496</f>
        <v>1496.0</v>
      </c>
      <c r="F212" s="10"/>
      <c r="G212" s="11" t="n">
        <f>568760300</f>
        <v>5.687603E8</v>
      </c>
      <c r="H212" s="10"/>
      <c r="I212" s="11" t="str">
        <f>"－"</f>
        <v>－</v>
      </c>
      <c r="J212" s="10"/>
      <c r="K212" s="11" t="n">
        <f>15973</f>
        <v>15973.0</v>
      </c>
    </row>
    <row r="213">
      <c r="A213" s="8" t="s">
        <v>42</v>
      </c>
      <c r="B213" s="9" t="s">
        <v>62</v>
      </c>
      <c r="C213" s="9" t="s">
        <v>63</v>
      </c>
      <c r="D213" s="10"/>
      <c r="E213" s="11" t="n">
        <f>382</f>
        <v>382.0</v>
      </c>
      <c r="F213" s="10" t="s">
        <v>20</v>
      </c>
      <c r="G213" s="11" t="n">
        <f>146619000</f>
        <v>1.46619E8</v>
      </c>
      <c r="H213" s="10"/>
      <c r="I213" s="11" t="str">
        <f>"－"</f>
        <v>－</v>
      </c>
      <c r="J213" s="10"/>
      <c r="K213" s="11" t="n">
        <f>15969</f>
        <v>15969.0</v>
      </c>
    </row>
    <row r="214">
      <c r="A214" s="8" t="s">
        <v>43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44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45</v>
      </c>
      <c r="B216" s="9" t="s">
        <v>62</v>
      </c>
      <c r="C216" s="9" t="s">
        <v>63</v>
      </c>
      <c r="D216" s="10"/>
      <c r="E216" s="11" t="n">
        <f>994</f>
        <v>994.0</v>
      </c>
      <c r="F216" s="10"/>
      <c r="G216" s="11" t="n">
        <f>381182400</f>
        <v>3.811824E8</v>
      </c>
      <c r="H216" s="10"/>
      <c r="I216" s="11" t="str">
        <f>"－"</f>
        <v>－</v>
      </c>
      <c r="J216" s="10"/>
      <c r="K216" s="11" t="n">
        <f>16237</f>
        <v>16237.0</v>
      </c>
    </row>
    <row r="217">
      <c r="A217" s="8" t="s">
        <v>46</v>
      </c>
      <c r="B217" s="9" t="s">
        <v>62</v>
      </c>
      <c r="C217" s="9" t="s">
        <v>63</v>
      </c>
      <c r="D217" s="10"/>
      <c r="E217" s="11" t="n">
        <f>850</f>
        <v>850.0</v>
      </c>
      <c r="F217" s="10"/>
      <c r="G217" s="11" t="n">
        <f>329605400</f>
        <v>3.296054E8</v>
      </c>
      <c r="H217" s="10"/>
      <c r="I217" s="11" t="str">
        <f>"－"</f>
        <v>－</v>
      </c>
      <c r="J217" s="10"/>
      <c r="K217" s="11" t="n">
        <f>16566</f>
        <v>16566.0</v>
      </c>
    </row>
    <row r="218">
      <c r="A218" s="8" t="s">
        <v>47</v>
      </c>
      <c r="B218" s="9" t="s">
        <v>62</v>
      </c>
      <c r="C218" s="9" t="s">
        <v>63</v>
      </c>
      <c r="D218" s="10"/>
      <c r="E218" s="11" t="n">
        <f>624</f>
        <v>624.0</v>
      </c>
      <c r="F218" s="10"/>
      <c r="G218" s="11" t="n">
        <f>241165500</f>
        <v>2.411655E8</v>
      </c>
      <c r="H218" s="10"/>
      <c r="I218" s="11" t="str">
        <f>"－"</f>
        <v>－</v>
      </c>
      <c r="J218" s="10"/>
      <c r="K218" s="11" t="n">
        <f>16680</f>
        <v>16680.0</v>
      </c>
    </row>
    <row r="219">
      <c r="A219" s="8" t="s">
        <v>48</v>
      </c>
      <c r="B219" s="9" t="s">
        <v>62</v>
      </c>
      <c r="C219" s="9" t="s">
        <v>63</v>
      </c>
      <c r="D219" s="10" t="s">
        <v>20</v>
      </c>
      <c r="E219" s="11" t="n">
        <f>378</f>
        <v>378.0</v>
      </c>
      <c r="F219" s="10"/>
      <c r="G219" s="11" t="n">
        <f>147474000</f>
        <v>1.47474E8</v>
      </c>
      <c r="H219" s="10"/>
      <c r="I219" s="11" t="str">
        <f>"－"</f>
        <v>－</v>
      </c>
      <c r="J219" s="10"/>
      <c r="K219" s="11" t="n">
        <f>16896</f>
        <v>16896.0</v>
      </c>
    </row>
    <row r="220">
      <c r="A220" s="8" t="s">
        <v>49</v>
      </c>
      <c r="B220" s="9" t="s">
        <v>62</v>
      </c>
      <c r="C220" s="9" t="s">
        <v>63</v>
      </c>
      <c r="D220" s="10"/>
      <c r="E220" s="11" t="n">
        <f>981</f>
        <v>981.0</v>
      </c>
      <c r="F220" s="10"/>
      <c r="G220" s="11" t="n">
        <f>380612700</f>
        <v>3.806127E8</v>
      </c>
      <c r="H220" s="10"/>
      <c r="I220" s="11" t="str">
        <f>"－"</f>
        <v>－</v>
      </c>
      <c r="J220" s="10" t="s">
        <v>26</v>
      </c>
      <c r="K220" s="11" t="n">
        <f>17418</f>
        <v>17418.0</v>
      </c>
    </row>
    <row r="221">
      <c r="A221" s="8" t="s">
        <v>50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51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 t="s">
        <v>20</v>
      </c>
      <c r="E223" s="11" t="str">
        <f>"－"</f>
        <v>－</v>
      </c>
      <c r="F223" s="10" t="s">
        <v>20</v>
      </c>
      <c r="G223" s="11" t="str">
        <f>"－"</f>
        <v>－</v>
      </c>
      <c r="H223" s="10" t="s">
        <v>19</v>
      </c>
      <c r="I223" s="11" t="str">
        <f>"－"</f>
        <v>－</v>
      </c>
      <c r="J223" s="10" t="s">
        <v>20</v>
      </c>
      <c r="K223" s="11" t="n">
        <f>33</f>
        <v>33.0</v>
      </c>
    </row>
    <row r="224">
      <c r="A224" s="8" t="s">
        <v>21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22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23</v>
      </c>
      <c r="B226" s="9" t="s">
        <v>64</v>
      </c>
      <c r="C226" s="9" t="s">
        <v>65</v>
      </c>
      <c r="D226" s="10"/>
      <c r="E226" s="11" t="str">
        <f>"－"</f>
        <v>－</v>
      </c>
      <c r="F226" s="10"/>
      <c r="G226" s="11" t="str">
        <f>"－"</f>
        <v>－</v>
      </c>
      <c r="H226" s="10"/>
      <c r="I226" s="11" t="str">
        <f>"－"</f>
        <v>－</v>
      </c>
      <c r="J226" s="10"/>
      <c r="K226" s="11" t="n">
        <f>33</f>
        <v>33.0</v>
      </c>
    </row>
    <row r="227">
      <c r="A227" s="8" t="s">
        <v>24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33</f>
        <v>33.0</v>
      </c>
    </row>
    <row r="228">
      <c r="A228" s="8" t="s">
        <v>25</v>
      </c>
      <c r="B228" s="9" t="s">
        <v>64</v>
      </c>
      <c r="C228" s="9" t="s">
        <v>65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33</f>
        <v>33.0</v>
      </c>
    </row>
    <row r="229">
      <c r="A229" s="8" t="s">
        <v>27</v>
      </c>
      <c r="B229" s="9" t="s">
        <v>64</v>
      </c>
      <c r="C229" s="9" t="s">
        <v>65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33</f>
        <v>33.0</v>
      </c>
    </row>
    <row r="230">
      <c r="A230" s="8" t="s">
        <v>28</v>
      </c>
      <c r="B230" s="9" t="s">
        <v>64</v>
      </c>
      <c r="C230" s="9" t="s">
        <v>65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33</f>
        <v>33.0</v>
      </c>
    </row>
    <row r="231">
      <c r="A231" s="8" t="s">
        <v>29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30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31</v>
      </c>
      <c r="B233" s="9" t="s">
        <v>64</v>
      </c>
      <c r="C233" s="9" t="s">
        <v>65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33</f>
        <v>33.0</v>
      </c>
    </row>
    <row r="234">
      <c r="A234" s="8" t="s">
        <v>32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33</f>
        <v>33.0</v>
      </c>
    </row>
    <row r="235">
      <c r="A235" s="8" t="s">
        <v>33</v>
      </c>
      <c r="B235" s="9" t="s">
        <v>64</v>
      </c>
      <c r="C235" s="9" t="s">
        <v>65</v>
      </c>
      <c r="D235" s="10" t="s">
        <v>26</v>
      </c>
      <c r="E235" s="11" t="n">
        <f>4</f>
        <v>4.0</v>
      </c>
      <c r="F235" s="10" t="s">
        <v>26</v>
      </c>
      <c r="G235" s="11" t="n">
        <f>18685500</f>
        <v>1.86855E7</v>
      </c>
      <c r="H235" s="10"/>
      <c r="I235" s="11" t="str">
        <f>"－"</f>
        <v>－</v>
      </c>
      <c r="J235" s="10" t="s">
        <v>26</v>
      </c>
      <c r="K235" s="11" t="n">
        <f>34</f>
        <v>34.0</v>
      </c>
    </row>
    <row r="236">
      <c r="A236" s="8" t="s">
        <v>34</v>
      </c>
      <c r="B236" s="9" t="s">
        <v>64</v>
      </c>
      <c r="C236" s="9" t="s">
        <v>65</v>
      </c>
      <c r="D236" s="10"/>
      <c r="E236" s="11" t="n">
        <f>1</f>
        <v>1.0</v>
      </c>
      <c r="F236" s="10"/>
      <c r="G236" s="11" t="n">
        <f>4590000</f>
        <v>4590000.0</v>
      </c>
      <c r="H236" s="10"/>
      <c r="I236" s="11" t="str">
        <f>"－"</f>
        <v>－</v>
      </c>
      <c r="J236" s="10"/>
      <c r="K236" s="11" t="n">
        <f>34</f>
        <v>34.0</v>
      </c>
    </row>
    <row r="237">
      <c r="A237" s="8" t="s">
        <v>35</v>
      </c>
      <c r="B237" s="9" t="s">
        <v>64</v>
      </c>
      <c r="C237" s="9" t="s">
        <v>65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34</f>
        <v>34.0</v>
      </c>
    </row>
    <row r="238">
      <c r="A238" s="8" t="s">
        <v>36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37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38</v>
      </c>
      <c r="B240" s="9" t="s">
        <v>64</v>
      </c>
      <c r="C240" s="9" t="s">
        <v>65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39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34</f>
        <v>34.0</v>
      </c>
    </row>
    <row r="242">
      <c r="A242" s="8" t="s">
        <v>40</v>
      </c>
      <c r="B242" s="9" t="s">
        <v>64</v>
      </c>
      <c r="C242" s="9" t="s">
        <v>65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34</f>
        <v>34.0</v>
      </c>
    </row>
    <row r="243">
      <c r="A243" s="8" t="s">
        <v>41</v>
      </c>
      <c r="B243" s="9" t="s">
        <v>64</v>
      </c>
      <c r="C243" s="9" t="s">
        <v>65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34</f>
        <v>34.0</v>
      </c>
    </row>
    <row r="244">
      <c r="A244" s="8" t="s">
        <v>42</v>
      </c>
      <c r="B244" s="9" t="s">
        <v>64</v>
      </c>
      <c r="C244" s="9" t="s">
        <v>65</v>
      </c>
      <c r="D244" s="10"/>
      <c r="E244" s="11" t="n">
        <f>1</f>
        <v>1.0</v>
      </c>
      <c r="F244" s="10"/>
      <c r="G244" s="11" t="n">
        <f>4050000</f>
        <v>4050000.0</v>
      </c>
      <c r="H244" s="10"/>
      <c r="I244" s="11" t="str">
        <f>"－"</f>
        <v>－</v>
      </c>
      <c r="J244" s="10"/>
      <c r="K244" s="11" t="n">
        <f>34</f>
        <v>34.0</v>
      </c>
    </row>
    <row r="245">
      <c r="A245" s="8" t="s">
        <v>43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44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45</v>
      </c>
      <c r="B247" s="9" t="s">
        <v>64</v>
      </c>
      <c r="C247" s="9" t="s">
        <v>65</v>
      </c>
      <c r="D247" s="10"/>
      <c r="E247" s="11" t="n">
        <f>1</f>
        <v>1.0</v>
      </c>
      <c r="F247" s="10"/>
      <c r="G247" s="11" t="n">
        <f>4110000</f>
        <v>4110000.0</v>
      </c>
      <c r="H247" s="10"/>
      <c r="I247" s="11" t="str">
        <f>"－"</f>
        <v>－</v>
      </c>
      <c r="J247" s="10"/>
      <c r="K247" s="11" t="n">
        <f>34</f>
        <v>34.0</v>
      </c>
    </row>
    <row r="248">
      <c r="A248" s="8" t="s">
        <v>46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34</f>
        <v>34.0</v>
      </c>
    </row>
    <row r="249">
      <c r="A249" s="8" t="s">
        <v>47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/>
      <c r="K249" s="11" t="n">
        <f>34</f>
        <v>34.0</v>
      </c>
    </row>
    <row r="250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n">
        <f>34</f>
        <v>34.0</v>
      </c>
    </row>
    <row r="251">
      <c r="A251" s="8" t="s">
        <v>49</v>
      </c>
      <c r="B251" s="9" t="s">
        <v>64</v>
      </c>
      <c r="C251" s="9" t="s">
        <v>65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/>
      <c r="K251" s="11" t="n">
        <f>34</f>
        <v>34.0</v>
      </c>
    </row>
    <row r="252">
      <c r="A252" s="8" t="s">
        <v>50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51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 t="s">
        <v>20</v>
      </c>
      <c r="E254" s="11" t="str">
        <f>"－"</f>
        <v>－</v>
      </c>
      <c r="F254" s="10" t="s">
        <v>20</v>
      </c>
      <c r="G254" s="11" t="str">
        <f>"－"</f>
        <v>－</v>
      </c>
      <c r="H254" s="10" t="s">
        <v>19</v>
      </c>
      <c r="I254" s="11" t="str">
        <f>"－"</f>
        <v>－</v>
      </c>
      <c r="J254" s="10" t="s">
        <v>26</v>
      </c>
      <c r="K254" s="11" t="n">
        <f>18</f>
        <v>18.0</v>
      </c>
    </row>
    <row r="255">
      <c r="A255" s="8" t="s">
        <v>21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22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23</v>
      </c>
      <c r="B257" s="9" t="s">
        <v>66</v>
      </c>
      <c r="C257" s="9" t="s">
        <v>67</v>
      </c>
      <c r="D257" s="10"/>
      <c r="E257" s="11" t="str">
        <f>"－"</f>
        <v>－</v>
      </c>
      <c r="F257" s="10"/>
      <c r="G257" s="11" t="str">
        <f>"－"</f>
        <v>－</v>
      </c>
      <c r="H257" s="10"/>
      <c r="I257" s="11" t="str">
        <f>"－"</f>
        <v>－</v>
      </c>
      <c r="J257" s="10"/>
      <c r="K257" s="11" t="n">
        <f>18</f>
        <v>18.0</v>
      </c>
    </row>
    <row r="258">
      <c r="A258" s="8" t="s">
        <v>24</v>
      </c>
      <c r="B258" s="9" t="s">
        <v>66</v>
      </c>
      <c r="C258" s="9" t="s">
        <v>67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11</f>
        <v>11.0</v>
      </c>
    </row>
    <row r="259">
      <c r="A259" s="8" t="s">
        <v>25</v>
      </c>
      <c r="B259" s="9" t="s">
        <v>66</v>
      </c>
      <c r="C259" s="9" t="s">
        <v>67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11</f>
        <v>11.0</v>
      </c>
    </row>
    <row r="260">
      <c r="A260" s="8" t="s">
        <v>27</v>
      </c>
      <c r="B260" s="9" t="s">
        <v>66</v>
      </c>
      <c r="C260" s="9" t="s">
        <v>67</v>
      </c>
      <c r="D260" s="10"/>
      <c r="E260" s="11" t="n">
        <f>2</f>
        <v>2.0</v>
      </c>
      <c r="F260" s="10"/>
      <c r="G260" s="11" t="n">
        <f>4900000</f>
        <v>4900000.0</v>
      </c>
      <c r="H260" s="10"/>
      <c r="I260" s="11" t="str">
        <f>"－"</f>
        <v>－</v>
      </c>
      <c r="J260" s="10"/>
      <c r="K260" s="11" t="n">
        <f>9</f>
        <v>9.0</v>
      </c>
    </row>
    <row r="261">
      <c r="A261" s="8" t="s">
        <v>28</v>
      </c>
      <c r="B261" s="9" t="s">
        <v>66</v>
      </c>
      <c r="C261" s="9" t="s">
        <v>67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9</f>
        <v>9.0</v>
      </c>
    </row>
    <row r="262">
      <c r="A262" s="8" t="s">
        <v>29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30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31</v>
      </c>
      <c r="B264" s="9" t="s">
        <v>66</v>
      </c>
      <c r="C264" s="9" t="s">
        <v>67</v>
      </c>
      <c r="D264" s="10"/>
      <c r="E264" s="11" t="str">
        <f>"－"</f>
        <v>－</v>
      </c>
      <c r="F264" s="10"/>
      <c r="G264" s="11" t="str">
        <f>"－"</f>
        <v>－</v>
      </c>
      <c r="H264" s="10"/>
      <c r="I264" s="11" t="str">
        <f>"－"</f>
        <v>－</v>
      </c>
      <c r="J264" s="10"/>
      <c r="K264" s="11" t="n">
        <f>9</f>
        <v>9.0</v>
      </c>
    </row>
    <row r="265">
      <c r="A265" s="8" t="s">
        <v>32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9</f>
        <v>9.0</v>
      </c>
    </row>
    <row r="266">
      <c r="A266" s="8" t="s">
        <v>33</v>
      </c>
      <c r="B266" s="9" t="s">
        <v>66</v>
      </c>
      <c r="C266" s="9" t="s">
        <v>67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9</f>
        <v>9.0</v>
      </c>
    </row>
    <row r="267">
      <c r="A267" s="8" t="s">
        <v>34</v>
      </c>
      <c r="B267" s="9" t="s">
        <v>66</v>
      </c>
      <c r="C267" s="9" t="s">
        <v>67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9</f>
        <v>9.0</v>
      </c>
    </row>
    <row r="268">
      <c r="A268" s="8" t="s">
        <v>35</v>
      </c>
      <c r="B268" s="9" t="s">
        <v>66</v>
      </c>
      <c r="C268" s="9" t="s">
        <v>67</v>
      </c>
      <c r="D268" s="10"/>
      <c r="E268" s="11" t="str">
        <f>"－"</f>
        <v>－</v>
      </c>
      <c r="F268" s="10"/>
      <c r="G268" s="11" t="str">
        <f>"－"</f>
        <v>－</v>
      </c>
      <c r="H268" s="10"/>
      <c r="I268" s="11" t="str">
        <f>"－"</f>
        <v>－</v>
      </c>
      <c r="J268" s="10"/>
      <c r="K268" s="11" t="n">
        <f>9</f>
        <v>9.0</v>
      </c>
    </row>
    <row r="269">
      <c r="A269" s="8" t="s">
        <v>36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37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38</v>
      </c>
      <c r="B271" s="9" t="s">
        <v>66</v>
      </c>
      <c r="C271" s="9" t="s">
        <v>67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39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9</f>
        <v>9.0</v>
      </c>
    </row>
    <row r="273">
      <c r="A273" s="8" t="s">
        <v>40</v>
      </c>
      <c r="B273" s="9" t="s">
        <v>66</v>
      </c>
      <c r="C273" s="9" t="s">
        <v>67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n">
        <f>9</f>
        <v>9.0</v>
      </c>
    </row>
    <row r="274">
      <c r="A274" s="8" t="s">
        <v>41</v>
      </c>
      <c r="B274" s="9" t="s">
        <v>66</v>
      </c>
      <c r="C274" s="9" t="s">
        <v>67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n">
        <f>9</f>
        <v>9.0</v>
      </c>
    </row>
    <row r="275">
      <c r="A275" s="8" t="s">
        <v>42</v>
      </c>
      <c r="B275" s="9" t="s">
        <v>66</v>
      </c>
      <c r="C275" s="9" t="s">
        <v>67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9</f>
        <v>9.0</v>
      </c>
    </row>
    <row r="276">
      <c r="A276" s="8" t="s">
        <v>43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44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45</v>
      </c>
      <c r="B278" s="9" t="s">
        <v>66</v>
      </c>
      <c r="C278" s="9" t="s">
        <v>67</v>
      </c>
      <c r="D278" s="10"/>
      <c r="E278" s="11" t="str">
        <f>"－"</f>
        <v>－</v>
      </c>
      <c r="F278" s="10"/>
      <c r="G278" s="11" t="str">
        <f>"－"</f>
        <v>－</v>
      </c>
      <c r="H278" s="10"/>
      <c r="I278" s="11" t="str">
        <f>"－"</f>
        <v>－</v>
      </c>
      <c r="J278" s="10"/>
      <c r="K278" s="11" t="n">
        <f>9</f>
        <v>9.0</v>
      </c>
    </row>
    <row r="279">
      <c r="A279" s="8" t="s">
        <v>46</v>
      </c>
      <c r="B279" s="9" t="s">
        <v>66</v>
      </c>
      <c r="C279" s="9" t="s">
        <v>67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n">
        <f>9</f>
        <v>9.0</v>
      </c>
    </row>
    <row r="280">
      <c r="A280" s="8" t="s">
        <v>47</v>
      </c>
      <c r="B280" s="9" t="s">
        <v>66</v>
      </c>
      <c r="C280" s="9" t="s">
        <v>67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n">
        <f>9</f>
        <v>9.0</v>
      </c>
    </row>
    <row r="281">
      <c r="A281" s="8" t="s">
        <v>48</v>
      </c>
      <c r="B281" s="9" t="s">
        <v>66</v>
      </c>
      <c r="C281" s="9" t="s">
        <v>67</v>
      </c>
      <c r="D281" s="10" t="s">
        <v>26</v>
      </c>
      <c r="E281" s="11" t="n">
        <f>4</f>
        <v>4.0</v>
      </c>
      <c r="F281" s="10" t="s">
        <v>26</v>
      </c>
      <c r="G281" s="11" t="n">
        <f>9817000</f>
        <v>9817000.0</v>
      </c>
      <c r="H281" s="10"/>
      <c r="I281" s="11" t="str">
        <f>"－"</f>
        <v>－</v>
      </c>
      <c r="J281" s="10" t="s">
        <v>20</v>
      </c>
      <c r="K281" s="11" t="n">
        <f>7</f>
        <v>7.0</v>
      </c>
    </row>
    <row r="282">
      <c r="A282" s="8" t="s">
        <v>49</v>
      </c>
      <c r="B282" s="9" t="s">
        <v>66</v>
      </c>
      <c r="C282" s="9" t="s">
        <v>67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n">
        <f>7</f>
        <v>7.0</v>
      </c>
    </row>
    <row r="283">
      <c r="A283" s="8" t="s">
        <v>50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51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/>
      <c r="E285" s="11" t="n">
        <f>3007</f>
        <v>3007.0</v>
      </c>
      <c r="F285" s="10"/>
      <c r="G285" s="11" t="n">
        <f>3847474500</f>
        <v>3.8474745E9</v>
      </c>
      <c r="H285" s="10" t="s">
        <v>19</v>
      </c>
      <c r="I285" s="11" t="str">
        <f>"－"</f>
        <v>－</v>
      </c>
      <c r="J285" s="10"/>
      <c r="K285" s="11" t="n">
        <f>8570</f>
        <v>8570.0</v>
      </c>
    </row>
    <row r="286">
      <c r="A286" s="8" t="s">
        <v>21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22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23</v>
      </c>
      <c r="B288" s="9" t="s">
        <v>68</v>
      </c>
      <c r="C288" s="9" t="s">
        <v>69</v>
      </c>
      <c r="D288" s="10"/>
      <c r="E288" s="11" t="n">
        <f>1908</f>
        <v>1908.0</v>
      </c>
      <c r="F288" s="10"/>
      <c r="G288" s="11" t="n">
        <f>2459482500</f>
        <v>2.4594825E9</v>
      </c>
      <c r="H288" s="10"/>
      <c r="I288" s="11" t="str">
        <f>"－"</f>
        <v>－</v>
      </c>
      <c r="J288" s="10"/>
      <c r="K288" s="11" t="n">
        <f>8433</f>
        <v>8433.0</v>
      </c>
    </row>
    <row r="289">
      <c r="A289" s="8" t="s">
        <v>24</v>
      </c>
      <c r="B289" s="9" t="s">
        <v>68</v>
      </c>
      <c r="C289" s="9" t="s">
        <v>69</v>
      </c>
      <c r="D289" s="10"/>
      <c r="E289" s="11" t="n">
        <f>968</f>
        <v>968.0</v>
      </c>
      <c r="F289" s="10"/>
      <c r="G289" s="11" t="n">
        <f>1247703000</f>
        <v>1.247703E9</v>
      </c>
      <c r="H289" s="10"/>
      <c r="I289" s="11" t="str">
        <f>"－"</f>
        <v>－</v>
      </c>
      <c r="J289" s="10"/>
      <c r="K289" s="11" t="n">
        <f>8321</f>
        <v>8321.0</v>
      </c>
    </row>
    <row r="290">
      <c r="A290" s="8" t="s">
        <v>25</v>
      </c>
      <c r="B290" s="9" t="s">
        <v>68</v>
      </c>
      <c r="C290" s="9" t="s">
        <v>69</v>
      </c>
      <c r="D290" s="10"/>
      <c r="E290" s="11" t="n">
        <f>3329</f>
        <v>3329.0</v>
      </c>
      <c r="F290" s="10" t="s">
        <v>26</v>
      </c>
      <c r="G290" s="11" t="n">
        <f>4175026000</f>
        <v>4.175026E9</v>
      </c>
      <c r="H290" s="10"/>
      <c r="I290" s="11" t="str">
        <f>"－"</f>
        <v>－</v>
      </c>
      <c r="J290" s="10"/>
      <c r="K290" s="11" t="n">
        <f>8145</f>
        <v>8145.0</v>
      </c>
    </row>
    <row r="291">
      <c r="A291" s="8" t="s">
        <v>27</v>
      </c>
      <c r="B291" s="9" t="s">
        <v>68</v>
      </c>
      <c r="C291" s="9" t="s">
        <v>69</v>
      </c>
      <c r="D291" s="10"/>
      <c r="E291" s="11" t="n">
        <f>3070</f>
        <v>3070.0</v>
      </c>
      <c r="F291" s="10"/>
      <c r="G291" s="11" t="n">
        <f>3820965000</f>
        <v>3.820965E9</v>
      </c>
      <c r="H291" s="10"/>
      <c r="I291" s="11" t="str">
        <f>"－"</f>
        <v>－</v>
      </c>
      <c r="J291" s="10"/>
      <c r="K291" s="11" t="n">
        <f>7784</f>
        <v>7784.0</v>
      </c>
    </row>
    <row r="292">
      <c r="A292" s="8" t="s">
        <v>28</v>
      </c>
      <c r="B292" s="9" t="s">
        <v>68</v>
      </c>
      <c r="C292" s="9" t="s">
        <v>69</v>
      </c>
      <c r="D292" s="10"/>
      <c r="E292" s="11" t="n">
        <f>1729</f>
        <v>1729.0</v>
      </c>
      <c r="F292" s="10"/>
      <c r="G292" s="11" t="n">
        <f>2161605000</f>
        <v>2.161605E9</v>
      </c>
      <c r="H292" s="10"/>
      <c r="I292" s="11" t="str">
        <f>"－"</f>
        <v>－</v>
      </c>
      <c r="J292" s="10"/>
      <c r="K292" s="11" t="n">
        <f>7782</f>
        <v>7782.0</v>
      </c>
    </row>
    <row r="293">
      <c r="A293" s="8" t="s">
        <v>29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30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31</v>
      </c>
      <c r="B295" s="9" t="s">
        <v>68</v>
      </c>
      <c r="C295" s="9" t="s">
        <v>69</v>
      </c>
      <c r="D295" s="10"/>
      <c r="E295" s="11" t="n">
        <f>916</f>
        <v>916.0</v>
      </c>
      <c r="F295" s="10"/>
      <c r="G295" s="11" t="n">
        <f>1139116000</f>
        <v>1.139116E9</v>
      </c>
      <c r="H295" s="10"/>
      <c r="I295" s="11" t="str">
        <f>"－"</f>
        <v>－</v>
      </c>
      <c r="J295" s="10"/>
      <c r="K295" s="11" t="n">
        <f>7835</f>
        <v>7835.0</v>
      </c>
    </row>
    <row r="296">
      <c r="A296" s="8" t="s">
        <v>32</v>
      </c>
      <c r="B296" s="9" t="s">
        <v>68</v>
      </c>
      <c r="C296" s="9" t="s">
        <v>69</v>
      </c>
      <c r="D296" s="10"/>
      <c r="E296" s="11" t="n">
        <f>2043</f>
        <v>2043.0</v>
      </c>
      <c r="F296" s="10"/>
      <c r="G296" s="11" t="n">
        <f>2555166500</f>
        <v>2.5551665E9</v>
      </c>
      <c r="H296" s="10"/>
      <c r="I296" s="11" t="str">
        <f>"－"</f>
        <v>－</v>
      </c>
      <c r="J296" s="10" t="s">
        <v>20</v>
      </c>
      <c r="K296" s="11" t="n">
        <f>7686</f>
        <v>7686.0</v>
      </c>
    </row>
    <row r="297">
      <c r="A297" s="8" t="s">
        <v>33</v>
      </c>
      <c r="B297" s="9" t="s">
        <v>68</v>
      </c>
      <c r="C297" s="9" t="s">
        <v>69</v>
      </c>
      <c r="D297" s="10"/>
      <c r="E297" s="11" t="n">
        <f>2214</f>
        <v>2214.0</v>
      </c>
      <c r="F297" s="10"/>
      <c r="G297" s="11" t="n">
        <f>2725445500</f>
        <v>2.7254455E9</v>
      </c>
      <c r="H297" s="10"/>
      <c r="I297" s="11" t="str">
        <f>"－"</f>
        <v>－</v>
      </c>
      <c r="J297" s="10"/>
      <c r="K297" s="11" t="n">
        <f>7814</f>
        <v>7814.0</v>
      </c>
    </row>
    <row r="298">
      <c r="A298" s="8" t="s">
        <v>34</v>
      </c>
      <c r="B298" s="9" t="s">
        <v>68</v>
      </c>
      <c r="C298" s="9" t="s">
        <v>69</v>
      </c>
      <c r="D298" s="10"/>
      <c r="E298" s="11" t="n">
        <f>2339</f>
        <v>2339.0</v>
      </c>
      <c r="F298" s="10"/>
      <c r="G298" s="11" t="n">
        <f>2864503000</f>
        <v>2.864503E9</v>
      </c>
      <c r="H298" s="10"/>
      <c r="I298" s="11" t="str">
        <f>"－"</f>
        <v>－</v>
      </c>
      <c r="J298" s="10"/>
      <c r="K298" s="11" t="n">
        <f>7772</f>
        <v>7772.0</v>
      </c>
    </row>
    <row r="299">
      <c r="A299" s="8" t="s">
        <v>35</v>
      </c>
      <c r="B299" s="9" t="s">
        <v>68</v>
      </c>
      <c r="C299" s="9" t="s">
        <v>69</v>
      </c>
      <c r="D299" s="10"/>
      <c r="E299" s="11" t="n">
        <f>1311</f>
        <v>1311.0</v>
      </c>
      <c r="F299" s="10"/>
      <c r="G299" s="11" t="n">
        <f>1614742500</f>
        <v>1.6147425E9</v>
      </c>
      <c r="H299" s="10"/>
      <c r="I299" s="11" t="str">
        <f>"－"</f>
        <v>－</v>
      </c>
      <c r="J299" s="10"/>
      <c r="K299" s="11" t="n">
        <f>7745</f>
        <v>7745.0</v>
      </c>
    </row>
    <row r="300">
      <c r="A300" s="8" t="s">
        <v>36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37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38</v>
      </c>
      <c r="B302" s="9" t="s">
        <v>68</v>
      </c>
      <c r="C302" s="9" t="s">
        <v>69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39</v>
      </c>
      <c r="B303" s="9" t="s">
        <v>68</v>
      </c>
      <c r="C303" s="9" t="s">
        <v>69</v>
      </c>
      <c r="D303" s="10"/>
      <c r="E303" s="11" t="n">
        <f>1570</f>
        <v>1570.0</v>
      </c>
      <c r="F303" s="10"/>
      <c r="G303" s="11" t="n">
        <f>1919456500</f>
        <v>1.9194565E9</v>
      </c>
      <c r="H303" s="10"/>
      <c r="I303" s="11" t="str">
        <f>"－"</f>
        <v>－</v>
      </c>
      <c r="J303" s="10"/>
      <c r="K303" s="11" t="n">
        <f>7856</f>
        <v>7856.0</v>
      </c>
    </row>
    <row r="304">
      <c r="A304" s="8" t="s">
        <v>40</v>
      </c>
      <c r="B304" s="9" t="s">
        <v>68</v>
      </c>
      <c r="C304" s="9" t="s">
        <v>69</v>
      </c>
      <c r="D304" s="10"/>
      <c r="E304" s="11" t="n">
        <f>1380</f>
        <v>1380.0</v>
      </c>
      <c r="F304" s="10"/>
      <c r="G304" s="11" t="n">
        <f>1681394500</f>
        <v>1.6813945E9</v>
      </c>
      <c r="H304" s="10"/>
      <c r="I304" s="11" t="str">
        <f>"－"</f>
        <v>－</v>
      </c>
      <c r="J304" s="10"/>
      <c r="K304" s="11" t="n">
        <f>8073</f>
        <v>8073.0</v>
      </c>
    </row>
    <row r="305">
      <c r="A305" s="8" t="s">
        <v>41</v>
      </c>
      <c r="B305" s="9" t="s">
        <v>68</v>
      </c>
      <c r="C305" s="9" t="s">
        <v>69</v>
      </c>
      <c r="D305" s="10"/>
      <c r="E305" s="11" t="n">
        <f>1492</f>
        <v>1492.0</v>
      </c>
      <c r="F305" s="10"/>
      <c r="G305" s="11" t="n">
        <f>1792526000</f>
        <v>1.792526E9</v>
      </c>
      <c r="H305" s="10"/>
      <c r="I305" s="11" t="str">
        <f>"－"</f>
        <v>－</v>
      </c>
      <c r="J305" s="10"/>
      <c r="K305" s="11" t="n">
        <f>8240</f>
        <v>8240.0</v>
      </c>
    </row>
    <row r="306">
      <c r="A306" s="8" t="s">
        <v>42</v>
      </c>
      <c r="B306" s="9" t="s">
        <v>68</v>
      </c>
      <c r="C306" s="9" t="s">
        <v>69</v>
      </c>
      <c r="D306" s="10"/>
      <c r="E306" s="11" t="n">
        <f>1576</f>
        <v>1576.0</v>
      </c>
      <c r="F306" s="10"/>
      <c r="G306" s="11" t="n">
        <f>1880325500</f>
        <v>1.8803255E9</v>
      </c>
      <c r="H306" s="10"/>
      <c r="I306" s="11" t="str">
        <f>"－"</f>
        <v>－</v>
      </c>
      <c r="J306" s="10"/>
      <c r="K306" s="11" t="n">
        <f>8552</f>
        <v>8552.0</v>
      </c>
    </row>
    <row r="307">
      <c r="A307" s="8" t="s">
        <v>43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44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45</v>
      </c>
      <c r="B309" s="9" t="s">
        <v>68</v>
      </c>
      <c r="C309" s="9" t="s">
        <v>69</v>
      </c>
      <c r="D309" s="10"/>
      <c r="E309" s="11" t="n">
        <f>956</f>
        <v>956.0</v>
      </c>
      <c r="F309" s="10"/>
      <c r="G309" s="11" t="n">
        <f>1145372000</f>
        <v>1.145372E9</v>
      </c>
      <c r="H309" s="10"/>
      <c r="I309" s="11" t="str">
        <f>"－"</f>
        <v>－</v>
      </c>
      <c r="J309" s="10"/>
      <c r="K309" s="11" t="n">
        <f>8848</f>
        <v>8848.0</v>
      </c>
    </row>
    <row r="310">
      <c r="A310" s="8" t="s">
        <v>46</v>
      </c>
      <c r="B310" s="9" t="s">
        <v>68</v>
      </c>
      <c r="C310" s="9" t="s">
        <v>69</v>
      </c>
      <c r="D310" s="10"/>
      <c r="E310" s="11" t="n">
        <f>601</f>
        <v>601.0</v>
      </c>
      <c r="F310" s="10"/>
      <c r="G310" s="11" t="n">
        <f>718696500</f>
        <v>7.186965E8</v>
      </c>
      <c r="H310" s="10"/>
      <c r="I310" s="11" t="str">
        <f>"－"</f>
        <v>－</v>
      </c>
      <c r="J310" s="10"/>
      <c r="K310" s="11" t="n">
        <f>8583</f>
        <v>8583.0</v>
      </c>
    </row>
    <row r="311">
      <c r="A311" s="8" t="s">
        <v>47</v>
      </c>
      <c r="B311" s="9" t="s">
        <v>68</v>
      </c>
      <c r="C311" s="9" t="s">
        <v>69</v>
      </c>
      <c r="D311" s="10" t="s">
        <v>20</v>
      </c>
      <c r="E311" s="11" t="n">
        <f>488</f>
        <v>488.0</v>
      </c>
      <c r="F311" s="10" t="s">
        <v>20</v>
      </c>
      <c r="G311" s="11" t="n">
        <f>584804000</f>
        <v>5.84804E8</v>
      </c>
      <c r="H311" s="10"/>
      <c r="I311" s="11" t="str">
        <f>"－"</f>
        <v>－</v>
      </c>
      <c r="J311" s="10"/>
      <c r="K311" s="11" t="n">
        <f>8582</f>
        <v>8582.0</v>
      </c>
    </row>
    <row r="312">
      <c r="A312" s="8" t="s">
        <v>48</v>
      </c>
      <c r="B312" s="9" t="s">
        <v>68</v>
      </c>
      <c r="C312" s="9" t="s">
        <v>69</v>
      </c>
      <c r="D312" s="10"/>
      <c r="E312" s="11" t="n">
        <f>1522</f>
        <v>1522.0</v>
      </c>
      <c r="F312" s="10"/>
      <c r="G312" s="11" t="n">
        <f>1824950000</f>
        <v>1.82495E9</v>
      </c>
      <c r="H312" s="10"/>
      <c r="I312" s="11" t="str">
        <f>"－"</f>
        <v>－</v>
      </c>
      <c r="J312" s="10"/>
      <c r="K312" s="11" t="n">
        <f>8956</f>
        <v>8956.0</v>
      </c>
    </row>
    <row r="313">
      <c r="A313" s="8" t="s">
        <v>49</v>
      </c>
      <c r="B313" s="9" t="s">
        <v>68</v>
      </c>
      <c r="C313" s="9" t="s">
        <v>69</v>
      </c>
      <c r="D313" s="10" t="s">
        <v>26</v>
      </c>
      <c r="E313" s="11" t="n">
        <f>3482</f>
        <v>3482.0</v>
      </c>
      <c r="F313" s="10"/>
      <c r="G313" s="11" t="n">
        <f>4154196000</f>
        <v>4.154196E9</v>
      </c>
      <c r="H313" s="10"/>
      <c r="I313" s="11" t="str">
        <f>"－"</f>
        <v>－</v>
      </c>
      <c r="J313" s="10" t="s">
        <v>26</v>
      </c>
      <c r="K313" s="11" t="n">
        <f>9001</f>
        <v>9001.0</v>
      </c>
    </row>
    <row r="314">
      <c r="A314" s="8" t="s">
        <v>50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51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19</v>
      </c>
      <c r="E316" s="11" t="str">
        <f>"－"</f>
        <v>－</v>
      </c>
      <c r="F316" s="10" t="s">
        <v>19</v>
      </c>
      <c r="G316" s="11" t="str">
        <f>"－"</f>
        <v>－</v>
      </c>
      <c r="H316" s="10" t="s">
        <v>19</v>
      </c>
      <c r="I316" s="11" t="str">
        <f>"－"</f>
        <v>－</v>
      </c>
      <c r="J316" s="10" t="s">
        <v>19</v>
      </c>
      <c r="K316" s="11" t="str">
        <f>"－"</f>
        <v>－</v>
      </c>
    </row>
    <row r="317">
      <c r="A317" s="8" t="s">
        <v>21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22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23</v>
      </c>
      <c r="B319" s="9" t="s">
        <v>70</v>
      </c>
      <c r="C319" s="9" t="s">
        <v>71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24</v>
      </c>
      <c r="B320" s="9" t="s">
        <v>70</v>
      </c>
      <c r="C320" s="9" t="s">
        <v>71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25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27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28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29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30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31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32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33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34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35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36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37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38</v>
      </c>
      <c r="B333" s="9" t="s">
        <v>70</v>
      </c>
      <c r="C333" s="9" t="s">
        <v>71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39</v>
      </c>
      <c r="B334" s="9" t="s">
        <v>70</v>
      </c>
      <c r="C334" s="9" t="s">
        <v>71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40</v>
      </c>
      <c r="B335" s="9" t="s">
        <v>70</v>
      </c>
      <c r="C335" s="9" t="s">
        <v>71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41</v>
      </c>
      <c r="B336" s="9" t="s">
        <v>70</v>
      </c>
      <c r="C336" s="9" t="s">
        <v>71</v>
      </c>
      <c r="D336" s="10"/>
      <c r="E336" s="11" t="str">
        <f>"－"</f>
        <v>－</v>
      </c>
      <c r="F336" s="10"/>
      <c r="G336" s="11" t="str">
        <f>"－"</f>
        <v>－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42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43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44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45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46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48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49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50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51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527</f>
        <v>527.0</v>
      </c>
      <c r="F347" s="10"/>
      <c r="G347" s="11" t="n">
        <f>1325200500</f>
        <v>1.3252005E9</v>
      </c>
      <c r="H347" s="10" t="s">
        <v>19</v>
      </c>
      <c r="I347" s="11" t="str">
        <f>"－"</f>
        <v>－</v>
      </c>
      <c r="J347" s="10" t="s">
        <v>26</v>
      </c>
      <c r="K347" s="11" t="n">
        <f>2002</f>
        <v>2002.0</v>
      </c>
    </row>
    <row r="348">
      <c r="A348" s="8" t="s">
        <v>21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22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23</v>
      </c>
      <c r="B350" s="9" t="s">
        <v>72</v>
      </c>
      <c r="C350" s="9" t="s">
        <v>73</v>
      </c>
      <c r="D350" s="10"/>
      <c r="E350" s="11" t="n">
        <f>327</f>
        <v>327.0</v>
      </c>
      <c r="F350" s="10"/>
      <c r="G350" s="11" t="n">
        <f>792270000</f>
        <v>7.9227E8</v>
      </c>
      <c r="H350" s="10"/>
      <c r="I350" s="11" t="str">
        <f>"－"</f>
        <v>－</v>
      </c>
      <c r="J350" s="10"/>
      <c r="K350" s="11" t="n">
        <f>1992</f>
        <v>1992.0</v>
      </c>
    </row>
    <row r="351">
      <c r="A351" s="8" t="s">
        <v>24</v>
      </c>
      <c r="B351" s="9" t="s">
        <v>72</v>
      </c>
      <c r="C351" s="9" t="s">
        <v>73</v>
      </c>
      <c r="D351" s="10"/>
      <c r="E351" s="11" t="n">
        <f>279</f>
        <v>279.0</v>
      </c>
      <c r="F351" s="10"/>
      <c r="G351" s="11" t="n">
        <f>666784500</f>
        <v>6.667845E8</v>
      </c>
      <c r="H351" s="10"/>
      <c r="I351" s="11" t="str">
        <f>"－"</f>
        <v>－</v>
      </c>
      <c r="J351" s="10"/>
      <c r="K351" s="11" t="n">
        <f>2002</f>
        <v>2002.0</v>
      </c>
    </row>
    <row r="352">
      <c r="A352" s="8" t="s">
        <v>25</v>
      </c>
      <c r="B352" s="9" t="s">
        <v>72</v>
      </c>
      <c r="C352" s="9" t="s">
        <v>73</v>
      </c>
      <c r="D352" s="10" t="s">
        <v>26</v>
      </c>
      <c r="E352" s="11" t="n">
        <f>784</f>
        <v>784.0</v>
      </c>
      <c r="F352" s="10" t="s">
        <v>26</v>
      </c>
      <c r="G352" s="11" t="n">
        <f>1816293000</f>
        <v>1.816293E9</v>
      </c>
      <c r="H352" s="10"/>
      <c r="I352" s="11" t="str">
        <f>"－"</f>
        <v>－</v>
      </c>
      <c r="J352" s="10"/>
      <c r="K352" s="11" t="n">
        <f>1904</f>
        <v>1904.0</v>
      </c>
    </row>
    <row r="353">
      <c r="A353" s="8" t="s">
        <v>27</v>
      </c>
      <c r="B353" s="9" t="s">
        <v>72</v>
      </c>
      <c r="C353" s="9" t="s">
        <v>73</v>
      </c>
      <c r="D353" s="10"/>
      <c r="E353" s="11" t="n">
        <f>341</f>
        <v>341.0</v>
      </c>
      <c r="F353" s="10"/>
      <c r="G353" s="11" t="n">
        <f>786391500</f>
        <v>7.863915E8</v>
      </c>
      <c r="H353" s="10"/>
      <c r="I353" s="11" t="str">
        <f>"－"</f>
        <v>－</v>
      </c>
      <c r="J353" s="10"/>
      <c r="K353" s="11" t="n">
        <f>1903</f>
        <v>1903.0</v>
      </c>
    </row>
    <row r="354">
      <c r="A354" s="8" t="s">
        <v>28</v>
      </c>
      <c r="B354" s="9" t="s">
        <v>72</v>
      </c>
      <c r="C354" s="9" t="s">
        <v>73</v>
      </c>
      <c r="D354" s="10"/>
      <c r="E354" s="11" t="n">
        <f>279</f>
        <v>279.0</v>
      </c>
      <c r="F354" s="10"/>
      <c r="G354" s="11" t="n">
        <f>659882500</f>
        <v>6.598825E8</v>
      </c>
      <c r="H354" s="10"/>
      <c r="I354" s="11" t="str">
        <f>"－"</f>
        <v>－</v>
      </c>
      <c r="J354" s="10"/>
      <c r="K354" s="11" t="n">
        <f>1918</f>
        <v>1918.0</v>
      </c>
    </row>
    <row r="355">
      <c r="A355" s="8" t="s">
        <v>29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30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31</v>
      </c>
      <c r="B357" s="9" t="s">
        <v>72</v>
      </c>
      <c r="C357" s="9" t="s">
        <v>73</v>
      </c>
      <c r="D357" s="10"/>
      <c r="E357" s="11" t="n">
        <f>571</f>
        <v>571.0</v>
      </c>
      <c r="F357" s="10"/>
      <c r="G357" s="11" t="n">
        <f>1392269000</f>
        <v>1.392269E9</v>
      </c>
      <c r="H357" s="10"/>
      <c r="I357" s="11" t="str">
        <f>"－"</f>
        <v>－</v>
      </c>
      <c r="J357" s="10"/>
      <c r="K357" s="11" t="n">
        <f>1914</f>
        <v>1914.0</v>
      </c>
    </row>
    <row r="358">
      <c r="A358" s="8" t="s">
        <v>32</v>
      </c>
      <c r="B358" s="9" t="s">
        <v>72</v>
      </c>
      <c r="C358" s="9" t="s">
        <v>73</v>
      </c>
      <c r="D358" s="10"/>
      <c r="E358" s="11" t="n">
        <f>241</f>
        <v>241.0</v>
      </c>
      <c r="F358" s="10"/>
      <c r="G358" s="11" t="n">
        <f>592198500</f>
        <v>5.921985E8</v>
      </c>
      <c r="H358" s="10"/>
      <c r="I358" s="11" t="str">
        <f>"－"</f>
        <v>－</v>
      </c>
      <c r="J358" s="10"/>
      <c r="K358" s="11" t="n">
        <f>1899</f>
        <v>1899.0</v>
      </c>
    </row>
    <row r="359">
      <c r="A359" s="8" t="s">
        <v>33</v>
      </c>
      <c r="B359" s="9" t="s">
        <v>72</v>
      </c>
      <c r="C359" s="9" t="s">
        <v>73</v>
      </c>
      <c r="D359" s="10"/>
      <c r="E359" s="11" t="n">
        <f>373</f>
        <v>373.0</v>
      </c>
      <c r="F359" s="10"/>
      <c r="G359" s="11" t="n">
        <f>881479500</f>
        <v>8.814795E8</v>
      </c>
      <c r="H359" s="10"/>
      <c r="I359" s="11" t="str">
        <f>"－"</f>
        <v>－</v>
      </c>
      <c r="J359" s="10"/>
      <c r="K359" s="11" t="n">
        <f>1885</f>
        <v>1885.0</v>
      </c>
    </row>
    <row r="360">
      <c r="A360" s="8" t="s">
        <v>34</v>
      </c>
      <c r="B360" s="9" t="s">
        <v>72</v>
      </c>
      <c r="C360" s="9" t="s">
        <v>73</v>
      </c>
      <c r="D360" s="10"/>
      <c r="E360" s="11" t="n">
        <f>278</f>
        <v>278.0</v>
      </c>
      <c r="F360" s="10"/>
      <c r="G360" s="11" t="n">
        <f>651320500</f>
        <v>6.513205E8</v>
      </c>
      <c r="H360" s="10"/>
      <c r="I360" s="11" t="str">
        <f>"－"</f>
        <v>－</v>
      </c>
      <c r="J360" s="10"/>
      <c r="K360" s="11" t="n">
        <f>1888</f>
        <v>1888.0</v>
      </c>
    </row>
    <row r="361">
      <c r="A361" s="8" t="s">
        <v>35</v>
      </c>
      <c r="B361" s="9" t="s">
        <v>72</v>
      </c>
      <c r="C361" s="9" t="s">
        <v>73</v>
      </c>
      <c r="D361" s="10"/>
      <c r="E361" s="11" t="n">
        <f>224</f>
        <v>224.0</v>
      </c>
      <c r="F361" s="10"/>
      <c r="G361" s="11" t="n">
        <f>524153500</f>
        <v>5.241535E8</v>
      </c>
      <c r="H361" s="10"/>
      <c r="I361" s="11" t="str">
        <f>"－"</f>
        <v>－</v>
      </c>
      <c r="J361" s="10"/>
      <c r="K361" s="11" t="n">
        <f>1884</f>
        <v>1884.0</v>
      </c>
    </row>
    <row r="362">
      <c r="A362" s="8" t="s">
        <v>36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37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38</v>
      </c>
      <c r="B364" s="9" t="s">
        <v>72</v>
      </c>
      <c r="C364" s="9" t="s">
        <v>73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39</v>
      </c>
      <c r="B365" s="9" t="s">
        <v>72</v>
      </c>
      <c r="C365" s="9" t="s">
        <v>73</v>
      </c>
      <c r="D365" s="10"/>
      <c r="E365" s="11" t="n">
        <f>196</f>
        <v>196.0</v>
      </c>
      <c r="F365" s="10"/>
      <c r="G365" s="11" t="n">
        <f>462784500</f>
        <v>4.627845E8</v>
      </c>
      <c r="H365" s="10"/>
      <c r="I365" s="11" t="str">
        <f>"－"</f>
        <v>－</v>
      </c>
      <c r="J365" s="10"/>
      <c r="K365" s="11" t="n">
        <f>1896</f>
        <v>1896.0</v>
      </c>
    </row>
    <row r="366">
      <c r="A366" s="8" t="s">
        <v>40</v>
      </c>
      <c r="B366" s="9" t="s">
        <v>72</v>
      </c>
      <c r="C366" s="9" t="s">
        <v>73</v>
      </c>
      <c r="D366" s="10"/>
      <c r="E366" s="11" t="n">
        <f>303</f>
        <v>303.0</v>
      </c>
      <c r="F366" s="10"/>
      <c r="G366" s="11" t="n">
        <f>693901500</f>
        <v>6.939015E8</v>
      </c>
      <c r="H366" s="10"/>
      <c r="I366" s="11" t="str">
        <f>"－"</f>
        <v>－</v>
      </c>
      <c r="J366" s="10"/>
      <c r="K366" s="11" t="n">
        <f>1889</f>
        <v>1889.0</v>
      </c>
    </row>
    <row r="367">
      <c r="A367" s="8" t="s">
        <v>41</v>
      </c>
      <c r="B367" s="9" t="s">
        <v>72</v>
      </c>
      <c r="C367" s="9" t="s">
        <v>73</v>
      </c>
      <c r="D367" s="10"/>
      <c r="E367" s="11" t="n">
        <f>178</f>
        <v>178.0</v>
      </c>
      <c r="F367" s="10"/>
      <c r="G367" s="11" t="n">
        <f>404111500</f>
        <v>4.041115E8</v>
      </c>
      <c r="H367" s="10"/>
      <c r="I367" s="11" t="str">
        <f>"－"</f>
        <v>－</v>
      </c>
      <c r="J367" s="10" t="s">
        <v>20</v>
      </c>
      <c r="K367" s="11" t="n">
        <f>1879</f>
        <v>1879.0</v>
      </c>
    </row>
    <row r="368">
      <c r="A368" s="8" t="s">
        <v>42</v>
      </c>
      <c r="B368" s="9" t="s">
        <v>72</v>
      </c>
      <c r="C368" s="9" t="s">
        <v>73</v>
      </c>
      <c r="D368" s="10"/>
      <c r="E368" s="11" t="n">
        <f>391</f>
        <v>391.0</v>
      </c>
      <c r="F368" s="10"/>
      <c r="G368" s="11" t="n">
        <f>864688000</f>
        <v>8.64688E8</v>
      </c>
      <c r="H368" s="10"/>
      <c r="I368" s="11" t="str">
        <f>"－"</f>
        <v>－</v>
      </c>
      <c r="J368" s="10"/>
      <c r="K368" s="11" t="n">
        <f>1929</f>
        <v>1929.0</v>
      </c>
    </row>
    <row r="369">
      <c r="A369" s="8" t="s">
        <v>43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44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45</v>
      </c>
      <c r="B371" s="9" t="s">
        <v>72</v>
      </c>
      <c r="C371" s="9" t="s">
        <v>73</v>
      </c>
      <c r="D371" s="10"/>
      <c r="E371" s="11" t="n">
        <f>203</f>
        <v>203.0</v>
      </c>
      <c r="F371" s="10"/>
      <c r="G371" s="11" t="n">
        <f>448904500</f>
        <v>4.489045E8</v>
      </c>
      <c r="H371" s="10"/>
      <c r="I371" s="11" t="str">
        <f>"－"</f>
        <v>－</v>
      </c>
      <c r="J371" s="10"/>
      <c r="K371" s="11" t="n">
        <f>1926</f>
        <v>1926.0</v>
      </c>
    </row>
    <row r="372">
      <c r="A372" s="8" t="s">
        <v>46</v>
      </c>
      <c r="B372" s="9" t="s">
        <v>72</v>
      </c>
      <c r="C372" s="9" t="s">
        <v>73</v>
      </c>
      <c r="D372" s="10"/>
      <c r="E372" s="11" t="n">
        <f>391</f>
        <v>391.0</v>
      </c>
      <c r="F372" s="10"/>
      <c r="G372" s="11" t="n">
        <f>892249500</f>
        <v>8.922495E8</v>
      </c>
      <c r="H372" s="10"/>
      <c r="I372" s="11" t="str">
        <f>"－"</f>
        <v>－</v>
      </c>
      <c r="J372" s="10"/>
      <c r="K372" s="11" t="n">
        <f>1919</f>
        <v>1919.0</v>
      </c>
    </row>
    <row r="373">
      <c r="A373" s="8" t="s">
        <v>47</v>
      </c>
      <c r="B373" s="9" t="s">
        <v>72</v>
      </c>
      <c r="C373" s="9" t="s">
        <v>73</v>
      </c>
      <c r="D373" s="10"/>
      <c r="E373" s="11" t="n">
        <f>274</f>
        <v>274.0</v>
      </c>
      <c r="F373" s="10"/>
      <c r="G373" s="11" t="n">
        <f>634588500</f>
        <v>6.345885E8</v>
      </c>
      <c r="H373" s="10"/>
      <c r="I373" s="11" t="str">
        <f>"－"</f>
        <v>－</v>
      </c>
      <c r="J373" s="10"/>
      <c r="K373" s="11" t="n">
        <f>1921</f>
        <v>1921.0</v>
      </c>
    </row>
    <row r="374">
      <c r="A374" s="8" t="s">
        <v>48</v>
      </c>
      <c r="B374" s="9" t="s">
        <v>72</v>
      </c>
      <c r="C374" s="9" t="s">
        <v>73</v>
      </c>
      <c r="D374" s="10" t="s">
        <v>20</v>
      </c>
      <c r="E374" s="11" t="n">
        <f>100</f>
        <v>100.0</v>
      </c>
      <c r="F374" s="10" t="s">
        <v>20</v>
      </c>
      <c r="G374" s="11" t="n">
        <f>231533500</f>
        <v>2.315335E8</v>
      </c>
      <c r="H374" s="10"/>
      <c r="I374" s="11" t="str">
        <f>"－"</f>
        <v>－</v>
      </c>
      <c r="J374" s="10"/>
      <c r="K374" s="11" t="n">
        <f>1930</f>
        <v>1930.0</v>
      </c>
    </row>
    <row r="375">
      <c r="A375" s="8" t="s">
        <v>49</v>
      </c>
      <c r="B375" s="9" t="s">
        <v>72</v>
      </c>
      <c r="C375" s="9" t="s">
        <v>73</v>
      </c>
      <c r="D375" s="10"/>
      <c r="E375" s="11" t="n">
        <f>177</f>
        <v>177.0</v>
      </c>
      <c r="F375" s="10"/>
      <c r="G375" s="11" t="n">
        <f>414497000</f>
        <v>4.14497E8</v>
      </c>
      <c r="H375" s="10"/>
      <c r="I375" s="11" t="str">
        <f>"－"</f>
        <v>－</v>
      </c>
      <c r="J375" s="10"/>
      <c r="K375" s="11" t="n">
        <f>1946</f>
        <v>1946.0</v>
      </c>
    </row>
    <row r="376">
      <c r="A376" s="8" t="s">
        <v>50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51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19</v>
      </c>
      <c r="E378" s="11" t="str">
        <f>"－"</f>
        <v>－</v>
      </c>
      <c r="F378" s="10" t="s">
        <v>19</v>
      </c>
      <c r="G378" s="11" t="str">
        <f>"－"</f>
        <v>－</v>
      </c>
      <c r="H378" s="10" t="s">
        <v>19</v>
      </c>
      <c r="I378" s="11" t="str">
        <f>"－"</f>
        <v>－</v>
      </c>
      <c r="J378" s="10" t="s">
        <v>19</v>
      </c>
      <c r="K378" s="11" t="str">
        <f>"－"</f>
        <v>－</v>
      </c>
    </row>
    <row r="379">
      <c r="A379" s="8" t="s">
        <v>21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22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23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24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25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27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28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29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30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31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32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33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34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35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36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37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38</v>
      </c>
      <c r="B395" s="9" t="s">
        <v>74</v>
      </c>
      <c r="C395" s="9" t="s">
        <v>75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39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40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41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42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43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44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45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46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49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50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51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16</v>
      </c>
      <c r="B409" s="9" t="s">
        <v>76</v>
      </c>
      <c r="C409" s="9" t="s">
        <v>77</v>
      </c>
      <c r="D409" s="10" t="s">
        <v>19</v>
      </c>
      <c r="E409" s="11" t="str">
        <f>"－"</f>
        <v>－</v>
      </c>
      <c r="F409" s="10" t="s">
        <v>19</v>
      </c>
      <c r="G409" s="11" t="str">
        <f>"－"</f>
        <v>－</v>
      </c>
      <c r="H409" s="10" t="s">
        <v>19</v>
      </c>
      <c r="I409" s="11" t="str">
        <f>"－"</f>
        <v>－</v>
      </c>
      <c r="J409" s="10" t="s">
        <v>19</v>
      </c>
      <c r="K409" s="11" t="str">
        <f>"－"</f>
        <v>－</v>
      </c>
    </row>
    <row r="410">
      <c r="A410" s="8" t="s">
        <v>21</v>
      </c>
      <c r="B410" s="9" t="s">
        <v>76</v>
      </c>
      <c r="C410" s="9" t="s">
        <v>77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22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23</v>
      </c>
      <c r="B412" s="9" t="s">
        <v>76</v>
      </c>
      <c r="C412" s="9" t="s">
        <v>77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24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25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27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28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29</v>
      </c>
      <c r="B417" s="9" t="s">
        <v>76</v>
      </c>
      <c r="C417" s="9" t="s">
        <v>77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30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31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32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33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34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35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36</v>
      </c>
      <c r="B424" s="9" t="s">
        <v>76</v>
      </c>
      <c r="C424" s="9" t="s">
        <v>77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37</v>
      </c>
      <c r="B425" s="9" t="s">
        <v>76</v>
      </c>
      <c r="C425" s="9" t="s">
        <v>77</v>
      </c>
      <c r="D425" s="10"/>
      <c r="E425" s="11"/>
      <c r="F425" s="10"/>
      <c r="G425" s="11"/>
      <c r="H425" s="10"/>
      <c r="I425" s="11"/>
      <c r="J425" s="10"/>
      <c r="K425" s="11"/>
    </row>
    <row r="426">
      <c r="A426" s="8" t="s">
        <v>38</v>
      </c>
      <c r="B426" s="9" t="s">
        <v>76</v>
      </c>
      <c r="C426" s="9" t="s">
        <v>77</v>
      </c>
      <c r="D426" s="10"/>
      <c r="E426" s="11"/>
      <c r="F426" s="10"/>
      <c r="G426" s="11"/>
      <c r="H426" s="10"/>
      <c r="I426" s="11"/>
      <c r="J426" s="10"/>
      <c r="K426" s="11"/>
    </row>
    <row r="427">
      <c r="A427" s="8" t="s">
        <v>39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40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41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42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43</v>
      </c>
      <c r="B431" s="9" t="s">
        <v>76</v>
      </c>
      <c r="C431" s="9" t="s">
        <v>77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44</v>
      </c>
      <c r="B432" s="9" t="s">
        <v>76</v>
      </c>
      <c r="C432" s="9" t="s">
        <v>77</v>
      </c>
      <c r="D432" s="10"/>
      <c r="E432" s="11"/>
      <c r="F432" s="10"/>
      <c r="G432" s="11"/>
      <c r="H432" s="10"/>
      <c r="I432" s="11"/>
      <c r="J432" s="10"/>
      <c r="K432" s="11"/>
    </row>
    <row r="433">
      <c r="A433" s="8" t="s">
        <v>45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46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49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50</v>
      </c>
      <c r="B438" s="9" t="s">
        <v>76</v>
      </c>
      <c r="C438" s="9" t="s">
        <v>77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51</v>
      </c>
      <c r="B439" s="9" t="s">
        <v>76</v>
      </c>
      <c r="C439" s="9" t="s">
        <v>77</v>
      </c>
      <c r="D439" s="10"/>
      <c r="E439" s="11"/>
      <c r="F439" s="10"/>
      <c r="G439" s="11"/>
      <c r="H439" s="10"/>
      <c r="I439" s="11"/>
      <c r="J439" s="10"/>
      <c r="K439" s="11"/>
    </row>
    <row r="440">
      <c r="A440" s="8" t="s">
        <v>16</v>
      </c>
      <c r="B440" s="9" t="s">
        <v>78</v>
      </c>
      <c r="C440" s="9" t="s">
        <v>79</v>
      </c>
      <c r="D440" s="10"/>
      <c r="E440" s="11" t="n">
        <f>1</f>
        <v>1.0</v>
      </c>
      <c r="F440" s="10"/>
      <c r="G440" s="11" t="n">
        <f>4417500</f>
        <v>4417500.0</v>
      </c>
      <c r="H440" s="10" t="s">
        <v>19</v>
      </c>
      <c r="I440" s="11" t="str">
        <f>"－"</f>
        <v>－</v>
      </c>
      <c r="J440" s="10"/>
      <c r="K440" s="11" t="n">
        <f>53</f>
        <v>53.0</v>
      </c>
    </row>
    <row r="441">
      <c r="A441" s="8" t="s">
        <v>21</v>
      </c>
      <c r="B441" s="9" t="s">
        <v>78</v>
      </c>
      <c r="C441" s="9" t="s">
        <v>79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22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23</v>
      </c>
      <c r="B443" s="9" t="s">
        <v>78</v>
      </c>
      <c r="C443" s="9" t="s">
        <v>79</v>
      </c>
      <c r="D443" s="10" t="s">
        <v>20</v>
      </c>
      <c r="E443" s="11" t="str">
        <f>"－"</f>
        <v>－</v>
      </c>
      <c r="F443" s="10" t="s">
        <v>20</v>
      </c>
      <c r="G443" s="11" t="str">
        <f>"－"</f>
        <v>－</v>
      </c>
      <c r="H443" s="10"/>
      <c r="I443" s="11" t="str">
        <f>"－"</f>
        <v>－</v>
      </c>
      <c r="J443" s="10"/>
      <c r="K443" s="11" t="n">
        <f>53</f>
        <v>53.0</v>
      </c>
    </row>
    <row r="444">
      <c r="A444" s="8" t="s">
        <v>24</v>
      </c>
      <c r="B444" s="9" t="s">
        <v>78</v>
      </c>
      <c r="C444" s="9" t="s">
        <v>79</v>
      </c>
      <c r="D444" s="10" t="s">
        <v>26</v>
      </c>
      <c r="E444" s="11" t="n">
        <f>14</f>
        <v>14.0</v>
      </c>
      <c r="F444" s="10" t="s">
        <v>26</v>
      </c>
      <c r="G444" s="11" t="n">
        <f>63006500</f>
        <v>6.30065E7</v>
      </c>
      <c r="H444" s="10"/>
      <c r="I444" s="11" t="str">
        <f>"－"</f>
        <v>－</v>
      </c>
      <c r="J444" s="10" t="s">
        <v>26</v>
      </c>
      <c r="K444" s="11" t="n">
        <f>58</f>
        <v>58.0</v>
      </c>
    </row>
    <row r="445">
      <c r="A445" s="8" t="s">
        <v>25</v>
      </c>
      <c r="B445" s="9" t="s">
        <v>78</v>
      </c>
      <c r="C445" s="9" t="s">
        <v>79</v>
      </c>
      <c r="D445" s="10"/>
      <c r="E445" s="11" t="n">
        <f>4</f>
        <v>4.0</v>
      </c>
      <c r="F445" s="10"/>
      <c r="G445" s="11" t="n">
        <f>18059000</f>
        <v>1.8059E7</v>
      </c>
      <c r="H445" s="10"/>
      <c r="I445" s="11" t="str">
        <f>"－"</f>
        <v>－</v>
      </c>
      <c r="J445" s="10"/>
      <c r="K445" s="11" t="n">
        <f>58</f>
        <v>58.0</v>
      </c>
    </row>
    <row r="446">
      <c r="A446" s="8" t="s">
        <v>27</v>
      </c>
      <c r="B446" s="9" t="s">
        <v>78</v>
      </c>
      <c r="C446" s="9" t="s">
        <v>79</v>
      </c>
      <c r="D446" s="10"/>
      <c r="E446" s="11" t="str">
        <f>"－"</f>
        <v>－</v>
      </c>
      <c r="F446" s="10"/>
      <c r="G446" s="11" t="str">
        <f>"－"</f>
        <v>－</v>
      </c>
      <c r="H446" s="10"/>
      <c r="I446" s="11" t="str">
        <f>"－"</f>
        <v>－</v>
      </c>
      <c r="J446" s="10"/>
      <c r="K446" s="11" t="n">
        <f>58</f>
        <v>58.0</v>
      </c>
    </row>
    <row r="447">
      <c r="A447" s="8" t="s">
        <v>28</v>
      </c>
      <c r="B447" s="9" t="s">
        <v>78</v>
      </c>
      <c r="C447" s="9" t="s">
        <v>79</v>
      </c>
      <c r="D447" s="10"/>
      <c r="E447" s="11" t="n">
        <f>4</f>
        <v>4.0</v>
      </c>
      <c r="F447" s="10"/>
      <c r="G447" s="11" t="n">
        <f>16902000</f>
        <v>1.6902E7</v>
      </c>
      <c r="H447" s="10"/>
      <c r="I447" s="11" t="str">
        <f>"－"</f>
        <v>－</v>
      </c>
      <c r="J447" s="10"/>
      <c r="K447" s="11" t="n">
        <f>54</f>
        <v>54.0</v>
      </c>
    </row>
    <row r="448">
      <c r="A448" s="8" t="s">
        <v>29</v>
      </c>
      <c r="B448" s="9" t="s">
        <v>78</v>
      </c>
      <c r="C448" s="9" t="s">
        <v>79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30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31</v>
      </c>
      <c r="B450" s="9" t="s">
        <v>78</v>
      </c>
      <c r="C450" s="9" t="s">
        <v>79</v>
      </c>
      <c r="D450" s="10"/>
      <c r="E450" s="11" t="n">
        <f>1</f>
        <v>1.0</v>
      </c>
      <c r="F450" s="10"/>
      <c r="G450" s="11" t="n">
        <f>4362000</f>
        <v>4362000.0</v>
      </c>
      <c r="H450" s="10"/>
      <c r="I450" s="11" t="str">
        <f>"－"</f>
        <v>－</v>
      </c>
      <c r="J450" s="10"/>
      <c r="K450" s="11" t="n">
        <f>55</f>
        <v>55.0</v>
      </c>
    </row>
    <row r="451">
      <c r="A451" s="8" t="s">
        <v>32</v>
      </c>
      <c r="B451" s="9" t="s">
        <v>78</v>
      </c>
      <c r="C451" s="9" t="s">
        <v>79</v>
      </c>
      <c r="D451" s="10"/>
      <c r="E451" s="11" t="str">
        <f>"－"</f>
        <v>－</v>
      </c>
      <c r="F451" s="10"/>
      <c r="G451" s="11" t="str">
        <f>"－"</f>
        <v>－</v>
      </c>
      <c r="H451" s="10"/>
      <c r="I451" s="11" t="str">
        <f>"－"</f>
        <v>－</v>
      </c>
      <c r="J451" s="10"/>
      <c r="K451" s="11" t="n">
        <f>55</f>
        <v>55.0</v>
      </c>
    </row>
    <row r="452">
      <c r="A452" s="8" t="s">
        <v>33</v>
      </c>
      <c r="B452" s="9" t="s">
        <v>78</v>
      </c>
      <c r="C452" s="9" t="s">
        <v>79</v>
      </c>
      <c r="D452" s="10"/>
      <c r="E452" s="11" t="n">
        <f>1</f>
        <v>1.0</v>
      </c>
      <c r="F452" s="10"/>
      <c r="G452" s="11" t="n">
        <f>4362500</f>
        <v>4362500.0</v>
      </c>
      <c r="H452" s="10"/>
      <c r="I452" s="11" t="str">
        <f>"－"</f>
        <v>－</v>
      </c>
      <c r="J452" s="10"/>
      <c r="K452" s="11" t="n">
        <f>56</f>
        <v>56.0</v>
      </c>
    </row>
    <row r="453">
      <c r="A453" s="8" t="s">
        <v>34</v>
      </c>
      <c r="B453" s="9" t="s">
        <v>78</v>
      </c>
      <c r="C453" s="9" t="s">
        <v>79</v>
      </c>
      <c r="D453" s="10"/>
      <c r="E453" s="11" t="n">
        <f>2</f>
        <v>2.0</v>
      </c>
      <c r="F453" s="10"/>
      <c r="G453" s="11" t="n">
        <f>7817500</f>
        <v>7817500.0</v>
      </c>
      <c r="H453" s="10"/>
      <c r="I453" s="11" t="str">
        <f>"－"</f>
        <v>－</v>
      </c>
      <c r="J453" s="10"/>
      <c r="K453" s="11" t="n">
        <f>54</f>
        <v>54.0</v>
      </c>
    </row>
    <row r="454">
      <c r="A454" s="8" t="s">
        <v>35</v>
      </c>
      <c r="B454" s="9" t="s">
        <v>78</v>
      </c>
      <c r="C454" s="9" t="s">
        <v>79</v>
      </c>
      <c r="D454" s="10"/>
      <c r="E454" s="11" t="n">
        <f>2</f>
        <v>2.0</v>
      </c>
      <c r="F454" s="10"/>
      <c r="G454" s="11" t="n">
        <f>8210000</f>
        <v>8210000.0</v>
      </c>
      <c r="H454" s="10"/>
      <c r="I454" s="11" t="str">
        <f>"－"</f>
        <v>－</v>
      </c>
      <c r="J454" s="10"/>
      <c r="K454" s="11" t="n">
        <f>55</f>
        <v>55.0</v>
      </c>
    </row>
    <row r="455">
      <c r="A455" s="8" t="s">
        <v>36</v>
      </c>
      <c r="B455" s="9" t="s">
        <v>78</v>
      </c>
      <c r="C455" s="9" t="s">
        <v>79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37</v>
      </c>
      <c r="B456" s="9" t="s">
        <v>78</v>
      </c>
      <c r="C456" s="9" t="s">
        <v>79</v>
      </c>
      <c r="D456" s="10"/>
      <c r="E456" s="11"/>
      <c r="F456" s="10"/>
      <c r="G456" s="11"/>
      <c r="H456" s="10"/>
      <c r="I456" s="11"/>
      <c r="J456" s="10"/>
      <c r="K456" s="11"/>
    </row>
    <row r="457">
      <c r="A457" s="8" t="s">
        <v>38</v>
      </c>
      <c r="B457" s="9" t="s">
        <v>78</v>
      </c>
      <c r="C457" s="9" t="s">
        <v>79</v>
      </c>
      <c r="D457" s="10"/>
      <c r="E457" s="11"/>
      <c r="F457" s="10"/>
      <c r="G457" s="11"/>
      <c r="H457" s="10"/>
      <c r="I457" s="11"/>
      <c r="J457" s="10"/>
      <c r="K457" s="11"/>
    </row>
    <row r="458">
      <c r="A458" s="8" t="s">
        <v>39</v>
      </c>
      <c r="B458" s="9" t="s">
        <v>78</v>
      </c>
      <c r="C458" s="9" t="s">
        <v>79</v>
      </c>
      <c r="D458" s="10"/>
      <c r="E458" s="11" t="n">
        <f>3</f>
        <v>3.0</v>
      </c>
      <c r="F458" s="10"/>
      <c r="G458" s="11" t="n">
        <f>12018000</f>
        <v>1.2018E7</v>
      </c>
      <c r="H458" s="10"/>
      <c r="I458" s="11" t="str">
        <f>"－"</f>
        <v>－</v>
      </c>
      <c r="J458" s="10"/>
      <c r="K458" s="11" t="n">
        <f>54</f>
        <v>54.0</v>
      </c>
    </row>
    <row r="459">
      <c r="A459" s="8" t="s">
        <v>40</v>
      </c>
      <c r="B459" s="9" t="s">
        <v>78</v>
      </c>
      <c r="C459" s="9" t="s">
        <v>79</v>
      </c>
      <c r="D459" s="10"/>
      <c r="E459" s="11" t="n">
        <f>5</f>
        <v>5.0</v>
      </c>
      <c r="F459" s="10"/>
      <c r="G459" s="11" t="n">
        <f>21050000</f>
        <v>2.105E7</v>
      </c>
      <c r="H459" s="10"/>
      <c r="I459" s="11" t="str">
        <f>"－"</f>
        <v>－</v>
      </c>
      <c r="J459" s="10"/>
      <c r="K459" s="11" t="n">
        <f>54</f>
        <v>54.0</v>
      </c>
    </row>
    <row r="460">
      <c r="A460" s="8" t="s">
        <v>41</v>
      </c>
      <c r="B460" s="9" t="s">
        <v>78</v>
      </c>
      <c r="C460" s="9" t="s">
        <v>79</v>
      </c>
      <c r="D460" s="10"/>
      <c r="E460" s="11" t="n">
        <f>1</f>
        <v>1.0</v>
      </c>
      <c r="F460" s="10"/>
      <c r="G460" s="11" t="n">
        <f>4200000</f>
        <v>4200000.0</v>
      </c>
      <c r="H460" s="10"/>
      <c r="I460" s="11" t="str">
        <f>"－"</f>
        <v>－</v>
      </c>
      <c r="J460" s="10"/>
      <c r="K460" s="11" t="n">
        <f>55</f>
        <v>55.0</v>
      </c>
    </row>
    <row r="461">
      <c r="A461" s="8" t="s">
        <v>42</v>
      </c>
      <c r="B461" s="9" t="s">
        <v>78</v>
      </c>
      <c r="C461" s="9" t="s">
        <v>79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n">
        <f>55</f>
        <v>55.0</v>
      </c>
    </row>
    <row r="462">
      <c r="A462" s="8" t="s">
        <v>43</v>
      </c>
      <c r="B462" s="9" t="s">
        <v>78</v>
      </c>
      <c r="C462" s="9" t="s">
        <v>79</v>
      </c>
      <c r="D462" s="10"/>
      <c r="E462" s="11"/>
      <c r="F462" s="10"/>
      <c r="G462" s="11"/>
      <c r="H462" s="10"/>
      <c r="I462" s="11"/>
      <c r="J462" s="10"/>
      <c r="K462" s="11"/>
    </row>
    <row r="463">
      <c r="A463" s="8" t="s">
        <v>44</v>
      </c>
      <c r="B463" s="9" t="s">
        <v>78</v>
      </c>
      <c r="C463" s="9" t="s">
        <v>79</v>
      </c>
      <c r="D463" s="10"/>
      <c r="E463" s="11"/>
      <c r="F463" s="10"/>
      <c r="G463" s="11"/>
      <c r="H463" s="10"/>
      <c r="I463" s="11"/>
      <c r="J463" s="10"/>
      <c r="K463" s="11"/>
    </row>
    <row r="464">
      <c r="A464" s="8" t="s">
        <v>45</v>
      </c>
      <c r="B464" s="9" t="s">
        <v>78</v>
      </c>
      <c r="C464" s="9" t="s">
        <v>79</v>
      </c>
      <c r="D464" s="10"/>
      <c r="E464" s="11" t="n">
        <f>3</f>
        <v>3.0</v>
      </c>
      <c r="F464" s="10"/>
      <c r="G464" s="11" t="n">
        <f>12084000</f>
        <v>1.2084E7</v>
      </c>
      <c r="H464" s="10"/>
      <c r="I464" s="11" t="str">
        <f>"－"</f>
        <v>－</v>
      </c>
      <c r="J464" s="10"/>
      <c r="K464" s="11" t="n">
        <f>57</f>
        <v>57.0</v>
      </c>
    </row>
    <row r="465">
      <c r="A465" s="8" t="s">
        <v>46</v>
      </c>
      <c r="B465" s="9" t="s">
        <v>78</v>
      </c>
      <c r="C465" s="9" t="s">
        <v>79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 t="s">
        <v>20</v>
      </c>
      <c r="K465" s="11" t="n">
        <f>49</f>
        <v>49.0</v>
      </c>
    </row>
    <row r="466">
      <c r="A466" s="8" t="s">
        <v>47</v>
      </c>
      <c r="B466" s="9" t="s">
        <v>78</v>
      </c>
      <c r="C466" s="9" t="s">
        <v>79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n">
        <f>49</f>
        <v>49.0</v>
      </c>
    </row>
    <row r="467">
      <c r="A467" s="8" t="s">
        <v>48</v>
      </c>
      <c r="B467" s="9" t="s">
        <v>78</v>
      </c>
      <c r="C467" s="9" t="s">
        <v>79</v>
      </c>
      <c r="D467" s="10"/>
      <c r="E467" s="11" t="n">
        <f>1</f>
        <v>1.0</v>
      </c>
      <c r="F467" s="10"/>
      <c r="G467" s="11" t="n">
        <f>4200000</f>
        <v>4200000.0</v>
      </c>
      <c r="H467" s="10"/>
      <c r="I467" s="11" t="str">
        <f>"－"</f>
        <v>－</v>
      </c>
      <c r="J467" s="10"/>
      <c r="K467" s="11" t="n">
        <f>50</f>
        <v>50.0</v>
      </c>
    </row>
    <row r="468">
      <c r="A468" s="8" t="s">
        <v>49</v>
      </c>
      <c r="B468" s="9" t="s">
        <v>78</v>
      </c>
      <c r="C468" s="9" t="s">
        <v>79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n">
        <f>50</f>
        <v>50.0</v>
      </c>
    </row>
    <row r="469">
      <c r="A469" s="8" t="s">
        <v>50</v>
      </c>
      <c r="B469" s="9" t="s">
        <v>78</v>
      </c>
      <c r="C469" s="9" t="s">
        <v>79</v>
      </c>
      <c r="D469" s="10"/>
      <c r="E469" s="11"/>
      <c r="F469" s="10"/>
      <c r="G469" s="11"/>
      <c r="H469" s="10"/>
      <c r="I469" s="11"/>
      <c r="J469" s="10"/>
      <c r="K469" s="11"/>
    </row>
    <row r="470">
      <c r="A470" s="8" t="s">
        <v>51</v>
      </c>
      <c r="B470" s="9" t="s">
        <v>78</v>
      </c>
      <c r="C470" s="9" t="s">
        <v>79</v>
      </c>
      <c r="D470" s="10"/>
      <c r="E470" s="11"/>
      <c r="F470" s="10"/>
      <c r="G470" s="11"/>
      <c r="H470" s="10"/>
      <c r="I470" s="11"/>
      <c r="J470" s="10"/>
      <c r="K470" s="11"/>
    </row>
    <row r="471">
      <c r="A471" s="8" t="s">
        <v>16</v>
      </c>
      <c r="B471" s="9" t="s">
        <v>80</v>
      </c>
      <c r="C471" s="9" t="s">
        <v>81</v>
      </c>
      <c r="D471" s="10" t="s">
        <v>20</v>
      </c>
      <c r="E471" s="11" t="str">
        <f>"－"</f>
        <v>－</v>
      </c>
      <c r="F471" s="10" t="s">
        <v>20</v>
      </c>
      <c r="G471" s="11" t="str">
        <f>"－"</f>
        <v>－</v>
      </c>
      <c r="H471" s="10" t="s">
        <v>19</v>
      </c>
      <c r="I471" s="11" t="str">
        <f>"－"</f>
        <v>－</v>
      </c>
      <c r="J471" s="10" t="s">
        <v>20</v>
      </c>
      <c r="K471" s="11" t="n">
        <f>30</f>
        <v>30.0</v>
      </c>
    </row>
    <row r="472">
      <c r="A472" s="8" t="s">
        <v>21</v>
      </c>
      <c r="B472" s="9" t="s">
        <v>80</v>
      </c>
      <c r="C472" s="9" t="s">
        <v>81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22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23</v>
      </c>
      <c r="B474" s="9" t="s">
        <v>80</v>
      </c>
      <c r="C474" s="9" t="s">
        <v>81</v>
      </c>
      <c r="D474" s="10"/>
      <c r="E474" s="11" t="str">
        <f>"－"</f>
        <v>－</v>
      </c>
      <c r="F474" s="10"/>
      <c r="G474" s="11" t="str">
        <f>"－"</f>
        <v>－</v>
      </c>
      <c r="H474" s="10"/>
      <c r="I474" s="11" t="str">
        <f>"－"</f>
        <v>－</v>
      </c>
      <c r="J474" s="10"/>
      <c r="K474" s="11" t="n">
        <f>30</f>
        <v>30.0</v>
      </c>
    </row>
    <row r="475">
      <c r="A475" s="8" t="s">
        <v>24</v>
      </c>
      <c r="B475" s="9" t="s">
        <v>80</v>
      </c>
      <c r="C475" s="9" t="s">
        <v>81</v>
      </c>
      <c r="D475" s="10"/>
      <c r="E475" s="11" t="n">
        <f>6</f>
        <v>6.0</v>
      </c>
      <c r="F475" s="10"/>
      <c r="G475" s="11" t="n">
        <f>25278000</f>
        <v>2.5278E7</v>
      </c>
      <c r="H475" s="10"/>
      <c r="I475" s="11" t="str">
        <f>"－"</f>
        <v>－</v>
      </c>
      <c r="J475" s="10"/>
      <c r="K475" s="11" t="n">
        <f>31</f>
        <v>31.0</v>
      </c>
    </row>
    <row r="476">
      <c r="A476" s="8" t="s">
        <v>25</v>
      </c>
      <c r="B476" s="9" t="s">
        <v>80</v>
      </c>
      <c r="C476" s="9" t="s">
        <v>81</v>
      </c>
      <c r="D476" s="10"/>
      <c r="E476" s="11" t="n">
        <f>2</f>
        <v>2.0</v>
      </c>
      <c r="F476" s="10"/>
      <c r="G476" s="11" t="n">
        <f>7918000</f>
        <v>7918000.0</v>
      </c>
      <c r="H476" s="10"/>
      <c r="I476" s="11" t="str">
        <f>"－"</f>
        <v>－</v>
      </c>
      <c r="J476" s="10"/>
      <c r="K476" s="11" t="n">
        <f>32</f>
        <v>32.0</v>
      </c>
    </row>
    <row r="477">
      <c r="A477" s="8" t="s">
        <v>27</v>
      </c>
      <c r="B477" s="9" t="s">
        <v>80</v>
      </c>
      <c r="C477" s="9" t="s">
        <v>81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n">
        <f>32</f>
        <v>32.0</v>
      </c>
    </row>
    <row r="478">
      <c r="A478" s="8" t="s">
        <v>28</v>
      </c>
      <c r="B478" s="9" t="s">
        <v>80</v>
      </c>
      <c r="C478" s="9" t="s">
        <v>81</v>
      </c>
      <c r="D478" s="10"/>
      <c r="E478" s="11" t="n">
        <f>7</f>
        <v>7.0</v>
      </c>
      <c r="F478" s="10"/>
      <c r="G478" s="11" t="n">
        <f>29588500</f>
        <v>2.95885E7</v>
      </c>
      <c r="H478" s="10"/>
      <c r="I478" s="11" t="str">
        <f>"－"</f>
        <v>－</v>
      </c>
      <c r="J478" s="10"/>
      <c r="K478" s="11" t="n">
        <f>36</f>
        <v>36.0</v>
      </c>
    </row>
    <row r="479">
      <c r="A479" s="8" t="s">
        <v>29</v>
      </c>
      <c r="B479" s="9" t="s">
        <v>80</v>
      </c>
      <c r="C479" s="9" t="s">
        <v>81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30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31</v>
      </c>
      <c r="B481" s="9" t="s">
        <v>80</v>
      </c>
      <c r="C481" s="9" t="s">
        <v>81</v>
      </c>
      <c r="D481" s="10"/>
      <c r="E481" s="11" t="n">
        <f>3</f>
        <v>3.0</v>
      </c>
      <c r="F481" s="10"/>
      <c r="G481" s="11" t="n">
        <f>13082000</f>
        <v>1.3082E7</v>
      </c>
      <c r="H481" s="10"/>
      <c r="I481" s="11" t="str">
        <f>"－"</f>
        <v>－</v>
      </c>
      <c r="J481" s="10"/>
      <c r="K481" s="11" t="n">
        <f>37</f>
        <v>37.0</v>
      </c>
    </row>
    <row r="482">
      <c r="A482" s="8" t="s">
        <v>32</v>
      </c>
      <c r="B482" s="9" t="s">
        <v>80</v>
      </c>
      <c r="C482" s="9" t="s">
        <v>81</v>
      </c>
      <c r="D482" s="10"/>
      <c r="E482" s="11" t="n">
        <f>2</f>
        <v>2.0</v>
      </c>
      <c r="F482" s="10"/>
      <c r="G482" s="11" t="n">
        <f>8738000</f>
        <v>8738000.0</v>
      </c>
      <c r="H482" s="10"/>
      <c r="I482" s="11" t="str">
        <f>"－"</f>
        <v>－</v>
      </c>
      <c r="J482" s="10"/>
      <c r="K482" s="11" t="n">
        <f>38</f>
        <v>38.0</v>
      </c>
    </row>
    <row r="483">
      <c r="A483" s="8" t="s">
        <v>33</v>
      </c>
      <c r="B483" s="9" t="s">
        <v>80</v>
      </c>
      <c r="C483" s="9" t="s">
        <v>81</v>
      </c>
      <c r="D483" s="10"/>
      <c r="E483" s="11" t="n">
        <f>3</f>
        <v>3.0</v>
      </c>
      <c r="F483" s="10"/>
      <c r="G483" s="11" t="n">
        <f>13071000</f>
        <v>1.3071E7</v>
      </c>
      <c r="H483" s="10"/>
      <c r="I483" s="11" t="str">
        <f>"－"</f>
        <v>－</v>
      </c>
      <c r="J483" s="10" t="s">
        <v>26</v>
      </c>
      <c r="K483" s="11" t="n">
        <f>40</f>
        <v>40.0</v>
      </c>
    </row>
    <row r="484">
      <c r="A484" s="8" t="s">
        <v>34</v>
      </c>
      <c r="B484" s="9" t="s">
        <v>80</v>
      </c>
      <c r="C484" s="9" t="s">
        <v>81</v>
      </c>
      <c r="D484" s="10"/>
      <c r="E484" s="11" t="n">
        <f>3</f>
        <v>3.0</v>
      </c>
      <c r="F484" s="10"/>
      <c r="G484" s="11" t="n">
        <f>12571000</f>
        <v>1.2571E7</v>
      </c>
      <c r="H484" s="10"/>
      <c r="I484" s="11" t="str">
        <f>"－"</f>
        <v>－</v>
      </c>
      <c r="J484" s="10"/>
      <c r="K484" s="11" t="n">
        <f>39</f>
        <v>39.0</v>
      </c>
    </row>
    <row r="485">
      <c r="A485" s="8" t="s">
        <v>35</v>
      </c>
      <c r="B485" s="9" t="s">
        <v>80</v>
      </c>
      <c r="C485" s="9" t="s">
        <v>81</v>
      </c>
      <c r="D485" s="10" t="s">
        <v>26</v>
      </c>
      <c r="E485" s="11" t="n">
        <f>9</f>
        <v>9.0</v>
      </c>
      <c r="F485" s="10" t="s">
        <v>26</v>
      </c>
      <c r="G485" s="11" t="n">
        <f>36657000</f>
        <v>3.6657E7</v>
      </c>
      <c r="H485" s="10"/>
      <c r="I485" s="11" t="str">
        <f>"－"</f>
        <v>－</v>
      </c>
      <c r="J485" s="10"/>
      <c r="K485" s="11" t="n">
        <f>34</f>
        <v>34.0</v>
      </c>
    </row>
    <row r="486">
      <c r="A486" s="8" t="s">
        <v>36</v>
      </c>
      <c r="B486" s="9" t="s">
        <v>80</v>
      </c>
      <c r="C486" s="9" t="s">
        <v>81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37</v>
      </c>
      <c r="B487" s="9" t="s">
        <v>80</v>
      </c>
      <c r="C487" s="9" t="s">
        <v>81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38</v>
      </c>
      <c r="B488" s="9" t="s">
        <v>80</v>
      </c>
      <c r="C488" s="9" t="s">
        <v>81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39</v>
      </c>
      <c r="B489" s="9" t="s">
        <v>80</v>
      </c>
      <c r="C489" s="9" t="s">
        <v>81</v>
      </c>
      <c r="D489" s="10"/>
      <c r="E489" s="11" t="n">
        <f>4</f>
        <v>4.0</v>
      </c>
      <c r="F489" s="10"/>
      <c r="G489" s="11" t="n">
        <f>16498500</f>
        <v>1.64985E7</v>
      </c>
      <c r="H489" s="10"/>
      <c r="I489" s="11" t="str">
        <f>"－"</f>
        <v>－</v>
      </c>
      <c r="J489" s="10"/>
      <c r="K489" s="11" t="n">
        <f>33</f>
        <v>33.0</v>
      </c>
    </row>
    <row r="490">
      <c r="A490" s="8" t="s">
        <v>40</v>
      </c>
      <c r="B490" s="9" t="s">
        <v>80</v>
      </c>
      <c r="C490" s="9" t="s">
        <v>81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n">
        <f>33</f>
        <v>33.0</v>
      </c>
    </row>
    <row r="491">
      <c r="A491" s="8" t="s">
        <v>41</v>
      </c>
      <c r="B491" s="9" t="s">
        <v>80</v>
      </c>
      <c r="C491" s="9" t="s">
        <v>81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n">
        <f>33</f>
        <v>33.0</v>
      </c>
    </row>
    <row r="492">
      <c r="A492" s="8" t="s">
        <v>42</v>
      </c>
      <c r="B492" s="9" t="s">
        <v>80</v>
      </c>
      <c r="C492" s="9" t="s">
        <v>81</v>
      </c>
      <c r="D492" s="10"/>
      <c r="E492" s="11" t="n">
        <f>4</f>
        <v>4.0</v>
      </c>
      <c r="F492" s="10"/>
      <c r="G492" s="11" t="n">
        <f>15500000</f>
        <v>1.55E7</v>
      </c>
      <c r="H492" s="10"/>
      <c r="I492" s="11" t="str">
        <f>"－"</f>
        <v>－</v>
      </c>
      <c r="J492" s="10"/>
      <c r="K492" s="11" t="n">
        <f>37</f>
        <v>37.0</v>
      </c>
    </row>
    <row r="493">
      <c r="A493" s="8" t="s">
        <v>43</v>
      </c>
      <c r="B493" s="9" t="s">
        <v>80</v>
      </c>
      <c r="C493" s="9" t="s">
        <v>81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44</v>
      </c>
      <c r="B494" s="9" t="s">
        <v>80</v>
      </c>
      <c r="C494" s="9" t="s">
        <v>81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45</v>
      </c>
      <c r="B495" s="9" t="s">
        <v>80</v>
      </c>
      <c r="C495" s="9" t="s">
        <v>81</v>
      </c>
      <c r="D495" s="10"/>
      <c r="E495" s="11" t="n">
        <f>2</f>
        <v>2.0</v>
      </c>
      <c r="F495" s="10"/>
      <c r="G495" s="11" t="n">
        <f>7550000</f>
        <v>7550000.0</v>
      </c>
      <c r="H495" s="10"/>
      <c r="I495" s="11" t="str">
        <f>"－"</f>
        <v>－</v>
      </c>
      <c r="J495" s="10"/>
      <c r="K495" s="11" t="n">
        <f>39</f>
        <v>39.0</v>
      </c>
    </row>
    <row r="496">
      <c r="A496" s="8" t="s">
        <v>46</v>
      </c>
      <c r="B496" s="9" t="s">
        <v>80</v>
      </c>
      <c r="C496" s="9" t="s">
        <v>81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/>
      <c r="K496" s="11" t="n">
        <f>33</f>
        <v>33.0</v>
      </c>
    </row>
    <row r="497">
      <c r="A497" s="8" t="s">
        <v>47</v>
      </c>
      <c r="B497" s="9" t="s">
        <v>80</v>
      </c>
      <c r="C497" s="9" t="s">
        <v>81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n">
        <f>33</f>
        <v>33.0</v>
      </c>
    </row>
    <row r="498">
      <c r="A498" s="8" t="s">
        <v>48</v>
      </c>
      <c r="B498" s="9" t="s">
        <v>80</v>
      </c>
      <c r="C498" s="9" t="s">
        <v>81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n">
        <f>33</f>
        <v>33.0</v>
      </c>
    </row>
    <row r="499">
      <c r="A499" s="8" t="s">
        <v>49</v>
      </c>
      <c r="B499" s="9" t="s">
        <v>80</v>
      </c>
      <c r="C499" s="9" t="s">
        <v>81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n">
        <f>33</f>
        <v>33.0</v>
      </c>
    </row>
    <row r="500">
      <c r="A500" s="8" t="s">
        <v>50</v>
      </c>
      <c r="B500" s="9" t="s">
        <v>80</v>
      </c>
      <c r="C500" s="9" t="s">
        <v>81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51</v>
      </c>
      <c r="B501" s="9" t="s">
        <v>80</v>
      </c>
      <c r="C501" s="9" t="s">
        <v>81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16</v>
      </c>
      <c r="B502" s="9" t="s">
        <v>82</v>
      </c>
      <c r="C502" s="9" t="s">
        <v>83</v>
      </c>
      <c r="D502" s="10" t="s">
        <v>19</v>
      </c>
      <c r="E502" s="11" t="str">
        <f>"－"</f>
        <v>－</v>
      </c>
      <c r="F502" s="10" t="s">
        <v>19</v>
      </c>
      <c r="G502" s="11" t="str">
        <f>"－"</f>
        <v>－</v>
      </c>
      <c r="H502" s="10" t="s">
        <v>19</v>
      </c>
      <c r="I502" s="11" t="str">
        <f>"－"</f>
        <v>－</v>
      </c>
      <c r="J502" s="10" t="s">
        <v>19</v>
      </c>
      <c r="K502" s="11" t="str">
        <f>"－"</f>
        <v>－</v>
      </c>
    </row>
    <row r="503">
      <c r="A503" s="8" t="s">
        <v>21</v>
      </c>
      <c r="B503" s="9" t="s">
        <v>82</v>
      </c>
      <c r="C503" s="9" t="s">
        <v>83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22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23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24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25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27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28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29</v>
      </c>
      <c r="B510" s="9" t="s">
        <v>82</v>
      </c>
      <c r="C510" s="9" t="s">
        <v>83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30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31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32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33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34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35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36</v>
      </c>
      <c r="B517" s="9" t="s">
        <v>82</v>
      </c>
      <c r="C517" s="9" t="s">
        <v>83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37</v>
      </c>
      <c r="B518" s="9" t="s">
        <v>82</v>
      </c>
      <c r="C518" s="9" t="s">
        <v>83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38</v>
      </c>
      <c r="B519" s="9" t="s">
        <v>82</v>
      </c>
      <c r="C519" s="9" t="s">
        <v>83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39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40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41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42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43</v>
      </c>
      <c r="B524" s="9" t="s">
        <v>82</v>
      </c>
      <c r="C524" s="9" t="s">
        <v>83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44</v>
      </c>
      <c r="B525" s="9" t="s">
        <v>82</v>
      </c>
      <c r="C525" s="9" t="s">
        <v>83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45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46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49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50</v>
      </c>
      <c r="B531" s="9" t="s">
        <v>82</v>
      </c>
      <c r="C531" s="9" t="s">
        <v>83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51</v>
      </c>
      <c r="B532" s="9" t="s">
        <v>82</v>
      </c>
      <c r="C532" s="9" t="s">
        <v>83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16</v>
      </c>
      <c r="B533" s="9" t="s">
        <v>84</v>
      </c>
      <c r="C533" s="9" t="s">
        <v>85</v>
      </c>
      <c r="D533" s="10"/>
      <c r="E533" s="11" t="n">
        <f>9234</f>
        <v>9234.0</v>
      </c>
      <c r="F533" s="10"/>
      <c r="G533" s="11" t="n">
        <f>36184147000</f>
        <v>3.6184147E10</v>
      </c>
      <c r="H533" s="10" t="s">
        <v>19</v>
      </c>
      <c r="I533" s="11" t="str">
        <f>"－"</f>
        <v>－</v>
      </c>
      <c r="J533" s="10" t="s">
        <v>26</v>
      </c>
      <c r="K533" s="11" t="n">
        <f>62170</f>
        <v>62170.0</v>
      </c>
    </row>
    <row r="534">
      <c r="A534" s="8" t="s">
        <v>21</v>
      </c>
      <c r="B534" s="9" t="s">
        <v>84</v>
      </c>
      <c r="C534" s="9" t="s">
        <v>85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22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23</v>
      </c>
      <c r="B536" s="9" t="s">
        <v>84</v>
      </c>
      <c r="C536" s="9" t="s">
        <v>85</v>
      </c>
      <c r="D536" s="10"/>
      <c r="E536" s="11" t="n">
        <f>4344</f>
        <v>4344.0</v>
      </c>
      <c r="F536" s="10"/>
      <c r="G536" s="11" t="n">
        <f>17273253000</f>
        <v>1.7273253E10</v>
      </c>
      <c r="H536" s="10"/>
      <c r="I536" s="11" t="str">
        <f>"－"</f>
        <v>－</v>
      </c>
      <c r="J536" s="10"/>
      <c r="K536" s="11" t="n">
        <f>59432</f>
        <v>59432.0</v>
      </c>
    </row>
    <row r="537">
      <c r="A537" s="8" t="s">
        <v>24</v>
      </c>
      <c r="B537" s="9" t="s">
        <v>84</v>
      </c>
      <c r="C537" s="9" t="s">
        <v>85</v>
      </c>
      <c r="D537" s="10"/>
      <c r="E537" s="11" t="n">
        <f>3833</f>
        <v>3833.0</v>
      </c>
      <c r="F537" s="10"/>
      <c r="G537" s="11" t="n">
        <f>15555909500</f>
        <v>1.55559095E10</v>
      </c>
      <c r="H537" s="10"/>
      <c r="I537" s="11" t="str">
        <f>"－"</f>
        <v>－</v>
      </c>
      <c r="J537" s="10"/>
      <c r="K537" s="11" t="n">
        <f>59900</f>
        <v>59900.0</v>
      </c>
    </row>
    <row r="538">
      <c r="A538" s="8" t="s">
        <v>25</v>
      </c>
      <c r="B538" s="9" t="s">
        <v>84</v>
      </c>
      <c r="C538" s="9" t="s">
        <v>85</v>
      </c>
      <c r="D538" s="10"/>
      <c r="E538" s="11" t="n">
        <f>12757</f>
        <v>12757.0</v>
      </c>
      <c r="F538" s="10"/>
      <c r="G538" s="11" t="n">
        <f>46913909500</f>
        <v>4.69139095E10</v>
      </c>
      <c r="H538" s="10"/>
      <c r="I538" s="11" t="str">
        <f>"－"</f>
        <v>－</v>
      </c>
      <c r="J538" s="10"/>
      <c r="K538" s="11" t="n">
        <f>56902</f>
        <v>56902.0</v>
      </c>
    </row>
    <row r="539">
      <c r="A539" s="8" t="s">
        <v>27</v>
      </c>
      <c r="B539" s="9" t="s">
        <v>84</v>
      </c>
      <c r="C539" s="9" t="s">
        <v>85</v>
      </c>
      <c r="D539" s="10"/>
      <c r="E539" s="11" t="n">
        <f>17732</f>
        <v>17732.0</v>
      </c>
      <c r="F539" s="10"/>
      <c r="G539" s="11" t="n">
        <f>62279227500</f>
        <v>6.22792275E10</v>
      </c>
      <c r="H539" s="10"/>
      <c r="I539" s="11" t="str">
        <f>"－"</f>
        <v>－</v>
      </c>
      <c r="J539" s="10" t="s">
        <v>20</v>
      </c>
      <c r="K539" s="11" t="n">
        <f>56898</f>
        <v>56898.0</v>
      </c>
    </row>
    <row r="540">
      <c r="A540" s="8" t="s">
        <v>28</v>
      </c>
      <c r="B540" s="9" t="s">
        <v>84</v>
      </c>
      <c r="C540" s="9" t="s">
        <v>85</v>
      </c>
      <c r="D540" s="10" t="s">
        <v>26</v>
      </c>
      <c r="E540" s="11" t="n">
        <f>18306</f>
        <v>18306.0</v>
      </c>
      <c r="F540" s="10" t="s">
        <v>26</v>
      </c>
      <c r="G540" s="11" t="n">
        <f>66959748500</f>
        <v>6.69597485E10</v>
      </c>
      <c r="H540" s="10"/>
      <c r="I540" s="11" t="str">
        <f>"－"</f>
        <v>－</v>
      </c>
      <c r="J540" s="10"/>
      <c r="K540" s="11" t="n">
        <f>58404</f>
        <v>58404.0</v>
      </c>
    </row>
    <row r="541">
      <c r="A541" s="8" t="s">
        <v>29</v>
      </c>
      <c r="B541" s="9" t="s">
        <v>84</v>
      </c>
      <c r="C541" s="9" t="s">
        <v>85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30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31</v>
      </c>
      <c r="B543" s="9" t="s">
        <v>84</v>
      </c>
      <c r="C543" s="9" t="s">
        <v>85</v>
      </c>
      <c r="D543" s="10"/>
      <c r="E543" s="11" t="n">
        <f>17097</f>
        <v>17097.0</v>
      </c>
      <c r="F543" s="10"/>
      <c r="G543" s="11" t="n">
        <f>64079515500</f>
        <v>6.40795155E10</v>
      </c>
      <c r="H543" s="10"/>
      <c r="I543" s="11" t="str">
        <f>"－"</f>
        <v>－</v>
      </c>
      <c r="J543" s="10"/>
      <c r="K543" s="11" t="n">
        <f>59447</f>
        <v>59447.0</v>
      </c>
    </row>
    <row r="544">
      <c r="A544" s="8" t="s">
        <v>32</v>
      </c>
      <c r="B544" s="9" t="s">
        <v>84</v>
      </c>
      <c r="C544" s="9" t="s">
        <v>85</v>
      </c>
      <c r="D544" s="10"/>
      <c r="E544" s="11" t="n">
        <f>17725</f>
        <v>17725.0</v>
      </c>
      <c r="F544" s="10"/>
      <c r="G544" s="11" t="n">
        <f>66643231000</f>
        <v>6.6643231E10</v>
      </c>
      <c r="H544" s="10"/>
      <c r="I544" s="11" t="str">
        <f>"－"</f>
        <v>－</v>
      </c>
      <c r="J544" s="10"/>
      <c r="K544" s="11" t="n">
        <f>60406</f>
        <v>60406.0</v>
      </c>
    </row>
    <row r="545">
      <c r="A545" s="8" t="s">
        <v>33</v>
      </c>
      <c r="B545" s="9" t="s">
        <v>84</v>
      </c>
      <c r="C545" s="9" t="s">
        <v>85</v>
      </c>
      <c r="D545" s="10"/>
      <c r="E545" s="11" t="n">
        <f>18174</f>
        <v>18174.0</v>
      </c>
      <c r="F545" s="10"/>
      <c r="G545" s="11" t="n">
        <f>65116606000</f>
        <v>6.5116606E10</v>
      </c>
      <c r="H545" s="10"/>
      <c r="I545" s="11" t="str">
        <f>"－"</f>
        <v>－</v>
      </c>
      <c r="J545" s="10"/>
      <c r="K545" s="11" t="n">
        <f>60463</f>
        <v>60463.0</v>
      </c>
    </row>
    <row r="546">
      <c r="A546" s="8" t="s">
        <v>34</v>
      </c>
      <c r="B546" s="9" t="s">
        <v>84</v>
      </c>
      <c r="C546" s="9" t="s">
        <v>85</v>
      </c>
      <c r="D546" s="10"/>
      <c r="E546" s="11" t="n">
        <f>6780</f>
        <v>6780.0</v>
      </c>
      <c r="F546" s="10"/>
      <c r="G546" s="11" t="n">
        <f>24484086000</f>
        <v>2.4484086E10</v>
      </c>
      <c r="H546" s="10"/>
      <c r="I546" s="11" t="str">
        <f>"－"</f>
        <v>－</v>
      </c>
      <c r="J546" s="10"/>
      <c r="K546" s="11" t="n">
        <f>59327</f>
        <v>59327.0</v>
      </c>
    </row>
    <row r="547">
      <c r="A547" s="8" t="s">
        <v>35</v>
      </c>
      <c r="B547" s="9" t="s">
        <v>84</v>
      </c>
      <c r="C547" s="9" t="s">
        <v>85</v>
      </c>
      <c r="D547" s="10"/>
      <c r="E547" s="11" t="n">
        <f>3518</f>
        <v>3518.0</v>
      </c>
      <c r="F547" s="10"/>
      <c r="G547" s="11" t="n">
        <f>12642120000</f>
        <v>1.264212E10</v>
      </c>
      <c r="H547" s="10"/>
      <c r="I547" s="11" t="str">
        <f>"－"</f>
        <v>－</v>
      </c>
      <c r="J547" s="10"/>
      <c r="K547" s="11" t="n">
        <f>58727</f>
        <v>58727.0</v>
      </c>
    </row>
    <row r="548">
      <c r="A548" s="8" t="s">
        <v>36</v>
      </c>
      <c r="B548" s="9" t="s">
        <v>84</v>
      </c>
      <c r="C548" s="9" t="s">
        <v>85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37</v>
      </c>
      <c r="B549" s="9" t="s">
        <v>84</v>
      </c>
      <c r="C549" s="9" t="s">
        <v>85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38</v>
      </c>
      <c r="B550" s="9" t="s">
        <v>84</v>
      </c>
      <c r="C550" s="9" t="s">
        <v>85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39</v>
      </c>
      <c r="B551" s="9" t="s">
        <v>84</v>
      </c>
      <c r="C551" s="9" t="s">
        <v>85</v>
      </c>
      <c r="D551" s="10"/>
      <c r="E551" s="11" t="n">
        <f>6416</f>
        <v>6416.0</v>
      </c>
      <c r="F551" s="10"/>
      <c r="G551" s="11" t="n">
        <f>24162510500</f>
        <v>2.41625105E10</v>
      </c>
      <c r="H551" s="10"/>
      <c r="I551" s="11" t="str">
        <f>"－"</f>
        <v>－</v>
      </c>
      <c r="J551" s="10"/>
      <c r="K551" s="11" t="n">
        <f>59773</f>
        <v>59773.0</v>
      </c>
    </row>
    <row r="552">
      <c r="A552" s="8" t="s">
        <v>40</v>
      </c>
      <c r="B552" s="9" t="s">
        <v>84</v>
      </c>
      <c r="C552" s="9" t="s">
        <v>85</v>
      </c>
      <c r="D552" s="10"/>
      <c r="E552" s="11" t="n">
        <f>3889</f>
        <v>3889.0</v>
      </c>
      <c r="F552" s="10"/>
      <c r="G552" s="11" t="n">
        <f>14817252000</f>
        <v>1.4817252E10</v>
      </c>
      <c r="H552" s="10"/>
      <c r="I552" s="11" t="str">
        <f>"－"</f>
        <v>－</v>
      </c>
      <c r="J552" s="10"/>
      <c r="K552" s="11" t="n">
        <f>59485</f>
        <v>59485.0</v>
      </c>
    </row>
    <row r="553">
      <c r="A553" s="8" t="s">
        <v>41</v>
      </c>
      <c r="B553" s="9" t="s">
        <v>84</v>
      </c>
      <c r="C553" s="9" t="s">
        <v>85</v>
      </c>
      <c r="D553" s="10" t="s">
        <v>20</v>
      </c>
      <c r="E553" s="11" t="n">
        <f>2526</f>
        <v>2526.0</v>
      </c>
      <c r="F553" s="10" t="s">
        <v>20</v>
      </c>
      <c r="G553" s="11" t="n">
        <f>9654153500</f>
        <v>9.6541535E9</v>
      </c>
      <c r="H553" s="10"/>
      <c r="I553" s="11" t="str">
        <f>"－"</f>
        <v>－</v>
      </c>
      <c r="J553" s="10"/>
      <c r="K553" s="11" t="n">
        <f>59492</f>
        <v>59492.0</v>
      </c>
    </row>
    <row r="554">
      <c r="A554" s="8" t="s">
        <v>42</v>
      </c>
      <c r="B554" s="9" t="s">
        <v>84</v>
      </c>
      <c r="C554" s="9" t="s">
        <v>85</v>
      </c>
      <c r="D554" s="10"/>
      <c r="E554" s="11" t="n">
        <f>3255</f>
        <v>3255.0</v>
      </c>
      <c r="F554" s="10"/>
      <c r="G554" s="11" t="n">
        <f>12265014000</f>
        <v>1.2265014E10</v>
      </c>
      <c r="H554" s="10"/>
      <c r="I554" s="11" t="str">
        <f>"－"</f>
        <v>－</v>
      </c>
      <c r="J554" s="10"/>
      <c r="K554" s="11" t="n">
        <f>58840</f>
        <v>58840.0</v>
      </c>
    </row>
    <row r="555">
      <c r="A555" s="8" t="s">
        <v>43</v>
      </c>
      <c r="B555" s="9" t="s">
        <v>84</v>
      </c>
      <c r="C555" s="9" t="s">
        <v>85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44</v>
      </c>
      <c r="B556" s="9" t="s">
        <v>84</v>
      </c>
      <c r="C556" s="9" t="s">
        <v>85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45</v>
      </c>
      <c r="B557" s="9" t="s">
        <v>84</v>
      </c>
      <c r="C557" s="9" t="s">
        <v>85</v>
      </c>
      <c r="D557" s="10"/>
      <c r="E557" s="11" t="n">
        <f>4175</f>
        <v>4175.0</v>
      </c>
      <c r="F557" s="10"/>
      <c r="G557" s="11" t="n">
        <f>15286759500</f>
        <v>1.52867595E10</v>
      </c>
      <c r="H557" s="10"/>
      <c r="I557" s="11" t="str">
        <f>"－"</f>
        <v>－</v>
      </c>
      <c r="J557" s="10"/>
      <c r="K557" s="11" t="n">
        <f>57883</f>
        <v>57883.0</v>
      </c>
    </row>
    <row r="558">
      <c r="A558" s="8" t="s">
        <v>46</v>
      </c>
      <c r="B558" s="9" t="s">
        <v>84</v>
      </c>
      <c r="C558" s="9" t="s">
        <v>85</v>
      </c>
      <c r="D558" s="10"/>
      <c r="E558" s="11" t="n">
        <f>6101</f>
        <v>6101.0</v>
      </c>
      <c r="F558" s="10"/>
      <c r="G558" s="11" t="n">
        <f>23103502000</f>
        <v>2.3103502E10</v>
      </c>
      <c r="H558" s="10"/>
      <c r="I558" s="11" t="str">
        <f>"－"</f>
        <v>－</v>
      </c>
      <c r="J558" s="10"/>
      <c r="K558" s="11" t="n">
        <f>59127</f>
        <v>59127.0</v>
      </c>
    </row>
    <row r="559">
      <c r="A559" s="8" t="s">
        <v>47</v>
      </c>
      <c r="B559" s="9" t="s">
        <v>84</v>
      </c>
      <c r="C559" s="9" t="s">
        <v>85</v>
      </c>
      <c r="D559" s="10"/>
      <c r="E559" s="11" t="n">
        <f>3438</f>
        <v>3438.0</v>
      </c>
      <c r="F559" s="10"/>
      <c r="G559" s="11" t="n">
        <f>13010396500</f>
        <v>1.30103965E10</v>
      </c>
      <c r="H559" s="10"/>
      <c r="I559" s="11" t="str">
        <f>"－"</f>
        <v>－</v>
      </c>
      <c r="J559" s="10"/>
      <c r="K559" s="11" t="n">
        <f>58599</f>
        <v>58599.0</v>
      </c>
    </row>
    <row r="560">
      <c r="A560" s="8" t="s">
        <v>48</v>
      </c>
      <c r="B560" s="9" t="s">
        <v>84</v>
      </c>
      <c r="C560" s="9" t="s">
        <v>85</v>
      </c>
      <c r="D560" s="10"/>
      <c r="E560" s="11" t="n">
        <f>5790</f>
        <v>5790.0</v>
      </c>
      <c r="F560" s="10"/>
      <c r="G560" s="11" t="n">
        <f>22353168000</f>
        <v>2.2353168E10</v>
      </c>
      <c r="H560" s="10"/>
      <c r="I560" s="11" t="str">
        <f>"－"</f>
        <v>－</v>
      </c>
      <c r="J560" s="10"/>
      <c r="K560" s="11" t="n">
        <f>58224</f>
        <v>58224.0</v>
      </c>
    </row>
    <row r="561">
      <c r="A561" s="8" t="s">
        <v>49</v>
      </c>
      <c r="B561" s="9" t="s">
        <v>84</v>
      </c>
      <c r="C561" s="9" t="s">
        <v>85</v>
      </c>
      <c r="D561" s="10"/>
      <c r="E561" s="11" t="n">
        <f>4308</f>
        <v>4308.0</v>
      </c>
      <c r="F561" s="10"/>
      <c r="G561" s="11" t="n">
        <f>16347743500</f>
        <v>1.63477435E10</v>
      </c>
      <c r="H561" s="10"/>
      <c r="I561" s="11" t="str">
        <f>"－"</f>
        <v>－</v>
      </c>
      <c r="J561" s="10"/>
      <c r="K561" s="11" t="n">
        <f>57252</f>
        <v>57252.0</v>
      </c>
    </row>
    <row r="562">
      <c r="A562" s="8" t="s">
        <v>50</v>
      </c>
      <c r="B562" s="9" t="s">
        <v>84</v>
      </c>
      <c r="C562" s="9" t="s">
        <v>85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51</v>
      </c>
      <c r="B563" s="9" t="s">
        <v>84</v>
      </c>
      <c r="C563" s="9" t="s">
        <v>85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16</v>
      </c>
      <c r="B564" s="9" t="s">
        <v>86</v>
      </c>
      <c r="C564" s="9" t="s">
        <v>87</v>
      </c>
      <c r="D564" s="10"/>
      <c r="E564" s="11" t="n">
        <f>166</f>
        <v>166.0</v>
      </c>
      <c r="F564" s="10"/>
      <c r="G564" s="11" t="n">
        <f>481455000</f>
        <v>4.81455E8</v>
      </c>
      <c r="H564" s="10" t="s">
        <v>19</v>
      </c>
      <c r="I564" s="11" t="str">
        <f>"－"</f>
        <v>－</v>
      </c>
      <c r="J564" s="10"/>
      <c r="K564" s="11" t="n">
        <f>3194</f>
        <v>3194.0</v>
      </c>
    </row>
    <row r="565">
      <c r="A565" s="8" t="s">
        <v>21</v>
      </c>
      <c r="B565" s="9" t="s">
        <v>86</v>
      </c>
      <c r="C565" s="9" t="s">
        <v>87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22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23</v>
      </c>
      <c r="B567" s="9" t="s">
        <v>86</v>
      </c>
      <c r="C567" s="9" t="s">
        <v>87</v>
      </c>
      <c r="D567" s="10"/>
      <c r="E567" s="11" t="n">
        <f>10</f>
        <v>10.0</v>
      </c>
      <c r="F567" s="10"/>
      <c r="G567" s="11" t="n">
        <f>31136400</f>
        <v>3.11364E7</v>
      </c>
      <c r="H567" s="10"/>
      <c r="I567" s="11" t="str">
        <f>"－"</f>
        <v>－</v>
      </c>
      <c r="J567" s="10" t="s">
        <v>20</v>
      </c>
      <c r="K567" s="11" t="n">
        <f>3029</f>
        <v>3029.0</v>
      </c>
    </row>
    <row r="568">
      <c r="A568" s="8" t="s">
        <v>24</v>
      </c>
      <c r="B568" s="9" t="s">
        <v>86</v>
      </c>
      <c r="C568" s="9" t="s">
        <v>87</v>
      </c>
      <c r="D568" s="10"/>
      <c r="E568" s="11" t="n">
        <f>10</f>
        <v>10.0</v>
      </c>
      <c r="F568" s="10"/>
      <c r="G568" s="11" t="n">
        <f>26544000</f>
        <v>2.6544E7</v>
      </c>
      <c r="H568" s="10"/>
      <c r="I568" s="11" t="str">
        <f>"－"</f>
        <v>－</v>
      </c>
      <c r="J568" s="10"/>
      <c r="K568" s="11" t="n">
        <f>3039</f>
        <v>3039.0</v>
      </c>
    </row>
    <row r="569">
      <c r="A569" s="8" t="s">
        <v>25</v>
      </c>
      <c r="B569" s="9" t="s">
        <v>86</v>
      </c>
      <c r="C569" s="9" t="s">
        <v>87</v>
      </c>
      <c r="D569" s="10" t="s">
        <v>20</v>
      </c>
      <c r="E569" s="11" t="str">
        <f>"－"</f>
        <v>－</v>
      </c>
      <c r="F569" s="10" t="s">
        <v>20</v>
      </c>
      <c r="G569" s="11" t="str">
        <f>"－"</f>
        <v>－</v>
      </c>
      <c r="H569" s="10"/>
      <c r="I569" s="11" t="str">
        <f>"－"</f>
        <v>－</v>
      </c>
      <c r="J569" s="10"/>
      <c r="K569" s="11" t="n">
        <f>3039</f>
        <v>3039.0</v>
      </c>
    </row>
    <row r="570">
      <c r="A570" s="8" t="s">
        <v>27</v>
      </c>
      <c r="B570" s="9" t="s">
        <v>86</v>
      </c>
      <c r="C570" s="9" t="s">
        <v>87</v>
      </c>
      <c r="D570" s="10"/>
      <c r="E570" s="11" t="n">
        <f>51</f>
        <v>51.0</v>
      </c>
      <c r="F570" s="10"/>
      <c r="G570" s="11" t="n">
        <f>120900000</f>
        <v>1.209E8</v>
      </c>
      <c r="H570" s="10"/>
      <c r="I570" s="11" t="str">
        <f>"－"</f>
        <v>－</v>
      </c>
      <c r="J570" s="10"/>
      <c r="K570" s="11" t="n">
        <f>3079</f>
        <v>3079.0</v>
      </c>
    </row>
    <row r="571">
      <c r="A571" s="8" t="s">
        <v>28</v>
      </c>
      <c r="B571" s="9" t="s">
        <v>86</v>
      </c>
      <c r="C571" s="9" t="s">
        <v>87</v>
      </c>
      <c r="D571" s="10"/>
      <c r="E571" s="11" t="n">
        <f>100</f>
        <v>100.0</v>
      </c>
      <c r="F571" s="10"/>
      <c r="G571" s="11" t="n">
        <f>286560000</f>
        <v>2.8656E8</v>
      </c>
      <c r="H571" s="10"/>
      <c r="I571" s="11" t="str">
        <f>"－"</f>
        <v>－</v>
      </c>
      <c r="J571" s="10"/>
      <c r="K571" s="11" t="n">
        <f>3055</f>
        <v>3055.0</v>
      </c>
    </row>
    <row r="572">
      <c r="A572" s="8" t="s">
        <v>29</v>
      </c>
      <c r="B572" s="9" t="s">
        <v>86</v>
      </c>
      <c r="C572" s="9" t="s">
        <v>87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30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31</v>
      </c>
      <c r="B574" s="9" t="s">
        <v>86</v>
      </c>
      <c r="C574" s="9" t="s">
        <v>87</v>
      </c>
      <c r="D574" s="10"/>
      <c r="E574" s="11" t="n">
        <f>50</f>
        <v>50.0</v>
      </c>
      <c r="F574" s="10"/>
      <c r="G574" s="11" t="n">
        <f>137760000</f>
        <v>1.3776E8</v>
      </c>
      <c r="H574" s="10"/>
      <c r="I574" s="11" t="str">
        <f>"－"</f>
        <v>－</v>
      </c>
      <c r="J574" s="10"/>
      <c r="K574" s="11" t="n">
        <f>3055</f>
        <v>3055.0</v>
      </c>
    </row>
    <row r="575">
      <c r="A575" s="8" t="s">
        <v>32</v>
      </c>
      <c r="B575" s="9" t="s">
        <v>86</v>
      </c>
      <c r="C575" s="9" t="s">
        <v>87</v>
      </c>
      <c r="D575" s="10" t="s">
        <v>26</v>
      </c>
      <c r="E575" s="11" t="n">
        <f>200</f>
        <v>200.0</v>
      </c>
      <c r="F575" s="10" t="s">
        <v>26</v>
      </c>
      <c r="G575" s="11" t="n">
        <f>598920000</f>
        <v>5.9892E8</v>
      </c>
      <c r="H575" s="10"/>
      <c r="I575" s="11" t="str">
        <f>"－"</f>
        <v>－</v>
      </c>
      <c r="J575" s="10"/>
      <c r="K575" s="11" t="n">
        <f>3155</f>
        <v>3155.0</v>
      </c>
    </row>
    <row r="576">
      <c r="A576" s="8" t="s">
        <v>33</v>
      </c>
      <c r="B576" s="9" t="s">
        <v>86</v>
      </c>
      <c r="C576" s="9" t="s">
        <v>87</v>
      </c>
      <c r="D576" s="10"/>
      <c r="E576" s="11" t="n">
        <f>20</f>
        <v>20.0</v>
      </c>
      <c r="F576" s="10"/>
      <c r="G576" s="11" t="n">
        <f>49252800</f>
        <v>4.92528E7</v>
      </c>
      <c r="H576" s="10"/>
      <c r="I576" s="11" t="str">
        <f>"－"</f>
        <v>－</v>
      </c>
      <c r="J576" s="10"/>
      <c r="K576" s="11" t="n">
        <f>3165</f>
        <v>3165.0</v>
      </c>
    </row>
    <row r="577">
      <c r="A577" s="8" t="s">
        <v>34</v>
      </c>
      <c r="B577" s="9" t="s">
        <v>86</v>
      </c>
      <c r="C577" s="9" t="s">
        <v>87</v>
      </c>
      <c r="D577" s="10"/>
      <c r="E577" s="11" t="n">
        <f>43</f>
        <v>43.0</v>
      </c>
      <c r="F577" s="10"/>
      <c r="G577" s="11" t="n">
        <f>108705600</f>
        <v>1.087056E8</v>
      </c>
      <c r="H577" s="10"/>
      <c r="I577" s="11" t="str">
        <f>"－"</f>
        <v>－</v>
      </c>
      <c r="J577" s="10"/>
      <c r="K577" s="11" t="n">
        <f>3185</f>
        <v>3185.0</v>
      </c>
    </row>
    <row r="578">
      <c r="A578" s="8" t="s">
        <v>35</v>
      </c>
      <c r="B578" s="9" t="s">
        <v>86</v>
      </c>
      <c r="C578" s="9" t="s">
        <v>87</v>
      </c>
      <c r="D578" s="10"/>
      <c r="E578" s="11" t="n">
        <f>20</f>
        <v>20.0</v>
      </c>
      <c r="F578" s="10"/>
      <c r="G578" s="11" t="n">
        <f>48360000</f>
        <v>4.836E7</v>
      </c>
      <c r="H578" s="10"/>
      <c r="I578" s="11" t="str">
        <f>"－"</f>
        <v>－</v>
      </c>
      <c r="J578" s="10"/>
      <c r="K578" s="11" t="n">
        <f>3195</f>
        <v>3195.0</v>
      </c>
    </row>
    <row r="579">
      <c r="A579" s="8" t="s">
        <v>36</v>
      </c>
      <c r="B579" s="9" t="s">
        <v>86</v>
      </c>
      <c r="C579" s="9" t="s">
        <v>87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37</v>
      </c>
      <c r="B580" s="9" t="s">
        <v>86</v>
      </c>
      <c r="C580" s="9" t="s">
        <v>87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38</v>
      </c>
      <c r="B581" s="9" t="s">
        <v>86</v>
      </c>
      <c r="C581" s="9" t="s">
        <v>87</v>
      </c>
      <c r="D581" s="10"/>
      <c r="E581" s="11"/>
      <c r="F581" s="10"/>
      <c r="G581" s="11"/>
      <c r="H581" s="10"/>
      <c r="I581" s="11"/>
      <c r="J581" s="10"/>
      <c r="K581" s="11"/>
    </row>
    <row r="582">
      <c r="A582" s="8" t="s">
        <v>39</v>
      </c>
      <c r="B582" s="9" t="s">
        <v>86</v>
      </c>
      <c r="C582" s="9" t="s">
        <v>87</v>
      </c>
      <c r="D582" s="10"/>
      <c r="E582" s="11" t="n">
        <f>2</f>
        <v>2.0</v>
      </c>
      <c r="F582" s="10"/>
      <c r="G582" s="11" t="n">
        <f>7291200</f>
        <v>7291200.0</v>
      </c>
      <c r="H582" s="10"/>
      <c r="I582" s="11" t="str">
        <f>"－"</f>
        <v>－</v>
      </c>
      <c r="J582" s="10"/>
      <c r="K582" s="11" t="n">
        <f>3195</f>
        <v>3195.0</v>
      </c>
    </row>
    <row r="583">
      <c r="A583" s="8" t="s">
        <v>40</v>
      </c>
      <c r="B583" s="9" t="s">
        <v>86</v>
      </c>
      <c r="C583" s="9" t="s">
        <v>87</v>
      </c>
      <c r="D583" s="10"/>
      <c r="E583" s="11" t="n">
        <f>10</f>
        <v>10.0</v>
      </c>
      <c r="F583" s="10"/>
      <c r="G583" s="11" t="n">
        <f>24552000</f>
        <v>2.4552E7</v>
      </c>
      <c r="H583" s="10"/>
      <c r="I583" s="11" t="str">
        <f>"－"</f>
        <v>－</v>
      </c>
      <c r="J583" s="10"/>
      <c r="K583" s="11" t="n">
        <f>3195</f>
        <v>3195.0</v>
      </c>
    </row>
    <row r="584">
      <c r="A584" s="8" t="s">
        <v>41</v>
      </c>
      <c r="B584" s="9" t="s">
        <v>86</v>
      </c>
      <c r="C584" s="9" t="s">
        <v>87</v>
      </c>
      <c r="D584" s="10"/>
      <c r="E584" s="11" t="n">
        <f>140</f>
        <v>140.0</v>
      </c>
      <c r="F584" s="10"/>
      <c r="G584" s="11" t="n">
        <f>374976000</f>
        <v>3.74976E8</v>
      </c>
      <c r="H584" s="10"/>
      <c r="I584" s="11" t="str">
        <f>"－"</f>
        <v>－</v>
      </c>
      <c r="J584" s="10"/>
      <c r="K584" s="11" t="n">
        <f>3195</f>
        <v>3195.0</v>
      </c>
    </row>
    <row r="585">
      <c r="A585" s="8" t="s">
        <v>42</v>
      </c>
      <c r="B585" s="9" t="s">
        <v>86</v>
      </c>
      <c r="C585" s="9" t="s">
        <v>87</v>
      </c>
      <c r="D585" s="10"/>
      <c r="E585" s="11" t="n">
        <f>90</f>
        <v>90.0</v>
      </c>
      <c r="F585" s="10"/>
      <c r="G585" s="11" t="n">
        <f>219984000</f>
        <v>2.19984E8</v>
      </c>
      <c r="H585" s="10"/>
      <c r="I585" s="11" t="str">
        <f>"－"</f>
        <v>－</v>
      </c>
      <c r="J585" s="10"/>
      <c r="K585" s="11" t="n">
        <f>3169</f>
        <v>3169.0</v>
      </c>
    </row>
    <row r="586">
      <c r="A586" s="8" t="s">
        <v>43</v>
      </c>
      <c r="B586" s="9" t="s">
        <v>86</v>
      </c>
      <c r="C586" s="9" t="s">
        <v>87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44</v>
      </c>
      <c r="B587" s="9" t="s">
        <v>86</v>
      </c>
      <c r="C587" s="9" t="s">
        <v>87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45</v>
      </c>
      <c r="B588" s="9" t="s">
        <v>86</v>
      </c>
      <c r="C588" s="9" t="s">
        <v>87</v>
      </c>
      <c r="D588" s="10"/>
      <c r="E588" s="11" t="n">
        <f>50</f>
        <v>50.0</v>
      </c>
      <c r="F588" s="10"/>
      <c r="G588" s="11" t="n">
        <f>134256000</f>
        <v>1.34256E8</v>
      </c>
      <c r="H588" s="10"/>
      <c r="I588" s="11" t="str">
        <f>"－"</f>
        <v>－</v>
      </c>
      <c r="J588" s="10"/>
      <c r="K588" s="11" t="n">
        <f>3179</f>
        <v>3179.0</v>
      </c>
    </row>
    <row r="589">
      <c r="A589" s="8" t="s">
        <v>46</v>
      </c>
      <c r="B589" s="9" t="s">
        <v>86</v>
      </c>
      <c r="C589" s="9" t="s">
        <v>87</v>
      </c>
      <c r="D589" s="10"/>
      <c r="E589" s="11" t="n">
        <f>10</f>
        <v>10.0</v>
      </c>
      <c r="F589" s="10"/>
      <c r="G589" s="11" t="n">
        <f>23808000</f>
        <v>2.3808E7</v>
      </c>
      <c r="H589" s="10"/>
      <c r="I589" s="11" t="str">
        <f>"－"</f>
        <v>－</v>
      </c>
      <c r="J589" s="10"/>
      <c r="K589" s="11" t="n">
        <f>3189</f>
        <v>3189.0</v>
      </c>
    </row>
    <row r="590">
      <c r="A590" s="8" t="s">
        <v>47</v>
      </c>
      <c r="B590" s="9" t="s">
        <v>86</v>
      </c>
      <c r="C590" s="9" t="s">
        <v>87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3189</f>
        <v>3189.0</v>
      </c>
    </row>
    <row r="591">
      <c r="A591" s="8" t="s">
        <v>48</v>
      </c>
      <c r="B591" s="9" t="s">
        <v>86</v>
      </c>
      <c r="C591" s="9" t="s">
        <v>87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3189</f>
        <v>3189.0</v>
      </c>
    </row>
    <row r="592">
      <c r="A592" s="8" t="s">
        <v>49</v>
      </c>
      <c r="B592" s="9" t="s">
        <v>86</v>
      </c>
      <c r="C592" s="9" t="s">
        <v>87</v>
      </c>
      <c r="D592" s="10"/>
      <c r="E592" s="11" t="n">
        <f>55</f>
        <v>55.0</v>
      </c>
      <c r="F592" s="10"/>
      <c r="G592" s="11" t="n">
        <f>135594000</f>
        <v>1.35594E8</v>
      </c>
      <c r="H592" s="10"/>
      <c r="I592" s="11" t="str">
        <f>"－"</f>
        <v>－</v>
      </c>
      <c r="J592" s="10" t="s">
        <v>26</v>
      </c>
      <c r="K592" s="11" t="n">
        <f>3239</f>
        <v>3239.0</v>
      </c>
    </row>
    <row r="593">
      <c r="A593" s="8" t="s">
        <v>50</v>
      </c>
      <c r="B593" s="9" t="s">
        <v>86</v>
      </c>
      <c r="C593" s="9" t="s">
        <v>87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51</v>
      </c>
      <c r="B594" s="9" t="s">
        <v>86</v>
      </c>
      <c r="C594" s="9" t="s">
        <v>87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16</v>
      </c>
      <c r="B595" s="9" t="s">
        <v>88</v>
      </c>
      <c r="C595" s="9" t="s">
        <v>89</v>
      </c>
      <c r="D595" s="10"/>
      <c r="E595" s="11" t="n">
        <f>90</f>
        <v>90.0</v>
      </c>
      <c r="F595" s="10"/>
      <c r="G595" s="11" t="n">
        <f>203116800</f>
        <v>2.031168E8</v>
      </c>
      <c r="H595" s="10" t="s">
        <v>19</v>
      </c>
      <c r="I595" s="11" t="str">
        <f>"－"</f>
        <v>－</v>
      </c>
      <c r="J595" s="10"/>
      <c r="K595" s="11" t="n">
        <f>885</f>
        <v>885.0</v>
      </c>
    </row>
    <row r="596">
      <c r="A596" s="8" t="s">
        <v>21</v>
      </c>
      <c r="B596" s="9" t="s">
        <v>88</v>
      </c>
      <c r="C596" s="9" t="s">
        <v>89</v>
      </c>
      <c r="D596" s="10"/>
      <c r="E596" s="11"/>
      <c r="F596" s="10"/>
      <c r="G596" s="11"/>
      <c r="H596" s="10"/>
      <c r="I596" s="11"/>
      <c r="J596" s="10"/>
      <c r="K596" s="11"/>
    </row>
    <row r="597">
      <c r="A597" s="8" t="s">
        <v>22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23</v>
      </c>
      <c r="B598" s="9" t="s">
        <v>88</v>
      </c>
      <c r="C598" s="9" t="s">
        <v>89</v>
      </c>
      <c r="D598" s="10" t="s">
        <v>20</v>
      </c>
      <c r="E598" s="11" t="str">
        <f>"－"</f>
        <v>－</v>
      </c>
      <c r="F598" s="10" t="s">
        <v>20</v>
      </c>
      <c r="G598" s="11" t="str">
        <f>"－"</f>
        <v>－</v>
      </c>
      <c r="H598" s="10"/>
      <c r="I598" s="11" t="str">
        <f>"－"</f>
        <v>－</v>
      </c>
      <c r="J598" s="10" t="s">
        <v>20</v>
      </c>
      <c r="K598" s="11" t="n">
        <f>678</f>
        <v>678.0</v>
      </c>
    </row>
    <row r="599">
      <c r="A599" s="8" t="s">
        <v>24</v>
      </c>
      <c r="B599" s="9" t="s">
        <v>88</v>
      </c>
      <c r="C599" s="9" t="s">
        <v>89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/>
      <c r="K599" s="11" t="n">
        <f>678</f>
        <v>678.0</v>
      </c>
    </row>
    <row r="600">
      <c r="A600" s="8" t="s">
        <v>25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678</f>
        <v>678.0</v>
      </c>
    </row>
    <row r="601">
      <c r="A601" s="8" t="s">
        <v>27</v>
      </c>
      <c r="B601" s="9" t="s">
        <v>88</v>
      </c>
      <c r="C601" s="9" t="s">
        <v>89</v>
      </c>
      <c r="D601" s="10"/>
      <c r="E601" s="11" t="n">
        <f>150</f>
        <v>150.0</v>
      </c>
      <c r="F601" s="10"/>
      <c r="G601" s="11" t="n">
        <f>355194000</f>
        <v>3.55194E8</v>
      </c>
      <c r="H601" s="10"/>
      <c r="I601" s="11" t="str">
        <f>"－"</f>
        <v>－</v>
      </c>
      <c r="J601" s="10"/>
      <c r="K601" s="11" t="n">
        <f>818</f>
        <v>818.0</v>
      </c>
    </row>
    <row r="602">
      <c r="A602" s="8" t="s">
        <v>28</v>
      </c>
      <c r="B602" s="9" t="s">
        <v>88</v>
      </c>
      <c r="C602" s="9" t="s">
        <v>89</v>
      </c>
      <c r="D602" s="10"/>
      <c r="E602" s="11" t="n">
        <f>100</f>
        <v>100.0</v>
      </c>
      <c r="F602" s="10"/>
      <c r="G602" s="11" t="n">
        <f>223200000</f>
        <v>2.232E8</v>
      </c>
      <c r="H602" s="10"/>
      <c r="I602" s="11" t="str">
        <f>"－"</f>
        <v>－</v>
      </c>
      <c r="J602" s="10"/>
      <c r="K602" s="11" t="n">
        <f>898</f>
        <v>898.0</v>
      </c>
    </row>
    <row r="603">
      <c r="A603" s="8" t="s">
        <v>29</v>
      </c>
      <c r="B603" s="9" t="s">
        <v>88</v>
      </c>
      <c r="C603" s="9" t="s">
        <v>89</v>
      </c>
      <c r="D603" s="10"/>
      <c r="E603" s="11"/>
      <c r="F603" s="10"/>
      <c r="G603" s="11"/>
      <c r="H603" s="10"/>
      <c r="I603" s="11"/>
      <c r="J603" s="10"/>
      <c r="K603" s="11"/>
    </row>
    <row r="604">
      <c r="A604" s="8" t="s">
        <v>30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31</v>
      </c>
      <c r="B605" s="9" t="s">
        <v>88</v>
      </c>
      <c r="C605" s="9" t="s">
        <v>89</v>
      </c>
      <c r="D605" s="10"/>
      <c r="E605" s="11" t="n">
        <f>30</f>
        <v>30.0</v>
      </c>
      <c r="F605" s="10"/>
      <c r="G605" s="11" t="n">
        <f>73544400</f>
        <v>7.35444E7</v>
      </c>
      <c r="H605" s="10"/>
      <c r="I605" s="11" t="str">
        <f>"－"</f>
        <v>－</v>
      </c>
      <c r="J605" s="10"/>
      <c r="K605" s="11" t="n">
        <f>928</f>
        <v>928.0</v>
      </c>
    </row>
    <row r="606">
      <c r="A606" s="8" t="s">
        <v>32</v>
      </c>
      <c r="B606" s="9" t="s">
        <v>88</v>
      </c>
      <c r="C606" s="9" t="s">
        <v>89</v>
      </c>
      <c r="D606" s="10" t="s">
        <v>26</v>
      </c>
      <c r="E606" s="11" t="n">
        <f>230</f>
        <v>230.0</v>
      </c>
      <c r="F606" s="10" t="s">
        <v>26</v>
      </c>
      <c r="G606" s="11" t="n">
        <f>627948000</f>
        <v>6.27948E8</v>
      </c>
      <c r="H606" s="10"/>
      <c r="I606" s="11" t="str">
        <f>"－"</f>
        <v>－</v>
      </c>
      <c r="J606" s="10"/>
      <c r="K606" s="11" t="n">
        <f>1078</f>
        <v>1078.0</v>
      </c>
    </row>
    <row r="607">
      <c r="A607" s="8" t="s">
        <v>33</v>
      </c>
      <c r="B607" s="9" t="s">
        <v>88</v>
      </c>
      <c r="C607" s="9" t="s">
        <v>89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1078</f>
        <v>1078.0</v>
      </c>
    </row>
    <row r="608">
      <c r="A608" s="8" t="s">
        <v>34</v>
      </c>
      <c r="B608" s="9" t="s">
        <v>88</v>
      </c>
      <c r="C608" s="9" t="s">
        <v>89</v>
      </c>
      <c r="D608" s="10"/>
      <c r="E608" s="11" t="n">
        <f>153</f>
        <v>153.0</v>
      </c>
      <c r="F608" s="10"/>
      <c r="G608" s="11" t="n">
        <f>445196640</f>
        <v>4.4519664E8</v>
      </c>
      <c r="H608" s="10"/>
      <c r="I608" s="11" t="str">
        <f>"－"</f>
        <v>－</v>
      </c>
      <c r="J608" s="10"/>
      <c r="K608" s="11" t="n">
        <f>1229</f>
        <v>1229.0</v>
      </c>
    </row>
    <row r="609">
      <c r="A609" s="8" t="s">
        <v>35</v>
      </c>
      <c r="B609" s="9" t="s">
        <v>88</v>
      </c>
      <c r="C609" s="9" t="s">
        <v>89</v>
      </c>
      <c r="D609" s="10"/>
      <c r="E609" s="11" t="n">
        <f>10</f>
        <v>10.0</v>
      </c>
      <c r="F609" s="10"/>
      <c r="G609" s="11" t="n">
        <f>20832000</f>
        <v>2.0832E7</v>
      </c>
      <c r="H609" s="10"/>
      <c r="I609" s="11" t="str">
        <f>"－"</f>
        <v>－</v>
      </c>
      <c r="J609" s="10"/>
      <c r="K609" s="11" t="n">
        <f>1239</f>
        <v>1239.0</v>
      </c>
    </row>
    <row r="610">
      <c r="A610" s="8" t="s">
        <v>36</v>
      </c>
      <c r="B610" s="9" t="s">
        <v>88</v>
      </c>
      <c r="C610" s="9" t="s">
        <v>89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37</v>
      </c>
      <c r="B611" s="9" t="s">
        <v>88</v>
      </c>
      <c r="C611" s="9" t="s">
        <v>89</v>
      </c>
      <c r="D611" s="10"/>
      <c r="E611" s="11"/>
      <c r="F611" s="10"/>
      <c r="G611" s="11"/>
      <c r="H611" s="10"/>
      <c r="I611" s="11"/>
      <c r="J611" s="10"/>
      <c r="K611" s="11"/>
    </row>
    <row r="612">
      <c r="A612" s="8" t="s">
        <v>38</v>
      </c>
      <c r="B612" s="9" t="s">
        <v>88</v>
      </c>
      <c r="C612" s="9" t="s">
        <v>89</v>
      </c>
      <c r="D612" s="10"/>
      <c r="E612" s="11"/>
      <c r="F612" s="10"/>
      <c r="G612" s="11"/>
      <c r="H612" s="10"/>
      <c r="I612" s="11"/>
      <c r="J612" s="10"/>
      <c r="K612" s="11"/>
    </row>
    <row r="613">
      <c r="A613" s="8" t="s">
        <v>39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1239</f>
        <v>1239.0</v>
      </c>
    </row>
    <row r="614">
      <c r="A614" s="8" t="s">
        <v>40</v>
      </c>
      <c r="B614" s="9" t="s">
        <v>88</v>
      </c>
      <c r="C614" s="9" t="s">
        <v>89</v>
      </c>
      <c r="D614" s="10"/>
      <c r="E614" s="11" t="n">
        <f>1</f>
        <v>1.0</v>
      </c>
      <c r="F614" s="10"/>
      <c r="G614" s="11" t="n">
        <f>2212560</f>
        <v>2212560.0</v>
      </c>
      <c r="H614" s="10"/>
      <c r="I614" s="11" t="str">
        <f>"－"</f>
        <v>－</v>
      </c>
      <c r="J614" s="10"/>
      <c r="K614" s="11" t="n">
        <f>1240</f>
        <v>1240.0</v>
      </c>
    </row>
    <row r="615">
      <c r="A615" s="8" t="s">
        <v>41</v>
      </c>
      <c r="B615" s="9" t="s">
        <v>88</v>
      </c>
      <c r="C615" s="9" t="s">
        <v>89</v>
      </c>
      <c r="D615" s="10"/>
      <c r="E615" s="11" t="n">
        <f>50</f>
        <v>50.0</v>
      </c>
      <c r="F615" s="10"/>
      <c r="G615" s="11" t="n">
        <f>135036000</f>
        <v>1.35036E8</v>
      </c>
      <c r="H615" s="10"/>
      <c r="I615" s="11" t="str">
        <f>"－"</f>
        <v>－</v>
      </c>
      <c r="J615" s="10"/>
      <c r="K615" s="11" t="n">
        <f>1290</f>
        <v>1290.0</v>
      </c>
    </row>
    <row r="616">
      <c r="A616" s="8" t="s">
        <v>42</v>
      </c>
      <c r="B616" s="9" t="s">
        <v>88</v>
      </c>
      <c r="C616" s="9" t="s">
        <v>89</v>
      </c>
      <c r="D616" s="10"/>
      <c r="E616" s="11" t="n">
        <f>110</f>
        <v>110.0</v>
      </c>
      <c r="F616" s="10"/>
      <c r="G616" s="11" t="n">
        <f>285556800</f>
        <v>2.855568E8</v>
      </c>
      <c r="H616" s="10"/>
      <c r="I616" s="11" t="str">
        <f>"－"</f>
        <v>－</v>
      </c>
      <c r="J616" s="10"/>
      <c r="K616" s="11" t="n">
        <f>1350</f>
        <v>1350.0</v>
      </c>
    </row>
    <row r="617">
      <c r="A617" s="8" t="s">
        <v>43</v>
      </c>
      <c r="B617" s="9" t="s">
        <v>88</v>
      </c>
      <c r="C617" s="9" t="s">
        <v>89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44</v>
      </c>
      <c r="B618" s="9" t="s">
        <v>88</v>
      </c>
      <c r="C618" s="9" t="s">
        <v>89</v>
      </c>
      <c r="D618" s="10"/>
      <c r="E618" s="11"/>
      <c r="F618" s="10"/>
      <c r="G618" s="11"/>
      <c r="H618" s="10"/>
      <c r="I618" s="11"/>
      <c r="J618" s="10"/>
      <c r="K618" s="11"/>
    </row>
    <row r="619">
      <c r="A619" s="8" t="s">
        <v>45</v>
      </c>
      <c r="B619" s="9" t="s">
        <v>88</v>
      </c>
      <c r="C619" s="9" t="s">
        <v>89</v>
      </c>
      <c r="D619" s="10"/>
      <c r="E619" s="11" t="n">
        <f>84</f>
        <v>84.0</v>
      </c>
      <c r="F619" s="10"/>
      <c r="G619" s="11" t="n">
        <f>221932800</f>
        <v>2.219328E8</v>
      </c>
      <c r="H619" s="10"/>
      <c r="I619" s="11" t="str">
        <f>"－"</f>
        <v>－</v>
      </c>
      <c r="J619" s="10"/>
      <c r="K619" s="11" t="n">
        <f>1434</f>
        <v>1434.0</v>
      </c>
    </row>
    <row r="620">
      <c r="A620" s="8" t="s">
        <v>46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1434</f>
        <v>1434.0</v>
      </c>
    </row>
    <row r="621">
      <c r="A621" s="8" t="s">
        <v>47</v>
      </c>
      <c r="B621" s="9" t="s">
        <v>88</v>
      </c>
      <c r="C621" s="9" t="s">
        <v>89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1434</f>
        <v>1434.0</v>
      </c>
    </row>
    <row r="622">
      <c r="A622" s="8" t="s">
        <v>48</v>
      </c>
      <c r="B622" s="9" t="s">
        <v>88</v>
      </c>
      <c r="C622" s="9" t="s">
        <v>89</v>
      </c>
      <c r="D622" s="10"/>
      <c r="E622" s="11" t="n">
        <f>2</f>
        <v>2.0</v>
      </c>
      <c r="F622" s="10"/>
      <c r="G622" s="11" t="n">
        <f>4435200</f>
        <v>4435200.0</v>
      </c>
      <c r="H622" s="10"/>
      <c r="I622" s="11" t="str">
        <f>"－"</f>
        <v>－</v>
      </c>
      <c r="J622" s="10" t="s">
        <v>26</v>
      </c>
      <c r="K622" s="11" t="n">
        <f>1436</f>
        <v>1436.0</v>
      </c>
    </row>
    <row r="623">
      <c r="A623" s="8" t="s">
        <v>49</v>
      </c>
      <c r="B623" s="9" t="s">
        <v>88</v>
      </c>
      <c r="C623" s="9" t="s">
        <v>89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1436</f>
        <v>1436.0</v>
      </c>
    </row>
    <row r="624">
      <c r="A624" s="8" t="s">
        <v>50</v>
      </c>
      <c r="B624" s="9" t="s">
        <v>88</v>
      </c>
      <c r="C624" s="9" t="s">
        <v>89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51</v>
      </c>
      <c r="B625" s="9" t="s">
        <v>88</v>
      </c>
      <c r="C625" s="9" t="s">
        <v>89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16</v>
      </c>
      <c r="B626" s="9" t="s">
        <v>90</v>
      </c>
      <c r="C626" s="9" t="s">
        <v>91</v>
      </c>
      <c r="D626" s="10" t="s">
        <v>26</v>
      </c>
      <c r="E626" s="11" t="n">
        <f>100</f>
        <v>100.0</v>
      </c>
      <c r="F626" s="10" t="s">
        <v>26</v>
      </c>
      <c r="G626" s="11" t="n">
        <f>142771200</f>
        <v>1.427712E8</v>
      </c>
      <c r="H626" s="10" t="s">
        <v>19</v>
      </c>
      <c r="I626" s="11" t="str">
        <f>"－"</f>
        <v>－</v>
      </c>
      <c r="J626" s="10" t="s">
        <v>26</v>
      </c>
      <c r="K626" s="11" t="n">
        <f>1820</f>
        <v>1820.0</v>
      </c>
    </row>
    <row r="627">
      <c r="A627" s="8" t="s">
        <v>21</v>
      </c>
      <c r="B627" s="9" t="s">
        <v>90</v>
      </c>
      <c r="C627" s="9" t="s">
        <v>91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22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23</v>
      </c>
      <c r="B629" s="9" t="s">
        <v>90</v>
      </c>
      <c r="C629" s="9" t="s">
        <v>91</v>
      </c>
      <c r="D629" s="10" t="s">
        <v>20</v>
      </c>
      <c r="E629" s="11" t="str">
        <f>"－"</f>
        <v>－</v>
      </c>
      <c r="F629" s="10" t="s">
        <v>20</v>
      </c>
      <c r="G629" s="11" t="str">
        <f>"－"</f>
        <v>－</v>
      </c>
      <c r="H629" s="10"/>
      <c r="I629" s="11" t="str">
        <f>"－"</f>
        <v>－</v>
      </c>
      <c r="J629" s="10"/>
      <c r="K629" s="11" t="n">
        <f>1769</f>
        <v>1769.0</v>
      </c>
    </row>
    <row r="630">
      <c r="A630" s="8" t="s">
        <v>24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1769</f>
        <v>1769.0</v>
      </c>
    </row>
    <row r="631">
      <c r="A631" s="8" t="s">
        <v>25</v>
      </c>
      <c r="B631" s="9" t="s">
        <v>90</v>
      </c>
      <c r="C631" s="9" t="s">
        <v>91</v>
      </c>
      <c r="D631" s="10"/>
      <c r="E631" s="11" t="n">
        <f>60</f>
        <v>60.0</v>
      </c>
      <c r="F631" s="10"/>
      <c r="G631" s="11" t="n">
        <f>61272000</f>
        <v>6.1272E7</v>
      </c>
      <c r="H631" s="10"/>
      <c r="I631" s="11" t="str">
        <f>"－"</f>
        <v>－</v>
      </c>
      <c r="J631" s="10"/>
      <c r="K631" s="11" t="n">
        <f>1709</f>
        <v>1709.0</v>
      </c>
    </row>
    <row r="632">
      <c r="A632" s="8" t="s">
        <v>27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1709</f>
        <v>1709.0</v>
      </c>
    </row>
    <row r="633">
      <c r="A633" s="8" t="s">
        <v>28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1709</f>
        <v>1709.0</v>
      </c>
    </row>
    <row r="634">
      <c r="A634" s="8" t="s">
        <v>29</v>
      </c>
      <c r="B634" s="9" t="s">
        <v>90</v>
      </c>
      <c r="C634" s="9" t="s">
        <v>91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30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31</v>
      </c>
      <c r="B636" s="9" t="s">
        <v>90</v>
      </c>
      <c r="C636" s="9" t="s">
        <v>91</v>
      </c>
      <c r="D636" s="10"/>
      <c r="E636" s="11" t="n">
        <f>50</f>
        <v>50.0</v>
      </c>
      <c r="F636" s="10"/>
      <c r="G636" s="11" t="n">
        <f>60613800</f>
        <v>6.06138E7</v>
      </c>
      <c r="H636" s="10"/>
      <c r="I636" s="11" t="str">
        <f>"－"</f>
        <v>－</v>
      </c>
      <c r="J636" s="10" t="s">
        <v>20</v>
      </c>
      <c r="K636" s="11" t="n">
        <f>1659</f>
        <v>1659.0</v>
      </c>
    </row>
    <row r="637">
      <c r="A637" s="8" t="s">
        <v>32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1659</f>
        <v>1659.0</v>
      </c>
    </row>
    <row r="638">
      <c r="A638" s="8" t="s">
        <v>33</v>
      </c>
      <c r="B638" s="9" t="s">
        <v>90</v>
      </c>
      <c r="C638" s="9" t="s">
        <v>91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1659</f>
        <v>1659.0</v>
      </c>
    </row>
    <row r="639">
      <c r="A639" s="8" t="s">
        <v>34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1659</f>
        <v>1659.0</v>
      </c>
    </row>
    <row r="640">
      <c r="A640" s="8" t="s">
        <v>35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1659</f>
        <v>1659.0</v>
      </c>
    </row>
    <row r="641">
      <c r="A641" s="8" t="s">
        <v>36</v>
      </c>
      <c r="B641" s="9" t="s">
        <v>90</v>
      </c>
      <c r="C641" s="9" t="s">
        <v>91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37</v>
      </c>
      <c r="B642" s="9" t="s">
        <v>90</v>
      </c>
      <c r="C642" s="9" t="s">
        <v>91</v>
      </c>
      <c r="D642" s="10"/>
      <c r="E642" s="11"/>
      <c r="F642" s="10"/>
      <c r="G642" s="11"/>
      <c r="H642" s="10"/>
      <c r="I642" s="11"/>
      <c r="J642" s="10"/>
      <c r="K642" s="11"/>
    </row>
    <row r="643">
      <c r="A643" s="8" t="s">
        <v>38</v>
      </c>
      <c r="B643" s="9" t="s">
        <v>90</v>
      </c>
      <c r="C643" s="9" t="s">
        <v>91</v>
      </c>
      <c r="D643" s="10"/>
      <c r="E643" s="11"/>
      <c r="F643" s="10"/>
      <c r="G643" s="11"/>
      <c r="H643" s="10"/>
      <c r="I643" s="11"/>
      <c r="J643" s="10"/>
      <c r="K643" s="11"/>
    </row>
    <row r="644">
      <c r="A644" s="8" t="s">
        <v>39</v>
      </c>
      <c r="B644" s="9" t="s">
        <v>90</v>
      </c>
      <c r="C644" s="9" t="s">
        <v>91</v>
      </c>
      <c r="D644" s="10"/>
      <c r="E644" s="11" t="n">
        <f>2</f>
        <v>2.0</v>
      </c>
      <c r="F644" s="10"/>
      <c r="G644" s="11" t="n">
        <f>2383440</f>
        <v>2383440.0</v>
      </c>
      <c r="H644" s="10"/>
      <c r="I644" s="11" t="str">
        <f>"－"</f>
        <v>－</v>
      </c>
      <c r="J644" s="10"/>
      <c r="K644" s="11" t="n">
        <f>1661</f>
        <v>1661.0</v>
      </c>
    </row>
    <row r="645">
      <c r="A645" s="8" t="s">
        <v>40</v>
      </c>
      <c r="B645" s="9" t="s">
        <v>90</v>
      </c>
      <c r="C645" s="9" t="s">
        <v>91</v>
      </c>
      <c r="D645" s="10"/>
      <c r="E645" s="11" t="n">
        <f>3</f>
        <v>3.0</v>
      </c>
      <c r="F645" s="10"/>
      <c r="G645" s="11" t="n">
        <f>3693600</f>
        <v>3693600.0</v>
      </c>
      <c r="H645" s="10"/>
      <c r="I645" s="11" t="str">
        <f>"－"</f>
        <v>－</v>
      </c>
      <c r="J645" s="10"/>
      <c r="K645" s="11" t="n">
        <f>1661</f>
        <v>1661.0</v>
      </c>
    </row>
    <row r="646">
      <c r="A646" s="8" t="s">
        <v>41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1661</f>
        <v>1661.0</v>
      </c>
    </row>
    <row r="647">
      <c r="A647" s="8" t="s">
        <v>42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1661</f>
        <v>1661.0</v>
      </c>
    </row>
    <row r="648">
      <c r="A648" s="8" t="s">
        <v>43</v>
      </c>
      <c r="B648" s="9" t="s">
        <v>90</v>
      </c>
      <c r="C648" s="9" t="s">
        <v>91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44</v>
      </c>
      <c r="B649" s="9" t="s">
        <v>90</v>
      </c>
      <c r="C649" s="9" t="s">
        <v>91</v>
      </c>
      <c r="D649" s="10"/>
      <c r="E649" s="11"/>
      <c r="F649" s="10"/>
      <c r="G649" s="11"/>
      <c r="H649" s="10"/>
      <c r="I649" s="11"/>
      <c r="J649" s="10"/>
      <c r="K649" s="11"/>
    </row>
    <row r="650">
      <c r="A650" s="8" t="s">
        <v>45</v>
      </c>
      <c r="B650" s="9" t="s">
        <v>90</v>
      </c>
      <c r="C650" s="9" t="s">
        <v>91</v>
      </c>
      <c r="D650" s="10"/>
      <c r="E650" s="11" t="n">
        <f>1</f>
        <v>1.0</v>
      </c>
      <c r="F650" s="10"/>
      <c r="G650" s="11" t="n">
        <f>1280400</f>
        <v>1280400.0</v>
      </c>
      <c r="H650" s="10"/>
      <c r="I650" s="11" t="str">
        <f>"－"</f>
        <v>－</v>
      </c>
      <c r="J650" s="10"/>
      <c r="K650" s="11" t="n">
        <f>1661</f>
        <v>1661.0</v>
      </c>
    </row>
    <row r="651">
      <c r="A651" s="8" t="s">
        <v>46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1661</f>
        <v>1661.0</v>
      </c>
    </row>
    <row r="652">
      <c r="A652" s="8" t="s">
        <v>47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1661</f>
        <v>1661.0</v>
      </c>
    </row>
    <row r="653">
      <c r="A653" s="8" t="s">
        <v>48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1661</f>
        <v>1661.0</v>
      </c>
    </row>
    <row r="654">
      <c r="A654" s="8" t="s">
        <v>49</v>
      </c>
      <c r="B654" s="9" t="s">
        <v>90</v>
      </c>
      <c r="C654" s="9" t="s">
        <v>91</v>
      </c>
      <c r="D654" s="10"/>
      <c r="E654" s="11" t="n">
        <f>50</f>
        <v>50.0</v>
      </c>
      <c r="F654" s="10"/>
      <c r="G654" s="11" t="n">
        <f>50016000</f>
        <v>5.0016E7</v>
      </c>
      <c r="H654" s="10"/>
      <c r="I654" s="11" t="str">
        <f>"－"</f>
        <v>－</v>
      </c>
      <c r="J654" s="10"/>
      <c r="K654" s="11" t="n">
        <f>1711</f>
        <v>1711.0</v>
      </c>
    </row>
    <row r="655">
      <c r="A655" s="8" t="s">
        <v>50</v>
      </c>
      <c r="B655" s="9" t="s">
        <v>90</v>
      </c>
      <c r="C655" s="9" t="s">
        <v>91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51</v>
      </c>
      <c r="B656" s="9" t="s">
        <v>90</v>
      </c>
      <c r="C656" s="9" t="s">
        <v>91</v>
      </c>
      <c r="D656" s="10"/>
      <c r="E656" s="11"/>
      <c r="F656" s="10"/>
      <c r="G656" s="11"/>
      <c r="H656" s="10"/>
      <c r="I656" s="11"/>
      <c r="J656" s="10"/>
      <c r="K656" s="11"/>
    </row>
    <row r="657">
      <c r="A657" s="8" t="s">
        <v>16</v>
      </c>
      <c r="B657" s="9" t="s">
        <v>92</v>
      </c>
      <c r="C657" s="9" t="s">
        <v>93</v>
      </c>
      <c r="D657" s="10" t="s">
        <v>20</v>
      </c>
      <c r="E657" s="11" t="str">
        <f>"－"</f>
        <v>－</v>
      </c>
      <c r="F657" s="10" t="s">
        <v>20</v>
      </c>
      <c r="G657" s="11" t="str">
        <f>"－"</f>
        <v>－</v>
      </c>
      <c r="H657" s="10" t="s">
        <v>19</v>
      </c>
      <c r="I657" s="11" t="str">
        <f>"－"</f>
        <v>－</v>
      </c>
      <c r="J657" s="10" t="s">
        <v>26</v>
      </c>
      <c r="K657" s="11" t="n">
        <f>2270</f>
        <v>2270.0</v>
      </c>
    </row>
    <row r="658">
      <c r="A658" s="8" t="s">
        <v>21</v>
      </c>
      <c r="B658" s="9" t="s">
        <v>92</v>
      </c>
      <c r="C658" s="9" t="s">
        <v>93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22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23</v>
      </c>
      <c r="B660" s="9" t="s">
        <v>92</v>
      </c>
      <c r="C660" s="9" t="s">
        <v>93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 t="s">
        <v>20</v>
      </c>
      <c r="K660" s="11" t="n">
        <f>1920</f>
        <v>1920.0</v>
      </c>
    </row>
    <row r="661">
      <c r="A661" s="8" t="s">
        <v>24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1920</f>
        <v>1920.0</v>
      </c>
    </row>
    <row r="662">
      <c r="A662" s="8" t="s">
        <v>25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1920</f>
        <v>1920.0</v>
      </c>
    </row>
    <row r="663">
      <c r="A663" s="8" t="s">
        <v>27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1920</f>
        <v>1920.0</v>
      </c>
    </row>
    <row r="664">
      <c r="A664" s="8" t="s">
        <v>28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1920</f>
        <v>1920.0</v>
      </c>
    </row>
    <row r="665">
      <c r="A665" s="8" t="s">
        <v>29</v>
      </c>
      <c r="B665" s="9" t="s">
        <v>92</v>
      </c>
      <c r="C665" s="9" t="s">
        <v>93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30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31</v>
      </c>
      <c r="B667" s="9" t="s">
        <v>92</v>
      </c>
      <c r="C667" s="9" t="s">
        <v>93</v>
      </c>
      <c r="D667" s="10"/>
      <c r="E667" s="11" t="n">
        <f>10</f>
        <v>10.0</v>
      </c>
      <c r="F667" s="10"/>
      <c r="G667" s="11" t="n">
        <f>8936400</f>
        <v>8936400.0</v>
      </c>
      <c r="H667" s="10"/>
      <c r="I667" s="11" t="str">
        <f>"－"</f>
        <v>－</v>
      </c>
      <c r="J667" s="10"/>
      <c r="K667" s="11" t="n">
        <f>1920</f>
        <v>1920.0</v>
      </c>
    </row>
    <row r="668">
      <c r="A668" s="8" t="s">
        <v>32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1920</f>
        <v>1920.0</v>
      </c>
    </row>
    <row r="669">
      <c r="A669" s="8" t="s">
        <v>33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1920</f>
        <v>1920.0</v>
      </c>
    </row>
    <row r="670">
      <c r="A670" s="8" t="s">
        <v>34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1920</f>
        <v>1920.0</v>
      </c>
    </row>
    <row r="671">
      <c r="A671" s="8" t="s">
        <v>35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1920</f>
        <v>1920.0</v>
      </c>
    </row>
    <row r="672">
      <c r="A672" s="8" t="s">
        <v>36</v>
      </c>
      <c r="B672" s="9" t="s">
        <v>92</v>
      </c>
      <c r="C672" s="9" t="s">
        <v>93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37</v>
      </c>
      <c r="B673" s="9" t="s">
        <v>92</v>
      </c>
      <c r="C673" s="9" t="s">
        <v>93</v>
      </c>
      <c r="D673" s="10"/>
      <c r="E673" s="11"/>
      <c r="F673" s="10"/>
      <c r="G673" s="11"/>
      <c r="H673" s="10"/>
      <c r="I673" s="11"/>
      <c r="J673" s="10"/>
      <c r="K673" s="11"/>
    </row>
    <row r="674">
      <c r="A674" s="8" t="s">
        <v>38</v>
      </c>
      <c r="B674" s="9" t="s">
        <v>92</v>
      </c>
      <c r="C674" s="9" t="s">
        <v>93</v>
      </c>
      <c r="D674" s="10"/>
      <c r="E674" s="11"/>
      <c r="F674" s="10"/>
      <c r="G674" s="11"/>
      <c r="H674" s="10"/>
      <c r="I674" s="11"/>
      <c r="J674" s="10"/>
      <c r="K674" s="11"/>
    </row>
    <row r="675">
      <c r="A675" s="8" t="s">
        <v>39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1920</f>
        <v>1920.0</v>
      </c>
    </row>
    <row r="676">
      <c r="A676" s="8" t="s">
        <v>40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1920</f>
        <v>1920.0</v>
      </c>
    </row>
    <row r="677">
      <c r="A677" s="8" t="s">
        <v>41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1920</f>
        <v>1920.0</v>
      </c>
    </row>
    <row r="678">
      <c r="A678" s="8" t="s">
        <v>42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1920</f>
        <v>1920.0</v>
      </c>
    </row>
    <row r="679">
      <c r="A679" s="8" t="s">
        <v>43</v>
      </c>
      <c r="B679" s="9" t="s">
        <v>92</v>
      </c>
      <c r="C679" s="9" t="s">
        <v>93</v>
      </c>
      <c r="D679" s="10"/>
      <c r="E679" s="11"/>
      <c r="F679" s="10"/>
      <c r="G679" s="11"/>
      <c r="H679" s="10"/>
      <c r="I679" s="11"/>
      <c r="J679" s="10"/>
      <c r="K679" s="11"/>
    </row>
    <row r="680">
      <c r="A680" s="8" t="s">
        <v>44</v>
      </c>
      <c r="B680" s="9" t="s">
        <v>92</v>
      </c>
      <c r="C680" s="9" t="s">
        <v>93</v>
      </c>
      <c r="D680" s="10"/>
      <c r="E680" s="11"/>
      <c r="F680" s="10"/>
      <c r="G680" s="11"/>
      <c r="H680" s="10"/>
      <c r="I680" s="11"/>
      <c r="J680" s="10"/>
      <c r="K680" s="11"/>
    </row>
    <row r="681">
      <c r="A681" s="8" t="s">
        <v>45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1920</f>
        <v>1920.0</v>
      </c>
    </row>
    <row r="682">
      <c r="A682" s="8" t="s">
        <v>46</v>
      </c>
      <c r="B682" s="9" t="s">
        <v>92</v>
      </c>
      <c r="C682" s="9" t="s">
        <v>93</v>
      </c>
      <c r="D682" s="10" t="s">
        <v>26</v>
      </c>
      <c r="E682" s="11" t="n">
        <f>180</f>
        <v>180.0</v>
      </c>
      <c r="F682" s="10" t="s">
        <v>26</v>
      </c>
      <c r="G682" s="11" t="n">
        <f>169920000</f>
        <v>1.6992E8</v>
      </c>
      <c r="H682" s="10"/>
      <c r="I682" s="11" t="str">
        <f>"－"</f>
        <v>－</v>
      </c>
      <c r="J682" s="10"/>
      <c r="K682" s="11" t="n">
        <f>2100</f>
        <v>2100.0</v>
      </c>
    </row>
    <row r="683">
      <c r="A683" s="8" t="s">
        <v>47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2100</f>
        <v>2100.0</v>
      </c>
    </row>
    <row r="684">
      <c r="A684" s="8" t="s">
        <v>48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2100</f>
        <v>2100.0</v>
      </c>
    </row>
    <row r="685">
      <c r="A685" s="8" t="s">
        <v>49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2100</f>
        <v>2100.0</v>
      </c>
    </row>
    <row r="686">
      <c r="A686" s="8" t="s">
        <v>50</v>
      </c>
      <c r="B686" s="9" t="s">
        <v>92</v>
      </c>
      <c r="C686" s="9" t="s">
        <v>93</v>
      </c>
      <c r="D686" s="10"/>
      <c r="E686" s="11"/>
      <c r="F686" s="10"/>
      <c r="G686" s="11"/>
      <c r="H686" s="10"/>
      <c r="I686" s="11"/>
      <c r="J686" s="10"/>
      <c r="K686" s="11"/>
    </row>
    <row r="687">
      <c r="A687" s="8" t="s">
        <v>51</v>
      </c>
      <c r="B687" s="9" t="s">
        <v>92</v>
      </c>
      <c r="C687" s="9" t="s">
        <v>93</v>
      </c>
      <c r="D687" s="10"/>
      <c r="E687" s="11"/>
      <c r="F687" s="10"/>
      <c r="G687" s="11"/>
      <c r="H687" s="10"/>
      <c r="I687" s="11"/>
      <c r="J687" s="10"/>
      <c r="K687" s="11"/>
    </row>
    <row r="688">
      <c r="A688" s="8" t="s">
        <v>16</v>
      </c>
      <c r="B688" s="9" t="s">
        <v>94</v>
      </c>
      <c r="C688" s="9" t="s">
        <v>95</v>
      </c>
      <c r="D688" s="10" t="s">
        <v>19</v>
      </c>
      <c r="E688" s="11" t="str">
        <f>"－"</f>
        <v>－</v>
      </c>
      <c r="F688" s="10" t="s">
        <v>19</v>
      </c>
      <c r="G688" s="11" t="str">
        <f>"－"</f>
        <v>－</v>
      </c>
      <c r="H688" s="10" t="s">
        <v>19</v>
      </c>
      <c r="I688" s="11" t="str">
        <f>"－"</f>
        <v>－</v>
      </c>
      <c r="J688" s="10" t="s">
        <v>19</v>
      </c>
      <c r="K688" s="11" t="str">
        <f>"－"</f>
        <v>－</v>
      </c>
    </row>
    <row r="689">
      <c r="A689" s="8" t="s">
        <v>21</v>
      </c>
      <c r="B689" s="9" t="s">
        <v>94</v>
      </c>
      <c r="C689" s="9" t="s">
        <v>95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22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23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str">
        <f>"－"</f>
        <v>－</v>
      </c>
    </row>
    <row r="692">
      <c r="A692" s="8" t="s">
        <v>24</v>
      </c>
      <c r="B692" s="9" t="s">
        <v>94</v>
      </c>
      <c r="C692" s="9" t="s">
        <v>95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25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27</v>
      </c>
      <c r="B694" s="9" t="s">
        <v>94</v>
      </c>
      <c r="C694" s="9" t="s">
        <v>95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28</v>
      </c>
      <c r="B695" s="9" t="s">
        <v>94</v>
      </c>
      <c r="C695" s="9" t="s">
        <v>95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29</v>
      </c>
      <c r="B696" s="9" t="s">
        <v>94</v>
      </c>
      <c r="C696" s="9" t="s">
        <v>95</v>
      </c>
      <c r="D696" s="10"/>
      <c r="E696" s="11"/>
      <c r="F696" s="10"/>
      <c r="G696" s="11"/>
      <c r="H696" s="10"/>
      <c r="I696" s="11"/>
      <c r="J696" s="10"/>
      <c r="K696" s="11"/>
    </row>
    <row r="697">
      <c r="A697" s="8" t="s">
        <v>30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31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str">
        <f>"－"</f>
        <v>－</v>
      </c>
    </row>
    <row r="699">
      <c r="A699" s="8" t="s">
        <v>32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str">
        <f>"－"</f>
        <v>－</v>
      </c>
    </row>
    <row r="700">
      <c r="A700" s="8" t="s">
        <v>33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str">
        <f>"－"</f>
        <v>－</v>
      </c>
    </row>
    <row r="701">
      <c r="A701" s="8" t="s">
        <v>34</v>
      </c>
      <c r="B701" s="9" t="s">
        <v>94</v>
      </c>
      <c r="C701" s="9" t="s">
        <v>95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35</v>
      </c>
      <c r="B702" s="9" t="s">
        <v>94</v>
      </c>
      <c r="C702" s="9" t="s">
        <v>95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str">
        <f>"－"</f>
        <v>－</v>
      </c>
    </row>
    <row r="703">
      <c r="A703" s="8" t="s">
        <v>36</v>
      </c>
      <c r="B703" s="9" t="s">
        <v>94</v>
      </c>
      <c r="C703" s="9" t="s">
        <v>95</v>
      </c>
      <c r="D703" s="10"/>
      <c r="E703" s="11"/>
      <c r="F703" s="10"/>
      <c r="G703" s="11"/>
      <c r="H703" s="10"/>
      <c r="I703" s="11"/>
      <c r="J703" s="10"/>
      <c r="K703" s="11"/>
    </row>
    <row r="704">
      <c r="A704" s="8" t="s">
        <v>37</v>
      </c>
      <c r="B704" s="9" t="s">
        <v>94</v>
      </c>
      <c r="C704" s="9" t="s">
        <v>95</v>
      </c>
      <c r="D704" s="10"/>
      <c r="E704" s="11"/>
      <c r="F704" s="10"/>
      <c r="G704" s="11"/>
      <c r="H704" s="10"/>
      <c r="I704" s="11"/>
      <c r="J704" s="10"/>
      <c r="K704" s="11"/>
    </row>
    <row r="705">
      <c r="A705" s="8" t="s">
        <v>38</v>
      </c>
      <c r="B705" s="9" t="s">
        <v>94</v>
      </c>
      <c r="C705" s="9" t="s">
        <v>95</v>
      </c>
      <c r="D705" s="10"/>
      <c r="E705" s="11"/>
      <c r="F705" s="10"/>
      <c r="G705" s="11"/>
      <c r="H705" s="10"/>
      <c r="I705" s="11"/>
      <c r="J705" s="10"/>
      <c r="K705" s="11"/>
    </row>
    <row r="706">
      <c r="A706" s="8" t="s">
        <v>39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str">
        <f>"－"</f>
        <v>－</v>
      </c>
    </row>
    <row r="707">
      <c r="A707" s="8" t="s">
        <v>40</v>
      </c>
      <c r="B707" s="9" t="s">
        <v>94</v>
      </c>
      <c r="C707" s="9" t="s">
        <v>95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str">
        <f>"－"</f>
        <v>－</v>
      </c>
    </row>
    <row r="708">
      <c r="A708" s="8" t="s">
        <v>41</v>
      </c>
      <c r="B708" s="9" t="s">
        <v>94</v>
      </c>
      <c r="C708" s="9" t="s">
        <v>95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str">
        <f>"－"</f>
        <v>－</v>
      </c>
    </row>
    <row r="709">
      <c r="A709" s="8" t="s">
        <v>42</v>
      </c>
      <c r="B709" s="9" t="s">
        <v>94</v>
      </c>
      <c r="C709" s="9" t="s">
        <v>95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str">
        <f>"－"</f>
        <v>－</v>
      </c>
    </row>
    <row r="710">
      <c r="A710" s="8" t="s">
        <v>43</v>
      </c>
      <c r="B710" s="9" t="s">
        <v>94</v>
      </c>
      <c r="C710" s="9" t="s">
        <v>95</v>
      </c>
      <c r="D710" s="10"/>
      <c r="E710" s="11"/>
      <c r="F710" s="10"/>
      <c r="G710" s="11"/>
      <c r="H710" s="10"/>
      <c r="I710" s="11"/>
      <c r="J710" s="10"/>
      <c r="K710" s="11"/>
    </row>
    <row r="711">
      <c r="A711" s="8" t="s">
        <v>44</v>
      </c>
      <c r="B711" s="9" t="s">
        <v>94</v>
      </c>
      <c r="C711" s="9" t="s">
        <v>95</v>
      </c>
      <c r="D711" s="10"/>
      <c r="E711" s="11"/>
      <c r="F711" s="10"/>
      <c r="G711" s="11"/>
      <c r="H711" s="10"/>
      <c r="I711" s="11"/>
      <c r="J711" s="10"/>
      <c r="K711" s="11"/>
    </row>
    <row r="712">
      <c r="A712" s="8" t="s">
        <v>45</v>
      </c>
      <c r="B712" s="9" t="s">
        <v>94</v>
      </c>
      <c r="C712" s="9" t="s">
        <v>95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str">
        <f>"－"</f>
        <v>－</v>
      </c>
    </row>
    <row r="713">
      <c r="A713" s="8" t="s">
        <v>46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str">
        <f>"－"</f>
        <v>－</v>
      </c>
    </row>
    <row r="714">
      <c r="A714" s="8" t="s">
        <v>47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str">
        <f>"－"</f>
        <v>－</v>
      </c>
    </row>
    <row r="715">
      <c r="A715" s="8" t="s">
        <v>48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str">
        <f>"－"</f>
        <v>－</v>
      </c>
    </row>
    <row r="716">
      <c r="A716" s="8" t="s">
        <v>49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str">
        <f>"－"</f>
        <v>－</v>
      </c>
    </row>
    <row r="717">
      <c r="A717" s="8" t="s">
        <v>50</v>
      </c>
      <c r="B717" s="9" t="s">
        <v>94</v>
      </c>
      <c r="C717" s="9" t="s">
        <v>95</v>
      </c>
      <c r="D717" s="10"/>
      <c r="E717" s="11"/>
      <c r="F717" s="10"/>
      <c r="G717" s="11"/>
      <c r="H717" s="10"/>
      <c r="I717" s="11"/>
      <c r="J717" s="10"/>
      <c r="K717" s="11"/>
    </row>
    <row r="718">
      <c r="A718" s="8" t="s">
        <v>51</v>
      </c>
      <c r="B718" s="9" t="s">
        <v>94</v>
      </c>
      <c r="C718" s="9" t="s">
        <v>95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16</v>
      </c>
      <c r="B719" s="9" t="s">
        <v>96</v>
      </c>
      <c r="C719" s="9" t="s">
        <v>97</v>
      </c>
      <c r="D719" s="10" t="s">
        <v>20</v>
      </c>
      <c r="E719" s="11" t="str">
        <f>"－"</f>
        <v>－</v>
      </c>
      <c r="F719" s="10" t="s">
        <v>20</v>
      </c>
      <c r="G719" s="11" t="str">
        <f>"－"</f>
        <v>－</v>
      </c>
      <c r="H719" s="10" t="s">
        <v>19</v>
      </c>
      <c r="I719" s="11" t="str">
        <f>"－"</f>
        <v>－</v>
      </c>
      <c r="J719" s="10"/>
      <c r="K719" s="11" t="n">
        <f>5</f>
        <v>5.0</v>
      </c>
    </row>
    <row r="720">
      <c r="A720" s="8" t="s">
        <v>21</v>
      </c>
      <c r="B720" s="9" t="s">
        <v>96</v>
      </c>
      <c r="C720" s="9" t="s">
        <v>97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22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23</v>
      </c>
      <c r="B722" s="9" t="s">
        <v>96</v>
      </c>
      <c r="C722" s="9" t="s">
        <v>97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/>
      <c r="K722" s="11" t="n">
        <f>5</f>
        <v>5.0</v>
      </c>
    </row>
    <row r="723">
      <c r="A723" s="8" t="s">
        <v>24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5</f>
        <v>5.0</v>
      </c>
    </row>
    <row r="724">
      <c r="A724" s="8" t="s">
        <v>25</v>
      </c>
      <c r="B724" s="9" t="s">
        <v>96</v>
      </c>
      <c r="C724" s="9" t="s">
        <v>97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n">
        <f>5</f>
        <v>5.0</v>
      </c>
    </row>
    <row r="725">
      <c r="A725" s="8" t="s">
        <v>27</v>
      </c>
      <c r="B725" s="9" t="s">
        <v>96</v>
      </c>
      <c r="C725" s="9" t="s">
        <v>97</v>
      </c>
      <c r="D725" s="10"/>
      <c r="E725" s="11" t="n">
        <f>2</f>
        <v>2.0</v>
      </c>
      <c r="F725" s="10"/>
      <c r="G725" s="11" t="n">
        <f>1540000</f>
        <v>1540000.0</v>
      </c>
      <c r="H725" s="10"/>
      <c r="I725" s="11" t="str">
        <f>"－"</f>
        <v>－</v>
      </c>
      <c r="J725" s="10"/>
      <c r="K725" s="11" t="n">
        <f>7</f>
        <v>7.0</v>
      </c>
    </row>
    <row r="726">
      <c r="A726" s="8" t="s">
        <v>28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 t="n">
        <f>7</f>
        <v>7.0</v>
      </c>
    </row>
    <row r="727">
      <c r="A727" s="8" t="s">
        <v>29</v>
      </c>
      <c r="B727" s="9" t="s">
        <v>96</v>
      </c>
      <c r="C727" s="9" t="s">
        <v>97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30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31</v>
      </c>
      <c r="B729" s="9" t="s">
        <v>96</v>
      </c>
      <c r="C729" s="9" t="s">
        <v>97</v>
      </c>
      <c r="D729" s="10"/>
      <c r="E729" s="11" t="str">
        <f>"－"</f>
        <v>－</v>
      </c>
      <c r="F729" s="10"/>
      <c r="G729" s="11" t="str">
        <f>"－"</f>
        <v>－</v>
      </c>
      <c r="H729" s="10"/>
      <c r="I729" s="11" t="str">
        <f>"－"</f>
        <v>－</v>
      </c>
      <c r="J729" s="10"/>
      <c r="K729" s="11" t="n">
        <f>7</f>
        <v>7.0</v>
      </c>
    </row>
    <row r="730">
      <c r="A730" s="8" t="s">
        <v>32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n">
        <f>7</f>
        <v>7.0</v>
      </c>
    </row>
    <row r="731">
      <c r="A731" s="8" t="s">
        <v>33</v>
      </c>
      <c r="B731" s="9" t="s">
        <v>96</v>
      </c>
      <c r="C731" s="9" t="s">
        <v>97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n">
        <f>7</f>
        <v>7.0</v>
      </c>
    </row>
    <row r="732">
      <c r="A732" s="8" t="s">
        <v>34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7</f>
        <v>7.0</v>
      </c>
    </row>
    <row r="733">
      <c r="A733" s="8" t="s">
        <v>35</v>
      </c>
      <c r="B733" s="9" t="s">
        <v>96</v>
      </c>
      <c r="C733" s="9" t="s">
        <v>97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n">
        <f>7</f>
        <v>7.0</v>
      </c>
    </row>
    <row r="734">
      <c r="A734" s="8" t="s">
        <v>36</v>
      </c>
      <c r="B734" s="9" t="s">
        <v>96</v>
      </c>
      <c r="C734" s="9" t="s">
        <v>97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37</v>
      </c>
      <c r="B735" s="9" t="s">
        <v>96</v>
      </c>
      <c r="C735" s="9" t="s">
        <v>97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38</v>
      </c>
      <c r="B736" s="9" t="s">
        <v>96</v>
      </c>
      <c r="C736" s="9" t="s">
        <v>97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39</v>
      </c>
      <c r="B737" s="9" t="s">
        <v>96</v>
      </c>
      <c r="C737" s="9" t="s">
        <v>97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n">
        <f>7</f>
        <v>7.0</v>
      </c>
    </row>
    <row r="738">
      <c r="A738" s="8" t="s">
        <v>40</v>
      </c>
      <c r="B738" s="9" t="s">
        <v>96</v>
      </c>
      <c r="C738" s="9" t="s">
        <v>97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n">
        <f>7</f>
        <v>7.0</v>
      </c>
    </row>
    <row r="739">
      <c r="A739" s="8" t="s">
        <v>41</v>
      </c>
      <c r="B739" s="9" t="s">
        <v>96</v>
      </c>
      <c r="C739" s="9" t="s">
        <v>97</v>
      </c>
      <c r="D739" s="10"/>
      <c r="E739" s="11" t="n">
        <f>11</f>
        <v>11.0</v>
      </c>
      <c r="F739" s="10"/>
      <c r="G739" s="11" t="n">
        <f>8480000</f>
        <v>8480000.0</v>
      </c>
      <c r="H739" s="10"/>
      <c r="I739" s="11" t="str">
        <f>"－"</f>
        <v>－</v>
      </c>
      <c r="J739" s="10"/>
      <c r="K739" s="11" t="n">
        <f>16</f>
        <v>16.0</v>
      </c>
    </row>
    <row r="740">
      <c r="A740" s="8" t="s">
        <v>42</v>
      </c>
      <c r="B740" s="9" t="s">
        <v>96</v>
      </c>
      <c r="C740" s="9" t="s">
        <v>97</v>
      </c>
      <c r="D740" s="10"/>
      <c r="E740" s="11" t="n">
        <f>10</f>
        <v>10.0</v>
      </c>
      <c r="F740" s="10"/>
      <c r="G740" s="11" t="n">
        <f>7600000</f>
        <v>7600000.0</v>
      </c>
      <c r="H740" s="10"/>
      <c r="I740" s="11" t="str">
        <f>"－"</f>
        <v>－</v>
      </c>
      <c r="J740" s="10"/>
      <c r="K740" s="11" t="n">
        <f>26</f>
        <v>26.0</v>
      </c>
    </row>
    <row r="741">
      <c r="A741" s="8" t="s">
        <v>43</v>
      </c>
      <c r="B741" s="9" t="s">
        <v>96</v>
      </c>
      <c r="C741" s="9" t="s">
        <v>97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44</v>
      </c>
      <c r="B742" s="9" t="s">
        <v>96</v>
      </c>
      <c r="C742" s="9" t="s">
        <v>97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45</v>
      </c>
      <c r="B743" s="9" t="s">
        <v>96</v>
      </c>
      <c r="C743" s="9" t="s">
        <v>97</v>
      </c>
      <c r="D743" s="10" t="s">
        <v>26</v>
      </c>
      <c r="E743" s="11" t="n">
        <f>21</f>
        <v>21.0</v>
      </c>
      <c r="F743" s="10" t="s">
        <v>26</v>
      </c>
      <c r="G743" s="11" t="n">
        <f>15930000</f>
        <v>1.593E7</v>
      </c>
      <c r="H743" s="10"/>
      <c r="I743" s="11" t="str">
        <f>"－"</f>
        <v>－</v>
      </c>
      <c r="J743" s="10" t="s">
        <v>26</v>
      </c>
      <c r="K743" s="11" t="n">
        <f>45</f>
        <v>45.0</v>
      </c>
    </row>
    <row r="744">
      <c r="A744" s="8" t="s">
        <v>46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 t="s">
        <v>20</v>
      </c>
      <c r="K744" s="11" t="n">
        <f>3</f>
        <v>3.0</v>
      </c>
    </row>
    <row r="745">
      <c r="A745" s="8" t="s">
        <v>47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3</f>
        <v>3.0</v>
      </c>
    </row>
    <row r="746">
      <c r="A746" s="8" t="s">
        <v>48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/>
      <c r="K746" s="11" t="n">
        <f>3</f>
        <v>3.0</v>
      </c>
    </row>
    <row r="747">
      <c r="A747" s="8" t="s">
        <v>49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n">
        <f>3</f>
        <v>3.0</v>
      </c>
    </row>
    <row r="748">
      <c r="A748" s="8" t="s">
        <v>50</v>
      </c>
      <c r="B748" s="9" t="s">
        <v>96</v>
      </c>
      <c r="C748" s="9" t="s">
        <v>97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51</v>
      </c>
      <c r="B749" s="9" t="s">
        <v>96</v>
      </c>
      <c r="C749" s="9" t="s">
        <v>97</v>
      </c>
      <c r="D749" s="10"/>
      <c r="E749" s="11"/>
      <c r="F749" s="10"/>
      <c r="G749" s="11"/>
      <c r="H749" s="10"/>
      <c r="I749" s="11"/>
      <c r="J749" s="10"/>
      <c r="K749" s="11"/>
    </row>
    <row r="750">
      <c r="A750" s="8" t="s">
        <v>16</v>
      </c>
      <c r="B750" s="9" t="s">
        <v>98</v>
      </c>
      <c r="C750" s="9" t="s">
        <v>99</v>
      </c>
      <c r="D750" s="10" t="s">
        <v>20</v>
      </c>
      <c r="E750" s="11" t="str">
        <f>"－"</f>
        <v>－</v>
      </c>
      <c r="F750" s="10" t="s">
        <v>20</v>
      </c>
      <c r="G750" s="11" t="str">
        <f>"－"</f>
        <v>－</v>
      </c>
      <c r="H750" s="10" t="s">
        <v>19</v>
      </c>
      <c r="I750" s="11" t="str">
        <f>"－"</f>
        <v>－</v>
      </c>
      <c r="J750" s="10"/>
      <c r="K750" s="11" t="n">
        <f>4</f>
        <v>4.0</v>
      </c>
    </row>
    <row r="751">
      <c r="A751" s="8" t="s">
        <v>21</v>
      </c>
      <c r="B751" s="9" t="s">
        <v>98</v>
      </c>
      <c r="C751" s="9" t="s">
        <v>99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22</v>
      </c>
      <c r="B752" s="9" t="s">
        <v>98</v>
      </c>
      <c r="C752" s="9" t="s">
        <v>99</v>
      </c>
      <c r="D752" s="10"/>
      <c r="E752" s="11"/>
      <c r="F752" s="10"/>
      <c r="G752" s="11"/>
      <c r="H752" s="10"/>
      <c r="I752" s="11"/>
      <c r="J752" s="10"/>
      <c r="K752" s="11"/>
    </row>
    <row r="753">
      <c r="A753" s="8" t="s">
        <v>23</v>
      </c>
      <c r="B753" s="9" t="s">
        <v>98</v>
      </c>
      <c r="C753" s="9" t="s">
        <v>99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n">
        <f>4</f>
        <v>4.0</v>
      </c>
    </row>
    <row r="754">
      <c r="A754" s="8" t="s">
        <v>24</v>
      </c>
      <c r="B754" s="9" t="s">
        <v>98</v>
      </c>
      <c r="C754" s="9" t="s">
        <v>99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n">
        <f>4</f>
        <v>4.0</v>
      </c>
    </row>
    <row r="755">
      <c r="A755" s="8" t="s">
        <v>25</v>
      </c>
      <c r="B755" s="9" t="s">
        <v>98</v>
      </c>
      <c r="C755" s="9" t="s">
        <v>99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n">
        <f>4</f>
        <v>4.0</v>
      </c>
    </row>
    <row r="756">
      <c r="A756" s="8" t="s">
        <v>27</v>
      </c>
      <c r="B756" s="9" t="s">
        <v>98</v>
      </c>
      <c r="C756" s="9" t="s">
        <v>99</v>
      </c>
      <c r="D756" s="10"/>
      <c r="E756" s="11" t="str">
        <f>"－"</f>
        <v>－</v>
      </c>
      <c r="F756" s="10"/>
      <c r="G756" s="11" t="str">
        <f>"－"</f>
        <v>－</v>
      </c>
      <c r="H756" s="10"/>
      <c r="I756" s="11" t="str">
        <f>"－"</f>
        <v>－</v>
      </c>
      <c r="J756" s="10"/>
      <c r="K756" s="11" t="n">
        <f>4</f>
        <v>4.0</v>
      </c>
    </row>
    <row r="757">
      <c r="A757" s="8" t="s">
        <v>28</v>
      </c>
      <c r="B757" s="9" t="s">
        <v>98</v>
      </c>
      <c r="C757" s="9" t="s">
        <v>99</v>
      </c>
      <c r="D757" s="10"/>
      <c r="E757" s="11" t="str">
        <f>"－"</f>
        <v>－</v>
      </c>
      <c r="F757" s="10"/>
      <c r="G757" s="11" t="str">
        <f>"－"</f>
        <v>－</v>
      </c>
      <c r="H757" s="10"/>
      <c r="I757" s="11" t="str">
        <f>"－"</f>
        <v>－</v>
      </c>
      <c r="J757" s="10"/>
      <c r="K757" s="11" t="n">
        <f>4</f>
        <v>4.0</v>
      </c>
    </row>
    <row r="758">
      <c r="A758" s="8" t="s">
        <v>29</v>
      </c>
      <c r="B758" s="9" t="s">
        <v>98</v>
      </c>
      <c r="C758" s="9" t="s">
        <v>99</v>
      </c>
      <c r="D758" s="10"/>
      <c r="E758" s="11"/>
      <c r="F758" s="10"/>
      <c r="G758" s="11"/>
      <c r="H758" s="10"/>
      <c r="I758" s="11"/>
      <c r="J758" s="10"/>
      <c r="K758" s="11"/>
    </row>
    <row r="759">
      <c r="A759" s="8" t="s">
        <v>30</v>
      </c>
      <c r="B759" s="9" t="s">
        <v>98</v>
      </c>
      <c r="C759" s="9" t="s">
        <v>99</v>
      </c>
      <c r="D759" s="10"/>
      <c r="E759" s="11"/>
      <c r="F759" s="10"/>
      <c r="G759" s="11"/>
      <c r="H759" s="10"/>
      <c r="I759" s="11"/>
      <c r="J759" s="10"/>
      <c r="K759" s="11"/>
    </row>
    <row r="760">
      <c r="A760" s="8" t="s">
        <v>31</v>
      </c>
      <c r="B760" s="9" t="s">
        <v>98</v>
      </c>
      <c r="C760" s="9" t="s">
        <v>99</v>
      </c>
      <c r="D760" s="10"/>
      <c r="E760" s="11" t="str">
        <f>"－"</f>
        <v>－</v>
      </c>
      <c r="F760" s="10"/>
      <c r="G760" s="11" t="str">
        <f>"－"</f>
        <v>－</v>
      </c>
      <c r="H760" s="10"/>
      <c r="I760" s="11" t="str">
        <f>"－"</f>
        <v>－</v>
      </c>
      <c r="J760" s="10"/>
      <c r="K760" s="11" t="n">
        <f>4</f>
        <v>4.0</v>
      </c>
    </row>
    <row r="761">
      <c r="A761" s="8" t="s">
        <v>32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n">
        <f>4</f>
        <v>4.0</v>
      </c>
    </row>
    <row r="762">
      <c r="A762" s="8" t="s">
        <v>33</v>
      </c>
      <c r="B762" s="9" t="s">
        <v>98</v>
      </c>
      <c r="C762" s="9" t="s">
        <v>99</v>
      </c>
      <c r="D762" s="10"/>
      <c r="E762" s="11" t="str">
        <f>"－"</f>
        <v>－</v>
      </c>
      <c r="F762" s="10"/>
      <c r="G762" s="11" t="str">
        <f>"－"</f>
        <v>－</v>
      </c>
      <c r="H762" s="10"/>
      <c r="I762" s="11" t="str">
        <f>"－"</f>
        <v>－</v>
      </c>
      <c r="J762" s="10"/>
      <c r="K762" s="11" t="n">
        <f>4</f>
        <v>4.0</v>
      </c>
    </row>
    <row r="763">
      <c r="A763" s="8" t="s">
        <v>34</v>
      </c>
      <c r="B763" s="9" t="s">
        <v>98</v>
      </c>
      <c r="C763" s="9" t="s">
        <v>99</v>
      </c>
      <c r="D763" s="10"/>
      <c r="E763" s="11" t="str">
        <f>"－"</f>
        <v>－</v>
      </c>
      <c r="F763" s="10"/>
      <c r="G763" s="11" t="str">
        <f>"－"</f>
        <v>－</v>
      </c>
      <c r="H763" s="10"/>
      <c r="I763" s="11" t="str">
        <f>"－"</f>
        <v>－</v>
      </c>
      <c r="J763" s="10"/>
      <c r="K763" s="11" t="n">
        <f>4</f>
        <v>4.0</v>
      </c>
    </row>
    <row r="764">
      <c r="A764" s="8" t="s">
        <v>35</v>
      </c>
      <c r="B764" s="9" t="s">
        <v>98</v>
      </c>
      <c r="C764" s="9" t="s">
        <v>99</v>
      </c>
      <c r="D764" s="10"/>
      <c r="E764" s="11" t="str">
        <f>"－"</f>
        <v>－</v>
      </c>
      <c r="F764" s="10"/>
      <c r="G764" s="11" t="str">
        <f>"－"</f>
        <v>－</v>
      </c>
      <c r="H764" s="10"/>
      <c r="I764" s="11" t="str">
        <f>"－"</f>
        <v>－</v>
      </c>
      <c r="J764" s="10"/>
      <c r="K764" s="11" t="n">
        <f>4</f>
        <v>4.0</v>
      </c>
    </row>
    <row r="765">
      <c r="A765" s="8" t="s">
        <v>36</v>
      </c>
      <c r="B765" s="9" t="s">
        <v>98</v>
      </c>
      <c r="C765" s="9" t="s">
        <v>99</v>
      </c>
      <c r="D765" s="10"/>
      <c r="E765" s="11"/>
      <c r="F765" s="10"/>
      <c r="G765" s="11"/>
      <c r="H765" s="10"/>
      <c r="I765" s="11"/>
      <c r="J765" s="10"/>
      <c r="K765" s="11"/>
    </row>
    <row r="766">
      <c r="A766" s="8" t="s">
        <v>37</v>
      </c>
      <c r="B766" s="9" t="s">
        <v>98</v>
      </c>
      <c r="C766" s="9" t="s">
        <v>99</v>
      </c>
      <c r="D766" s="10"/>
      <c r="E766" s="11"/>
      <c r="F766" s="10"/>
      <c r="G766" s="11"/>
      <c r="H766" s="10"/>
      <c r="I766" s="11"/>
      <c r="J766" s="10"/>
      <c r="K766" s="11"/>
    </row>
    <row r="767">
      <c r="A767" s="8" t="s">
        <v>38</v>
      </c>
      <c r="B767" s="9" t="s">
        <v>98</v>
      </c>
      <c r="C767" s="9" t="s">
        <v>99</v>
      </c>
      <c r="D767" s="10"/>
      <c r="E767" s="11"/>
      <c r="F767" s="10"/>
      <c r="G767" s="11"/>
      <c r="H767" s="10"/>
      <c r="I767" s="11"/>
      <c r="J767" s="10"/>
      <c r="K767" s="11"/>
    </row>
    <row r="768">
      <c r="A768" s="8" t="s">
        <v>39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n">
        <f>4</f>
        <v>4.0</v>
      </c>
    </row>
    <row r="769">
      <c r="A769" s="8" t="s">
        <v>40</v>
      </c>
      <c r="B769" s="9" t="s">
        <v>98</v>
      </c>
      <c r="C769" s="9" t="s">
        <v>99</v>
      </c>
      <c r="D769" s="10"/>
      <c r="E769" s="11" t="str">
        <f>"－"</f>
        <v>－</v>
      </c>
      <c r="F769" s="10"/>
      <c r="G769" s="11" t="str">
        <f>"－"</f>
        <v>－</v>
      </c>
      <c r="H769" s="10"/>
      <c r="I769" s="11" t="str">
        <f>"－"</f>
        <v>－</v>
      </c>
      <c r="J769" s="10"/>
      <c r="K769" s="11" t="n">
        <f>4</f>
        <v>4.0</v>
      </c>
    </row>
    <row r="770">
      <c r="A770" s="8" t="s">
        <v>41</v>
      </c>
      <c r="B770" s="9" t="s">
        <v>98</v>
      </c>
      <c r="C770" s="9" t="s">
        <v>99</v>
      </c>
      <c r="D770" s="10"/>
      <c r="E770" s="11" t="str">
        <f>"－"</f>
        <v>－</v>
      </c>
      <c r="F770" s="10"/>
      <c r="G770" s="11" t="str">
        <f>"－"</f>
        <v>－</v>
      </c>
      <c r="H770" s="10"/>
      <c r="I770" s="11" t="str">
        <f>"－"</f>
        <v>－</v>
      </c>
      <c r="J770" s="10"/>
      <c r="K770" s="11" t="n">
        <f>4</f>
        <v>4.0</v>
      </c>
    </row>
    <row r="771">
      <c r="A771" s="8" t="s">
        <v>42</v>
      </c>
      <c r="B771" s="9" t="s">
        <v>98</v>
      </c>
      <c r="C771" s="9" t="s">
        <v>99</v>
      </c>
      <c r="D771" s="10"/>
      <c r="E771" s="11" t="str">
        <f>"－"</f>
        <v>－</v>
      </c>
      <c r="F771" s="10"/>
      <c r="G771" s="11" t="str">
        <f>"－"</f>
        <v>－</v>
      </c>
      <c r="H771" s="10"/>
      <c r="I771" s="11" t="str">
        <f>"－"</f>
        <v>－</v>
      </c>
      <c r="J771" s="10"/>
      <c r="K771" s="11" t="n">
        <f>4</f>
        <v>4.0</v>
      </c>
    </row>
    <row r="772">
      <c r="A772" s="8" t="s">
        <v>43</v>
      </c>
      <c r="B772" s="9" t="s">
        <v>98</v>
      </c>
      <c r="C772" s="9" t="s">
        <v>99</v>
      </c>
      <c r="D772" s="10"/>
      <c r="E772" s="11"/>
      <c r="F772" s="10"/>
      <c r="G772" s="11"/>
      <c r="H772" s="10"/>
      <c r="I772" s="11"/>
      <c r="J772" s="10"/>
      <c r="K772" s="11"/>
    </row>
    <row r="773">
      <c r="A773" s="8" t="s">
        <v>44</v>
      </c>
      <c r="B773" s="9" t="s">
        <v>98</v>
      </c>
      <c r="C773" s="9" t="s">
        <v>99</v>
      </c>
      <c r="D773" s="10"/>
      <c r="E773" s="11"/>
      <c r="F773" s="10"/>
      <c r="G773" s="11"/>
      <c r="H773" s="10"/>
      <c r="I773" s="11"/>
      <c r="J773" s="10"/>
      <c r="K773" s="11"/>
    </row>
    <row r="774">
      <c r="A774" s="8" t="s">
        <v>45</v>
      </c>
      <c r="B774" s="9" t="s">
        <v>98</v>
      </c>
      <c r="C774" s="9" t="s">
        <v>99</v>
      </c>
      <c r="D774" s="10" t="s">
        <v>26</v>
      </c>
      <c r="E774" s="11" t="n">
        <f>12</f>
        <v>12.0</v>
      </c>
      <c r="F774" s="10" t="s">
        <v>26</v>
      </c>
      <c r="G774" s="11" t="n">
        <f>9035000</f>
        <v>9035000.0</v>
      </c>
      <c r="H774" s="10"/>
      <c r="I774" s="11" t="str">
        <f>"－"</f>
        <v>－</v>
      </c>
      <c r="J774" s="10" t="s">
        <v>26</v>
      </c>
      <c r="K774" s="11" t="n">
        <f>16</f>
        <v>16.0</v>
      </c>
    </row>
    <row r="775">
      <c r="A775" s="8" t="s">
        <v>46</v>
      </c>
      <c r="B775" s="9" t="s">
        <v>98</v>
      </c>
      <c r="C775" s="9" t="s">
        <v>99</v>
      </c>
      <c r="D775" s="10"/>
      <c r="E775" s="11" t="str">
        <f>"－"</f>
        <v>－</v>
      </c>
      <c r="F775" s="10"/>
      <c r="G775" s="11" t="str">
        <f>"－"</f>
        <v>－</v>
      </c>
      <c r="H775" s="10"/>
      <c r="I775" s="11" t="str">
        <f>"－"</f>
        <v>－</v>
      </c>
      <c r="J775" s="10" t="s">
        <v>20</v>
      </c>
      <c r="K775" s="11" t="n">
        <f>2</f>
        <v>2.0</v>
      </c>
    </row>
    <row r="776">
      <c r="A776" s="8" t="s">
        <v>47</v>
      </c>
      <c r="B776" s="9" t="s">
        <v>98</v>
      </c>
      <c r="C776" s="9" t="s">
        <v>99</v>
      </c>
      <c r="D776" s="10"/>
      <c r="E776" s="11" t="str">
        <f>"－"</f>
        <v>－</v>
      </c>
      <c r="F776" s="10"/>
      <c r="G776" s="11" t="str">
        <f>"－"</f>
        <v>－</v>
      </c>
      <c r="H776" s="10"/>
      <c r="I776" s="11" t="str">
        <f>"－"</f>
        <v>－</v>
      </c>
      <c r="J776" s="10"/>
      <c r="K776" s="11" t="n">
        <f>2</f>
        <v>2.0</v>
      </c>
    </row>
    <row r="777">
      <c r="A777" s="8" t="s">
        <v>48</v>
      </c>
      <c r="B777" s="9" t="s">
        <v>98</v>
      </c>
      <c r="C777" s="9" t="s">
        <v>99</v>
      </c>
      <c r="D777" s="10"/>
      <c r="E777" s="11" t="str">
        <f>"－"</f>
        <v>－</v>
      </c>
      <c r="F777" s="10"/>
      <c r="G777" s="11" t="str">
        <f>"－"</f>
        <v>－</v>
      </c>
      <c r="H777" s="10"/>
      <c r="I777" s="11" t="str">
        <f>"－"</f>
        <v>－</v>
      </c>
      <c r="J777" s="10"/>
      <c r="K777" s="11" t="n">
        <f>2</f>
        <v>2.0</v>
      </c>
    </row>
    <row r="778">
      <c r="A778" s="8" t="s">
        <v>49</v>
      </c>
      <c r="B778" s="9" t="s">
        <v>98</v>
      </c>
      <c r="C778" s="9" t="s">
        <v>99</v>
      </c>
      <c r="D778" s="10"/>
      <c r="E778" s="11" t="str">
        <f>"－"</f>
        <v>－</v>
      </c>
      <c r="F778" s="10"/>
      <c r="G778" s="11" t="str">
        <f>"－"</f>
        <v>－</v>
      </c>
      <c r="H778" s="10"/>
      <c r="I778" s="11" t="str">
        <f>"－"</f>
        <v>－</v>
      </c>
      <c r="J778" s="10"/>
      <c r="K778" s="11" t="n">
        <f>2</f>
        <v>2.0</v>
      </c>
    </row>
    <row r="779">
      <c r="A779" s="8" t="s">
        <v>50</v>
      </c>
      <c r="B779" s="9" t="s">
        <v>98</v>
      </c>
      <c r="C779" s="9" t="s">
        <v>99</v>
      </c>
      <c r="D779" s="10"/>
      <c r="E779" s="11"/>
      <c r="F779" s="10"/>
      <c r="G779" s="11"/>
      <c r="H779" s="10"/>
      <c r="I779" s="11"/>
      <c r="J779" s="10"/>
      <c r="K779" s="11"/>
    </row>
    <row r="780">
      <c r="A780" s="8" t="s">
        <v>51</v>
      </c>
      <c r="B780" s="9" t="s">
        <v>98</v>
      </c>
      <c r="C780" s="9" t="s">
        <v>99</v>
      </c>
      <c r="D780" s="10"/>
      <c r="E780" s="11"/>
      <c r="F780" s="10"/>
      <c r="G780" s="11"/>
      <c r="H780" s="10"/>
      <c r="I780" s="11"/>
      <c r="J780" s="10"/>
      <c r="K780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